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BertV\source\repos\PyOneDark_Qt_Widgets_Modern_GUI-7a58b37247870f5b0425a5c1c633dfdef56e73ae\PyOneDark_Qt_Widgets_Modern_GUI-7a58b37247870f5b0425a5c1c633dfdef56e73ae\"/>
    </mc:Choice>
  </mc:AlternateContent>
  <xr:revisionPtr revIDLastSave="0" documentId="8_{40F58C4F-9AC4-452C-A135-D66B68B1F015}" xr6:coauthVersionLast="47" xr6:coauthVersionMax="47" xr10:uidLastSave="{00000000-0000-0000-0000-000000000000}"/>
  <bookViews>
    <workbookView xWindow="-25905" yWindow="10290" windowWidth="25050" windowHeight="11385" firstSheet="5" activeTab="9" xr2:uid="{00000000-000D-0000-FFFF-FFFF00000000}"/>
  </bookViews>
  <sheets>
    <sheet name="All Time" sheetId="5" r:id="rId1"/>
    <sheet name="All Time stats" sheetId="16" r:id="rId2"/>
    <sheet name="Season 1" sheetId="1" r:id="rId3"/>
    <sheet name="Player Stats S1" sheetId="3" r:id="rId4"/>
    <sheet name="Season 2" sheetId="14" r:id="rId5"/>
    <sheet name="Player Stats S2" sheetId="15" r:id="rId6"/>
    <sheet name="Season 3" sheetId="10" r:id="rId7"/>
    <sheet name="Player Stats S3" sheetId="11" r:id="rId8"/>
    <sheet name="ELO S3" sheetId="12" r:id="rId9"/>
    <sheet name="Season 4" sheetId="17" r:id="rId10"/>
    <sheet name="Player Stats S4" sheetId="18" r:id="rId11"/>
    <sheet name="ELO S4" sheetId="19" r:id="rId12"/>
    <sheet name="ELO rekenblad" sheetId="13" r:id="rId13"/>
  </sheets>
  <definedNames>
    <definedName name="_xlnm._FilterDatabase" localSheetId="5" hidden="1">'Player Stats S2'!$A$1:$T$16</definedName>
    <definedName name="_xlnm._FilterDatabase" localSheetId="7" hidden="1">'Player Stats S3'!$A$1:$V$13</definedName>
    <definedName name="_xlnm._FilterDatabase" localSheetId="10" hidden="1">'Player Stats S4'!$A$1:$X$11</definedName>
    <definedName name="AanvGroen">'ELO rekenblad'!$C$8</definedName>
    <definedName name="AanvGroenELO">'ELO rekenblad'!$F$8</definedName>
    <definedName name="AanvRood">'ELO rekenblad'!$C$7</definedName>
    <definedName name="AanvRoodELO">'ELO rekenblad'!$F$7</definedName>
    <definedName name="AanvWin">'ELO rekenblad'!$C$15</definedName>
    <definedName name="GDG">'ELO rekenblad'!$F$70</definedName>
    <definedName name="GDR">'ELO rekenblad'!$F$61</definedName>
    <definedName name="GOG">'ELO rekenblad'!$C$70</definedName>
    <definedName name="GOR">'ELO rekenblad'!$C$61</definedName>
    <definedName name="KleurWinnaar" localSheetId="9">'Season 4'!$P:$P</definedName>
    <definedName name="KleurWinnaar">'Season 3'!$P:$P</definedName>
    <definedName name="Macro" localSheetId="11">Tabel15[Rood Verdediging]</definedName>
    <definedName name="Macro" localSheetId="10">Tabel15[Rood Verdediging]</definedName>
    <definedName name="Macro" localSheetId="9">Tabel152[Rood Verdediging]</definedName>
    <definedName name="Macro">Tabel15[Rood Verdediging]</definedName>
    <definedName name="Score4" localSheetId="9">'Season 4'!$M:$M</definedName>
    <definedName name="Score4">'Season 3'!$M:$M</definedName>
    <definedName name="ScoreG">'ELO rekenblad'!$I$70</definedName>
    <definedName name="ScoreR">'ELO rekenblad'!$I$61</definedName>
    <definedName name="VerGroen">'ELO rekenblad'!$C$4</definedName>
    <definedName name="VerGroenELO">'ELO rekenblad'!$F$4</definedName>
    <definedName name="VerRood">'ELO rekenblad'!$C$3</definedName>
    <definedName name="VerRoodELO">'ELO rekenblad'!$F$3</definedName>
    <definedName name="VerWin">'ELO rekenblad'!$C$14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0" i="17" l="1"/>
  <c r="O20" i="17"/>
  <c r="P20" i="17"/>
  <c r="S20" i="17"/>
  <c r="T20" i="17"/>
  <c r="N3" i="17"/>
  <c r="O3" i="17"/>
  <c r="P3" i="17" s="1"/>
  <c r="N4" i="17"/>
  <c r="O4" i="17"/>
  <c r="N5" i="17"/>
  <c r="O5" i="17"/>
  <c r="P5" i="17" s="1"/>
  <c r="N6" i="17"/>
  <c r="O6" i="17"/>
  <c r="N7" i="17"/>
  <c r="O7" i="17"/>
  <c r="R7" i="17" s="1"/>
  <c r="N8" i="17"/>
  <c r="O8" i="17"/>
  <c r="N9" i="17"/>
  <c r="O9" i="17"/>
  <c r="R9" i="17" s="1"/>
  <c r="N10" i="17"/>
  <c r="O10" i="17"/>
  <c r="N11" i="17"/>
  <c r="O11" i="17"/>
  <c r="P11" i="17" s="1"/>
  <c r="N12" i="17"/>
  <c r="O12" i="17"/>
  <c r="N13" i="17"/>
  <c r="O13" i="17"/>
  <c r="P13" i="17" s="1"/>
  <c r="N14" i="17"/>
  <c r="O14" i="17"/>
  <c r="N15" i="17"/>
  <c r="O15" i="17"/>
  <c r="Q15" i="17" s="1"/>
  <c r="N16" i="17"/>
  <c r="O16" i="17"/>
  <c r="N17" i="17"/>
  <c r="O17" i="17"/>
  <c r="Q17" i="17" s="1"/>
  <c r="N18" i="17"/>
  <c r="O18" i="17"/>
  <c r="N19" i="17"/>
  <c r="O19" i="17"/>
  <c r="P19" i="17" s="1"/>
  <c r="N21" i="17"/>
  <c r="Q21" i="17" s="1"/>
  <c r="O21" i="17"/>
  <c r="N22" i="17"/>
  <c r="O22" i="17"/>
  <c r="P22" i="17" s="1"/>
  <c r="N23" i="17"/>
  <c r="O23" i="17"/>
  <c r="P23" i="17" s="1"/>
  <c r="N24" i="17"/>
  <c r="O24" i="17"/>
  <c r="P24" i="17" s="1"/>
  <c r="N25" i="17"/>
  <c r="O25" i="17"/>
  <c r="N26" i="17"/>
  <c r="O26" i="17"/>
  <c r="P26" i="17" s="1"/>
  <c r="N27" i="17"/>
  <c r="O27" i="17"/>
  <c r="N28" i="17"/>
  <c r="O28" i="17"/>
  <c r="P28" i="17" s="1"/>
  <c r="N29" i="17"/>
  <c r="O29" i="17"/>
  <c r="N30" i="17"/>
  <c r="O30" i="17"/>
  <c r="P30" i="17" s="1"/>
  <c r="N31" i="17"/>
  <c r="O31" i="17"/>
  <c r="N32" i="17"/>
  <c r="O32" i="17"/>
  <c r="N33" i="17"/>
  <c r="Q33" i="17" s="1"/>
  <c r="O33" i="17"/>
  <c r="N34" i="17"/>
  <c r="O34" i="17"/>
  <c r="P34" i="17" s="1"/>
  <c r="N36" i="17"/>
  <c r="O36" i="17"/>
  <c r="Q36" i="17" s="1"/>
  <c r="N37" i="17"/>
  <c r="O37" i="17"/>
  <c r="N38" i="17"/>
  <c r="O38" i="17"/>
  <c r="P38" i="17" s="1"/>
  <c r="N39" i="17"/>
  <c r="Q39" i="17" s="1"/>
  <c r="O39" i="17"/>
  <c r="N40" i="17"/>
  <c r="O40" i="17"/>
  <c r="Q40" i="17" s="1"/>
  <c r="N41" i="17"/>
  <c r="O41" i="17"/>
  <c r="N42" i="17"/>
  <c r="O42" i="17"/>
  <c r="P42" i="17" s="1"/>
  <c r="N43" i="17"/>
  <c r="Q43" i="17" s="1"/>
  <c r="O43" i="17"/>
  <c r="N44" i="17"/>
  <c r="O44" i="17"/>
  <c r="Q44" i="17" s="1"/>
  <c r="N45" i="17"/>
  <c r="O45" i="17"/>
  <c r="N46" i="17"/>
  <c r="O46" i="17"/>
  <c r="P46" i="17" s="1"/>
  <c r="N47" i="17"/>
  <c r="Q47" i="17" s="1"/>
  <c r="O47" i="17"/>
  <c r="N48" i="17"/>
  <c r="O48" i="17"/>
  <c r="Q48" i="17" s="1"/>
  <c r="N49" i="17"/>
  <c r="O49" i="17"/>
  <c r="N50" i="17"/>
  <c r="O50" i="17"/>
  <c r="P50" i="17" s="1"/>
  <c r="N51" i="17"/>
  <c r="O51" i="17"/>
  <c r="N52" i="17"/>
  <c r="O52" i="17"/>
  <c r="N53" i="17"/>
  <c r="O53" i="17"/>
  <c r="N54" i="17"/>
  <c r="O54" i="17"/>
  <c r="R54" i="17" s="1"/>
  <c r="N55" i="17"/>
  <c r="R55" i="17" s="1"/>
  <c r="O55" i="17"/>
  <c r="N56" i="17"/>
  <c r="O56" i="17"/>
  <c r="Q56" i="17" s="1"/>
  <c r="N57" i="17"/>
  <c r="O57" i="17"/>
  <c r="N58" i="17"/>
  <c r="O58" i="17"/>
  <c r="P58" i="17" s="1"/>
  <c r="N59" i="17"/>
  <c r="O59" i="17"/>
  <c r="N60" i="17"/>
  <c r="O60" i="17"/>
  <c r="Q60" i="17" s="1"/>
  <c r="N61" i="17"/>
  <c r="O61" i="17"/>
  <c r="N62" i="17"/>
  <c r="O62" i="17"/>
  <c r="P62" i="17" s="1"/>
  <c r="N63" i="17"/>
  <c r="O63" i="17"/>
  <c r="N64" i="17"/>
  <c r="O64" i="17"/>
  <c r="Q64" i="17" s="1"/>
  <c r="N65" i="17"/>
  <c r="O65" i="17"/>
  <c r="N66" i="17"/>
  <c r="O66" i="17"/>
  <c r="P66" i="17" s="1"/>
  <c r="N67" i="17"/>
  <c r="O67" i="17"/>
  <c r="N68" i="17"/>
  <c r="O68" i="17"/>
  <c r="Q68" i="17" s="1"/>
  <c r="N69" i="17"/>
  <c r="O69" i="17"/>
  <c r="N70" i="17"/>
  <c r="O70" i="17"/>
  <c r="Q70" i="17" s="1"/>
  <c r="N71" i="17"/>
  <c r="O71" i="17"/>
  <c r="N72" i="17"/>
  <c r="O72" i="17"/>
  <c r="Q72" i="17" s="1"/>
  <c r="N73" i="17"/>
  <c r="O73" i="17"/>
  <c r="N74" i="17"/>
  <c r="O74" i="17"/>
  <c r="Q74" i="17" s="1"/>
  <c r="N75" i="17"/>
  <c r="O75" i="17"/>
  <c r="N76" i="17"/>
  <c r="O76" i="17"/>
  <c r="P76" i="17" s="1"/>
  <c r="N77" i="17"/>
  <c r="O77" i="17"/>
  <c r="N78" i="17"/>
  <c r="O78" i="17"/>
  <c r="P78" i="17" s="1"/>
  <c r="N79" i="17"/>
  <c r="R79" i="17" s="1"/>
  <c r="O79" i="17"/>
  <c r="N80" i="17"/>
  <c r="O80" i="17"/>
  <c r="P80" i="17" s="1"/>
  <c r="N81" i="17"/>
  <c r="O81" i="17"/>
  <c r="N82" i="17"/>
  <c r="O82" i="17"/>
  <c r="P82" i="17" s="1"/>
  <c r="N83" i="17"/>
  <c r="O83" i="17"/>
  <c r="N84" i="17"/>
  <c r="O84" i="17"/>
  <c r="P84" i="17" s="1"/>
  <c r="N85" i="17"/>
  <c r="O85" i="17"/>
  <c r="N86" i="17"/>
  <c r="O86" i="17"/>
  <c r="P86" i="17" s="1"/>
  <c r="N87" i="17"/>
  <c r="R87" i="17" s="1"/>
  <c r="O87" i="17"/>
  <c r="N88" i="17"/>
  <c r="O88" i="17"/>
  <c r="Q88" i="17" s="1"/>
  <c r="N89" i="17"/>
  <c r="O89" i="17"/>
  <c r="N90" i="17"/>
  <c r="O90" i="17"/>
  <c r="Q90" i="17" s="1"/>
  <c r="N91" i="17"/>
  <c r="R91" i="17" s="1"/>
  <c r="O91" i="17"/>
  <c r="N92" i="17"/>
  <c r="O92" i="17"/>
  <c r="Q92" i="17" s="1"/>
  <c r="N93" i="17"/>
  <c r="O93" i="17"/>
  <c r="N94" i="17"/>
  <c r="O94" i="17"/>
  <c r="N95" i="17"/>
  <c r="O95" i="17"/>
  <c r="N96" i="17"/>
  <c r="O96" i="17"/>
  <c r="Q96" i="17" s="1"/>
  <c r="N97" i="17"/>
  <c r="O97" i="17"/>
  <c r="N98" i="17"/>
  <c r="O98" i="17"/>
  <c r="R98" i="17" s="1"/>
  <c r="N99" i="17"/>
  <c r="O99" i="17"/>
  <c r="N100" i="17"/>
  <c r="O100" i="17"/>
  <c r="N101" i="17"/>
  <c r="O101" i="17"/>
  <c r="N102" i="17"/>
  <c r="O102" i="17"/>
  <c r="Q102" i="17" s="1"/>
  <c r="N103" i="17"/>
  <c r="O103" i="17"/>
  <c r="N104" i="17"/>
  <c r="O104" i="17"/>
  <c r="P104" i="17" s="1"/>
  <c r="N105" i="17"/>
  <c r="O105" i="17"/>
  <c r="N106" i="17"/>
  <c r="O106" i="17"/>
  <c r="P106" i="17" s="1"/>
  <c r="N107" i="17"/>
  <c r="O107" i="17"/>
  <c r="N108" i="17"/>
  <c r="O108" i="17"/>
  <c r="P108" i="17" s="1"/>
  <c r="N109" i="17"/>
  <c r="O109" i="17"/>
  <c r="N110" i="17"/>
  <c r="O110" i="17"/>
  <c r="P110" i="17" s="1"/>
  <c r="N111" i="17"/>
  <c r="O111" i="17"/>
  <c r="N112" i="17"/>
  <c r="O112" i="17"/>
  <c r="N113" i="17"/>
  <c r="O113" i="17"/>
  <c r="N114" i="17"/>
  <c r="O114" i="17"/>
  <c r="P114" i="17" s="1"/>
  <c r="N115" i="17"/>
  <c r="R115" i="17" s="1"/>
  <c r="O115" i="17"/>
  <c r="N116" i="17"/>
  <c r="O116" i="17"/>
  <c r="P116" i="17" s="1"/>
  <c r="N117" i="17"/>
  <c r="O117" i="17"/>
  <c r="N118" i="17"/>
  <c r="O118" i="17"/>
  <c r="R118" i="17" s="1"/>
  <c r="N119" i="17"/>
  <c r="O119" i="17"/>
  <c r="N120" i="17"/>
  <c r="O120" i="17"/>
  <c r="N121" i="17"/>
  <c r="O121" i="17"/>
  <c r="N122" i="17"/>
  <c r="O122" i="17"/>
  <c r="Q122" i="17" s="1"/>
  <c r="N123" i="17"/>
  <c r="O123" i="17"/>
  <c r="N124" i="17"/>
  <c r="O124" i="17"/>
  <c r="N125" i="17"/>
  <c r="O125" i="17"/>
  <c r="N126" i="17"/>
  <c r="O126" i="17"/>
  <c r="Q126" i="17" s="1"/>
  <c r="N127" i="17"/>
  <c r="R127" i="17" s="1"/>
  <c r="O127" i="17"/>
  <c r="N128" i="17"/>
  <c r="O128" i="17"/>
  <c r="N129" i="17"/>
  <c r="O129" i="17"/>
  <c r="N130" i="17"/>
  <c r="O130" i="17"/>
  <c r="R130" i="17" s="1"/>
  <c r="N131" i="17"/>
  <c r="R131" i="17" s="1"/>
  <c r="O131" i="17"/>
  <c r="N132" i="17"/>
  <c r="O132" i="17"/>
  <c r="N133" i="17"/>
  <c r="O133" i="17"/>
  <c r="N134" i="17"/>
  <c r="O134" i="17"/>
  <c r="Q134" i="17" s="1"/>
  <c r="N135" i="17"/>
  <c r="O135" i="17"/>
  <c r="N136" i="17"/>
  <c r="O136" i="17"/>
  <c r="N137" i="17"/>
  <c r="O137" i="17"/>
  <c r="N138" i="17"/>
  <c r="O138" i="17"/>
  <c r="Q138" i="17" s="1"/>
  <c r="N139" i="17"/>
  <c r="R139" i="17" s="1"/>
  <c r="O139" i="17"/>
  <c r="N140" i="17"/>
  <c r="O140" i="17"/>
  <c r="N141" i="17"/>
  <c r="O141" i="17"/>
  <c r="N142" i="17"/>
  <c r="O142" i="17"/>
  <c r="Q142" i="17" s="1"/>
  <c r="N143" i="17"/>
  <c r="R143" i="17" s="1"/>
  <c r="O143" i="17"/>
  <c r="N144" i="17"/>
  <c r="O144" i="17"/>
  <c r="N145" i="17"/>
  <c r="O145" i="17"/>
  <c r="N146" i="17"/>
  <c r="O146" i="17"/>
  <c r="Q146" i="17" s="1"/>
  <c r="N147" i="17"/>
  <c r="O147" i="17"/>
  <c r="N148" i="17"/>
  <c r="O148" i="17"/>
  <c r="N149" i="17"/>
  <c r="O149" i="17"/>
  <c r="N150" i="17"/>
  <c r="O150" i="17"/>
  <c r="Q150" i="17" s="1"/>
  <c r="N151" i="17"/>
  <c r="O151" i="17"/>
  <c r="N152" i="17"/>
  <c r="O152" i="17"/>
  <c r="N153" i="17"/>
  <c r="O153" i="17"/>
  <c r="N154" i="17"/>
  <c r="O154" i="17"/>
  <c r="Q154" i="17" s="1"/>
  <c r="N155" i="17"/>
  <c r="O155" i="17"/>
  <c r="N156" i="17"/>
  <c r="O156" i="17"/>
  <c r="N157" i="17"/>
  <c r="O157" i="17"/>
  <c r="N158" i="17"/>
  <c r="O158" i="17"/>
  <c r="Q158" i="17" s="1"/>
  <c r="N159" i="17"/>
  <c r="R159" i="17" s="1"/>
  <c r="O159" i="17"/>
  <c r="N160" i="17"/>
  <c r="O160" i="17"/>
  <c r="N161" i="17"/>
  <c r="O161" i="17"/>
  <c r="N162" i="17"/>
  <c r="O162" i="17"/>
  <c r="R162" i="17" s="1"/>
  <c r="N163" i="17"/>
  <c r="R163" i="17" s="1"/>
  <c r="O163" i="17"/>
  <c r="N164" i="17"/>
  <c r="O164" i="17"/>
  <c r="N165" i="17"/>
  <c r="O165" i="17"/>
  <c r="N166" i="17"/>
  <c r="O166" i="17"/>
  <c r="Q166" i="17" s="1"/>
  <c r="N167" i="17"/>
  <c r="O167" i="17"/>
  <c r="N168" i="17"/>
  <c r="O168" i="17"/>
  <c r="N169" i="17"/>
  <c r="O169" i="17"/>
  <c r="N170" i="17"/>
  <c r="O170" i="17"/>
  <c r="Q170" i="17" s="1"/>
  <c r="N171" i="17"/>
  <c r="R171" i="17" s="1"/>
  <c r="O171" i="17"/>
  <c r="N172" i="17"/>
  <c r="O172" i="17"/>
  <c r="N173" i="17"/>
  <c r="O173" i="17"/>
  <c r="N174" i="17"/>
  <c r="O174" i="17"/>
  <c r="Q174" i="17" s="1"/>
  <c r="N175" i="17"/>
  <c r="R175" i="17" s="1"/>
  <c r="O175" i="17"/>
  <c r="N176" i="17"/>
  <c r="O176" i="17"/>
  <c r="N177" i="17"/>
  <c r="O177" i="17"/>
  <c r="N178" i="17"/>
  <c r="O178" i="17"/>
  <c r="Q178" i="17" s="1"/>
  <c r="N179" i="17"/>
  <c r="O179" i="17"/>
  <c r="N180" i="17"/>
  <c r="O180" i="17"/>
  <c r="N181" i="17"/>
  <c r="O181" i="17"/>
  <c r="N182" i="17"/>
  <c r="O182" i="17"/>
  <c r="Q182" i="17" s="1"/>
  <c r="N183" i="17"/>
  <c r="O183" i="17"/>
  <c r="N184" i="17"/>
  <c r="O184" i="17"/>
  <c r="Q184" i="17" s="1"/>
  <c r="N185" i="17"/>
  <c r="O185" i="17"/>
  <c r="N186" i="17"/>
  <c r="O186" i="17"/>
  <c r="Q186" i="17" s="1"/>
  <c r="N187" i="17"/>
  <c r="O187" i="17"/>
  <c r="N188" i="17"/>
  <c r="O188" i="17"/>
  <c r="R188" i="17" s="1"/>
  <c r="N189" i="17"/>
  <c r="O189" i="17"/>
  <c r="N190" i="17"/>
  <c r="O190" i="17"/>
  <c r="R190" i="17" s="1"/>
  <c r="N191" i="17"/>
  <c r="O191" i="17"/>
  <c r="N192" i="17"/>
  <c r="O192" i="17"/>
  <c r="R192" i="17" s="1"/>
  <c r="N193" i="17"/>
  <c r="O193" i="17"/>
  <c r="N194" i="17"/>
  <c r="O194" i="17"/>
  <c r="Q194" i="17" s="1"/>
  <c r="N195" i="17"/>
  <c r="O195" i="17"/>
  <c r="N196" i="17"/>
  <c r="O196" i="17"/>
  <c r="N197" i="17"/>
  <c r="O197" i="17"/>
  <c r="N198" i="17"/>
  <c r="O198" i="17"/>
  <c r="Q198" i="17" s="1"/>
  <c r="N199" i="17"/>
  <c r="O199" i="17"/>
  <c r="N200" i="17"/>
  <c r="O200" i="17"/>
  <c r="Q200" i="17" s="1"/>
  <c r="N201" i="17"/>
  <c r="O201" i="17"/>
  <c r="N202" i="17"/>
  <c r="O202" i="17"/>
  <c r="Q202" i="17" s="1"/>
  <c r="N203" i="17"/>
  <c r="O203" i="17"/>
  <c r="N204" i="17"/>
  <c r="O204" i="17"/>
  <c r="R204" i="17" s="1"/>
  <c r="N205" i="17"/>
  <c r="O205" i="17"/>
  <c r="N206" i="17"/>
  <c r="O206" i="17"/>
  <c r="Q206" i="17" s="1"/>
  <c r="N207" i="17"/>
  <c r="O207" i="17"/>
  <c r="N208" i="17"/>
  <c r="O208" i="17"/>
  <c r="R208" i="17" s="1"/>
  <c r="N209" i="17"/>
  <c r="O209" i="17"/>
  <c r="N210" i="17"/>
  <c r="O210" i="17"/>
  <c r="R210" i="17" s="1"/>
  <c r="N211" i="17"/>
  <c r="O211" i="17"/>
  <c r="N212" i="17"/>
  <c r="O212" i="17"/>
  <c r="N213" i="17"/>
  <c r="O213" i="17"/>
  <c r="N214" i="17"/>
  <c r="O214" i="17"/>
  <c r="R214" i="17" s="1"/>
  <c r="N215" i="17"/>
  <c r="R215" i="17" s="1"/>
  <c r="O215" i="17"/>
  <c r="N216" i="17"/>
  <c r="O216" i="17"/>
  <c r="R216" i="17" s="1"/>
  <c r="N217" i="17"/>
  <c r="O217" i="17"/>
  <c r="N218" i="17"/>
  <c r="O218" i="17"/>
  <c r="Q218" i="17" s="1"/>
  <c r="N219" i="17"/>
  <c r="R219" i="17" s="1"/>
  <c r="O219" i="17"/>
  <c r="N220" i="17"/>
  <c r="O220" i="17"/>
  <c r="N221" i="17"/>
  <c r="O221" i="17"/>
  <c r="N222" i="17"/>
  <c r="O222" i="17"/>
  <c r="R222" i="17" s="1"/>
  <c r="N223" i="17"/>
  <c r="R223" i="17" s="1"/>
  <c r="O223" i="17"/>
  <c r="N224" i="17"/>
  <c r="O224" i="17"/>
  <c r="R224" i="17" s="1"/>
  <c r="N225" i="17"/>
  <c r="O225" i="17"/>
  <c r="N226" i="17"/>
  <c r="O226" i="17"/>
  <c r="Q226" i="17" s="1"/>
  <c r="N227" i="17"/>
  <c r="R227" i="17" s="1"/>
  <c r="O227" i="17"/>
  <c r="N228" i="17"/>
  <c r="O228" i="17"/>
  <c r="N229" i="17"/>
  <c r="O229" i="17"/>
  <c r="N230" i="17"/>
  <c r="O230" i="17"/>
  <c r="R230" i="17" s="1"/>
  <c r="N231" i="17"/>
  <c r="R231" i="17" s="1"/>
  <c r="O231" i="17"/>
  <c r="N232" i="17"/>
  <c r="O232" i="17"/>
  <c r="R232" i="17" s="1"/>
  <c r="N233" i="17"/>
  <c r="O233" i="17"/>
  <c r="N234" i="17"/>
  <c r="O234" i="17"/>
  <c r="Q234" i="17" s="1"/>
  <c r="N235" i="17"/>
  <c r="R235" i="17" s="1"/>
  <c r="O235" i="17"/>
  <c r="N236" i="17"/>
  <c r="O236" i="17"/>
  <c r="N237" i="17"/>
  <c r="O237" i="17"/>
  <c r="N238" i="17"/>
  <c r="O238" i="17"/>
  <c r="R238" i="17" s="1"/>
  <c r="N239" i="17"/>
  <c r="R239" i="17" s="1"/>
  <c r="O239" i="17"/>
  <c r="N240" i="17"/>
  <c r="O240" i="17"/>
  <c r="Q240" i="17" s="1"/>
  <c r="N241" i="17"/>
  <c r="O241" i="17"/>
  <c r="N242" i="17"/>
  <c r="O242" i="17"/>
  <c r="R242" i="17" s="1"/>
  <c r="N243" i="17"/>
  <c r="O243" i="17"/>
  <c r="N244" i="17"/>
  <c r="O244" i="17"/>
  <c r="N245" i="17"/>
  <c r="O245" i="17"/>
  <c r="N246" i="17"/>
  <c r="O246" i="17"/>
  <c r="R246" i="17" s="1"/>
  <c r="N247" i="17"/>
  <c r="O247" i="17"/>
  <c r="N248" i="17"/>
  <c r="O248" i="17"/>
  <c r="Q248" i="17" s="1"/>
  <c r="N249" i="17"/>
  <c r="O249" i="17"/>
  <c r="N250" i="17"/>
  <c r="O250" i="17"/>
  <c r="Q250" i="17" s="1"/>
  <c r="N251" i="17"/>
  <c r="O251" i="17"/>
  <c r="N252" i="17"/>
  <c r="O252" i="17"/>
  <c r="N253" i="17"/>
  <c r="O253" i="17"/>
  <c r="N254" i="17"/>
  <c r="O254" i="17"/>
  <c r="Q254" i="17" s="1"/>
  <c r="N255" i="17"/>
  <c r="O255" i="17"/>
  <c r="N256" i="17"/>
  <c r="O256" i="17"/>
  <c r="R256" i="17" s="1"/>
  <c r="N257" i="17"/>
  <c r="O257" i="17"/>
  <c r="N258" i="17"/>
  <c r="O258" i="17"/>
  <c r="Q258" i="17" s="1"/>
  <c r="N259" i="17"/>
  <c r="O259" i="17"/>
  <c r="N260" i="17"/>
  <c r="O260" i="17"/>
  <c r="N261" i="17"/>
  <c r="O261" i="17"/>
  <c r="N262" i="17"/>
  <c r="O262" i="17"/>
  <c r="Q262" i="17" s="1"/>
  <c r="N263" i="17"/>
  <c r="O263" i="17"/>
  <c r="N264" i="17"/>
  <c r="O264" i="17"/>
  <c r="R264" i="17" s="1"/>
  <c r="N265" i="17"/>
  <c r="O265" i="17"/>
  <c r="N266" i="17"/>
  <c r="O266" i="17"/>
  <c r="Q266" i="17" s="1"/>
  <c r="N267" i="17"/>
  <c r="O267" i="17"/>
  <c r="N268" i="17"/>
  <c r="O268" i="17"/>
  <c r="N269" i="17"/>
  <c r="O269" i="17"/>
  <c r="N270" i="17"/>
  <c r="O270" i="17"/>
  <c r="R270" i="17" s="1"/>
  <c r="N271" i="17"/>
  <c r="O271" i="17"/>
  <c r="N272" i="17"/>
  <c r="O272" i="17"/>
  <c r="Q272" i="17" s="1"/>
  <c r="N273" i="17"/>
  <c r="O273" i="17"/>
  <c r="N274" i="17"/>
  <c r="O274" i="17"/>
  <c r="Q274" i="17" s="1"/>
  <c r="N275" i="17"/>
  <c r="O275" i="17"/>
  <c r="N276" i="17"/>
  <c r="O276" i="17"/>
  <c r="R276" i="17" s="1"/>
  <c r="N277" i="17"/>
  <c r="O277" i="17"/>
  <c r="N278" i="17"/>
  <c r="O278" i="17"/>
  <c r="Q278" i="17" s="1"/>
  <c r="N279" i="17"/>
  <c r="O279" i="17"/>
  <c r="N280" i="17"/>
  <c r="O280" i="17"/>
  <c r="R280" i="17" s="1"/>
  <c r="N281" i="17"/>
  <c r="O281" i="17"/>
  <c r="N282" i="17"/>
  <c r="O282" i="17"/>
  <c r="Q282" i="17" s="1"/>
  <c r="N283" i="17"/>
  <c r="O283" i="17"/>
  <c r="N284" i="17"/>
  <c r="O284" i="17"/>
  <c r="Q284" i="17" s="1"/>
  <c r="N285" i="17"/>
  <c r="O285" i="17"/>
  <c r="N286" i="17"/>
  <c r="O286" i="17"/>
  <c r="Q286" i="17" s="1"/>
  <c r="N287" i="17"/>
  <c r="O287" i="17"/>
  <c r="N288" i="17"/>
  <c r="O288" i="17"/>
  <c r="Q288" i="17" s="1"/>
  <c r="N289" i="17"/>
  <c r="O289" i="17"/>
  <c r="N290" i="17"/>
  <c r="O290" i="17"/>
  <c r="Q290" i="17" s="1"/>
  <c r="N291" i="17"/>
  <c r="O291" i="17"/>
  <c r="N292" i="17"/>
  <c r="O292" i="17"/>
  <c r="R292" i="17" s="1"/>
  <c r="N293" i="17"/>
  <c r="O293" i="17"/>
  <c r="N294" i="17"/>
  <c r="O294" i="17"/>
  <c r="Q294" i="17" s="1"/>
  <c r="N295" i="17"/>
  <c r="O295" i="17"/>
  <c r="N296" i="17"/>
  <c r="O296" i="17"/>
  <c r="R296" i="17" s="1"/>
  <c r="N297" i="17"/>
  <c r="O297" i="17"/>
  <c r="N298" i="17"/>
  <c r="O298" i="17"/>
  <c r="Q298" i="17" s="1"/>
  <c r="N299" i="17"/>
  <c r="O299" i="17"/>
  <c r="N300" i="17"/>
  <c r="O300" i="17"/>
  <c r="Q300" i="17" s="1"/>
  <c r="N301" i="17"/>
  <c r="O301" i="17"/>
  <c r="N302" i="17"/>
  <c r="O302" i="17"/>
  <c r="N303" i="17"/>
  <c r="Q303" i="17" s="1"/>
  <c r="O303" i="17"/>
  <c r="N304" i="17"/>
  <c r="O304" i="17"/>
  <c r="Q304" i="17" s="1"/>
  <c r="N305" i="17"/>
  <c r="O305" i="17"/>
  <c r="O2" i="17"/>
  <c r="N2" i="17"/>
  <c r="P2" i="17" s="1"/>
  <c r="P4" i="17"/>
  <c r="Q7" i="17"/>
  <c r="P8" i="17"/>
  <c r="Q9" i="17"/>
  <c r="P12" i="17"/>
  <c r="P15" i="17"/>
  <c r="P16" i="17"/>
  <c r="P21" i="17"/>
  <c r="P25" i="17"/>
  <c r="Q25" i="17"/>
  <c r="R25" i="17"/>
  <c r="P27" i="17"/>
  <c r="P29" i="17"/>
  <c r="Q29" i="17"/>
  <c r="R29" i="17"/>
  <c r="P31" i="17"/>
  <c r="P32" i="17"/>
  <c r="P33" i="17"/>
  <c r="P36" i="17"/>
  <c r="P37" i="17"/>
  <c r="Q37" i="17"/>
  <c r="R37" i="17"/>
  <c r="P39" i="17"/>
  <c r="P40" i="17"/>
  <c r="P41" i="17"/>
  <c r="Q41" i="17"/>
  <c r="R41" i="17"/>
  <c r="P43" i="17"/>
  <c r="P44" i="17"/>
  <c r="P45" i="17"/>
  <c r="Q45" i="17"/>
  <c r="R45" i="17"/>
  <c r="P47" i="17"/>
  <c r="P49" i="17"/>
  <c r="P51" i="17"/>
  <c r="P52" i="17"/>
  <c r="P53" i="17"/>
  <c r="Q53" i="17"/>
  <c r="R53" i="17"/>
  <c r="P57" i="17"/>
  <c r="Q57" i="17"/>
  <c r="R57" i="17"/>
  <c r="P59" i="17"/>
  <c r="P61" i="17"/>
  <c r="R61" i="17"/>
  <c r="P63" i="17"/>
  <c r="P65" i="17"/>
  <c r="P67" i="17"/>
  <c r="P69" i="17"/>
  <c r="R69" i="17"/>
  <c r="P70" i="17"/>
  <c r="P71" i="17"/>
  <c r="P73" i="17"/>
  <c r="R73" i="17"/>
  <c r="P75" i="17"/>
  <c r="P77" i="17"/>
  <c r="R77" i="17"/>
  <c r="P81" i="17"/>
  <c r="P83" i="17"/>
  <c r="R83" i="17"/>
  <c r="Q83" i="17"/>
  <c r="P85" i="17"/>
  <c r="R85" i="17"/>
  <c r="P89" i="17"/>
  <c r="Q91" i="17"/>
  <c r="Q93" i="17"/>
  <c r="P93" i="17"/>
  <c r="R93" i="17"/>
  <c r="P94" i="17"/>
  <c r="P95" i="17"/>
  <c r="P97" i="17"/>
  <c r="R97" i="17"/>
  <c r="P99" i="17"/>
  <c r="P100" i="17"/>
  <c r="P103" i="17"/>
  <c r="P105" i="17"/>
  <c r="P107" i="17"/>
  <c r="Q109" i="17"/>
  <c r="P111" i="17"/>
  <c r="R111" i="17"/>
  <c r="Q111" i="17"/>
  <c r="P112" i="17"/>
  <c r="P113" i="17"/>
  <c r="P117" i="17"/>
  <c r="P118" i="17"/>
  <c r="R119" i="17"/>
  <c r="Q119" i="17"/>
  <c r="P120" i="17"/>
  <c r="Q121" i="17"/>
  <c r="P121" i="17"/>
  <c r="R121" i="17"/>
  <c r="U121" i="17" s="1"/>
  <c r="P122" i="17"/>
  <c r="P123" i="17"/>
  <c r="Q123" i="17"/>
  <c r="R123" i="17"/>
  <c r="P124" i="17"/>
  <c r="Q125" i="17"/>
  <c r="P125" i="17"/>
  <c r="R125" i="17"/>
  <c r="U125" i="17" s="1"/>
  <c r="P126" i="17"/>
  <c r="P127" i="17"/>
  <c r="Q127" i="17"/>
  <c r="P128" i="17"/>
  <c r="Q129" i="17"/>
  <c r="P129" i="17"/>
  <c r="P130" i="17"/>
  <c r="P131" i="17"/>
  <c r="Q131" i="17"/>
  <c r="U131" i="17" s="1"/>
  <c r="P132" i="17"/>
  <c r="Q133" i="17"/>
  <c r="P133" i="17"/>
  <c r="P134" i="17"/>
  <c r="P135" i="17"/>
  <c r="Q135" i="17"/>
  <c r="R135" i="17"/>
  <c r="P136" i="17"/>
  <c r="Q137" i="17"/>
  <c r="P137" i="17"/>
  <c r="R137" i="17"/>
  <c r="P138" i="17"/>
  <c r="P139" i="17"/>
  <c r="Q139" i="17"/>
  <c r="P140" i="17"/>
  <c r="Q141" i="17"/>
  <c r="P141" i="17"/>
  <c r="R141" i="17"/>
  <c r="P142" i="17"/>
  <c r="P143" i="17"/>
  <c r="Q143" i="17"/>
  <c r="P144" i="17"/>
  <c r="Q145" i="17"/>
  <c r="P145" i="17"/>
  <c r="P146" i="17"/>
  <c r="P147" i="17"/>
  <c r="Q147" i="17"/>
  <c r="U147" i="17" s="1"/>
  <c r="V147" i="17" s="1"/>
  <c r="R147" i="17"/>
  <c r="P148" i="17"/>
  <c r="Q149" i="17"/>
  <c r="P149" i="17"/>
  <c r="P150" i="17"/>
  <c r="P151" i="17"/>
  <c r="Q151" i="17"/>
  <c r="R151" i="17"/>
  <c r="P152" i="17"/>
  <c r="Q153" i="17"/>
  <c r="P153" i="17"/>
  <c r="R153" i="17"/>
  <c r="P154" i="17"/>
  <c r="P155" i="17"/>
  <c r="Q155" i="17"/>
  <c r="R155" i="17"/>
  <c r="P156" i="17"/>
  <c r="Q157" i="17"/>
  <c r="P157" i="17"/>
  <c r="R157" i="17"/>
  <c r="U157" i="17" s="1"/>
  <c r="P158" i="17"/>
  <c r="P159" i="17"/>
  <c r="Q159" i="17"/>
  <c r="P160" i="17"/>
  <c r="Q161" i="17"/>
  <c r="P161" i="17"/>
  <c r="P162" i="17"/>
  <c r="P163" i="17"/>
  <c r="Q163" i="17"/>
  <c r="P164" i="17"/>
  <c r="Q165" i="17"/>
  <c r="P165" i="17"/>
  <c r="P166" i="17"/>
  <c r="P167" i="17"/>
  <c r="Q167" i="17"/>
  <c r="R167" i="17"/>
  <c r="P168" i="17"/>
  <c r="Q169" i="17"/>
  <c r="P169" i="17"/>
  <c r="R169" i="17"/>
  <c r="U169" i="17" s="1"/>
  <c r="V169" i="17" s="1"/>
  <c r="P170" i="17"/>
  <c r="P171" i="17"/>
  <c r="Q171" i="17"/>
  <c r="P172" i="17"/>
  <c r="Q173" i="17"/>
  <c r="P173" i="17"/>
  <c r="R173" i="17"/>
  <c r="P174" i="17"/>
  <c r="P175" i="17"/>
  <c r="Q175" i="17"/>
  <c r="P176" i="17"/>
  <c r="Q177" i="17"/>
  <c r="P177" i="17"/>
  <c r="P178" i="17"/>
  <c r="P179" i="17"/>
  <c r="P180" i="17"/>
  <c r="Q181" i="17"/>
  <c r="P181" i="17"/>
  <c r="R181" i="17"/>
  <c r="P182" i="17"/>
  <c r="P183" i="17"/>
  <c r="P184" i="17"/>
  <c r="Q185" i="17"/>
  <c r="P185" i="17"/>
  <c r="R185" i="17"/>
  <c r="P186" i="17"/>
  <c r="P187" i="17"/>
  <c r="P188" i="17"/>
  <c r="P189" i="17"/>
  <c r="Q189" i="17"/>
  <c r="R189" i="17"/>
  <c r="P190" i="17"/>
  <c r="P191" i="17"/>
  <c r="P192" i="17"/>
  <c r="P193" i="17"/>
  <c r="Q193" i="17"/>
  <c r="U193" i="17" s="1"/>
  <c r="R193" i="17"/>
  <c r="P194" i="17"/>
  <c r="P195" i="17"/>
  <c r="P196" i="17"/>
  <c r="Q197" i="17"/>
  <c r="P197" i="17"/>
  <c r="R197" i="17"/>
  <c r="P198" i="17"/>
  <c r="P199" i="17"/>
  <c r="P200" i="17"/>
  <c r="Q201" i="17"/>
  <c r="P201" i="17"/>
  <c r="R201" i="17"/>
  <c r="P202" i="17"/>
  <c r="P203" i="17"/>
  <c r="P204" i="17"/>
  <c r="P205" i="17"/>
  <c r="Q205" i="17"/>
  <c r="R205" i="17"/>
  <c r="P206" i="17"/>
  <c r="P207" i="17"/>
  <c r="P208" i="17"/>
  <c r="P209" i="17"/>
  <c r="Q209" i="17"/>
  <c r="R209" i="17"/>
  <c r="P210" i="17"/>
  <c r="P211" i="17"/>
  <c r="P212" i="17"/>
  <c r="Q213" i="17"/>
  <c r="R213" i="17"/>
  <c r="P213" i="17"/>
  <c r="P214" i="17"/>
  <c r="P215" i="17"/>
  <c r="Q215" i="17"/>
  <c r="P216" i="17"/>
  <c r="R217" i="17"/>
  <c r="P217" i="17"/>
  <c r="Q217" i="17"/>
  <c r="P218" i="17"/>
  <c r="P219" i="17"/>
  <c r="P220" i="17"/>
  <c r="Q221" i="17"/>
  <c r="R221" i="17"/>
  <c r="P221" i="17"/>
  <c r="P222" i="17"/>
  <c r="P223" i="17"/>
  <c r="Q223" i="17"/>
  <c r="P224" i="17"/>
  <c r="R225" i="17"/>
  <c r="P225" i="17"/>
  <c r="Q225" i="17"/>
  <c r="P226" i="17"/>
  <c r="P227" i="17"/>
  <c r="P228" i="17"/>
  <c r="Q229" i="17"/>
  <c r="R229" i="17"/>
  <c r="P229" i="17"/>
  <c r="P230" i="17"/>
  <c r="P231" i="17"/>
  <c r="Q231" i="17"/>
  <c r="P232" i="17"/>
  <c r="R233" i="17"/>
  <c r="P233" i="17"/>
  <c r="Q233" i="17"/>
  <c r="P234" i="17"/>
  <c r="P235" i="17"/>
  <c r="P236" i="17"/>
  <c r="Q237" i="17"/>
  <c r="R237" i="17"/>
  <c r="P237" i="17"/>
  <c r="P238" i="17"/>
  <c r="P239" i="17"/>
  <c r="Q239" i="17"/>
  <c r="P240" i="17"/>
  <c r="P241" i="17"/>
  <c r="Q241" i="17"/>
  <c r="R241" i="17"/>
  <c r="P242" i="17"/>
  <c r="R243" i="17"/>
  <c r="P243" i="17"/>
  <c r="P244" i="17"/>
  <c r="Q245" i="17"/>
  <c r="R245" i="17"/>
  <c r="P245" i="17"/>
  <c r="P246" i="17"/>
  <c r="R247" i="17"/>
  <c r="P247" i="17"/>
  <c r="Q247" i="17"/>
  <c r="P248" i="17"/>
  <c r="P249" i="17"/>
  <c r="Q249" i="17"/>
  <c r="R249" i="17"/>
  <c r="P250" i="17"/>
  <c r="R251" i="17"/>
  <c r="P251" i="17"/>
  <c r="P252" i="17"/>
  <c r="Q253" i="17"/>
  <c r="R253" i="17"/>
  <c r="P253" i="17"/>
  <c r="P254" i="17"/>
  <c r="R255" i="17"/>
  <c r="P255" i="17"/>
  <c r="Q255" i="17"/>
  <c r="P256" i="17"/>
  <c r="P257" i="17"/>
  <c r="Q257" i="17"/>
  <c r="R257" i="17"/>
  <c r="P258" i="17"/>
  <c r="R259" i="17"/>
  <c r="P259" i="17"/>
  <c r="P260" i="17"/>
  <c r="Q261" i="17"/>
  <c r="R261" i="17"/>
  <c r="P261" i="17"/>
  <c r="P262" i="17"/>
  <c r="R263" i="17"/>
  <c r="P263" i="17"/>
  <c r="Q263" i="17"/>
  <c r="U263" i="17" s="1"/>
  <c r="P264" i="17"/>
  <c r="P265" i="17"/>
  <c r="Q265" i="17"/>
  <c r="U265" i="17" s="1"/>
  <c r="R265" i="17"/>
  <c r="P266" i="17"/>
  <c r="R267" i="17"/>
  <c r="P267" i="17"/>
  <c r="P268" i="17"/>
  <c r="Q269" i="17"/>
  <c r="R269" i="17"/>
  <c r="P269" i="17"/>
  <c r="P270" i="17"/>
  <c r="R271" i="17"/>
  <c r="P271" i="17"/>
  <c r="Q271" i="17"/>
  <c r="P272" i="17"/>
  <c r="P273" i="17"/>
  <c r="Q273" i="17"/>
  <c r="R273" i="17"/>
  <c r="P274" i="17"/>
  <c r="Q275" i="17"/>
  <c r="R275" i="17"/>
  <c r="P275" i="17"/>
  <c r="P276" i="17"/>
  <c r="P277" i="17"/>
  <c r="Q277" i="17"/>
  <c r="R277" i="17"/>
  <c r="P278" i="17"/>
  <c r="Q279" i="17"/>
  <c r="R279" i="17"/>
  <c r="P279" i="17"/>
  <c r="P280" i="17"/>
  <c r="P281" i="17"/>
  <c r="Q281" i="17"/>
  <c r="R281" i="17"/>
  <c r="P282" i="17"/>
  <c r="Q283" i="17"/>
  <c r="R283" i="17"/>
  <c r="P283" i="17"/>
  <c r="P284" i="17"/>
  <c r="P285" i="17"/>
  <c r="Q285" i="17"/>
  <c r="U285" i="17" s="1"/>
  <c r="R285" i="17"/>
  <c r="P286" i="17"/>
  <c r="Q287" i="17"/>
  <c r="R287" i="17"/>
  <c r="P287" i="17"/>
  <c r="P288" i="17"/>
  <c r="P289" i="17"/>
  <c r="Q289" i="17"/>
  <c r="R289" i="17"/>
  <c r="P290" i="17"/>
  <c r="Q291" i="17"/>
  <c r="R291" i="17"/>
  <c r="P291" i="17"/>
  <c r="P292" i="17"/>
  <c r="P293" i="17"/>
  <c r="Q293" i="17"/>
  <c r="U293" i="17" s="1"/>
  <c r="R293" i="17"/>
  <c r="P294" i="17"/>
  <c r="Q295" i="17"/>
  <c r="R295" i="17"/>
  <c r="P295" i="17"/>
  <c r="P296" i="17"/>
  <c r="P297" i="17"/>
  <c r="Q297" i="17"/>
  <c r="R297" i="17"/>
  <c r="P298" i="17"/>
  <c r="Q299" i="17"/>
  <c r="R299" i="17"/>
  <c r="P299" i="17"/>
  <c r="P300" i="17"/>
  <c r="P301" i="17"/>
  <c r="Q301" i="17"/>
  <c r="R301" i="17"/>
  <c r="Q302" i="17"/>
  <c r="P302" i="17"/>
  <c r="R303" i="17"/>
  <c r="P303" i="17"/>
  <c r="P304" i="17"/>
  <c r="P305" i="17"/>
  <c r="Q305" i="17"/>
  <c r="R305" i="17"/>
  <c r="U25" i="17"/>
  <c r="U137" i="17"/>
  <c r="V137" i="17" s="1"/>
  <c r="U141" i="17"/>
  <c r="U153" i="17"/>
  <c r="U173" i="17"/>
  <c r="U301" i="17"/>
  <c r="S3" i="17"/>
  <c r="T3" i="17"/>
  <c r="S4" i="17"/>
  <c r="T4" i="17"/>
  <c r="S5" i="17"/>
  <c r="T5" i="17"/>
  <c r="S6" i="17"/>
  <c r="T6" i="17"/>
  <c r="S7" i="17"/>
  <c r="T7" i="17"/>
  <c r="S8" i="17"/>
  <c r="T8" i="17"/>
  <c r="S9" i="17"/>
  <c r="T9" i="17"/>
  <c r="S10" i="17"/>
  <c r="T10" i="17"/>
  <c r="S11" i="17"/>
  <c r="T11" i="17"/>
  <c r="S12" i="17"/>
  <c r="T12" i="17"/>
  <c r="S13" i="17"/>
  <c r="T13" i="17"/>
  <c r="S14" i="17"/>
  <c r="T14" i="17"/>
  <c r="S15" i="17"/>
  <c r="T15" i="17"/>
  <c r="S16" i="17"/>
  <c r="T16" i="17"/>
  <c r="S17" i="17"/>
  <c r="T17" i="17"/>
  <c r="S18" i="17"/>
  <c r="T18" i="17"/>
  <c r="S19" i="17"/>
  <c r="T19" i="17"/>
  <c r="S21" i="17"/>
  <c r="T21" i="17"/>
  <c r="S22" i="17"/>
  <c r="T22" i="17"/>
  <c r="S23" i="17"/>
  <c r="T23" i="17"/>
  <c r="S24" i="17"/>
  <c r="T24" i="17"/>
  <c r="S25" i="17"/>
  <c r="T25" i="17"/>
  <c r="S26" i="17"/>
  <c r="T26" i="17"/>
  <c r="S27" i="17"/>
  <c r="T27" i="17"/>
  <c r="S28" i="17"/>
  <c r="T28" i="17"/>
  <c r="S29" i="17"/>
  <c r="T29" i="17"/>
  <c r="S30" i="17"/>
  <c r="T30" i="17"/>
  <c r="S31" i="17"/>
  <c r="T31" i="17"/>
  <c r="S32" i="17"/>
  <c r="T32" i="17"/>
  <c r="S33" i="17"/>
  <c r="T33" i="17"/>
  <c r="S34" i="17"/>
  <c r="T34" i="17"/>
  <c r="S36" i="17"/>
  <c r="T36" i="17"/>
  <c r="S37" i="17"/>
  <c r="T37" i="17"/>
  <c r="S38" i="17"/>
  <c r="T38" i="17"/>
  <c r="S39" i="17"/>
  <c r="T39" i="17"/>
  <c r="S40" i="17"/>
  <c r="T40" i="17"/>
  <c r="S41" i="17"/>
  <c r="T41" i="17"/>
  <c r="S42" i="17"/>
  <c r="T42" i="17"/>
  <c r="S43" i="17"/>
  <c r="T43" i="17"/>
  <c r="S44" i="17"/>
  <c r="T44" i="17"/>
  <c r="S45" i="17"/>
  <c r="T45" i="17"/>
  <c r="S46" i="17"/>
  <c r="T46" i="17"/>
  <c r="S47" i="17"/>
  <c r="T47" i="17"/>
  <c r="S48" i="17"/>
  <c r="T48" i="17"/>
  <c r="S49" i="17"/>
  <c r="T49" i="17"/>
  <c r="S50" i="17"/>
  <c r="T50" i="17"/>
  <c r="S51" i="17"/>
  <c r="T51" i="17"/>
  <c r="S52" i="17"/>
  <c r="T52" i="17"/>
  <c r="S53" i="17"/>
  <c r="T53" i="17"/>
  <c r="S54" i="17"/>
  <c r="T54" i="17"/>
  <c r="S55" i="17"/>
  <c r="T55" i="17"/>
  <c r="S56" i="17"/>
  <c r="T56" i="17"/>
  <c r="S57" i="17"/>
  <c r="T57" i="17"/>
  <c r="S58" i="17"/>
  <c r="T58" i="17"/>
  <c r="S59" i="17"/>
  <c r="T59" i="17"/>
  <c r="S60" i="17"/>
  <c r="T60" i="17"/>
  <c r="S61" i="17"/>
  <c r="T61" i="17"/>
  <c r="S62" i="17"/>
  <c r="T62" i="17"/>
  <c r="S63" i="17"/>
  <c r="T63" i="17"/>
  <c r="S64" i="17"/>
  <c r="T64" i="17"/>
  <c r="S65" i="17"/>
  <c r="T65" i="17"/>
  <c r="S66" i="17"/>
  <c r="T66" i="17"/>
  <c r="S67" i="17"/>
  <c r="T67" i="17"/>
  <c r="S68" i="17"/>
  <c r="T68" i="17"/>
  <c r="S69" i="17"/>
  <c r="T69" i="17"/>
  <c r="S70" i="17"/>
  <c r="T70" i="17"/>
  <c r="S71" i="17"/>
  <c r="T71" i="17"/>
  <c r="S72" i="17"/>
  <c r="T72" i="17"/>
  <c r="S73" i="17"/>
  <c r="T73" i="17"/>
  <c r="S74" i="17"/>
  <c r="T74" i="17"/>
  <c r="S75" i="17"/>
  <c r="T75" i="17"/>
  <c r="S76" i="17"/>
  <c r="T76" i="17"/>
  <c r="S77" i="17"/>
  <c r="T77" i="17"/>
  <c r="S78" i="17"/>
  <c r="T78" i="17"/>
  <c r="S79" i="17"/>
  <c r="T79" i="17"/>
  <c r="S80" i="17"/>
  <c r="T80" i="17"/>
  <c r="S81" i="17"/>
  <c r="T81" i="17"/>
  <c r="S82" i="17"/>
  <c r="T82" i="17"/>
  <c r="S83" i="17"/>
  <c r="T83" i="17"/>
  <c r="S84" i="17"/>
  <c r="T84" i="17"/>
  <c r="S85" i="17"/>
  <c r="T85" i="17"/>
  <c r="S86" i="17"/>
  <c r="T86" i="17"/>
  <c r="S87" i="17"/>
  <c r="T87" i="17"/>
  <c r="S88" i="17"/>
  <c r="T88" i="17"/>
  <c r="S89" i="17"/>
  <c r="T89" i="17"/>
  <c r="S90" i="17"/>
  <c r="T90" i="17"/>
  <c r="S91" i="17"/>
  <c r="T91" i="17"/>
  <c r="S92" i="17"/>
  <c r="T92" i="17"/>
  <c r="S93" i="17"/>
  <c r="T93" i="17"/>
  <c r="S94" i="17"/>
  <c r="T94" i="17"/>
  <c r="S95" i="17"/>
  <c r="T95" i="17"/>
  <c r="S96" i="17"/>
  <c r="T96" i="17"/>
  <c r="S97" i="17"/>
  <c r="T97" i="17"/>
  <c r="S98" i="17"/>
  <c r="T98" i="17"/>
  <c r="S99" i="17"/>
  <c r="T99" i="17"/>
  <c r="S100" i="17"/>
  <c r="T100" i="17"/>
  <c r="S101" i="17"/>
  <c r="T101" i="17"/>
  <c r="S102" i="17"/>
  <c r="T102" i="17"/>
  <c r="S103" i="17"/>
  <c r="T103" i="17"/>
  <c r="S104" i="17"/>
  <c r="T104" i="17"/>
  <c r="S105" i="17"/>
  <c r="T105" i="17"/>
  <c r="S106" i="17"/>
  <c r="T106" i="17"/>
  <c r="S107" i="17"/>
  <c r="T107" i="17"/>
  <c r="S108" i="17"/>
  <c r="T108" i="17"/>
  <c r="S109" i="17"/>
  <c r="T109" i="17"/>
  <c r="S110" i="17"/>
  <c r="T110" i="17"/>
  <c r="S111" i="17"/>
  <c r="T111" i="17"/>
  <c r="S112" i="17"/>
  <c r="T112" i="17"/>
  <c r="S113" i="17"/>
  <c r="T113" i="17"/>
  <c r="S114" i="17"/>
  <c r="T114" i="17"/>
  <c r="S115" i="17"/>
  <c r="T115" i="17"/>
  <c r="S116" i="17"/>
  <c r="T116" i="17"/>
  <c r="S117" i="17"/>
  <c r="T117" i="17"/>
  <c r="S118" i="17"/>
  <c r="T118" i="17"/>
  <c r="S119" i="17"/>
  <c r="T119" i="17"/>
  <c r="S120" i="17"/>
  <c r="T120" i="17"/>
  <c r="S121" i="17"/>
  <c r="T121" i="17"/>
  <c r="S122" i="17"/>
  <c r="T122" i="17"/>
  <c r="S123" i="17"/>
  <c r="T123" i="17"/>
  <c r="S124" i="17"/>
  <c r="T124" i="17"/>
  <c r="S125" i="17"/>
  <c r="T125" i="17"/>
  <c r="S126" i="17"/>
  <c r="T126" i="17"/>
  <c r="S127" i="17"/>
  <c r="T127" i="17"/>
  <c r="S128" i="17"/>
  <c r="T128" i="17"/>
  <c r="S129" i="17"/>
  <c r="T129" i="17"/>
  <c r="S130" i="17"/>
  <c r="T130" i="17"/>
  <c r="S131" i="17"/>
  <c r="T131" i="17"/>
  <c r="S132" i="17"/>
  <c r="T132" i="17"/>
  <c r="S133" i="17"/>
  <c r="T133" i="17"/>
  <c r="S134" i="17"/>
  <c r="T134" i="17"/>
  <c r="S135" i="17"/>
  <c r="T135" i="17"/>
  <c r="S136" i="17"/>
  <c r="T136" i="17"/>
  <c r="S137" i="17"/>
  <c r="T137" i="17"/>
  <c r="S138" i="17"/>
  <c r="T138" i="17"/>
  <c r="S139" i="17"/>
  <c r="T139" i="17"/>
  <c r="S140" i="17"/>
  <c r="T140" i="17"/>
  <c r="S141" i="17"/>
  <c r="T141" i="17"/>
  <c r="S142" i="17"/>
  <c r="T142" i="17"/>
  <c r="S143" i="17"/>
  <c r="T143" i="17"/>
  <c r="S144" i="17"/>
  <c r="T144" i="17"/>
  <c r="S145" i="17"/>
  <c r="T145" i="17"/>
  <c r="S146" i="17"/>
  <c r="T146" i="17"/>
  <c r="S147" i="17"/>
  <c r="T147" i="17"/>
  <c r="S148" i="17"/>
  <c r="T148" i="17"/>
  <c r="S149" i="17"/>
  <c r="T149" i="17"/>
  <c r="S150" i="17"/>
  <c r="T150" i="17"/>
  <c r="S151" i="17"/>
  <c r="T151" i="17"/>
  <c r="S152" i="17"/>
  <c r="T152" i="17"/>
  <c r="S153" i="17"/>
  <c r="T153" i="17"/>
  <c r="S154" i="17"/>
  <c r="T154" i="17"/>
  <c r="S155" i="17"/>
  <c r="T155" i="17"/>
  <c r="S156" i="17"/>
  <c r="T156" i="17"/>
  <c r="S157" i="17"/>
  <c r="T157" i="17"/>
  <c r="S158" i="17"/>
  <c r="T158" i="17"/>
  <c r="S159" i="17"/>
  <c r="T159" i="17"/>
  <c r="S160" i="17"/>
  <c r="T160" i="17"/>
  <c r="S161" i="17"/>
  <c r="T161" i="17"/>
  <c r="S162" i="17"/>
  <c r="T162" i="17"/>
  <c r="S163" i="17"/>
  <c r="T163" i="17"/>
  <c r="S164" i="17"/>
  <c r="T164" i="17"/>
  <c r="S165" i="17"/>
  <c r="T165" i="17"/>
  <c r="S166" i="17"/>
  <c r="T166" i="17"/>
  <c r="S167" i="17"/>
  <c r="T167" i="17"/>
  <c r="S168" i="17"/>
  <c r="T168" i="17"/>
  <c r="S169" i="17"/>
  <c r="T169" i="17"/>
  <c r="S170" i="17"/>
  <c r="T170" i="17"/>
  <c r="S171" i="17"/>
  <c r="T171" i="17"/>
  <c r="S172" i="17"/>
  <c r="T172" i="17"/>
  <c r="S173" i="17"/>
  <c r="T173" i="17"/>
  <c r="S174" i="17"/>
  <c r="T174" i="17"/>
  <c r="S175" i="17"/>
  <c r="T175" i="17"/>
  <c r="S176" i="17"/>
  <c r="T176" i="17"/>
  <c r="S177" i="17"/>
  <c r="T177" i="17"/>
  <c r="S178" i="17"/>
  <c r="T178" i="17"/>
  <c r="S179" i="17"/>
  <c r="T179" i="17"/>
  <c r="S180" i="17"/>
  <c r="T180" i="17"/>
  <c r="S181" i="17"/>
  <c r="T181" i="17"/>
  <c r="S182" i="17"/>
  <c r="T182" i="17"/>
  <c r="S183" i="17"/>
  <c r="T183" i="17"/>
  <c r="S184" i="17"/>
  <c r="T184" i="17"/>
  <c r="S185" i="17"/>
  <c r="T185" i="17"/>
  <c r="S186" i="17"/>
  <c r="T186" i="17"/>
  <c r="S187" i="17"/>
  <c r="T187" i="17"/>
  <c r="S188" i="17"/>
  <c r="T188" i="17"/>
  <c r="S189" i="17"/>
  <c r="T189" i="17"/>
  <c r="S190" i="17"/>
  <c r="T190" i="17"/>
  <c r="S191" i="17"/>
  <c r="T191" i="17"/>
  <c r="S192" i="17"/>
  <c r="T192" i="17"/>
  <c r="S193" i="17"/>
  <c r="T193" i="17"/>
  <c r="S194" i="17"/>
  <c r="T194" i="17"/>
  <c r="S195" i="17"/>
  <c r="T195" i="17"/>
  <c r="S196" i="17"/>
  <c r="T196" i="17"/>
  <c r="S197" i="17"/>
  <c r="T197" i="17"/>
  <c r="S198" i="17"/>
  <c r="T198" i="17"/>
  <c r="S199" i="17"/>
  <c r="T199" i="17"/>
  <c r="S200" i="17"/>
  <c r="T200" i="17"/>
  <c r="S201" i="17"/>
  <c r="T201" i="17"/>
  <c r="S202" i="17"/>
  <c r="T202" i="17"/>
  <c r="S203" i="17"/>
  <c r="T203" i="17"/>
  <c r="S204" i="17"/>
  <c r="T204" i="17"/>
  <c r="S205" i="17"/>
  <c r="T205" i="17"/>
  <c r="S206" i="17"/>
  <c r="T206" i="17"/>
  <c r="S207" i="17"/>
  <c r="T207" i="17"/>
  <c r="S208" i="17"/>
  <c r="T208" i="17"/>
  <c r="S209" i="17"/>
  <c r="T209" i="17"/>
  <c r="S210" i="17"/>
  <c r="T210" i="17"/>
  <c r="S211" i="17"/>
  <c r="T211" i="17"/>
  <c r="S212" i="17"/>
  <c r="T212" i="17"/>
  <c r="S213" i="17"/>
  <c r="T213" i="17"/>
  <c r="S214" i="17"/>
  <c r="T214" i="17"/>
  <c r="S215" i="17"/>
  <c r="T215" i="17"/>
  <c r="S216" i="17"/>
  <c r="T216" i="17"/>
  <c r="S217" i="17"/>
  <c r="T217" i="17"/>
  <c r="S218" i="17"/>
  <c r="T218" i="17"/>
  <c r="S219" i="17"/>
  <c r="T219" i="17"/>
  <c r="S220" i="17"/>
  <c r="T220" i="17"/>
  <c r="S221" i="17"/>
  <c r="T221" i="17"/>
  <c r="S222" i="17"/>
  <c r="T222" i="17"/>
  <c r="S223" i="17"/>
  <c r="T223" i="17"/>
  <c r="S224" i="17"/>
  <c r="T224" i="17"/>
  <c r="S225" i="17"/>
  <c r="T225" i="17"/>
  <c r="S226" i="17"/>
  <c r="T226" i="17"/>
  <c r="S227" i="17"/>
  <c r="T227" i="17"/>
  <c r="S228" i="17"/>
  <c r="T228" i="17"/>
  <c r="S229" i="17"/>
  <c r="T229" i="17"/>
  <c r="S230" i="17"/>
  <c r="T230" i="17"/>
  <c r="S231" i="17"/>
  <c r="T231" i="17"/>
  <c r="S232" i="17"/>
  <c r="T232" i="17"/>
  <c r="S233" i="17"/>
  <c r="T233" i="17"/>
  <c r="S234" i="17"/>
  <c r="T234" i="17"/>
  <c r="S235" i="17"/>
  <c r="T235" i="17"/>
  <c r="S236" i="17"/>
  <c r="T236" i="17"/>
  <c r="S237" i="17"/>
  <c r="T237" i="17"/>
  <c r="S238" i="17"/>
  <c r="T238" i="17"/>
  <c r="S239" i="17"/>
  <c r="T239" i="17"/>
  <c r="S240" i="17"/>
  <c r="T240" i="17"/>
  <c r="S241" i="17"/>
  <c r="T241" i="17"/>
  <c r="S242" i="17"/>
  <c r="T242" i="17"/>
  <c r="S243" i="17"/>
  <c r="T243" i="17"/>
  <c r="S244" i="17"/>
  <c r="T244" i="17"/>
  <c r="S245" i="17"/>
  <c r="T245" i="17"/>
  <c r="S246" i="17"/>
  <c r="T246" i="17"/>
  <c r="S247" i="17"/>
  <c r="T247" i="17"/>
  <c r="U247" i="17"/>
  <c r="S248" i="17"/>
  <c r="T248" i="17"/>
  <c r="S249" i="17"/>
  <c r="T249" i="17"/>
  <c r="S250" i="17"/>
  <c r="T250" i="17"/>
  <c r="S251" i="17"/>
  <c r="T251" i="17"/>
  <c r="S252" i="17"/>
  <c r="T252" i="17"/>
  <c r="S253" i="17"/>
  <c r="T253" i="17"/>
  <c r="S254" i="17"/>
  <c r="T254" i="17"/>
  <c r="S255" i="17"/>
  <c r="T255" i="17"/>
  <c r="S256" i="17"/>
  <c r="T256" i="17"/>
  <c r="S257" i="17"/>
  <c r="T257" i="17"/>
  <c r="S258" i="17"/>
  <c r="T258" i="17"/>
  <c r="S259" i="17"/>
  <c r="T259" i="17"/>
  <c r="S260" i="17"/>
  <c r="T260" i="17"/>
  <c r="S261" i="17"/>
  <c r="T261" i="17"/>
  <c r="S262" i="17"/>
  <c r="T262" i="17"/>
  <c r="S263" i="17"/>
  <c r="T263" i="17"/>
  <c r="S264" i="17"/>
  <c r="T264" i="17"/>
  <c r="S265" i="17"/>
  <c r="T265" i="17"/>
  <c r="S266" i="17"/>
  <c r="T266" i="17"/>
  <c r="S267" i="17"/>
  <c r="T267" i="17"/>
  <c r="S268" i="17"/>
  <c r="T268" i="17"/>
  <c r="S269" i="17"/>
  <c r="T269" i="17"/>
  <c r="S270" i="17"/>
  <c r="T270" i="17"/>
  <c r="S271" i="17"/>
  <c r="T271" i="17"/>
  <c r="S272" i="17"/>
  <c r="T272" i="17"/>
  <c r="S273" i="17"/>
  <c r="T273" i="17"/>
  <c r="U273" i="17"/>
  <c r="V273" i="17" s="1"/>
  <c r="S274" i="17"/>
  <c r="T274" i="17"/>
  <c r="S275" i="17"/>
  <c r="T275" i="17"/>
  <c r="S276" i="17"/>
  <c r="T276" i="17"/>
  <c r="S277" i="17"/>
  <c r="T277" i="17"/>
  <c r="S278" i="17"/>
  <c r="T278" i="17"/>
  <c r="S279" i="17"/>
  <c r="T279" i="17"/>
  <c r="S280" i="17"/>
  <c r="T280" i="17"/>
  <c r="S281" i="17"/>
  <c r="T281" i="17"/>
  <c r="S282" i="17"/>
  <c r="T282" i="17"/>
  <c r="S283" i="17"/>
  <c r="T283" i="17"/>
  <c r="S284" i="17"/>
  <c r="T284" i="17"/>
  <c r="S285" i="17"/>
  <c r="T285" i="17"/>
  <c r="S286" i="17"/>
  <c r="T286" i="17"/>
  <c r="S287" i="17"/>
  <c r="T287" i="17"/>
  <c r="S288" i="17"/>
  <c r="T288" i="17"/>
  <c r="S289" i="17"/>
  <c r="T289" i="17"/>
  <c r="S290" i="17"/>
  <c r="T290" i="17"/>
  <c r="S291" i="17"/>
  <c r="T291" i="17"/>
  <c r="S292" i="17"/>
  <c r="T292" i="17"/>
  <c r="S293" i="17"/>
  <c r="T293" i="17"/>
  <c r="S294" i="17"/>
  <c r="T294" i="17"/>
  <c r="S295" i="17"/>
  <c r="T295" i="17"/>
  <c r="S296" i="17"/>
  <c r="T296" i="17"/>
  <c r="S297" i="17"/>
  <c r="T297" i="17"/>
  <c r="S298" i="17"/>
  <c r="T298" i="17"/>
  <c r="S299" i="17"/>
  <c r="T299" i="17"/>
  <c r="S300" i="17"/>
  <c r="T300" i="17"/>
  <c r="S301" i="17"/>
  <c r="T301" i="17"/>
  <c r="S302" i="17"/>
  <c r="T302" i="17"/>
  <c r="S303" i="17"/>
  <c r="T303" i="17"/>
  <c r="S304" i="17"/>
  <c r="T304" i="17"/>
  <c r="S305" i="17"/>
  <c r="T305" i="17"/>
  <c r="F71" i="13"/>
  <c r="F62" i="13"/>
  <c r="C62" i="13"/>
  <c r="C71" i="13"/>
  <c r="I63" i="13"/>
  <c r="I64" i="13" s="1"/>
  <c r="I72" i="13"/>
  <c r="I73" i="13" s="1"/>
  <c r="J2" i="16"/>
  <c r="L2" i="16" s="1"/>
  <c r="G10" i="11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25" i="13"/>
  <c r="M6" i="19"/>
  <c r="E4" i="18"/>
  <c r="E5" i="18"/>
  <c r="E7" i="18"/>
  <c r="E3" i="18"/>
  <c r="E6" i="18"/>
  <c r="E12" i="18"/>
  <c r="E9" i="18"/>
  <c r="E10" i="18"/>
  <c r="E8" i="18"/>
  <c r="E11" i="18"/>
  <c r="D4" i="18"/>
  <c r="D5" i="18"/>
  <c r="D7" i="18"/>
  <c r="D3" i="18"/>
  <c r="D6" i="18"/>
  <c r="D12" i="18"/>
  <c r="D9" i="18"/>
  <c r="D10" i="18"/>
  <c r="D8" i="18"/>
  <c r="D11" i="18"/>
  <c r="C4" i="18"/>
  <c r="C5" i="18"/>
  <c r="C7" i="18"/>
  <c r="C3" i="18"/>
  <c r="C6" i="18"/>
  <c r="C12" i="18"/>
  <c r="C9" i="18"/>
  <c r="C10" i="18"/>
  <c r="C8" i="18"/>
  <c r="C11" i="18"/>
  <c r="B4" i="18"/>
  <c r="B5" i="18"/>
  <c r="B7" i="18"/>
  <c r="B3" i="18"/>
  <c r="B6" i="18"/>
  <c r="B12" i="18"/>
  <c r="B9" i="18"/>
  <c r="B10" i="18"/>
  <c r="B8" i="18"/>
  <c r="B11" i="18"/>
  <c r="E2" i="18"/>
  <c r="D2" i="18"/>
  <c r="C2" i="18"/>
  <c r="B2" i="18"/>
  <c r="F2" i="16"/>
  <c r="B2" i="16"/>
  <c r="A120" i="17"/>
  <c r="B120" i="17"/>
  <c r="C120" i="17"/>
  <c r="A121" i="17"/>
  <c r="B121" i="17"/>
  <c r="C121" i="17"/>
  <c r="A122" i="17"/>
  <c r="B122" i="17"/>
  <c r="C122" i="17"/>
  <c r="A123" i="17"/>
  <c r="B123" i="17"/>
  <c r="C123" i="17"/>
  <c r="A124" i="17"/>
  <c r="B124" i="17"/>
  <c r="C124" i="17"/>
  <c r="A125" i="17"/>
  <c r="B125" i="17"/>
  <c r="C125" i="17"/>
  <c r="A126" i="17"/>
  <c r="B126" i="17"/>
  <c r="C126" i="17"/>
  <c r="A127" i="17"/>
  <c r="B127" i="17"/>
  <c r="C127" i="17"/>
  <c r="A128" i="17"/>
  <c r="B128" i="17"/>
  <c r="C128" i="17"/>
  <c r="A129" i="17"/>
  <c r="B129" i="17"/>
  <c r="C129" i="17"/>
  <c r="A130" i="17"/>
  <c r="B130" i="17"/>
  <c r="C130" i="17"/>
  <c r="A131" i="17"/>
  <c r="B131" i="17"/>
  <c r="C131" i="17"/>
  <c r="A132" i="17"/>
  <c r="B132" i="17"/>
  <c r="C132" i="17"/>
  <c r="A133" i="17"/>
  <c r="B133" i="17"/>
  <c r="C133" i="17"/>
  <c r="A134" i="17"/>
  <c r="B134" i="17"/>
  <c r="C134" i="17"/>
  <c r="A135" i="17"/>
  <c r="B135" i="17"/>
  <c r="C135" i="17"/>
  <c r="A136" i="17"/>
  <c r="B136" i="17"/>
  <c r="C136" i="17"/>
  <c r="A137" i="17"/>
  <c r="B137" i="17"/>
  <c r="C137" i="17"/>
  <c r="A138" i="17"/>
  <c r="B138" i="17"/>
  <c r="C138" i="17"/>
  <c r="A139" i="17"/>
  <c r="B139" i="17"/>
  <c r="C139" i="17"/>
  <c r="A140" i="17"/>
  <c r="B140" i="17"/>
  <c r="C140" i="17"/>
  <c r="A141" i="17"/>
  <c r="B141" i="17"/>
  <c r="C141" i="17"/>
  <c r="A142" i="17"/>
  <c r="B142" i="17"/>
  <c r="C142" i="17"/>
  <c r="A143" i="17"/>
  <c r="B143" i="17"/>
  <c r="C143" i="17"/>
  <c r="A144" i="17"/>
  <c r="B144" i="17"/>
  <c r="C144" i="17"/>
  <c r="A145" i="17"/>
  <c r="B145" i="17"/>
  <c r="C145" i="17"/>
  <c r="A146" i="17"/>
  <c r="B146" i="17"/>
  <c r="C146" i="17"/>
  <c r="A147" i="17"/>
  <c r="B147" i="17"/>
  <c r="C147" i="17"/>
  <c r="A148" i="17"/>
  <c r="B148" i="17"/>
  <c r="C148" i="17"/>
  <c r="A149" i="17"/>
  <c r="B149" i="17"/>
  <c r="C149" i="17"/>
  <c r="A150" i="17"/>
  <c r="B150" i="17"/>
  <c r="C150" i="17"/>
  <c r="A151" i="17"/>
  <c r="B151" i="17"/>
  <c r="C151" i="17"/>
  <c r="A152" i="17"/>
  <c r="B152" i="17"/>
  <c r="C152" i="17"/>
  <c r="A153" i="17"/>
  <c r="B153" i="17"/>
  <c r="C153" i="17"/>
  <c r="A154" i="17"/>
  <c r="B154" i="17"/>
  <c r="C154" i="17"/>
  <c r="A155" i="17"/>
  <c r="B155" i="17"/>
  <c r="C155" i="17"/>
  <c r="A156" i="17"/>
  <c r="B156" i="17"/>
  <c r="C156" i="17"/>
  <c r="A157" i="17"/>
  <c r="B157" i="17"/>
  <c r="C157" i="17"/>
  <c r="A158" i="17"/>
  <c r="B158" i="17"/>
  <c r="C158" i="17"/>
  <c r="A159" i="17"/>
  <c r="B159" i="17"/>
  <c r="C159" i="17"/>
  <c r="A160" i="17"/>
  <c r="B160" i="17"/>
  <c r="C160" i="17"/>
  <c r="A161" i="17"/>
  <c r="B161" i="17"/>
  <c r="C161" i="17"/>
  <c r="A162" i="17"/>
  <c r="B162" i="17"/>
  <c r="C162" i="17"/>
  <c r="A163" i="17"/>
  <c r="B163" i="17"/>
  <c r="C163" i="17"/>
  <c r="A164" i="17"/>
  <c r="B164" i="17"/>
  <c r="C164" i="17"/>
  <c r="A165" i="17"/>
  <c r="B165" i="17"/>
  <c r="C165" i="17"/>
  <c r="A166" i="17"/>
  <c r="B166" i="17"/>
  <c r="C166" i="17"/>
  <c r="A167" i="17"/>
  <c r="B167" i="17"/>
  <c r="C167" i="17"/>
  <c r="A168" i="17"/>
  <c r="B168" i="17"/>
  <c r="C168" i="17"/>
  <c r="A169" i="17"/>
  <c r="B169" i="17"/>
  <c r="C169" i="17"/>
  <c r="A170" i="17"/>
  <c r="B170" i="17"/>
  <c r="C170" i="17"/>
  <c r="A171" i="17"/>
  <c r="B171" i="17"/>
  <c r="C171" i="17"/>
  <c r="A172" i="17"/>
  <c r="B172" i="17"/>
  <c r="C172" i="17"/>
  <c r="A173" i="17"/>
  <c r="B173" i="17"/>
  <c r="C173" i="17"/>
  <c r="A174" i="17"/>
  <c r="B174" i="17"/>
  <c r="C174" i="17"/>
  <c r="A175" i="17"/>
  <c r="B175" i="17"/>
  <c r="C175" i="17"/>
  <c r="A176" i="17"/>
  <c r="B176" i="17"/>
  <c r="C176" i="17"/>
  <c r="A177" i="17"/>
  <c r="B177" i="17"/>
  <c r="C177" i="17"/>
  <c r="A178" i="17"/>
  <c r="B178" i="17"/>
  <c r="C178" i="17"/>
  <c r="A179" i="17"/>
  <c r="B179" i="17"/>
  <c r="C179" i="17"/>
  <c r="A180" i="17"/>
  <c r="B180" i="17"/>
  <c r="C180" i="17"/>
  <c r="A181" i="17"/>
  <c r="B181" i="17"/>
  <c r="C181" i="17"/>
  <c r="A182" i="17"/>
  <c r="B182" i="17"/>
  <c r="C182" i="17"/>
  <c r="A183" i="17"/>
  <c r="B183" i="17"/>
  <c r="C183" i="17"/>
  <c r="A184" i="17"/>
  <c r="B184" i="17"/>
  <c r="C184" i="17"/>
  <c r="A185" i="17"/>
  <c r="B185" i="17"/>
  <c r="C185" i="17"/>
  <c r="A186" i="17"/>
  <c r="B186" i="17"/>
  <c r="C186" i="17"/>
  <c r="A187" i="17"/>
  <c r="B187" i="17"/>
  <c r="C187" i="17"/>
  <c r="A188" i="17"/>
  <c r="B188" i="17"/>
  <c r="C188" i="17"/>
  <c r="A189" i="17"/>
  <c r="B189" i="17"/>
  <c r="C189" i="17"/>
  <c r="A190" i="17"/>
  <c r="B190" i="17"/>
  <c r="C190" i="17"/>
  <c r="A191" i="17"/>
  <c r="B191" i="17"/>
  <c r="C191" i="17"/>
  <c r="A192" i="17"/>
  <c r="B192" i="17"/>
  <c r="C192" i="17"/>
  <c r="A193" i="17"/>
  <c r="B193" i="17"/>
  <c r="C193" i="17"/>
  <c r="A194" i="17"/>
  <c r="B194" i="17"/>
  <c r="C194" i="17"/>
  <c r="A195" i="17"/>
  <c r="B195" i="17"/>
  <c r="C195" i="17"/>
  <c r="A196" i="17"/>
  <c r="B196" i="17"/>
  <c r="C196" i="17"/>
  <c r="A197" i="17"/>
  <c r="B197" i="17"/>
  <c r="C197" i="17"/>
  <c r="A198" i="17"/>
  <c r="B198" i="17"/>
  <c r="C198" i="17"/>
  <c r="A199" i="17"/>
  <c r="B199" i="17"/>
  <c r="C199" i="17"/>
  <c r="A200" i="17"/>
  <c r="B200" i="17"/>
  <c r="C200" i="17"/>
  <c r="A201" i="17"/>
  <c r="B201" i="17"/>
  <c r="C201" i="17"/>
  <c r="A202" i="17"/>
  <c r="B202" i="17"/>
  <c r="C202" i="17"/>
  <c r="A203" i="17"/>
  <c r="B203" i="17"/>
  <c r="C203" i="17"/>
  <c r="A204" i="17"/>
  <c r="B204" i="17"/>
  <c r="C204" i="17"/>
  <c r="A205" i="17"/>
  <c r="B205" i="17"/>
  <c r="C205" i="17"/>
  <c r="A206" i="17"/>
  <c r="B206" i="17"/>
  <c r="C206" i="17"/>
  <c r="A207" i="17"/>
  <c r="B207" i="17"/>
  <c r="C207" i="17"/>
  <c r="A208" i="17"/>
  <c r="B208" i="17"/>
  <c r="C208" i="17"/>
  <c r="A209" i="17"/>
  <c r="B209" i="17"/>
  <c r="C209" i="17"/>
  <c r="A210" i="17"/>
  <c r="B210" i="17"/>
  <c r="C210" i="17"/>
  <c r="A211" i="17"/>
  <c r="B211" i="17"/>
  <c r="C211" i="17"/>
  <c r="A212" i="17"/>
  <c r="B212" i="17"/>
  <c r="C212" i="17"/>
  <c r="A213" i="17"/>
  <c r="B213" i="17"/>
  <c r="C213" i="17"/>
  <c r="A214" i="17"/>
  <c r="B214" i="17"/>
  <c r="C214" i="17"/>
  <c r="A215" i="17"/>
  <c r="B215" i="17"/>
  <c r="C215" i="17"/>
  <c r="A216" i="17"/>
  <c r="B216" i="17"/>
  <c r="C216" i="17"/>
  <c r="A217" i="17"/>
  <c r="B217" i="17"/>
  <c r="C217" i="17"/>
  <c r="A218" i="17"/>
  <c r="B218" i="17"/>
  <c r="C218" i="17"/>
  <c r="A219" i="17"/>
  <c r="B219" i="17"/>
  <c r="C219" i="17"/>
  <c r="A220" i="17"/>
  <c r="B220" i="17"/>
  <c r="C220" i="17"/>
  <c r="A221" i="17"/>
  <c r="B221" i="17"/>
  <c r="C221" i="17"/>
  <c r="A222" i="17"/>
  <c r="B222" i="17"/>
  <c r="C222" i="17"/>
  <c r="A223" i="17"/>
  <c r="B223" i="17"/>
  <c r="C223" i="17"/>
  <c r="A224" i="17"/>
  <c r="B224" i="17"/>
  <c r="C224" i="17"/>
  <c r="A225" i="17"/>
  <c r="B225" i="17"/>
  <c r="C225" i="17"/>
  <c r="A226" i="17"/>
  <c r="B226" i="17"/>
  <c r="C226" i="17"/>
  <c r="A227" i="17"/>
  <c r="B227" i="17"/>
  <c r="C227" i="17"/>
  <c r="A228" i="17"/>
  <c r="B228" i="17"/>
  <c r="C228" i="17"/>
  <c r="A229" i="17"/>
  <c r="B229" i="17"/>
  <c r="C229" i="17"/>
  <c r="A230" i="17"/>
  <c r="B230" i="17"/>
  <c r="C230" i="17"/>
  <c r="A231" i="17"/>
  <c r="B231" i="17"/>
  <c r="C231" i="17"/>
  <c r="A232" i="17"/>
  <c r="B232" i="17"/>
  <c r="C232" i="17"/>
  <c r="A233" i="17"/>
  <c r="B233" i="17"/>
  <c r="C233" i="17"/>
  <c r="A234" i="17"/>
  <c r="B234" i="17"/>
  <c r="C234" i="17"/>
  <c r="A235" i="17"/>
  <c r="B235" i="17"/>
  <c r="C235" i="17"/>
  <c r="A236" i="17"/>
  <c r="B236" i="17"/>
  <c r="C236" i="17"/>
  <c r="A237" i="17"/>
  <c r="B237" i="17"/>
  <c r="C237" i="17"/>
  <c r="A238" i="17"/>
  <c r="B238" i="17"/>
  <c r="C238" i="17"/>
  <c r="A239" i="17"/>
  <c r="B239" i="17"/>
  <c r="C239" i="17"/>
  <c r="A240" i="17"/>
  <c r="B240" i="17"/>
  <c r="C240" i="17"/>
  <c r="A241" i="17"/>
  <c r="B241" i="17"/>
  <c r="C241" i="17"/>
  <c r="A242" i="17"/>
  <c r="B242" i="17"/>
  <c r="C242" i="17"/>
  <c r="A243" i="17"/>
  <c r="B243" i="17"/>
  <c r="C243" i="17"/>
  <c r="A244" i="17"/>
  <c r="B244" i="17"/>
  <c r="C244" i="17"/>
  <c r="A245" i="17"/>
  <c r="B245" i="17"/>
  <c r="C245" i="17"/>
  <c r="A246" i="17"/>
  <c r="B246" i="17"/>
  <c r="C246" i="17"/>
  <c r="A247" i="17"/>
  <c r="B247" i="17"/>
  <c r="C247" i="17"/>
  <c r="A248" i="17"/>
  <c r="B248" i="17"/>
  <c r="C248" i="17"/>
  <c r="A249" i="17"/>
  <c r="B249" i="17"/>
  <c r="C249" i="17"/>
  <c r="A250" i="17"/>
  <c r="B250" i="17"/>
  <c r="C250" i="17"/>
  <c r="A251" i="17"/>
  <c r="B251" i="17"/>
  <c r="C251" i="17"/>
  <c r="A252" i="17"/>
  <c r="B252" i="17"/>
  <c r="C252" i="17"/>
  <c r="A253" i="17"/>
  <c r="B253" i="17"/>
  <c r="C253" i="17"/>
  <c r="A254" i="17"/>
  <c r="B254" i="17"/>
  <c r="C254" i="17"/>
  <c r="A255" i="17"/>
  <c r="B255" i="17"/>
  <c r="C255" i="17"/>
  <c r="A256" i="17"/>
  <c r="B256" i="17"/>
  <c r="C256" i="17"/>
  <c r="A257" i="17"/>
  <c r="B257" i="17"/>
  <c r="C257" i="17"/>
  <c r="A258" i="17"/>
  <c r="B258" i="17"/>
  <c r="C258" i="17"/>
  <c r="A259" i="17"/>
  <c r="B259" i="17"/>
  <c r="C259" i="17"/>
  <c r="A260" i="17"/>
  <c r="B260" i="17"/>
  <c r="C260" i="17"/>
  <c r="A261" i="17"/>
  <c r="B261" i="17"/>
  <c r="C261" i="17"/>
  <c r="A262" i="17"/>
  <c r="B262" i="17"/>
  <c r="C262" i="17"/>
  <c r="A263" i="17"/>
  <c r="B263" i="17"/>
  <c r="C263" i="17"/>
  <c r="A264" i="17"/>
  <c r="B264" i="17"/>
  <c r="C264" i="17"/>
  <c r="A265" i="17"/>
  <c r="B265" i="17"/>
  <c r="C265" i="17"/>
  <c r="A266" i="17"/>
  <c r="B266" i="17"/>
  <c r="C266" i="17"/>
  <c r="A267" i="17"/>
  <c r="B267" i="17"/>
  <c r="C267" i="17"/>
  <c r="A268" i="17"/>
  <c r="B268" i="17"/>
  <c r="C268" i="17"/>
  <c r="A269" i="17"/>
  <c r="B269" i="17"/>
  <c r="C269" i="17"/>
  <c r="A270" i="17"/>
  <c r="B270" i="17"/>
  <c r="C270" i="17"/>
  <c r="A271" i="17"/>
  <c r="B271" i="17"/>
  <c r="C271" i="17"/>
  <c r="A272" i="17"/>
  <c r="B272" i="17"/>
  <c r="C272" i="17"/>
  <c r="A273" i="17"/>
  <c r="B273" i="17"/>
  <c r="C273" i="17"/>
  <c r="A274" i="17"/>
  <c r="B274" i="17"/>
  <c r="C274" i="17"/>
  <c r="A275" i="17"/>
  <c r="B275" i="17"/>
  <c r="C275" i="17"/>
  <c r="A276" i="17"/>
  <c r="B276" i="17"/>
  <c r="C276" i="17"/>
  <c r="A277" i="17"/>
  <c r="B277" i="17"/>
  <c r="C277" i="17"/>
  <c r="A278" i="17"/>
  <c r="B278" i="17"/>
  <c r="C278" i="17"/>
  <c r="A279" i="17"/>
  <c r="B279" i="17"/>
  <c r="C279" i="17"/>
  <c r="A280" i="17"/>
  <c r="B280" i="17"/>
  <c r="C280" i="17"/>
  <c r="A281" i="17"/>
  <c r="B281" i="17"/>
  <c r="C281" i="17"/>
  <c r="A282" i="17"/>
  <c r="B282" i="17"/>
  <c r="C282" i="17"/>
  <c r="A283" i="17"/>
  <c r="B283" i="17"/>
  <c r="C283" i="17"/>
  <c r="A284" i="17"/>
  <c r="B284" i="17"/>
  <c r="C284" i="17"/>
  <c r="A285" i="17"/>
  <c r="B285" i="17"/>
  <c r="C285" i="17"/>
  <c r="A286" i="17"/>
  <c r="B286" i="17"/>
  <c r="C286" i="17"/>
  <c r="A287" i="17"/>
  <c r="B287" i="17"/>
  <c r="C287" i="17"/>
  <c r="A288" i="17"/>
  <c r="B288" i="17"/>
  <c r="C288" i="17"/>
  <c r="A289" i="17"/>
  <c r="B289" i="17"/>
  <c r="C289" i="17"/>
  <c r="A290" i="17"/>
  <c r="B290" i="17"/>
  <c r="C290" i="17"/>
  <c r="A291" i="17"/>
  <c r="B291" i="17"/>
  <c r="C291" i="17"/>
  <c r="A292" i="17"/>
  <c r="B292" i="17"/>
  <c r="C292" i="17"/>
  <c r="A293" i="17"/>
  <c r="B293" i="17"/>
  <c r="C293" i="17"/>
  <c r="A294" i="17"/>
  <c r="B294" i="17"/>
  <c r="C294" i="17"/>
  <c r="A295" i="17"/>
  <c r="B295" i="17"/>
  <c r="C295" i="17"/>
  <c r="A296" i="17"/>
  <c r="B296" i="17"/>
  <c r="C296" i="17"/>
  <c r="A297" i="17"/>
  <c r="B297" i="17"/>
  <c r="C297" i="17"/>
  <c r="A298" i="17"/>
  <c r="B298" i="17"/>
  <c r="C298" i="17"/>
  <c r="A299" i="17"/>
  <c r="B299" i="17"/>
  <c r="C299" i="17"/>
  <c r="A300" i="17"/>
  <c r="B300" i="17"/>
  <c r="C300" i="17"/>
  <c r="A301" i="17"/>
  <c r="B301" i="17"/>
  <c r="C301" i="17"/>
  <c r="A302" i="17"/>
  <c r="B302" i="17"/>
  <c r="C302" i="17"/>
  <c r="A303" i="17"/>
  <c r="B303" i="17"/>
  <c r="C303" i="17"/>
  <c r="A304" i="17"/>
  <c r="B304" i="17"/>
  <c r="C304" i="17"/>
  <c r="A305" i="17"/>
  <c r="B305" i="17"/>
  <c r="C305" i="17"/>
  <c r="P11" i="18"/>
  <c r="P8" i="18"/>
  <c r="P9" i="18"/>
  <c r="P12" i="18"/>
  <c r="P6" i="18"/>
  <c r="P3" i="18"/>
  <c r="P7" i="18"/>
  <c r="P5" i="18"/>
  <c r="P4" i="18"/>
  <c r="P2" i="18"/>
  <c r="AN157" i="17"/>
  <c r="AN156" i="17"/>
  <c r="AN155" i="17"/>
  <c r="AN154" i="17"/>
  <c r="AN153" i="17"/>
  <c r="AN152" i="17"/>
  <c r="AN151" i="17"/>
  <c r="AN150" i="17"/>
  <c r="AN149" i="17"/>
  <c r="AN148" i="17"/>
  <c r="AN147" i="17"/>
  <c r="AN146" i="17"/>
  <c r="AN145" i="17"/>
  <c r="AN144" i="17"/>
  <c r="AN143" i="17"/>
  <c r="AN142" i="17"/>
  <c r="AN141" i="17"/>
  <c r="AN140" i="17"/>
  <c r="AN139" i="17"/>
  <c r="AN138" i="17"/>
  <c r="AN137" i="17"/>
  <c r="AN136" i="17"/>
  <c r="AN135" i="17"/>
  <c r="AN134" i="17"/>
  <c r="AN133" i="17"/>
  <c r="AN132" i="17"/>
  <c r="AN131" i="17"/>
  <c r="AN130" i="17"/>
  <c r="AN129" i="17"/>
  <c r="AN128" i="17"/>
  <c r="AN127" i="17"/>
  <c r="AN126" i="17"/>
  <c r="AN125" i="17"/>
  <c r="AN124" i="17"/>
  <c r="AN123" i="17"/>
  <c r="AN122" i="17"/>
  <c r="AN121" i="17"/>
  <c r="AN120" i="17"/>
  <c r="AN119" i="17"/>
  <c r="AN118" i="17"/>
  <c r="AN117" i="17"/>
  <c r="AN116" i="17"/>
  <c r="AN115" i="17"/>
  <c r="AN114" i="17"/>
  <c r="AN113" i="17"/>
  <c r="AN112" i="17"/>
  <c r="AN111" i="17"/>
  <c r="AN110" i="17"/>
  <c r="AN109" i="17"/>
  <c r="AN108" i="17"/>
  <c r="AN107" i="17"/>
  <c r="AN106" i="17"/>
  <c r="AN105" i="17"/>
  <c r="AN104" i="17"/>
  <c r="AN103" i="17"/>
  <c r="AN102" i="17"/>
  <c r="AN101" i="17"/>
  <c r="AN100" i="17"/>
  <c r="AN99" i="17"/>
  <c r="AN98" i="17"/>
  <c r="AN97" i="17"/>
  <c r="AN96" i="17"/>
  <c r="AN95" i="17"/>
  <c r="AN94" i="17"/>
  <c r="AN93" i="17"/>
  <c r="AN92" i="17"/>
  <c r="AN91" i="17"/>
  <c r="AN90" i="17"/>
  <c r="AN89" i="17"/>
  <c r="AN88" i="17"/>
  <c r="AN87" i="17"/>
  <c r="AN86" i="17"/>
  <c r="AN85" i="17"/>
  <c r="AN84" i="17"/>
  <c r="AN83" i="17"/>
  <c r="AN82" i="17"/>
  <c r="AN81" i="17"/>
  <c r="AN80" i="17"/>
  <c r="AN79" i="17"/>
  <c r="AN78" i="17"/>
  <c r="AN77" i="17"/>
  <c r="AN76" i="17"/>
  <c r="AN75" i="17"/>
  <c r="AN74" i="17"/>
  <c r="AN73" i="17"/>
  <c r="AN72" i="17"/>
  <c r="AN71" i="17"/>
  <c r="AN70" i="17"/>
  <c r="AN69" i="17"/>
  <c r="AN68" i="17"/>
  <c r="AN67" i="17"/>
  <c r="AN66" i="17"/>
  <c r="AN65" i="17"/>
  <c r="AN64" i="17"/>
  <c r="AN63" i="17"/>
  <c r="AN62" i="17"/>
  <c r="AN61" i="17"/>
  <c r="AN60" i="17"/>
  <c r="AN59" i="17"/>
  <c r="AN58" i="17"/>
  <c r="AN57" i="17"/>
  <c r="AN56" i="17"/>
  <c r="AN55" i="17"/>
  <c r="AN54" i="17"/>
  <c r="AN53" i="17"/>
  <c r="AN52" i="17"/>
  <c r="AN51" i="17"/>
  <c r="AN50" i="17"/>
  <c r="AN49" i="17"/>
  <c r="AN48" i="17"/>
  <c r="AN47" i="17"/>
  <c r="AN46" i="17"/>
  <c r="AN45" i="17"/>
  <c r="AN44" i="17"/>
  <c r="AN43" i="17"/>
  <c r="AN42" i="17"/>
  <c r="AN41" i="17"/>
  <c r="AN40" i="17"/>
  <c r="AN39" i="17"/>
  <c r="AN38" i="17"/>
  <c r="AN37" i="17"/>
  <c r="AN36" i="17"/>
  <c r="AN35" i="17"/>
  <c r="AN34" i="17"/>
  <c r="AN33" i="17"/>
  <c r="AN32" i="17"/>
  <c r="AN31" i="17"/>
  <c r="AN30" i="17"/>
  <c r="AN29" i="17"/>
  <c r="AN28" i="17"/>
  <c r="AN27" i="17"/>
  <c r="AN26" i="17"/>
  <c r="AN25" i="17"/>
  <c r="AN24" i="17"/>
  <c r="AN23" i="17"/>
  <c r="AN22" i="17"/>
  <c r="AN21" i="17"/>
  <c r="AN20" i="17"/>
  <c r="AN19" i="17"/>
  <c r="AN18" i="17"/>
  <c r="AN17" i="17"/>
  <c r="AN16" i="17"/>
  <c r="AN15" i="17"/>
  <c r="AN14" i="17"/>
  <c r="AF14" i="17"/>
  <c r="AE14" i="17"/>
  <c r="AD14" i="17"/>
  <c r="AC14" i="17"/>
  <c r="AN13" i="17"/>
  <c r="AF13" i="17"/>
  <c r="AE13" i="17"/>
  <c r="AD13" i="17"/>
  <c r="AC13" i="17"/>
  <c r="AN12" i="17"/>
  <c r="AF12" i="17"/>
  <c r="AE12" i="17"/>
  <c r="AD12" i="17"/>
  <c r="AC12" i="17"/>
  <c r="AN11" i="17"/>
  <c r="AF11" i="17"/>
  <c r="AE11" i="17"/>
  <c r="AD11" i="17"/>
  <c r="AC11" i="17"/>
  <c r="AN10" i="17"/>
  <c r="AF10" i="17"/>
  <c r="AE10" i="17"/>
  <c r="AD10" i="17"/>
  <c r="AC10" i="17"/>
  <c r="AN9" i="17"/>
  <c r="AF9" i="17"/>
  <c r="AE9" i="17"/>
  <c r="AD9" i="17"/>
  <c r="AC9" i="17"/>
  <c r="AN8" i="17"/>
  <c r="AF8" i="17"/>
  <c r="AE8" i="17"/>
  <c r="AD8" i="17"/>
  <c r="AC8" i="17"/>
  <c r="AN7" i="17"/>
  <c r="AF7" i="17"/>
  <c r="AE7" i="17"/>
  <c r="AD7" i="17"/>
  <c r="AC7" i="17"/>
  <c r="AN6" i="17"/>
  <c r="AF6" i="17"/>
  <c r="AE6" i="17"/>
  <c r="AD6" i="17"/>
  <c r="AC6" i="17"/>
  <c r="AN5" i="17"/>
  <c r="AF5" i="17"/>
  <c r="AE5" i="17"/>
  <c r="AD5" i="17"/>
  <c r="AC5" i="17"/>
  <c r="AN4" i="17"/>
  <c r="AF4" i="17"/>
  <c r="AE4" i="17"/>
  <c r="AD4" i="17"/>
  <c r="AC4" i="17"/>
  <c r="AN3" i="17"/>
  <c r="AF3" i="17"/>
  <c r="AE3" i="17"/>
  <c r="AD3" i="17"/>
  <c r="AC3" i="17"/>
  <c r="AN2" i="17"/>
  <c r="AF2" i="17"/>
  <c r="AE2" i="17"/>
  <c r="AD2" i="17"/>
  <c r="AC2" i="17"/>
  <c r="T2" i="17"/>
  <c r="S2" i="17"/>
  <c r="B5" i="11"/>
  <c r="B4" i="11"/>
  <c r="N103" i="10"/>
  <c r="N104" i="10"/>
  <c r="N105" i="10"/>
  <c r="N106" i="10"/>
  <c r="N107" i="10"/>
  <c r="R33" i="17" l="1"/>
  <c r="U33" i="17" s="1"/>
  <c r="V33" i="17" s="1"/>
  <c r="Q32" i="17"/>
  <c r="Q31" i="17"/>
  <c r="I74" i="13"/>
  <c r="Q28" i="17"/>
  <c r="Q27" i="17"/>
  <c r="Q24" i="17"/>
  <c r="Q23" i="17"/>
  <c r="R21" i="17"/>
  <c r="Q20" i="17"/>
  <c r="R20" i="17"/>
  <c r="Q292" i="17"/>
  <c r="R284" i="17"/>
  <c r="R248" i="17"/>
  <c r="U205" i="17"/>
  <c r="W205" i="17" s="1"/>
  <c r="U189" i="17"/>
  <c r="V189" i="17" s="1"/>
  <c r="P7" i="17"/>
  <c r="R19" i="17"/>
  <c r="R11" i="17"/>
  <c r="V173" i="17"/>
  <c r="Q276" i="17"/>
  <c r="Q264" i="17"/>
  <c r="U264" i="17" s="1"/>
  <c r="V131" i="17"/>
  <c r="Q19" i="17"/>
  <c r="Q11" i="17"/>
  <c r="U223" i="17"/>
  <c r="V223" i="17" s="1"/>
  <c r="R15" i="17"/>
  <c r="V141" i="17"/>
  <c r="R300" i="17"/>
  <c r="U281" i="17"/>
  <c r="V247" i="17"/>
  <c r="V193" i="17"/>
  <c r="V121" i="17"/>
  <c r="R262" i="17"/>
  <c r="Q242" i="17"/>
  <c r="U242" i="17" s="1"/>
  <c r="V242" i="17" s="1"/>
  <c r="R234" i="17"/>
  <c r="R226" i="17"/>
  <c r="U226" i="17" s="1"/>
  <c r="R218" i="17"/>
  <c r="Q190" i="17"/>
  <c r="U190" i="17" s="1"/>
  <c r="V190" i="17" s="1"/>
  <c r="U45" i="17"/>
  <c r="V45" i="17" s="1"/>
  <c r="U41" i="17"/>
  <c r="U37" i="17"/>
  <c r="U29" i="17"/>
  <c r="V29" i="17" s="1"/>
  <c r="U21" i="17"/>
  <c r="V21" i="17" s="1"/>
  <c r="P18" i="17"/>
  <c r="P14" i="17"/>
  <c r="P10" i="17"/>
  <c r="P6" i="17"/>
  <c r="Q246" i="17"/>
  <c r="U175" i="17"/>
  <c r="V157" i="17"/>
  <c r="R170" i="17"/>
  <c r="U170" i="17" s="1"/>
  <c r="Q162" i="17"/>
  <c r="R158" i="17"/>
  <c r="R138" i="17"/>
  <c r="U138" i="17" s="1"/>
  <c r="W138" i="17" s="1"/>
  <c r="Q130" i="17"/>
  <c r="R126" i="17"/>
  <c r="R47" i="17"/>
  <c r="R43" i="17"/>
  <c r="R39" i="17"/>
  <c r="R27" i="17"/>
  <c r="R23" i="17"/>
  <c r="R13" i="17"/>
  <c r="P9" i="17"/>
  <c r="R2" i="17"/>
  <c r="V153" i="17"/>
  <c r="U271" i="17"/>
  <c r="V271" i="17" s="1"/>
  <c r="W264" i="17"/>
  <c r="U229" i="17"/>
  <c r="W229" i="17" s="1"/>
  <c r="R150" i="17"/>
  <c r="R110" i="17"/>
  <c r="Q13" i="17"/>
  <c r="U13" i="17" s="1"/>
  <c r="U262" i="17"/>
  <c r="V262" i="17" s="1"/>
  <c r="Q115" i="17"/>
  <c r="Q87" i="17"/>
  <c r="Q79" i="17"/>
  <c r="R17" i="17"/>
  <c r="U17" i="17" s="1"/>
  <c r="W175" i="17"/>
  <c r="U234" i="17"/>
  <c r="V234" i="17" s="1"/>
  <c r="R266" i="17"/>
  <c r="U239" i="17"/>
  <c r="V239" i="17" s="1"/>
  <c r="U231" i="17"/>
  <c r="V231" i="17" s="1"/>
  <c r="U215" i="17"/>
  <c r="R206" i="17"/>
  <c r="U206" i="17" s="1"/>
  <c r="R46" i="17"/>
  <c r="R42" i="17"/>
  <c r="R38" i="17"/>
  <c r="R34" i="17"/>
  <c r="R30" i="17"/>
  <c r="R26" i="17"/>
  <c r="R22" i="17"/>
  <c r="P17" i="17"/>
  <c r="U300" i="17"/>
  <c r="W300" i="17" s="1"/>
  <c r="U284" i="17"/>
  <c r="W284" i="17" s="1"/>
  <c r="U218" i="17"/>
  <c r="V218" i="17" s="1"/>
  <c r="V263" i="17"/>
  <c r="V125" i="17"/>
  <c r="V281" i="17"/>
  <c r="U255" i="17"/>
  <c r="V255" i="17" s="1"/>
  <c r="Q210" i="17"/>
  <c r="U210" i="17" s="1"/>
  <c r="U197" i="17"/>
  <c r="W197" i="17" s="1"/>
  <c r="R186" i="17"/>
  <c r="U186" i="17" s="1"/>
  <c r="Q58" i="17"/>
  <c r="R18" i="17"/>
  <c r="Q16" i="17"/>
  <c r="R14" i="17"/>
  <c r="Q12" i="17"/>
  <c r="R10" i="17"/>
  <c r="U9" i="17"/>
  <c r="V9" i="17" s="1"/>
  <c r="Q8" i="17"/>
  <c r="X10" i="18"/>
  <c r="R6" i="17"/>
  <c r="R5" i="17"/>
  <c r="Q5" i="17"/>
  <c r="Q4" i="17"/>
  <c r="Q3" i="17"/>
  <c r="R3" i="17"/>
  <c r="Q2" i="17"/>
  <c r="U93" i="17"/>
  <c r="Q78" i="17"/>
  <c r="R74" i="17"/>
  <c r="R92" i="17"/>
  <c r="R88" i="17"/>
  <c r="V41" i="17"/>
  <c r="V37" i="17"/>
  <c r="U292" i="17"/>
  <c r="W292" i="17" s="1"/>
  <c r="R304" i="17"/>
  <c r="U304" i="17" s="1"/>
  <c r="W304" i="17" s="1"/>
  <c r="Q296" i="17"/>
  <c r="U296" i="17" s="1"/>
  <c r="W296" i="17" s="1"/>
  <c r="R288" i="17"/>
  <c r="U288" i="17" s="1"/>
  <c r="W288" i="17" s="1"/>
  <c r="Q280" i="17"/>
  <c r="U280" i="17" s="1"/>
  <c r="W280" i="17" s="1"/>
  <c r="R272" i="17"/>
  <c r="U272" i="17" s="1"/>
  <c r="Q270" i="17"/>
  <c r="U270" i="17" s="1"/>
  <c r="V270" i="17" s="1"/>
  <c r="R258" i="17"/>
  <c r="U258" i="17" s="1"/>
  <c r="V258" i="17" s="1"/>
  <c r="Q256" i="17"/>
  <c r="U256" i="17" s="1"/>
  <c r="W256" i="17" s="1"/>
  <c r="R254" i="17"/>
  <c r="U254" i="17" s="1"/>
  <c r="V254" i="17" s="1"/>
  <c r="R240" i="17"/>
  <c r="Q238" i="17"/>
  <c r="U238" i="17" s="1"/>
  <c r="V238" i="17" s="1"/>
  <c r="Q230" i="17"/>
  <c r="U230" i="17" s="1"/>
  <c r="V230" i="17" s="1"/>
  <c r="Q222" i="17"/>
  <c r="U222" i="17" s="1"/>
  <c r="V222" i="17" s="1"/>
  <c r="Q214" i="17"/>
  <c r="U214" i="17" s="1"/>
  <c r="V214" i="17" s="1"/>
  <c r="R202" i="17"/>
  <c r="U202" i="17" s="1"/>
  <c r="U185" i="17"/>
  <c r="V185" i="17" s="1"/>
  <c r="R182" i="17"/>
  <c r="U182" i="17" s="1"/>
  <c r="R178" i="17"/>
  <c r="U178" i="17" s="1"/>
  <c r="R146" i="17"/>
  <c r="U146" i="17" s="1"/>
  <c r="W146" i="17" s="1"/>
  <c r="R114" i="17"/>
  <c r="R102" i="17"/>
  <c r="P92" i="17"/>
  <c r="P90" i="17"/>
  <c r="P88" i="17"/>
  <c r="Q86" i="17"/>
  <c r="R78" i="17"/>
  <c r="P74" i="17"/>
  <c r="R66" i="17"/>
  <c r="P56" i="17"/>
  <c r="Q46" i="17"/>
  <c r="Q42" i="17"/>
  <c r="Q38" i="17"/>
  <c r="Q34" i="17"/>
  <c r="Q30" i="17"/>
  <c r="U30" i="17" s="1"/>
  <c r="W30" i="17" s="1"/>
  <c r="Q26" i="17"/>
  <c r="U26" i="17" s="1"/>
  <c r="W26" i="17" s="1"/>
  <c r="Q22" i="17"/>
  <c r="U22" i="17" s="1"/>
  <c r="W22" i="17" s="1"/>
  <c r="Q18" i="17"/>
  <c r="Q14" i="17"/>
  <c r="U14" i="17" s="1"/>
  <c r="W14" i="17" s="1"/>
  <c r="Q10" i="17"/>
  <c r="Q6" i="17"/>
  <c r="U6" i="17" s="1"/>
  <c r="W6" i="17" s="1"/>
  <c r="U246" i="17"/>
  <c r="V246" i="17" s="1"/>
  <c r="R250" i="17"/>
  <c r="U250" i="17" s="1"/>
  <c r="V250" i="17" s="1"/>
  <c r="R198" i="17"/>
  <c r="U198" i="17" s="1"/>
  <c r="R194" i="17"/>
  <c r="U194" i="17" s="1"/>
  <c r="U181" i="17"/>
  <c r="R174" i="17"/>
  <c r="R166" i="17"/>
  <c r="R154" i="17"/>
  <c r="R142" i="17"/>
  <c r="R134" i="17"/>
  <c r="U134" i="17" s="1"/>
  <c r="W134" i="17" s="1"/>
  <c r="R122" i="17"/>
  <c r="P102" i="17"/>
  <c r="Q98" i="17"/>
  <c r="R86" i="17"/>
  <c r="R82" i="17"/>
  <c r="R70" i="17"/>
  <c r="U70" i="17" s="1"/>
  <c r="W70" i="17" s="1"/>
  <c r="Q62" i="17"/>
  <c r="R44" i="17"/>
  <c r="U44" i="17" s="1"/>
  <c r="W44" i="17" s="1"/>
  <c r="R40" i="17"/>
  <c r="U40" i="17" s="1"/>
  <c r="R36" i="17"/>
  <c r="U36" i="17" s="1"/>
  <c r="R32" i="17"/>
  <c r="U32" i="17" s="1"/>
  <c r="V32" i="17" s="1"/>
  <c r="R28" i="17"/>
  <c r="R24" i="17"/>
  <c r="U24" i="17" s="1"/>
  <c r="R16" i="17"/>
  <c r="U16" i="17" s="1"/>
  <c r="R12" i="17"/>
  <c r="R8" i="17"/>
  <c r="U8" i="17" s="1"/>
  <c r="R4" i="17"/>
  <c r="W271" i="17"/>
  <c r="W255" i="17"/>
  <c r="W239" i="17"/>
  <c r="U115" i="17"/>
  <c r="W115" i="17" s="1"/>
  <c r="U83" i="17"/>
  <c r="V25" i="17"/>
  <c r="R107" i="17"/>
  <c r="P119" i="17"/>
  <c r="Q118" i="17"/>
  <c r="P115" i="17"/>
  <c r="Q114" i="17"/>
  <c r="Q110" i="17"/>
  <c r="R109" i="17"/>
  <c r="U109" i="17" s="1"/>
  <c r="Q107" i="17"/>
  <c r="R106" i="17"/>
  <c r="Q105" i="17"/>
  <c r="R103" i="17"/>
  <c r="Q101" i="17"/>
  <c r="P98" i="17"/>
  <c r="Q97" i="17"/>
  <c r="U97" i="17" s="1"/>
  <c r="R96" i="17"/>
  <c r="U96" i="17" s="1"/>
  <c r="P91" i="17"/>
  <c r="P87" i="17"/>
  <c r="Q82" i="17"/>
  <c r="P79" i="17"/>
  <c r="Q77" i="17"/>
  <c r="U77" i="17" s="1"/>
  <c r="V77" i="17" s="1"/>
  <c r="Q73" i="17"/>
  <c r="P72" i="17"/>
  <c r="Q69" i="17"/>
  <c r="R68" i="17"/>
  <c r="U68" i="17" s="1"/>
  <c r="V68" i="17" s="1"/>
  <c r="Q66" i="17"/>
  <c r="R65" i="17"/>
  <c r="Q61" i="17"/>
  <c r="U61" i="17" s="1"/>
  <c r="V61" i="17" s="1"/>
  <c r="P60" i="17"/>
  <c r="R59" i="17"/>
  <c r="R58" i="17"/>
  <c r="U58" i="17" s="1"/>
  <c r="W58" i="17" s="1"/>
  <c r="Q52" i="17"/>
  <c r="Q50" i="17"/>
  <c r="R49" i="17"/>
  <c r="U49" i="17" s="1"/>
  <c r="V49" i="17" s="1"/>
  <c r="P109" i="17"/>
  <c r="Q106" i="17"/>
  <c r="R105" i="17"/>
  <c r="Q103" i="17"/>
  <c r="P96" i="17"/>
  <c r="P68" i="17"/>
  <c r="Q65" i="17"/>
  <c r="P64" i="17"/>
  <c r="R63" i="17"/>
  <c r="R62" i="17"/>
  <c r="Q54" i="17"/>
  <c r="Q49" i="17"/>
  <c r="P48" i="17"/>
  <c r="Q117" i="17"/>
  <c r="Q113" i="17"/>
  <c r="P101" i="17"/>
  <c r="Q85" i="17"/>
  <c r="U85" i="17" s="1"/>
  <c r="W85" i="17" s="1"/>
  <c r="Q81" i="17"/>
  <c r="Q76" i="17"/>
  <c r="P55" i="17"/>
  <c r="P54" i="17"/>
  <c r="R51" i="17"/>
  <c r="R50" i="17"/>
  <c r="U237" i="17"/>
  <c r="W237" i="17" s="1"/>
  <c r="U279" i="17"/>
  <c r="V279" i="17" s="1"/>
  <c r="U221" i="17"/>
  <c r="W221" i="17" s="1"/>
  <c r="U213" i="17"/>
  <c r="V213" i="17" s="1"/>
  <c r="Q207" i="17"/>
  <c r="R207" i="17"/>
  <c r="Q191" i="17"/>
  <c r="R191" i="17"/>
  <c r="Q172" i="17"/>
  <c r="R172" i="17"/>
  <c r="Q156" i="17"/>
  <c r="R156" i="17"/>
  <c r="Q140" i="17"/>
  <c r="R140" i="17"/>
  <c r="Q124" i="17"/>
  <c r="R124" i="17"/>
  <c r="Q108" i="17"/>
  <c r="R108" i="17"/>
  <c r="Q99" i="17"/>
  <c r="R99" i="17"/>
  <c r="Q89" i="17"/>
  <c r="R89" i="17"/>
  <c r="Q71" i="17"/>
  <c r="R71" i="17"/>
  <c r="W263" i="17"/>
  <c r="Q268" i="17"/>
  <c r="Q260" i="17"/>
  <c r="Q252" i="17"/>
  <c r="Q244" i="17"/>
  <c r="Q236" i="17"/>
  <c r="Q228" i="17"/>
  <c r="Q220" i="17"/>
  <c r="Q212" i="17"/>
  <c r="Q203" i="17"/>
  <c r="R203" i="17"/>
  <c r="R200" i="17"/>
  <c r="U200" i="17" s="1"/>
  <c r="W200" i="17" s="1"/>
  <c r="Q196" i="17"/>
  <c r="Q187" i="17"/>
  <c r="R187" i="17"/>
  <c r="R184" i="17"/>
  <c r="U184" i="17" s="1"/>
  <c r="W184" i="17" s="1"/>
  <c r="Q180" i="17"/>
  <c r="Q168" i="17"/>
  <c r="R168" i="17"/>
  <c r="R165" i="17"/>
  <c r="U165" i="17" s="1"/>
  <c r="V165" i="17" s="1"/>
  <c r="Q152" i="17"/>
  <c r="U152" i="17" s="1"/>
  <c r="W152" i="17" s="1"/>
  <c r="R152" i="17"/>
  <c r="R149" i="17"/>
  <c r="U149" i="17" s="1"/>
  <c r="V149" i="17" s="1"/>
  <c r="Q136" i="17"/>
  <c r="R136" i="17"/>
  <c r="R133" i="17"/>
  <c r="U133" i="17" s="1"/>
  <c r="V133" i="17" s="1"/>
  <c r="Q120" i="17"/>
  <c r="R120" i="17"/>
  <c r="R117" i="17"/>
  <c r="U117" i="17" s="1"/>
  <c r="V117" i="17" s="1"/>
  <c r="Q104" i="17"/>
  <c r="R104" i="17"/>
  <c r="R101" i="17"/>
  <c r="Q95" i="17"/>
  <c r="R95" i="17"/>
  <c r="Q84" i="17"/>
  <c r="R84" i="17"/>
  <c r="R81" i="17"/>
  <c r="U81" i="17" s="1"/>
  <c r="V81" i="17" s="1"/>
  <c r="Q67" i="17"/>
  <c r="R67" i="17"/>
  <c r="R64" i="17"/>
  <c r="U64" i="17" s="1"/>
  <c r="W64" i="17" s="1"/>
  <c r="R60" i="17"/>
  <c r="U60" i="17" s="1"/>
  <c r="V60" i="17" s="1"/>
  <c r="R56" i="17"/>
  <c r="U56" i="17" s="1"/>
  <c r="V56" i="17" s="1"/>
  <c r="R52" i="17"/>
  <c r="U52" i="17" s="1"/>
  <c r="R48" i="17"/>
  <c r="U48" i="17" s="1"/>
  <c r="V48" i="17" s="1"/>
  <c r="R302" i="17"/>
  <c r="U302" i="17" s="1"/>
  <c r="R298" i="17"/>
  <c r="U298" i="17" s="1"/>
  <c r="R294" i="17"/>
  <c r="U294" i="17" s="1"/>
  <c r="R290" i="17"/>
  <c r="U290" i="17" s="1"/>
  <c r="R286" i="17"/>
  <c r="U286" i="17" s="1"/>
  <c r="R282" i="17"/>
  <c r="U282" i="17" s="1"/>
  <c r="V282" i="17" s="1"/>
  <c r="R278" i="17"/>
  <c r="U278" i="17" s="1"/>
  <c r="R274" i="17"/>
  <c r="R268" i="17"/>
  <c r="Q267" i="17"/>
  <c r="R260" i="17"/>
  <c r="Q259" i="17"/>
  <c r="U259" i="17" s="1"/>
  <c r="V259" i="17" s="1"/>
  <c r="R252" i="17"/>
  <c r="Q251" i="17"/>
  <c r="U251" i="17" s="1"/>
  <c r="V251" i="17" s="1"/>
  <c r="R244" i="17"/>
  <c r="U244" i="17" s="1"/>
  <c r="W244" i="17" s="1"/>
  <c r="Q243" i="17"/>
  <c r="U243" i="17" s="1"/>
  <c r="V243" i="17" s="1"/>
  <c r="R236" i="17"/>
  <c r="U236" i="17" s="1"/>
  <c r="W236" i="17" s="1"/>
  <c r="Q235" i="17"/>
  <c r="U235" i="17" s="1"/>
  <c r="V235" i="17" s="1"/>
  <c r="R228" i="17"/>
  <c r="Q227" i="17"/>
  <c r="U227" i="17" s="1"/>
  <c r="V227" i="17" s="1"/>
  <c r="R220" i="17"/>
  <c r="Q219" i="17"/>
  <c r="U219" i="17" s="1"/>
  <c r="V219" i="17" s="1"/>
  <c r="R212" i="17"/>
  <c r="Q208" i="17"/>
  <c r="U208" i="17" s="1"/>
  <c r="W208" i="17" s="1"/>
  <c r="Q199" i="17"/>
  <c r="R199" i="17"/>
  <c r="R196" i="17"/>
  <c r="Q192" i="17"/>
  <c r="U192" i="17" s="1"/>
  <c r="W192" i="17" s="1"/>
  <c r="Q183" i="17"/>
  <c r="R183" i="17"/>
  <c r="R180" i="17"/>
  <c r="R177" i="17"/>
  <c r="U177" i="17" s="1"/>
  <c r="V177" i="17" s="1"/>
  <c r="Q164" i="17"/>
  <c r="R164" i="17"/>
  <c r="R161" i="17"/>
  <c r="U161" i="17" s="1"/>
  <c r="V161" i="17" s="1"/>
  <c r="Q148" i="17"/>
  <c r="R148" i="17"/>
  <c r="R145" i="17"/>
  <c r="U145" i="17" s="1"/>
  <c r="V145" i="17" s="1"/>
  <c r="Q132" i="17"/>
  <c r="R132" i="17"/>
  <c r="R129" i="17"/>
  <c r="U129" i="17" s="1"/>
  <c r="V129" i="17" s="1"/>
  <c r="Q116" i="17"/>
  <c r="R116" i="17"/>
  <c r="R113" i="17"/>
  <c r="U113" i="17" s="1"/>
  <c r="V113" i="17" s="1"/>
  <c r="Q100" i="17"/>
  <c r="R100" i="17"/>
  <c r="Q80" i="17"/>
  <c r="R80" i="17"/>
  <c r="R76" i="17"/>
  <c r="W247" i="17"/>
  <c r="W147" i="17"/>
  <c r="Q232" i="17"/>
  <c r="U232" i="17" s="1"/>
  <c r="W232" i="17" s="1"/>
  <c r="Q224" i="17"/>
  <c r="U224" i="17" s="1"/>
  <c r="W224" i="17" s="1"/>
  <c r="Q216" i="17"/>
  <c r="U216" i="17" s="1"/>
  <c r="W216" i="17" s="1"/>
  <c r="Q211" i="17"/>
  <c r="R211" i="17"/>
  <c r="Q204" i="17"/>
  <c r="U204" i="17" s="1"/>
  <c r="W204" i="17" s="1"/>
  <c r="Q195" i="17"/>
  <c r="R195" i="17"/>
  <c r="Q188" i="17"/>
  <c r="U188" i="17" s="1"/>
  <c r="W188" i="17" s="1"/>
  <c r="Q179" i="17"/>
  <c r="R179" i="17"/>
  <c r="Q176" i="17"/>
  <c r="R176" i="17"/>
  <c r="Q160" i="17"/>
  <c r="R160" i="17"/>
  <c r="Q144" i="17"/>
  <c r="R144" i="17"/>
  <c r="Q128" i="17"/>
  <c r="R128" i="17"/>
  <c r="Q112" i="17"/>
  <c r="R112" i="17"/>
  <c r="Q94" i="17"/>
  <c r="R94" i="17"/>
  <c r="R90" i="17"/>
  <c r="Q75" i="17"/>
  <c r="R75" i="17"/>
  <c r="R72" i="17"/>
  <c r="U72" i="17" s="1"/>
  <c r="V72" i="17" s="1"/>
  <c r="Q63" i="17"/>
  <c r="Q59" i="17"/>
  <c r="Q55" i="17"/>
  <c r="Q51" i="17"/>
  <c r="V265" i="17"/>
  <c r="W265" i="17"/>
  <c r="V293" i="17"/>
  <c r="W293" i="17"/>
  <c r="V280" i="17"/>
  <c r="W218" i="17"/>
  <c r="W215" i="17"/>
  <c r="W145" i="17"/>
  <c r="V264" i="17"/>
  <c r="W231" i="17"/>
  <c r="W223" i="17"/>
  <c r="V215" i="17"/>
  <c r="W213" i="17"/>
  <c r="W165" i="17"/>
  <c r="W153" i="17"/>
  <c r="W137" i="17"/>
  <c r="W281" i="17"/>
  <c r="V221" i="17"/>
  <c r="W93" i="17"/>
  <c r="W83" i="17"/>
  <c r="V83" i="17"/>
  <c r="U69" i="17"/>
  <c r="V69" i="17" s="1"/>
  <c r="U53" i="17"/>
  <c r="V53" i="17" s="1"/>
  <c r="W41" i="17"/>
  <c r="W25" i="17"/>
  <c r="W9" i="17"/>
  <c r="U99" i="17"/>
  <c r="U73" i="17"/>
  <c r="U57" i="17"/>
  <c r="V93" i="17"/>
  <c r="BA24" i="17"/>
  <c r="BA32" i="17"/>
  <c r="BA40" i="17"/>
  <c r="W181" i="17"/>
  <c r="V181" i="17"/>
  <c r="U245" i="17"/>
  <c r="V301" i="17"/>
  <c r="W301" i="17"/>
  <c r="V285" i="17"/>
  <c r="W285" i="17"/>
  <c r="V300" i="17"/>
  <c r="V284" i="17"/>
  <c r="W243" i="17"/>
  <c r="W214" i="17"/>
  <c r="V175" i="17"/>
  <c r="W169" i="17"/>
  <c r="W149" i="17"/>
  <c r="W121" i="17"/>
  <c r="U305" i="17"/>
  <c r="U289" i="17"/>
  <c r="U276" i="17"/>
  <c r="W276" i="17" s="1"/>
  <c r="U266" i="17"/>
  <c r="V266" i="17" s="1"/>
  <c r="U261" i="17"/>
  <c r="U253" i="17"/>
  <c r="U240" i="17"/>
  <c r="W240" i="17" s="1"/>
  <c r="W161" i="17"/>
  <c r="U166" i="17"/>
  <c r="W166" i="17" s="1"/>
  <c r="W273" i="17"/>
  <c r="V208" i="17"/>
  <c r="W193" i="17"/>
  <c r="W177" i="17"/>
  <c r="W173" i="17"/>
  <c r="V166" i="17"/>
  <c r="U274" i="17"/>
  <c r="V274" i="17" s="1"/>
  <c r="U269" i="17"/>
  <c r="V200" i="17"/>
  <c r="W131" i="17"/>
  <c r="W235" i="17"/>
  <c r="W219" i="17"/>
  <c r="W190" i="17"/>
  <c r="W157" i="17"/>
  <c r="W141" i="17"/>
  <c r="W125" i="17"/>
  <c r="U297" i="17"/>
  <c r="U277" i="17"/>
  <c r="U260" i="17"/>
  <c r="W260" i="17" s="1"/>
  <c r="U257" i="17"/>
  <c r="U249" i="17"/>
  <c r="U241" i="17"/>
  <c r="U275" i="17"/>
  <c r="V275" i="17" s="1"/>
  <c r="W37" i="17"/>
  <c r="W21" i="17"/>
  <c r="U303" i="17"/>
  <c r="V303" i="17" s="1"/>
  <c r="U299" i="17"/>
  <c r="U295" i="17"/>
  <c r="V295" i="17" s="1"/>
  <c r="U291" i="17"/>
  <c r="V291" i="17" s="1"/>
  <c r="U287" i="17"/>
  <c r="V287" i="17" s="1"/>
  <c r="U233" i="17"/>
  <c r="U228" i="17"/>
  <c r="W228" i="17" s="1"/>
  <c r="U225" i="17"/>
  <c r="U217" i="17"/>
  <c r="U209" i="17"/>
  <c r="U201" i="17"/>
  <c r="U171" i="17"/>
  <c r="U159" i="17"/>
  <c r="V159" i="17" s="1"/>
  <c r="U143" i="17"/>
  <c r="V143" i="17" s="1"/>
  <c r="U155" i="17"/>
  <c r="V155" i="17" s="1"/>
  <c r="U130" i="17"/>
  <c r="W130" i="17" s="1"/>
  <c r="U167" i="17"/>
  <c r="U142" i="17"/>
  <c r="W142" i="17" s="1"/>
  <c r="U139" i="17"/>
  <c r="V139" i="17" s="1"/>
  <c r="U123" i="17"/>
  <c r="V123" i="17" s="1"/>
  <c r="U91" i="17"/>
  <c r="U174" i="17"/>
  <c r="V174" i="17" s="1"/>
  <c r="U163" i="17"/>
  <c r="U151" i="17"/>
  <c r="V151" i="17" s="1"/>
  <c r="U135" i="17"/>
  <c r="V135" i="17" s="1"/>
  <c r="U119" i="17"/>
  <c r="U103" i="17"/>
  <c r="U87" i="17"/>
  <c r="U74" i="17"/>
  <c r="W74" i="17" s="1"/>
  <c r="U54" i="17"/>
  <c r="W54" i="17" s="1"/>
  <c r="U42" i="17"/>
  <c r="W42" i="17" s="1"/>
  <c r="U34" i="17"/>
  <c r="W34" i="17" s="1"/>
  <c r="U5" i="17"/>
  <c r="V5" i="17" s="1"/>
  <c r="V52" i="17"/>
  <c r="W52" i="17"/>
  <c r="W270" i="17"/>
  <c r="W262" i="17"/>
  <c r="W242" i="17"/>
  <c r="W238" i="17"/>
  <c r="W230" i="17"/>
  <c r="W222" i="17"/>
  <c r="BC14" i="17"/>
  <c r="BL3" i="17"/>
  <c r="BC7" i="17"/>
  <c r="BC11" i="17"/>
  <c r="I65" i="13"/>
  <c r="BK76" i="17"/>
  <c r="AY18" i="17"/>
  <c r="AP18" i="17" s="1"/>
  <c r="BL5" i="17"/>
  <c r="BC9" i="17"/>
  <c r="BC13" i="17"/>
  <c r="BC64" i="17"/>
  <c r="BK2" i="17"/>
  <c r="BL14" i="17"/>
  <c r="BL17" i="17"/>
  <c r="AY47" i="17"/>
  <c r="AP47" i="17" s="1"/>
  <c r="F9" i="18"/>
  <c r="F7" i="18"/>
  <c r="L10" i="18"/>
  <c r="F11" i="18"/>
  <c r="F2" i="18"/>
  <c r="AI2" i="17"/>
  <c r="AG2" i="17"/>
  <c r="AH2" i="17"/>
  <c r="F45" i="13"/>
  <c r="G45" i="13" s="1"/>
  <c r="N5" i="18" s="1"/>
  <c r="F49" i="13"/>
  <c r="F43" i="13"/>
  <c r="G43" i="13" s="1"/>
  <c r="F52" i="13"/>
  <c r="F48" i="13"/>
  <c r="F44" i="13"/>
  <c r="F50" i="13"/>
  <c r="F46" i="13"/>
  <c r="F47" i="13"/>
  <c r="F53" i="13"/>
  <c r="F54" i="13"/>
  <c r="F51" i="13"/>
  <c r="F8" i="18"/>
  <c r="F4" i="18"/>
  <c r="F6" i="18"/>
  <c r="F55" i="13"/>
  <c r="G55" i="13" s="1"/>
  <c r="M7" i="19"/>
  <c r="F10" i="18"/>
  <c r="F3" i="18"/>
  <c r="T12" i="18"/>
  <c r="X12" i="18" s="1"/>
  <c r="T3" i="18"/>
  <c r="X3" i="18" s="1"/>
  <c r="T4" i="18"/>
  <c r="X4" i="18" s="1"/>
  <c r="T9" i="18"/>
  <c r="X9" i="18" s="1"/>
  <c r="T7" i="18"/>
  <c r="X7" i="18" s="1"/>
  <c r="T10" i="18"/>
  <c r="T11" i="18"/>
  <c r="X11" i="18" s="1"/>
  <c r="T5" i="18"/>
  <c r="X5" i="18" s="1"/>
  <c r="T8" i="18"/>
  <c r="X8" i="18" s="1"/>
  <c r="T6" i="18"/>
  <c r="X6" i="18" s="1"/>
  <c r="R3" i="18"/>
  <c r="W3" i="18" s="1"/>
  <c r="R7" i="18"/>
  <c r="W7" i="18" s="1"/>
  <c r="T2" i="18"/>
  <c r="X2" i="18" s="1"/>
  <c r="R10" i="18"/>
  <c r="W10" i="18" s="1"/>
  <c r="R9" i="18"/>
  <c r="W9" i="18" s="1"/>
  <c r="R2" i="18"/>
  <c r="W2" i="18" s="1"/>
  <c r="R11" i="18"/>
  <c r="W11" i="18" s="1"/>
  <c r="R12" i="18"/>
  <c r="W12" i="18" s="1"/>
  <c r="R5" i="18"/>
  <c r="W5" i="18" s="1"/>
  <c r="R8" i="18"/>
  <c r="W8" i="18" s="1"/>
  <c r="R6" i="18"/>
  <c r="W6" i="18" s="1"/>
  <c r="R4" i="18"/>
  <c r="W4" i="18" s="1"/>
  <c r="D296" i="17"/>
  <c r="D292" i="17"/>
  <c r="D288" i="17"/>
  <c r="D284" i="17"/>
  <c r="D280" i="17"/>
  <c r="D276" i="17"/>
  <c r="D272" i="17"/>
  <c r="D268" i="17"/>
  <c r="D264" i="17"/>
  <c r="D260" i="17"/>
  <c r="D256" i="17"/>
  <c r="D252" i="17"/>
  <c r="D248" i="17"/>
  <c r="D244" i="17"/>
  <c r="D240" i="17"/>
  <c r="D236" i="17"/>
  <c r="D232" i="17"/>
  <c r="D228" i="17"/>
  <c r="D224" i="17"/>
  <c r="D220" i="17"/>
  <c r="D216" i="17"/>
  <c r="D212" i="17"/>
  <c r="D208" i="17"/>
  <c r="D204" i="17"/>
  <c r="D200" i="17"/>
  <c r="D196" i="17"/>
  <c r="D192" i="17"/>
  <c r="D188" i="17"/>
  <c r="D184" i="17"/>
  <c r="D180" i="17"/>
  <c r="D176" i="17"/>
  <c r="D172" i="17"/>
  <c r="D168" i="17"/>
  <c r="D164" i="17"/>
  <c r="D160" i="17"/>
  <c r="D156" i="17"/>
  <c r="D152" i="17"/>
  <c r="D148" i="17"/>
  <c r="D144" i="17"/>
  <c r="D140" i="17"/>
  <c r="D136" i="17"/>
  <c r="D132" i="17"/>
  <c r="D128" i="17"/>
  <c r="D124" i="17"/>
  <c r="D120" i="17"/>
  <c r="D300" i="17"/>
  <c r="D305" i="17"/>
  <c r="D303" i="17"/>
  <c r="D304" i="17"/>
  <c r="D218" i="17"/>
  <c r="D214" i="17"/>
  <c r="D210" i="17"/>
  <c r="D206" i="17"/>
  <c r="D202" i="17"/>
  <c r="D198" i="17"/>
  <c r="D194" i="17"/>
  <c r="D190" i="17"/>
  <c r="D186" i="17"/>
  <c r="D182" i="17"/>
  <c r="D178" i="17"/>
  <c r="D174" i="17"/>
  <c r="D170" i="17"/>
  <c r="D166" i="17"/>
  <c r="D162" i="17"/>
  <c r="D158" i="17"/>
  <c r="D154" i="17"/>
  <c r="D150" i="17"/>
  <c r="D146" i="17"/>
  <c r="D142" i="17"/>
  <c r="D138" i="17"/>
  <c r="D299" i="17"/>
  <c r="D295" i="17"/>
  <c r="D209" i="17"/>
  <c r="D205" i="17"/>
  <c r="D201" i="17"/>
  <c r="D197" i="17"/>
  <c r="D193" i="17"/>
  <c r="D189" i="17"/>
  <c r="D185" i="17"/>
  <c r="D181" i="17"/>
  <c r="D177" i="17"/>
  <c r="D173" i="17"/>
  <c r="D169" i="17"/>
  <c r="D165" i="17"/>
  <c r="D161" i="17"/>
  <c r="D157" i="17"/>
  <c r="D153" i="17"/>
  <c r="D149" i="17"/>
  <c r="D145" i="17"/>
  <c r="D141" i="17"/>
  <c r="D137" i="17"/>
  <c r="D207" i="17"/>
  <c r="D203" i="17"/>
  <c r="D199" i="17"/>
  <c r="D195" i="17"/>
  <c r="D191" i="17"/>
  <c r="D187" i="17"/>
  <c r="D183" i="17"/>
  <c r="D179" i="17"/>
  <c r="D175" i="17"/>
  <c r="D171" i="17"/>
  <c r="D167" i="17"/>
  <c r="D163" i="17"/>
  <c r="D159" i="17"/>
  <c r="D155" i="17"/>
  <c r="D151" i="17"/>
  <c r="D147" i="17"/>
  <c r="D143" i="17"/>
  <c r="D139" i="17"/>
  <c r="D301" i="17"/>
  <c r="D297" i="17"/>
  <c r="D293" i="17"/>
  <c r="D289" i="17"/>
  <c r="D285" i="17"/>
  <c r="D281" i="17"/>
  <c r="D277" i="17"/>
  <c r="D273" i="17"/>
  <c r="D269" i="17"/>
  <c r="D265" i="17"/>
  <c r="D261" i="17"/>
  <c r="D257" i="17"/>
  <c r="D253" i="17"/>
  <c r="D249" i="17"/>
  <c r="D245" i="17"/>
  <c r="D241" i="17"/>
  <c r="D237" i="17"/>
  <c r="D233" i="17"/>
  <c r="D229" i="17"/>
  <c r="D225" i="17"/>
  <c r="D221" i="17"/>
  <c r="D302" i="17"/>
  <c r="D298" i="17"/>
  <c r="D294" i="17"/>
  <c r="D290" i="17"/>
  <c r="D286" i="17"/>
  <c r="D282" i="17"/>
  <c r="D278" i="17"/>
  <c r="D274" i="17"/>
  <c r="D270" i="17"/>
  <c r="D266" i="17"/>
  <c r="D262" i="17"/>
  <c r="D258" i="17"/>
  <c r="D254" i="17"/>
  <c r="D250" i="17"/>
  <c r="D246" i="17"/>
  <c r="D242" i="17"/>
  <c r="D238" i="17"/>
  <c r="D234" i="17"/>
  <c r="D230" i="17"/>
  <c r="D226" i="17"/>
  <c r="D222" i="17"/>
  <c r="D291" i="17"/>
  <c r="D287" i="17"/>
  <c r="D283" i="17"/>
  <c r="D279" i="17"/>
  <c r="D275" i="17"/>
  <c r="D271" i="17"/>
  <c r="D267" i="17"/>
  <c r="D263" i="17"/>
  <c r="D259" i="17"/>
  <c r="D255" i="17"/>
  <c r="D251" i="17"/>
  <c r="D247" i="17"/>
  <c r="D243" i="17"/>
  <c r="D239" i="17"/>
  <c r="D235" i="17"/>
  <c r="D231" i="17"/>
  <c r="D227" i="17"/>
  <c r="D223" i="17"/>
  <c r="D217" i="17"/>
  <c r="D213" i="17"/>
  <c r="D219" i="17"/>
  <c r="D215" i="17"/>
  <c r="D211" i="17"/>
  <c r="D135" i="17"/>
  <c r="D133" i="17"/>
  <c r="D129" i="17"/>
  <c r="D125" i="17"/>
  <c r="D121" i="17"/>
  <c r="D134" i="17"/>
  <c r="D130" i="17"/>
  <c r="D126" i="17"/>
  <c r="D122" i="17"/>
  <c r="D131" i="17"/>
  <c r="D127" i="17"/>
  <c r="D123" i="17"/>
  <c r="F12" i="18"/>
  <c r="F5" i="18"/>
  <c r="AG3" i="17"/>
  <c r="AI6" i="17"/>
  <c r="AI7" i="17"/>
  <c r="AH8" i="17"/>
  <c r="AI9" i="17"/>
  <c r="AH10" i="17"/>
  <c r="AI11" i="17"/>
  <c r="AH12" i="17"/>
  <c r="AI13" i="17"/>
  <c r="AH14" i="17"/>
  <c r="AH3" i="17"/>
  <c r="AG4" i="17"/>
  <c r="AH5" i="17"/>
  <c r="AG6" i="17"/>
  <c r="AG8" i="17"/>
  <c r="AG10" i="17"/>
  <c r="AG12" i="17"/>
  <c r="AI4" i="17"/>
  <c r="AG5" i="17"/>
  <c r="AI14" i="17"/>
  <c r="AX3" i="17"/>
  <c r="BB3" i="17"/>
  <c r="BL6" i="17"/>
  <c r="BD6" i="17"/>
  <c r="BB6" i="17"/>
  <c r="BK9" i="17"/>
  <c r="BK14" i="17"/>
  <c r="BB15" i="17"/>
  <c r="AX15" i="17"/>
  <c r="BA15" i="17"/>
  <c r="BD15" i="17"/>
  <c r="BL15" i="17"/>
  <c r="BL22" i="17"/>
  <c r="BB23" i="17"/>
  <c r="AX23" i="17"/>
  <c r="BA23" i="17"/>
  <c r="BL23" i="17"/>
  <c r="BA28" i="17"/>
  <c r="BC30" i="17"/>
  <c r="BB31" i="17"/>
  <c r="AX31" i="17"/>
  <c r="BA31" i="17"/>
  <c r="BD31" i="17"/>
  <c r="BL38" i="17"/>
  <c r="AY42" i="17"/>
  <c r="BC46" i="17"/>
  <c r="BC51" i="17"/>
  <c r="AY51" i="17"/>
  <c r="BB51" i="17"/>
  <c r="AX51" i="17"/>
  <c r="BA51" i="17"/>
  <c r="BD51" i="17"/>
  <c r="BB57" i="17"/>
  <c r="BA58" i="17"/>
  <c r="BL64" i="17"/>
  <c r="BK67" i="17"/>
  <c r="BC67" i="17"/>
  <c r="AY67" i="17"/>
  <c r="BB67" i="17"/>
  <c r="AX67" i="17"/>
  <c r="BA67" i="17"/>
  <c r="BD67" i="17"/>
  <c r="BK72" i="17"/>
  <c r="BA76" i="17"/>
  <c r="BA78" i="17"/>
  <c r="BK80" i="17"/>
  <c r="BK83" i="17"/>
  <c r="BC83" i="17"/>
  <c r="AY83" i="17"/>
  <c r="BB83" i="17"/>
  <c r="AX83" i="17"/>
  <c r="BA83" i="17"/>
  <c r="BC92" i="17"/>
  <c r="AY92" i="17"/>
  <c r="BB92" i="17"/>
  <c r="AX92" i="17"/>
  <c r="BA92" i="17"/>
  <c r="BK136" i="17"/>
  <c r="AY156" i="17"/>
  <c r="BC154" i="17"/>
  <c r="BC149" i="17"/>
  <c r="AY149" i="17"/>
  <c r="BC145" i="17"/>
  <c r="AY145" i="17"/>
  <c r="BC141" i="17"/>
  <c r="AY141" i="17"/>
  <c r="BC152" i="17"/>
  <c r="BC148" i="17"/>
  <c r="AY148" i="17"/>
  <c r="BC156" i="17"/>
  <c r="BL152" i="17"/>
  <c r="AY144" i="17"/>
  <c r="AY140" i="17"/>
  <c r="AY154" i="17"/>
  <c r="AY137" i="17"/>
  <c r="BL157" i="17"/>
  <c r="BC153" i="17"/>
  <c r="BC147" i="17"/>
  <c r="BC144" i="17"/>
  <c r="BL150" i="17"/>
  <c r="BC140" i="17"/>
  <c r="AY147" i="17"/>
  <c r="BD139" i="17"/>
  <c r="BC137" i="17"/>
  <c r="BC133" i="17"/>
  <c r="BC129" i="17"/>
  <c r="BL128" i="17"/>
  <c r="BD128" i="17"/>
  <c r="AY125" i="17"/>
  <c r="BC121" i="17"/>
  <c r="AY121" i="17"/>
  <c r="BC117" i="17"/>
  <c r="AY117" i="17"/>
  <c r="BC113" i="17"/>
  <c r="AY113" i="17"/>
  <c r="BC109" i="17"/>
  <c r="AY109" i="17"/>
  <c r="BC105" i="17"/>
  <c r="AY105" i="17"/>
  <c r="BC143" i="17"/>
  <c r="BC125" i="17"/>
  <c r="BL139" i="17"/>
  <c r="AY129" i="17"/>
  <c r="BL122" i="17"/>
  <c r="BC103" i="17"/>
  <c r="AY101" i="17"/>
  <c r="AY98" i="17"/>
  <c r="BC98" i="17"/>
  <c r="BD157" i="17"/>
  <c r="AY133" i="17"/>
  <c r="BD127" i="17"/>
  <c r="BC123" i="17"/>
  <c r="BC119" i="17"/>
  <c r="BC115" i="17"/>
  <c r="BC111" i="17"/>
  <c r="BC107" i="17"/>
  <c r="AY103" i="17"/>
  <c r="BC101" i="17"/>
  <c r="BC97" i="17"/>
  <c r="BC90" i="17"/>
  <c r="AY90" i="17"/>
  <c r="AY123" i="17"/>
  <c r="AY115" i="17"/>
  <c r="AY107" i="17"/>
  <c r="BD102" i="17"/>
  <c r="AY89" i="17"/>
  <c r="AY76" i="17"/>
  <c r="AY127" i="17"/>
  <c r="BC94" i="17"/>
  <c r="AY85" i="17"/>
  <c r="AY81" i="17"/>
  <c r="BD78" i="17"/>
  <c r="BC76" i="17"/>
  <c r="AY119" i="17"/>
  <c r="AY111" i="17"/>
  <c r="AY94" i="17"/>
  <c r="AI3" i="17"/>
  <c r="AY3" i="17"/>
  <c r="BC3" i="17"/>
  <c r="BK3" i="17"/>
  <c r="BA4" i="17"/>
  <c r="AI5" i="17"/>
  <c r="AY5" i="17"/>
  <c r="BC5" i="17"/>
  <c r="BK5" i="17"/>
  <c r="AX6" i="17"/>
  <c r="BC6" i="17"/>
  <c r="AG7" i="17"/>
  <c r="BA7" i="17"/>
  <c r="BL7" i="17"/>
  <c r="AX8" i="17"/>
  <c r="BC8" i="17"/>
  <c r="AG9" i="17"/>
  <c r="BA9" i="17"/>
  <c r="BL9" i="17"/>
  <c r="BL10" i="17"/>
  <c r="AX10" i="17"/>
  <c r="BC10" i="17"/>
  <c r="AG11" i="17"/>
  <c r="BA11" i="17"/>
  <c r="BL11" i="17"/>
  <c r="BL12" i="17"/>
  <c r="AX12" i="17"/>
  <c r="BC12" i="17"/>
  <c r="AG13" i="17"/>
  <c r="BA13" i="17"/>
  <c r="BL13" i="17"/>
  <c r="AX14" i="17"/>
  <c r="AY15" i="17"/>
  <c r="BB18" i="17"/>
  <c r="BC19" i="17"/>
  <c r="BK19" i="17"/>
  <c r="BK20" i="17"/>
  <c r="BC20" i="17"/>
  <c r="AY20" i="17"/>
  <c r="BB20" i="17"/>
  <c r="AX20" i="17"/>
  <c r="BD20" i="17"/>
  <c r="BL20" i="17"/>
  <c r="BA21" i="17"/>
  <c r="AX22" i="17"/>
  <c r="AY23" i="17"/>
  <c r="BB26" i="17"/>
  <c r="BC27" i="17"/>
  <c r="BK28" i="17"/>
  <c r="BC28" i="17"/>
  <c r="AY28" i="17"/>
  <c r="BB28" i="17"/>
  <c r="AX28" i="17"/>
  <c r="BD28" i="17"/>
  <c r="BA29" i="17"/>
  <c r="AX30" i="17"/>
  <c r="AY31" i="17"/>
  <c r="BB34" i="17"/>
  <c r="BC35" i="17"/>
  <c r="BK35" i="17"/>
  <c r="BK36" i="17"/>
  <c r="BC36" i="17"/>
  <c r="AY36" i="17"/>
  <c r="BB36" i="17"/>
  <c r="AX36" i="17"/>
  <c r="BD36" i="17"/>
  <c r="BA37" i="17"/>
  <c r="AX38" i="17"/>
  <c r="AY39" i="17"/>
  <c r="BB42" i="17"/>
  <c r="BC43" i="17"/>
  <c r="BC44" i="17"/>
  <c r="AY44" i="17"/>
  <c r="BB44" i="17"/>
  <c r="AX44" i="17"/>
  <c r="BD44" i="17"/>
  <c r="BA45" i="17"/>
  <c r="AX46" i="17"/>
  <c r="BC48" i="17"/>
  <c r="AX49" i="17"/>
  <c r="BL52" i="17"/>
  <c r="BC52" i="17"/>
  <c r="BC55" i="17"/>
  <c r="AY55" i="17"/>
  <c r="BB55" i="17"/>
  <c r="AX55" i="17"/>
  <c r="BA55" i="17"/>
  <c r="BD55" i="17"/>
  <c r="AY56" i="17"/>
  <c r="BK60" i="17"/>
  <c r="BL61" i="17"/>
  <c r="BB61" i="17"/>
  <c r="BL62" i="17"/>
  <c r="BA62" i="17"/>
  <c r="BL63" i="17"/>
  <c r="AX65" i="17"/>
  <c r="BL68" i="17"/>
  <c r="BC68" i="17"/>
  <c r="BK71" i="17"/>
  <c r="BC71" i="17"/>
  <c r="AY71" i="17"/>
  <c r="BB71" i="17"/>
  <c r="AX71" i="17"/>
  <c r="BA71" i="17"/>
  <c r="BD71" i="17"/>
  <c r="AY72" i="17"/>
  <c r="BD79" i="17"/>
  <c r="BL81" i="17"/>
  <c r="BA87" i="17"/>
  <c r="BL88" i="17"/>
  <c r="BC89" i="17"/>
  <c r="BD92" i="17"/>
  <c r="BL97" i="17"/>
  <c r="BD106" i="17"/>
  <c r="BD114" i="17"/>
  <c r="BB125" i="17"/>
  <c r="BA134" i="17"/>
  <c r="BD2" i="17"/>
  <c r="BL2" i="17"/>
  <c r="BB5" i="17"/>
  <c r="BB8" i="17"/>
  <c r="BB12" i="17"/>
  <c r="BA20" i="17"/>
  <c r="BD23" i="17"/>
  <c r="BB25" i="17"/>
  <c r="AX29" i="17"/>
  <c r="BK30" i="17"/>
  <c r="BL31" i="17"/>
  <c r="BB33" i="17"/>
  <c r="AX37" i="17"/>
  <c r="BD39" i="17"/>
  <c r="BB41" i="17"/>
  <c r="BA44" i="17"/>
  <c r="BB47" i="17"/>
  <c r="AX47" i="17"/>
  <c r="BA47" i="17"/>
  <c r="BD47" i="17"/>
  <c r="BL47" i="17"/>
  <c r="AY52" i="17"/>
  <c r="BL59" i="17"/>
  <c r="AX61" i="17"/>
  <c r="AY68" i="17"/>
  <c r="BK81" i="17"/>
  <c r="BC85" i="17"/>
  <c r="BA86" i="17"/>
  <c r="BL87" i="17"/>
  <c r="BB89" i="17"/>
  <c r="BA2" i="17"/>
  <c r="AX2" i="17"/>
  <c r="BB2" i="17"/>
  <c r="BD3" i="17"/>
  <c r="AH4" i="17"/>
  <c r="AX4" i="17"/>
  <c r="BB4" i="17"/>
  <c r="BD5" i="17"/>
  <c r="AH6" i="17"/>
  <c r="AY6" i="17"/>
  <c r="AY8" i="17"/>
  <c r="AY10" i="17"/>
  <c r="AY12" i="17"/>
  <c r="AG14" i="17"/>
  <c r="AY14" i="17"/>
  <c r="BA16" i="17"/>
  <c r="AX17" i="17"/>
  <c r="BL18" i="17"/>
  <c r="BC18" i="17"/>
  <c r="BK18" i="17"/>
  <c r="BB19" i="17"/>
  <c r="AX19" i="17"/>
  <c r="BA19" i="17"/>
  <c r="BD19" i="17"/>
  <c r="BL21" i="17"/>
  <c r="BB21" i="17"/>
  <c r="AY22" i="17"/>
  <c r="AX25" i="17"/>
  <c r="BL26" i="17"/>
  <c r="BC26" i="17"/>
  <c r="BK26" i="17"/>
  <c r="BB27" i="17"/>
  <c r="AX27" i="17"/>
  <c r="BA27" i="17"/>
  <c r="BD27" i="17"/>
  <c r="BB29" i="17"/>
  <c r="AY30" i="17"/>
  <c r="AX33" i="17"/>
  <c r="BC34" i="17"/>
  <c r="BB35" i="17"/>
  <c r="AX35" i="17"/>
  <c r="BA35" i="17"/>
  <c r="BD35" i="17"/>
  <c r="BL35" i="17"/>
  <c r="BL37" i="17"/>
  <c r="BB37" i="17"/>
  <c r="AY38" i="17"/>
  <c r="AX41" i="17"/>
  <c r="BL42" i="17"/>
  <c r="BC42" i="17"/>
  <c r="BK42" i="17"/>
  <c r="BB43" i="17"/>
  <c r="AX43" i="17"/>
  <c r="BA43" i="17"/>
  <c r="BD43" i="17"/>
  <c r="BL45" i="17"/>
  <c r="BB45" i="17"/>
  <c r="AY46" i="17"/>
  <c r="BB48" i="17"/>
  <c r="AX48" i="17"/>
  <c r="BA48" i="17"/>
  <c r="BD48" i="17"/>
  <c r="BL49" i="17"/>
  <c r="BB49" i="17"/>
  <c r="BL50" i="17"/>
  <c r="BA50" i="17"/>
  <c r="AX53" i="17"/>
  <c r="BC56" i="17"/>
  <c r="BK59" i="17"/>
  <c r="BC59" i="17"/>
  <c r="AY59" i="17"/>
  <c r="BB59" i="17"/>
  <c r="AX59" i="17"/>
  <c r="BA59" i="17"/>
  <c r="BD59" i="17"/>
  <c r="AY60" i="17"/>
  <c r="BK64" i="17"/>
  <c r="BL65" i="17"/>
  <c r="BB65" i="17"/>
  <c r="BL66" i="17"/>
  <c r="BA66" i="17"/>
  <c r="BL67" i="17"/>
  <c r="AX69" i="17"/>
  <c r="BC72" i="17"/>
  <c r="BC74" i="17"/>
  <c r="BB75" i="17"/>
  <c r="BL79" i="17"/>
  <c r="BD83" i="17"/>
  <c r="BL85" i="17"/>
  <c r="BL102" i="17"/>
  <c r="BB154" i="17"/>
  <c r="BA156" i="17"/>
  <c r="AX154" i="17"/>
  <c r="BK154" i="17"/>
  <c r="BK149" i="17"/>
  <c r="BK145" i="17"/>
  <c r="BK141" i="17"/>
  <c r="BB155" i="17"/>
  <c r="BA154" i="17"/>
  <c r="BB149" i="17"/>
  <c r="AX149" i="17"/>
  <c r="BK148" i="17"/>
  <c r="BB145" i="17"/>
  <c r="AX145" i="17"/>
  <c r="BK144" i="17"/>
  <c r="BK147" i="17"/>
  <c r="BA141" i="17"/>
  <c r="BK137" i="17"/>
  <c r="BA137" i="17"/>
  <c r="BA133" i="17"/>
  <c r="BA129" i="17"/>
  <c r="BB148" i="17"/>
  <c r="AX144" i="17"/>
  <c r="AX141" i="17"/>
  <c r="AX140" i="17"/>
  <c r="BA152" i="17"/>
  <c r="BB151" i="17"/>
  <c r="BA149" i="17"/>
  <c r="AX148" i="17"/>
  <c r="BA142" i="17"/>
  <c r="BB144" i="17"/>
  <c r="BB141" i="17"/>
  <c r="BK139" i="17"/>
  <c r="AX134" i="17"/>
  <c r="AX133" i="17"/>
  <c r="AX130" i="17"/>
  <c r="AX129" i="17"/>
  <c r="BK125" i="17"/>
  <c r="BA125" i="17"/>
  <c r="BB123" i="17"/>
  <c r="AX123" i="17"/>
  <c r="BB119" i="17"/>
  <c r="AX119" i="17"/>
  <c r="BB115" i="17"/>
  <c r="AX115" i="17"/>
  <c r="BB111" i="17"/>
  <c r="AX111" i="17"/>
  <c r="BB107" i="17"/>
  <c r="AX107" i="17"/>
  <c r="BB103" i="17"/>
  <c r="AX103" i="17"/>
  <c r="BB140" i="17"/>
  <c r="BA135" i="17"/>
  <c r="BK133" i="17"/>
  <c r="BA131" i="17"/>
  <c r="BK129" i="17"/>
  <c r="AX128" i="17"/>
  <c r="BB126" i="17"/>
  <c r="BA123" i="17"/>
  <c r="BK121" i="17"/>
  <c r="BA119" i="17"/>
  <c r="BA115" i="17"/>
  <c r="BA111" i="17"/>
  <c r="BK109" i="17"/>
  <c r="BA107" i="17"/>
  <c r="BK156" i="17"/>
  <c r="BK140" i="17"/>
  <c r="BB137" i="17"/>
  <c r="BB134" i="17"/>
  <c r="BB133" i="17"/>
  <c r="BB130" i="17"/>
  <c r="BB129" i="17"/>
  <c r="AX125" i="17"/>
  <c r="AX153" i="17"/>
  <c r="BA138" i="17"/>
  <c r="BK124" i="17"/>
  <c r="BK123" i="17"/>
  <c r="BK119" i="17"/>
  <c r="BB116" i="17"/>
  <c r="BK115" i="17"/>
  <c r="BB112" i="17"/>
  <c r="BB108" i="17"/>
  <c r="BK107" i="17"/>
  <c r="BB104" i="17"/>
  <c r="BK103" i="17"/>
  <c r="AX100" i="17"/>
  <c r="BK97" i="17"/>
  <c r="BA90" i="17"/>
  <c r="BA85" i="17"/>
  <c r="BA81" i="17"/>
  <c r="BA130" i="17"/>
  <c r="BB120" i="17"/>
  <c r="BA117" i="17"/>
  <c r="AX116" i="17"/>
  <c r="BA113" i="17"/>
  <c r="AX112" i="17"/>
  <c r="BA109" i="17"/>
  <c r="AX108" i="17"/>
  <c r="BA105" i="17"/>
  <c r="BA103" i="17"/>
  <c r="AX98" i="17"/>
  <c r="AX137" i="17"/>
  <c r="BA121" i="17"/>
  <c r="AX120" i="17"/>
  <c r="BB100" i="17"/>
  <c r="BB98" i="17"/>
  <c r="AX97" i="17"/>
  <c r="BA96" i="17"/>
  <c r="BB91" i="17"/>
  <c r="AX91" i="17"/>
  <c r="BB87" i="17"/>
  <c r="AX87" i="17"/>
  <c r="BB86" i="17"/>
  <c r="AX86" i="17"/>
  <c r="BK85" i="17"/>
  <c r="AX99" i="17"/>
  <c r="BA98" i="17"/>
  <c r="BB85" i="17"/>
  <c r="BA82" i="17"/>
  <c r="BB81" i="17"/>
  <c r="BB72" i="17"/>
  <c r="AX72" i="17"/>
  <c r="BA69" i="17"/>
  <c r="BB68" i="17"/>
  <c r="AX68" i="17"/>
  <c r="BA65" i="17"/>
  <c r="BB64" i="17"/>
  <c r="AX64" i="17"/>
  <c r="BA61" i="17"/>
  <c r="BB60" i="17"/>
  <c r="AX60" i="17"/>
  <c r="BA57" i="17"/>
  <c r="BB56" i="17"/>
  <c r="AX56" i="17"/>
  <c r="BA53" i="17"/>
  <c r="BB52" i="17"/>
  <c r="AX52" i="17"/>
  <c r="BA49" i="17"/>
  <c r="BB97" i="17"/>
  <c r="BB90" i="17"/>
  <c r="AX82" i="17"/>
  <c r="BB77" i="17"/>
  <c r="AX76" i="17"/>
  <c r="BA72" i="17"/>
  <c r="BA68" i="17"/>
  <c r="BA64" i="17"/>
  <c r="BA60" i="17"/>
  <c r="BA56" i="17"/>
  <c r="BA52" i="17"/>
  <c r="BA46" i="17"/>
  <c r="BA42" i="17"/>
  <c r="BA38" i="17"/>
  <c r="BA34" i="17"/>
  <c r="BA30" i="17"/>
  <c r="BA26" i="17"/>
  <c r="BA22" i="17"/>
  <c r="BA18" i="17"/>
  <c r="BA14" i="17"/>
  <c r="BA145" i="17"/>
  <c r="BA101" i="17"/>
  <c r="BK98" i="17"/>
  <c r="BA91" i="17"/>
  <c r="AX90" i="17"/>
  <c r="AX85" i="17"/>
  <c r="AX81" i="17"/>
  <c r="BB76" i="17"/>
  <c r="BD4" i="17"/>
  <c r="BL4" i="17"/>
  <c r="AX5" i="17"/>
  <c r="BK7" i="17"/>
  <c r="AI8" i="17"/>
  <c r="AI10" i="17"/>
  <c r="BB10" i="17"/>
  <c r="BK11" i="17"/>
  <c r="AI12" i="17"/>
  <c r="BK13" i="17"/>
  <c r="BB17" i="17"/>
  <c r="AX21" i="17"/>
  <c r="BC22" i="17"/>
  <c r="BL25" i="17"/>
  <c r="AY26" i="17"/>
  <c r="BL30" i="17"/>
  <c r="BL33" i="17"/>
  <c r="AY34" i="17"/>
  <c r="BA36" i="17"/>
  <c r="BC38" i="17"/>
  <c r="BB39" i="17"/>
  <c r="AX39" i="17"/>
  <c r="BA39" i="17"/>
  <c r="AX45" i="17"/>
  <c r="AY2" i="17"/>
  <c r="BC2" i="17"/>
  <c r="BA3" i="17"/>
  <c r="AY4" i="17"/>
  <c r="BC4" i="17"/>
  <c r="BA5" i="17"/>
  <c r="BA6" i="17"/>
  <c r="BK6" i="17"/>
  <c r="AH7" i="17"/>
  <c r="BB7" i="17"/>
  <c r="AX7" i="17"/>
  <c r="AY7" i="17"/>
  <c r="BD7" i="17"/>
  <c r="BA8" i="17"/>
  <c r="BK8" i="17"/>
  <c r="AH9" i="17"/>
  <c r="BB9" i="17"/>
  <c r="AX9" i="17"/>
  <c r="AY9" i="17"/>
  <c r="BD9" i="17"/>
  <c r="BA10" i="17"/>
  <c r="AH11" i="17"/>
  <c r="BB11" i="17"/>
  <c r="AX11" i="17"/>
  <c r="AY11" i="17"/>
  <c r="BD11" i="17"/>
  <c r="BA12" i="17"/>
  <c r="BK12" i="17"/>
  <c r="AH13" i="17"/>
  <c r="BB13" i="17"/>
  <c r="AX13" i="17"/>
  <c r="AY13" i="17"/>
  <c r="BD13" i="17"/>
  <c r="BB14" i="17"/>
  <c r="BC15" i="17"/>
  <c r="BK15" i="17"/>
  <c r="BK16" i="17"/>
  <c r="BC16" i="17"/>
  <c r="AY16" i="17"/>
  <c r="BB16" i="17"/>
  <c r="AX16" i="17"/>
  <c r="BD16" i="17"/>
  <c r="BA17" i="17"/>
  <c r="AX18" i="17"/>
  <c r="AY19" i="17"/>
  <c r="BB22" i="17"/>
  <c r="BC23" i="17"/>
  <c r="BK23" i="17"/>
  <c r="BK24" i="17"/>
  <c r="BC24" i="17"/>
  <c r="AY24" i="17"/>
  <c r="BB24" i="17"/>
  <c r="AX24" i="17"/>
  <c r="BD24" i="17"/>
  <c r="BA25" i="17"/>
  <c r="AX26" i="17"/>
  <c r="AY27" i="17"/>
  <c r="BB30" i="17"/>
  <c r="BC31" i="17"/>
  <c r="BK31" i="17"/>
  <c r="BC32" i="17"/>
  <c r="AY32" i="17"/>
  <c r="BB32" i="17"/>
  <c r="AX32" i="17"/>
  <c r="BD32" i="17"/>
  <c r="BA33" i="17"/>
  <c r="AX34" i="17"/>
  <c r="AY35" i="17"/>
  <c r="BB38" i="17"/>
  <c r="BC39" i="17"/>
  <c r="BK40" i="17"/>
  <c r="BC40" i="17"/>
  <c r="AY40" i="17"/>
  <c r="BB40" i="17"/>
  <c r="AX40" i="17"/>
  <c r="BD40" i="17"/>
  <c r="BA41" i="17"/>
  <c r="AX42" i="17"/>
  <c r="AY43" i="17"/>
  <c r="BB46" i="17"/>
  <c r="BC47" i="17"/>
  <c r="BK47" i="17"/>
  <c r="AY48" i="17"/>
  <c r="BK52" i="17"/>
  <c r="BB53" i="17"/>
  <c r="BL54" i="17"/>
  <c r="BA54" i="17"/>
  <c r="BL55" i="17"/>
  <c r="AX57" i="17"/>
  <c r="BL60" i="17"/>
  <c r="BC60" i="17"/>
  <c r="BK63" i="17"/>
  <c r="BC63" i="17"/>
  <c r="AY63" i="17"/>
  <c r="BB63" i="17"/>
  <c r="AX63" i="17"/>
  <c r="BA63" i="17"/>
  <c r="BD63" i="17"/>
  <c r="AY64" i="17"/>
  <c r="BK68" i="17"/>
  <c r="BL69" i="17"/>
  <c r="BB69" i="17"/>
  <c r="BL70" i="17"/>
  <c r="BA70" i="17"/>
  <c r="BL71" i="17"/>
  <c r="BB73" i="17"/>
  <c r="BK74" i="17"/>
  <c r="BC75" i="17"/>
  <c r="BK79" i="17"/>
  <c r="BC79" i="17"/>
  <c r="AY79" i="17"/>
  <c r="BB79" i="17"/>
  <c r="AX79" i="17"/>
  <c r="BA79" i="17"/>
  <c r="BC81" i="17"/>
  <c r="BB82" i="17"/>
  <c r="BL83" i="17"/>
  <c r="BD8" i="17"/>
  <c r="BD10" i="17"/>
  <c r="BD12" i="17"/>
  <c r="BD14" i="17"/>
  <c r="AY17" i="17"/>
  <c r="BC17" i="17"/>
  <c r="BD18" i="17"/>
  <c r="AY21" i="17"/>
  <c r="BC21" i="17"/>
  <c r="BK21" i="17"/>
  <c r="BD22" i="17"/>
  <c r="AY25" i="17"/>
  <c r="BC25" i="17"/>
  <c r="BK25" i="17"/>
  <c r="BD26" i="17"/>
  <c r="AY29" i="17"/>
  <c r="BC29" i="17"/>
  <c r="BD30" i="17"/>
  <c r="AY33" i="17"/>
  <c r="BC33" i="17"/>
  <c r="BK33" i="17"/>
  <c r="BD34" i="17"/>
  <c r="AY37" i="17"/>
  <c r="BC37" i="17"/>
  <c r="BK37" i="17"/>
  <c r="BD38" i="17"/>
  <c r="AY41" i="17"/>
  <c r="BC41" i="17"/>
  <c r="BD42" i="17"/>
  <c r="AY45" i="17"/>
  <c r="BC45" i="17"/>
  <c r="BD46" i="17"/>
  <c r="AY49" i="17"/>
  <c r="BC49" i="17"/>
  <c r="BK49" i="17"/>
  <c r="AX50" i="17"/>
  <c r="BB50" i="17"/>
  <c r="BD52" i="17"/>
  <c r="AY53" i="17"/>
  <c r="BC53" i="17"/>
  <c r="AX54" i="17"/>
  <c r="BB54" i="17"/>
  <c r="BD56" i="17"/>
  <c r="AY57" i="17"/>
  <c r="BC57" i="17"/>
  <c r="BK57" i="17"/>
  <c r="AX58" i="17"/>
  <c r="BB58" i="17"/>
  <c r="BD60" i="17"/>
  <c r="AY61" i="17"/>
  <c r="BC61" i="17"/>
  <c r="BK61" i="17"/>
  <c r="AX62" i="17"/>
  <c r="BB62" i="17"/>
  <c r="BD64" i="17"/>
  <c r="AY65" i="17"/>
  <c r="BC65" i="17"/>
  <c r="BK65" i="17"/>
  <c r="AX66" i="17"/>
  <c r="BB66" i="17"/>
  <c r="BD68" i="17"/>
  <c r="AY69" i="17"/>
  <c r="BC69" i="17"/>
  <c r="BK69" i="17"/>
  <c r="AX70" i="17"/>
  <c r="BB70" i="17"/>
  <c r="BL72" i="17"/>
  <c r="BD72" i="17"/>
  <c r="BA73" i="17"/>
  <c r="BL73" i="17"/>
  <c r="BA74" i="17"/>
  <c r="BL74" i="17"/>
  <c r="AX75" i="17"/>
  <c r="BA77" i="17"/>
  <c r="BC80" i="17"/>
  <c r="BC84" i="17"/>
  <c r="BL91" i="17"/>
  <c r="BK93" i="17"/>
  <c r="BC93" i="17"/>
  <c r="AY93" i="17"/>
  <c r="BB93" i="17"/>
  <c r="AX93" i="17"/>
  <c r="BA93" i="17"/>
  <c r="BD93" i="17"/>
  <c r="BC96" i="17"/>
  <c r="BB99" i="17"/>
  <c r="BC102" i="17"/>
  <c r="AY102" i="17"/>
  <c r="BA102" i="17"/>
  <c r="BB102" i="17"/>
  <c r="AX102" i="17"/>
  <c r="BC110" i="17"/>
  <c r="AY110" i="17"/>
  <c r="BB110" i="17"/>
  <c r="AX110" i="17"/>
  <c r="BA110" i="17"/>
  <c r="BL110" i="17"/>
  <c r="BC118" i="17"/>
  <c r="AY118" i="17"/>
  <c r="BB118" i="17"/>
  <c r="AX118" i="17"/>
  <c r="BA118" i="17"/>
  <c r="BL118" i="17"/>
  <c r="BD17" i="17"/>
  <c r="BD21" i="17"/>
  <c r="BD25" i="17"/>
  <c r="BD29" i="17"/>
  <c r="BD33" i="17"/>
  <c r="BD37" i="17"/>
  <c r="BD41" i="17"/>
  <c r="BD45" i="17"/>
  <c r="BD49" i="17"/>
  <c r="AY50" i="17"/>
  <c r="BC50" i="17"/>
  <c r="BK50" i="17"/>
  <c r="BD53" i="17"/>
  <c r="AY54" i="17"/>
  <c r="BC54" i="17"/>
  <c r="BK54" i="17"/>
  <c r="BD57" i="17"/>
  <c r="AY58" i="17"/>
  <c r="BC58" i="17"/>
  <c r="BD61" i="17"/>
  <c r="AY62" i="17"/>
  <c r="BC62" i="17"/>
  <c r="BK62" i="17"/>
  <c r="BD65" i="17"/>
  <c r="AY66" i="17"/>
  <c r="BC66" i="17"/>
  <c r="BK66" i="17"/>
  <c r="BD69" i="17"/>
  <c r="AY70" i="17"/>
  <c r="BC70" i="17"/>
  <c r="BK70" i="17"/>
  <c r="BA75" i="17"/>
  <c r="AY75" i="17"/>
  <c r="BD75" i="17"/>
  <c r="BL76" i="17"/>
  <c r="BB80" i="17"/>
  <c r="AX80" i="17"/>
  <c r="BA80" i="17"/>
  <c r="BD80" i="17"/>
  <c r="BB84" i="17"/>
  <c r="AX84" i="17"/>
  <c r="BA84" i="17"/>
  <c r="BD84" i="17"/>
  <c r="BL84" i="17"/>
  <c r="BB94" i="17"/>
  <c r="BD110" i="17"/>
  <c r="BD118" i="17"/>
  <c r="BD50" i="17"/>
  <c r="BD54" i="17"/>
  <c r="BD58" i="17"/>
  <c r="BD62" i="17"/>
  <c r="BD66" i="17"/>
  <c r="BD70" i="17"/>
  <c r="BK73" i="17"/>
  <c r="BC73" i="17"/>
  <c r="AY73" i="17"/>
  <c r="AX73" i="17"/>
  <c r="BD73" i="17"/>
  <c r="BB74" i="17"/>
  <c r="AX74" i="17"/>
  <c r="AY74" i="17"/>
  <c r="BD74" i="17"/>
  <c r="BC77" i="17"/>
  <c r="AY77" i="17"/>
  <c r="AX77" i="17"/>
  <c r="BD77" i="17"/>
  <c r="BC78" i="17"/>
  <c r="BB78" i="17"/>
  <c r="AX78" i="17"/>
  <c r="AY78" i="17"/>
  <c r="AY80" i="17"/>
  <c r="AY84" i="17"/>
  <c r="BC88" i="17"/>
  <c r="AY88" i="17"/>
  <c r="BB88" i="17"/>
  <c r="AX88" i="17"/>
  <c r="BA88" i="17"/>
  <c r="BD88" i="17"/>
  <c r="BC106" i="17"/>
  <c r="AY106" i="17"/>
  <c r="BB106" i="17"/>
  <c r="AX106" i="17"/>
  <c r="BA106" i="17"/>
  <c r="BC114" i="17"/>
  <c r="AY114" i="17"/>
  <c r="BB114" i="17"/>
  <c r="AX114" i="17"/>
  <c r="BA114" i="17"/>
  <c r="BD89" i="17"/>
  <c r="BD94" i="17"/>
  <c r="BK95" i="17"/>
  <c r="BC95" i="17"/>
  <c r="AY95" i="17"/>
  <c r="BA95" i="17"/>
  <c r="BL95" i="17"/>
  <c r="BL101" i="17"/>
  <c r="BL107" i="17"/>
  <c r="BL115" i="17"/>
  <c r="BL119" i="17"/>
  <c r="BL121" i="17"/>
  <c r="BK122" i="17"/>
  <c r="BC122" i="17"/>
  <c r="AY122" i="17"/>
  <c r="BB122" i="17"/>
  <c r="AX122" i="17"/>
  <c r="BA122" i="17"/>
  <c r="BD122" i="17"/>
  <c r="BL123" i="17"/>
  <c r="BD76" i="17"/>
  <c r="BD81" i="17"/>
  <c r="AY82" i="17"/>
  <c r="BC82" i="17"/>
  <c r="BD85" i="17"/>
  <c r="AY86" i="17"/>
  <c r="BC86" i="17"/>
  <c r="BK86" i="17"/>
  <c r="AY87" i="17"/>
  <c r="BC87" i="17"/>
  <c r="BA89" i="17"/>
  <c r="BD90" i="17"/>
  <c r="AY91" i="17"/>
  <c r="BC91" i="17"/>
  <c r="BK91" i="17"/>
  <c r="BA94" i="17"/>
  <c r="BB95" i="17"/>
  <c r="BA97" i="17"/>
  <c r="AY97" i="17"/>
  <c r="BD97" i="17"/>
  <c r="BL98" i="17"/>
  <c r="BA100" i="17"/>
  <c r="BK100" i="17"/>
  <c r="BC100" i="17"/>
  <c r="AY100" i="17"/>
  <c r="BD100" i="17"/>
  <c r="BL100" i="17"/>
  <c r="BA104" i="17"/>
  <c r="BD104" i="17"/>
  <c r="BK104" i="17"/>
  <c r="BC104" i="17"/>
  <c r="AY104" i="17"/>
  <c r="AX104" i="17"/>
  <c r="BL105" i="17"/>
  <c r="BL109" i="17"/>
  <c r="BA120" i="17"/>
  <c r="BL124" i="17"/>
  <c r="BB127" i="17"/>
  <c r="AX127" i="17"/>
  <c r="BC127" i="17"/>
  <c r="BL127" i="17"/>
  <c r="BA127" i="17"/>
  <c r="BK127" i="17"/>
  <c r="BK132" i="17"/>
  <c r="BD82" i="17"/>
  <c r="BD86" i="17"/>
  <c r="BD87" i="17"/>
  <c r="AX89" i="17"/>
  <c r="BD91" i="17"/>
  <c r="AX94" i="17"/>
  <c r="AX95" i="17"/>
  <c r="BD95" i="17"/>
  <c r="BB96" i="17"/>
  <c r="AX96" i="17"/>
  <c r="AY96" i="17"/>
  <c r="BD96" i="17"/>
  <c r="BA99" i="17"/>
  <c r="BK99" i="17"/>
  <c r="BC99" i="17"/>
  <c r="AY99" i="17"/>
  <c r="BD99" i="17"/>
  <c r="BL99" i="17"/>
  <c r="BL103" i="17"/>
  <c r="BA108" i="17"/>
  <c r="BA112" i="17"/>
  <c r="BA116" i="17"/>
  <c r="BL126" i="17"/>
  <c r="BK128" i="17"/>
  <c r="BD98" i="17"/>
  <c r="AX101" i="17"/>
  <c r="BB101" i="17"/>
  <c r="BD103" i="17"/>
  <c r="AX105" i="17"/>
  <c r="BB105" i="17"/>
  <c r="BD107" i="17"/>
  <c r="AY108" i="17"/>
  <c r="BC108" i="17"/>
  <c r="BK108" i="17"/>
  <c r="AX109" i="17"/>
  <c r="BB109" i="17"/>
  <c r="BD111" i="17"/>
  <c r="AY112" i="17"/>
  <c r="BC112" i="17"/>
  <c r="AX113" i="17"/>
  <c r="BB113" i="17"/>
  <c r="BD115" i="17"/>
  <c r="AY116" i="17"/>
  <c r="BC116" i="17"/>
  <c r="AX117" i="17"/>
  <c r="BB117" i="17"/>
  <c r="BD119" i="17"/>
  <c r="AY120" i="17"/>
  <c r="BC120" i="17"/>
  <c r="AX121" i="17"/>
  <c r="BB121" i="17"/>
  <c r="BD123" i="17"/>
  <c r="BB124" i="17"/>
  <c r="BL125" i="17"/>
  <c r="BA126" i="17"/>
  <c r="BC128" i="17"/>
  <c r="BL130" i="17"/>
  <c r="BC132" i="17"/>
  <c r="BL134" i="17"/>
  <c r="BC136" i="17"/>
  <c r="BB139" i="17"/>
  <c r="AX139" i="17"/>
  <c r="BA139" i="17"/>
  <c r="AY139" i="17"/>
  <c r="BC139" i="17"/>
  <c r="BD108" i="17"/>
  <c r="BL108" i="17"/>
  <c r="BD112" i="17"/>
  <c r="BD116" i="17"/>
  <c r="BD120" i="17"/>
  <c r="BA124" i="17"/>
  <c r="AX124" i="17"/>
  <c r="BC124" i="17"/>
  <c r="BL129" i="17"/>
  <c r="BB132" i="17"/>
  <c r="AX132" i="17"/>
  <c r="BA132" i="17"/>
  <c r="BD132" i="17"/>
  <c r="BL132" i="17"/>
  <c r="BL133" i="17"/>
  <c r="BB136" i="17"/>
  <c r="AX136" i="17"/>
  <c r="BA136" i="17"/>
  <c r="BD136" i="17"/>
  <c r="BB138" i="17"/>
  <c r="BD101" i="17"/>
  <c r="BD105" i="17"/>
  <c r="BD109" i="17"/>
  <c r="BD113" i="17"/>
  <c r="BD117" i="17"/>
  <c r="BD121" i="17"/>
  <c r="AY124" i="17"/>
  <c r="BD124" i="17"/>
  <c r="BK126" i="17"/>
  <c r="BC126" i="17"/>
  <c r="AY126" i="17"/>
  <c r="AX126" i="17"/>
  <c r="BD126" i="17"/>
  <c r="BB128" i="17"/>
  <c r="BA128" i="17"/>
  <c r="AY128" i="17"/>
  <c r="BK131" i="17"/>
  <c r="BC131" i="17"/>
  <c r="AY131" i="17"/>
  <c r="BB131" i="17"/>
  <c r="AX131" i="17"/>
  <c r="BD131" i="17"/>
  <c r="BL131" i="17"/>
  <c r="AY132" i="17"/>
  <c r="BK135" i="17"/>
  <c r="BC135" i="17"/>
  <c r="AY135" i="17"/>
  <c r="BB135" i="17"/>
  <c r="AX135" i="17"/>
  <c r="BD135" i="17"/>
  <c r="AY136" i="17"/>
  <c r="BA140" i="17"/>
  <c r="BL145" i="17"/>
  <c r="BB143" i="17"/>
  <c r="AX143" i="17"/>
  <c r="BA143" i="17"/>
  <c r="BD143" i="17"/>
  <c r="BA144" i="17"/>
  <c r="BK146" i="17"/>
  <c r="BC146" i="17"/>
  <c r="AY146" i="17"/>
  <c r="BB146" i="17"/>
  <c r="AX146" i="17"/>
  <c r="BA146" i="17"/>
  <c r="BD146" i="17"/>
  <c r="BB147" i="17"/>
  <c r="BL149" i="17"/>
  <c r="BL156" i="17"/>
  <c r="BD125" i="17"/>
  <c r="BD129" i="17"/>
  <c r="AY130" i="17"/>
  <c r="BC130" i="17"/>
  <c r="BK130" i="17"/>
  <c r="BD133" i="17"/>
  <c r="AY134" i="17"/>
  <c r="BC134" i="17"/>
  <c r="BK134" i="17"/>
  <c r="BK142" i="17"/>
  <c r="BC142" i="17"/>
  <c r="AY142" i="17"/>
  <c r="BB142" i="17"/>
  <c r="AX142" i="17"/>
  <c r="BD142" i="17"/>
  <c r="BL142" i="17"/>
  <c r="AY143" i="17"/>
  <c r="BA148" i="17"/>
  <c r="BK150" i="17"/>
  <c r="BC150" i="17"/>
  <c r="AY150" i="17"/>
  <c r="BB150" i="17"/>
  <c r="AX150" i="17"/>
  <c r="BA150" i="17"/>
  <c r="BD150" i="17"/>
  <c r="BK157" i="17"/>
  <c r="BC157" i="17"/>
  <c r="AY157" i="17"/>
  <c r="BA157" i="17"/>
  <c r="BB157" i="17"/>
  <c r="AX157" i="17"/>
  <c r="BD130" i="17"/>
  <c r="BD134" i="17"/>
  <c r="BC138" i="17"/>
  <c r="AY138" i="17"/>
  <c r="AX138" i="17"/>
  <c r="BD138" i="17"/>
  <c r="BL146" i="17"/>
  <c r="BD147" i="17"/>
  <c r="BL147" i="17"/>
  <c r="BK151" i="17"/>
  <c r="BC151" i="17"/>
  <c r="AY151" i="17"/>
  <c r="AX151" i="17"/>
  <c r="BD151" i="17"/>
  <c r="BA153" i="17"/>
  <c r="AY153" i="17"/>
  <c r="BD153" i="17"/>
  <c r="BD140" i="17"/>
  <c r="BL140" i="17"/>
  <c r="BD144" i="17"/>
  <c r="BL144" i="17"/>
  <c r="BA147" i="17"/>
  <c r="BD148" i="17"/>
  <c r="BL148" i="17"/>
  <c r="BB152" i="17"/>
  <c r="AX152" i="17"/>
  <c r="AY152" i="17"/>
  <c r="BD152" i="17"/>
  <c r="BK153" i="17"/>
  <c r="BA155" i="17"/>
  <c r="BK155" i="17"/>
  <c r="BC155" i="17"/>
  <c r="AY155" i="17"/>
  <c r="BD155" i="17"/>
  <c r="BD137" i="17"/>
  <c r="BD141" i="17"/>
  <c r="BD145" i="17"/>
  <c r="AX147" i="17"/>
  <c r="BD149" i="17"/>
  <c r="BA151" i="17"/>
  <c r="BL151" i="17"/>
  <c r="BK152" i="17"/>
  <c r="BB153" i="17"/>
  <c r="BL153" i="17"/>
  <c r="BL154" i="17"/>
  <c r="AX155" i="17"/>
  <c r="BD154" i="17"/>
  <c r="AX156" i="17"/>
  <c r="BB156" i="17"/>
  <c r="BD156" i="17"/>
  <c r="N72" i="10"/>
  <c r="BE64" i="17" l="1"/>
  <c r="W33" i="17"/>
  <c r="BM144" i="17"/>
  <c r="BE148" i="17"/>
  <c r="U28" i="17"/>
  <c r="W28" i="17" s="1"/>
  <c r="BE109" i="17"/>
  <c r="U20" i="17"/>
  <c r="W20" i="17" s="1"/>
  <c r="BE140" i="17"/>
  <c r="W17" i="17"/>
  <c r="V17" i="17"/>
  <c r="U4" i="17"/>
  <c r="W251" i="17"/>
  <c r="W133" i="17"/>
  <c r="V229" i="17"/>
  <c r="W45" i="17"/>
  <c r="V237" i="17"/>
  <c r="U107" i="17"/>
  <c r="U12" i="17"/>
  <c r="U62" i="17"/>
  <c r="W62" i="17" s="1"/>
  <c r="W189" i="17"/>
  <c r="W56" i="17"/>
  <c r="V240" i="17"/>
  <c r="V216" i="17"/>
  <c r="U2" i="17"/>
  <c r="W2" i="17" s="1"/>
  <c r="V44" i="17"/>
  <c r="V197" i="17"/>
  <c r="U196" i="17"/>
  <c r="W196" i="17" s="1"/>
  <c r="U46" i="17"/>
  <c r="W46" i="17" s="1"/>
  <c r="W72" i="17"/>
  <c r="V205" i="17"/>
  <c r="V20" i="17"/>
  <c r="W170" i="17"/>
  <c r="V170" i="17"/>
  <c r="V226" i="17"/>
  <c r="W226" i="17"/>
  <c r="W13" i="17"/>
  <c r="V13" i="17"/>
  <c r="V186" i="17"/>
  <c r="W186" i="17"/>
  <c r="V210" i="17"/>
  <c r="W210" i="17"/>
  <c r="V206" i="17"/>
  <c r="W206" i="17"/>
  <c r="U50" i="17"/>
  <c r="W50" i="17" s="1"/>
  <c r="U38" i="17"/>
  <c r="W38" i="17" s="1"/>
  <c r="W234" i="17"/>
  <c r="V276" i="17"/>
  <c r="U10" i="17"/>
  <c r="W10" i="17" s="1"/>
  <c r="V188" i="17"/>
  <c r="W29" i="17"/>
  <c r="V192" i="17"/>
  <c r="V184" i="17"/>
  <c r="U80" i="17"/>
  <c r="V80" i="17" s="1"/>
  <c r="U84" i="17"/>
  <c r="U101" i="17"/>
  <c r="V101" i="17" s="1"/>
  <c r="W246" i="17"/>
  <c r="V232" i="17"/>
  <c r="W113" i="17"/>
  <c r="W227" i="17"/>
  <c r="W259" i="17"/>
  <c r="U220" i="17"/>
  <c r="W220" i="17" s="1"/>
  <c r="U212" i="17"/>
  <c r="W212" i="17" s="1"/>
  <c r="U78" i="17"/>
  <c r="W78" i="17" s="1"/>
  <c r="U3" i="17"/>
  <c r="U18" i="17"/>
  <c r="W18" i="17" s="1"/>
  <c r="BE30" i="17"/>
  <c r="BE19" i="17"/>
  <c r="BE117" i="17"/>
  <c r="BE154" i="17"/>
  <c r="BM71" i="17"/>
  <c r="BE98" i="17"/>
  <c r="BE143" i="17"/>
  <c r="BE137" i="17"/>
  <c r="BM30" i="17"/>
  <c r="BE72" i="17"/>
  <c r="BE107" i="17"/>
  <c r="BE93" i="17"/>
  <c r="BE74" i="17"/>
  <c r="BG102" i="17"/>
  <c r="BM99" i="17"/>
  <c r="BM67" i="17"/>
  <c r="BE63" i="17"/>
  <c r="BE88" i="17"/>
  <c r="V3" i="17"/>
  <c r="W3" i="17"/>
  <c r="BG2" i="17"/>
  <c r="BE14" i="17"/>
  <c r="BE136" i="17"/>
  <c r="BE79" i="17"/>
  <c r="BE12" i="17"/>
  <c r="BE92" i="17"/>
  <c r="BE106" i="17"/>
  <c r="BE90" i="17"/>
  <c r="BE59" i="17"/>
  <c r="BE51" i="17"/>
  <c r="BE150" i="17"/>
  <c r="BE89" i="17"/>
  <c r="BE8" i="17"/>
  <c r="BE5" i="17"/>
  <c r="BE56" i="17"/>
  <c r="BE132" i="17"/>
  <c r="BE83" i="17"/>
  <c r="BE123" i="17"/>
  <c r="BE32" i="17"/>
  <c r="BM100" i="17"/>
  <c r="BG106" i="17"/>
  <c r="BE6" i="17"/>
  <c r="BE3" i="17"/>
  <c r="BE9" i="17"/>
  <c r="W68" i="17"/>
  <c r="V64" i="17"/>
  <c r="W53" i="17"/>
  <c r="U112" i="17"/>
  <c r="U116" i="17"/>
  <c r="W48" i="17"/>
  <c r="U65" i="17"/>
  <c r="V65" i="17" s="1"/>
  <c r="U66" i="17"/>
  <c r="W66" i="17" s="1"/>
  <c r="U76" i="17"/>
  <c r="U108" i="17"/>
  <c r="W108" i="17" s="1"/>
  <c r="V8" i="17"/>
  <c r="W8" i="17"/>
  <c r="V40" i="17"/>
  <c r="W40" i="17"/>
  <c r="V198" i="17"/>
  <c r="W198" i="17"/>
  <c r="V202" i="17"/>
  <c r="W202" i="17"/>
  <c r="W12" i="17"/>
  <c r="V12" i="17"/>
  <c r="V178" i="17"/>
  <c r="W178" i="17"/>
  <c r="W112" i="17"/>
  <c r="V112" i="17"/>
  <c r="W16" i="17"/>
  <c r="V16" i="17"/>
  <c r="V182" i="17"/>
  <c r="W182" i="17"/>
  <c r="W272" i="17"/>
  <c r="V272" i="17"/>
  <c r="V24" i="17"/>
  <c r="W24" i="17"/>
  <c r="V97" i="17"/>
  <c r="W97" i="17"/>
  <c r="W4" i="17"/>
  <c r="V4" i="17"/>
  <c r="V36" i="17"/>
  <c r="W36" i="17"/>
  <c r="V194" i="17"/>
  <c r="W194" i="17"/>
  <c r="W32" i="17"/>
  <c r="W250" i="17"/>
  <c r="W117" i="17"/>
  <c r="W81" i="17"/>
  <c r="V115" i="17"/>
  <c r="W185" i="17"/>
  <c r="U148" i="17"/>
  <c r="W148" i="17" s="1"/>
  <c r="U136" i="17"/>
  <c r="W279" i="17"/>
  <c r="W60" i="17"/>
  <c r="W254" i="17"/>
  <c r="W274" i="17"/>
  <c r="V292" i="17"/>
  <c r="V85" i="17"/>
  <c r="W129" i="17"/>
  <c r="U132" i="17"/>
  <c r="U124" i="17"/>
  <c r="U156" i="17"/>
  <c r="U191" i="17"/>
  <c r="W258" i="17"/>
  <c r="W282" i="17"/>
  <c r="V152" i="17"/>
  <c r="V224" i="17"/>
  <c r="V96" i="17"/>
  <c r="W96" i="17"/>
  <c r="V109" i="17"/>
  <c r="W109" i="17"/>
  <c r="U105" i="17"/>
  <c r="V278" i="17"/>
  <c r="W278" i="17"/>
  <c r="V294" i="17"/>
  <c r="W294" i="17"/>
  <c r="V298" i="17"/>
  <c r="W298" i="17"/>
  <c r="V286" i="17"/>
  <c r="W286" i="17"/>
  <c r="V302" i="17"/>
  <c r="W302" i="17"/>
  <c r="V290" i="17"/>
  <c r="W290" i="17"/>
  <c r="U180" i="17"/>
  <c r="U144" i="17"/>
  <c r="U176" i="17"/>
  <c r="U211" i="17"/>
  <c r="V134" i="17"/>
  <c r="U195" i="17"/>
  <c r="U120" i="17"/>
  <c r="U89" i="17"/>
  <c r="U140" i="17"/>
  <c r="U172" i="17"/>
  <c r="U207" i="17"/>
  <c r="U128" i="17"/>
  <c r="U160" i="17"/>
  <c r="U179" i="17"/>
  <c r="U100" i="17"/>
  <c r="U164" i="17"/>
  <c r="U183" i="17"/>
  <c r="U199" i="17"/>
  <c r="U168" i="17"/>
  <c r="U187" i="17"/>
  <c r="U203" i="17"/>
  <c r="U268" i="17"/>
  <c r="V236" i="17"/>
  <c r="W61" i="17"/>
  <c r="V196" i="17"/>
  <c r="W159" i="17"/>
  <c r="W151" i="17"/>
  <c r="BM121" i="17"/>
  <c r="BM83" i="17"/>
  <c r="BE40" i="17"/>
  <c r="BE43" i="17"/>
  <c r="BE35" i="17"/>
  <c r="BE27" i="17"/>
  <c r="BE13" i="17"/>
  <c r="U27" i="17"/>
  <c r="V27" i="17" s="1"/>
  <c r="U59" i="17"/>
  <c r="V59" i="17" s="1"/>
  <c r="U95" i="17"/>
  <c r="V95" i="17" s="1"/>
  <c r="U39" i="17"/>
  <c r="U71" i="17"/>
  <c r="U104" i="17"/>
  <c r="V104" i="17" s="1"/>
  <c r="U92" i="17"/>
  <c r="V92" i="17" s="1"/>
  <c r="BE48" i="17"/>
  <c r="U88" i="17"/>
  <c r="V2" i="17"/>
  <c r="U106" i="17"/>
  <c r="W106" i="17" s="1"/>
  <c r="U98" i="17"/>
  <c r="W98" i="17" s="1"/>
  <c r="U11" i="17"/>
  <c r="V11" i="17" s="1"/>
  <c r="U43" i="17"/>
  <c r="W43" i="17" s="1"/>
  <c r="U75" i="17"/>
  <c r="W75" i="17" s="1"/>
  <c r="U118" i="17"/>
  <c r="W118" i="17" s="1"/>
  <c r="U7" i="17"/>
  <c r="V7" i="17" s="1"/>
  <c r="V57" i="17"/>
  <c r="W57" i="17"/>
  <c r="V99" i="17"/>
  <c r="W99" i="17"/>
  <c r="V73" i="17"/>
  <c r="W73" i="17"/>
  <c r="V116" i="17"/>
  <c r="W116" i="17"/>
  <c r="V84" i="17"/>
  <c r="W84" i="17"/>
  <c r="V74" i="17"/>
  <c r="BG153" i="17"/>
  <c r="U110" i="17"/>
  <c r="W110" i="17" s="1"/>
  <c r="U82" i="17"/>
  <c r="W82" i="17" s="1"/>
  <c r="U114" i="17"/>
  <c r="W114" i="17" s="1"/>
  <c r="U15" i="17"/>
  <c r="V15" i="17" s="1"/>
  <c r="U47" i="17"/>
  <c r="V47" i="17" s="1"/>
  <c r="U79" i="17"/>
  <c r="V79" i="17" s="1"/>
  <c r="W5" i="17"/>
  <c r="W69" i="17"/>
  <c r="V42" i="17"/>
  <c r="U23" i="17"/>
  <c r="V23" i="17" s="1"/>
  <c r="U55" i="17"/>
  <c r="W55" i="17" s="1"/>
  <c r="U111" i="17"/>
  <c r="W111" i="17" s="1"/>
  <c r="W77" i="17"/>
  <c r="BM3" i="17"/>
  <c r="V10" i="17"/>
  <c r="W49" i="17"/>
  <c r="V6" i="17"/>
  <c r="BE24" i="17"/>
  <c r="V50" i="17"/>
  <c r="U31" i="17"/>
  <c r="W31" i="17" s="1"/>
  <c r="U63" i="17"/>
  <c r="W63" i="17" s="1"/>
  <c r="U102" i="17"/>
  <c r="W102" i="17" s="1"/>
  <c r="BE153" i="17"/>
  <c r="BG157" i="17"/>
  <c r="BE85" i="17"/>
  <c r="BE119" i="17"/>
  <c r="BE141" i="17"/>
  <c r="BM2" i="17"/>
  <c r="BE94" i="17"/>
  <c r="BE103" i="17"/>
  <c r="BE149" i="17"/>
  <c r="BE133" i="17"/>
  <c r="BM119" i="17"/>
  <c r="BE125" i="17"/>
  <c r="BE44" i="17"/>
  <c r="W261" i="17"/>
  <c r="V261" i="17"/>
  <c r="V299" i="17"/>
  <c r="W299" i="17"/>
  <c r="V253" i="17"/>
  <c r="W253" i="17"/>
  <c r="V75" i="17"/>
  <c r="V288" i="17"/>
  <c r="V111" i="17"/>
  <c r="V87" i="17"/>
  <c r="W87" i="17"/>
  <c r="U122" i="17"/>
  <c r="U94" i="17"/>
  <c r="U158" i="17"/>
  <c r="U19" i="17"/>
  <c r="U51" i="17"/>
  <c r="U86" i="17"/>
  <c r="U150" i="17"/>
  <c r="V14" i="17"/>
  <c r="V46" i="17"/>
  <c r="U267" i="17"/>
  <c r="U252" i="17"/>
  <c r="W277" i="17"/>
  <c r="V277" i="17"/>
  <c r="W297" i="17"/>
  <c r="V297" i="17"/>
  <c r="W143" i="17"/>
  <c r="W174" i="17"/>
  <c r="V228" i="17"/>
  <c r="V260" i="17"/>
  <c r="V38" i="17"/>
  <c r="V269" i="17"/>
  <c r="W269" i="17"/>
  <c r="V70" i="17"/>
  <c r="W123" i="17"/>
  <c r="V256" i="17"/>
  <c r="W295" i="17"/>
  <c r="V296" i="17"/>
  <c r="V305" i="17"/>
  <c r="W305" i="17"/>
  <c r="W135" i="17"/>
  <c r="W275" i="17"/>
  <c r="V103" i="17"/>
  <c r="W103" i="17"/>
  <c r="V163" i="17"/>
  <c r="W163" i="17"/>
  <c r="W171" i="17"/>
  <c r="V171" i="17"/>
  <c r="V225" i="17"/>
  <c r="W225" i="17"/>
  <c r="W139" i="17"/>
  <c r="G12" i="18"/>
  <c r="H12" i="18" s="1"/>
  <c r="V107" i="17"/>
  <c r="W107" i="17"/>
  <c r="V167" i="17"/>
  <c r="W167" i="17"/>
  <c r="V18" i="17"/>
  <c r="V63" i="17"/>
  <c r="V201" i="17"/>
  <c r="W201" i="17"/>
  <c r="W217" i="17"/>
  <c r="V217" i="17"/>
  <c r="W233" i="17"/>
  <c r="V233" i="17"/>
  <c r="V26" i="17"/>
  <c r="V58" i="17"/>
  <c r="V257" i="17"/>
  <c r="W257" i="17"/>
  <c r="V304" i="17"/>
  <c r="V39" i="17"/>
  <c r="W39" i="17"/>
  <c r="V71" i="17"/>
  <c r="W71" i="17"/>
  <c r="W303" i="17"/>
  <c r="V22" i="17"/>
  <c r="V130" i="17"/>
  <c r="V146" i="17"/>
  <c r="V204" i="17"/>
  <c r="V220" i="17"/>
  <c r="V142" i="17"/>
  <c r="V209" i="17"/>
  <c r="W209" i="17"/>
  <c r="V241" i="17"/>
  <c r="W241" i="17"/>
  <c r="W245" i="17"/>
  <c r="V245" i="17"/>
  <c r="W266" i="17"/>
  <c r="U90" i="17"/>
  <c r="V119" i="17"/>
  <c r="W119" i="17"/>
  <c r="U154" i="17"/>
  <c r="V91" i="17"/>
  <c r="W91" i="17"/>
  <c r="U126" i="17"/>
  <c r="U162" i="17"/>
  <c r="U67" i="17"/>
  <c r="U127" i="17"/>
  <c r="V34" i="17"/>
  <c r="V30" i="17"/>
  <c r="V62" i="17"/>
  <c r="U283" i="17"/>
  <c r="W249" i="17"/>
  <c r="V249" i="17"/>
  <c r="V54" i="17"/>
  <c r="V138" i="17"/>
  <c r="V212" i="17"/>
  <c r="V244" i="17"/>
  <c r="W155" i="17"/>
  <c r="U248" i="17"/>
  <c r="V289" i="17"/>
  <c r="W289" i="17"/>
  <c r="V98" i="17"/>
  <c r="W291" i="17"/>
  <c r="W287" i="17"/>
  <c r="BM129" i="17"/>
  <c r="BM154" i="17"/>
  <c r="BE7" i="17"/>
  <c r="BE128" i="17"/>
  <c r="BM76" i="17"/>
  <c r="BM5" i="17"/>
  <c r="G4" i="18"/>
  <c r="M4" i="18" s="1"/>
  <c r="I4" i="18"/>
  <c r="K4" i="18" s="1"/>
  <c r="BM140" i="17"/>
  <c r="BM98" i="17"/>
  <c r="BE80" i="17"/>
  <c r="BE11" i="17"/>
  <c r="BM107" i="17"/>
  <c r="BM14" i="17"/>
  <c r="G2" i="18"/>
  <c r="H2" i="18" s="1"/>
  <c r="I7" i="18"/>
  <c r="K7" i="18" s="1"/>
  <c r="BM148" i="17"/>
  <c r="BM72" i="17"/>
  <c r="BE36" i="17"/>
  <c r="BE18" i="17"/>
  <c r="BE34" i="17"/>
  <c r="BE52" i="17"/>
  <c r="BE68" i="17"/>
  <c r="BE111" i="17"/>
  <c r="G6" i="18"/>
  <c r="M6" i="18" s="1"/>
  <c r="G11" i="18"/>
  <c r="H11" i="18" s="1"/>
  <c r="I6" i="18"/>
  <c r="K6" i="18" s="1"/>
  <c r="I12" i="18"/>
  <c r="K12" i="18" s="1"/>
  <c r="I9" i="18"/>
  <c r="K9" i="18" s="1"/>
  <c r="G3" i="18"/>
  <c r="M3" i="18" s="1"/>
  <c r="I5" i="18"/>
  <c r="K5" i="18" s="1"/>
  <c r="BM147" i="17"/>
  <c r="BE144" i="17"/>
  <c r="BG139" i="17"/>
  <c r="BG127" i="17"/>
  <c r="BE97" i="17"/>
  <c r="BE152" i="17"/>
  <c r="G8" i="18"/>
  <c r="H8" i="18" s="1"/>
  <c r="G7" i="18"/>
  <c r="M7" i="18" s="1"/>
  <c r="I8" i="18"/>
  <c r="K8" i="18" s="1"/>
  <c r="I11" i="18"/>
  <c r="K11" i="18" s="1"/>
  <c r="I3" i="18"/>
  <c r="K3" i="18" s="1"/>
  <c r="I10" i="18"/>
  <c r="K10" i="18" s="1"/>
  <c r="I2" i="18"/>
  <c r="K2" i="18" s="1"/>
  <c r="BM124" i="17"/>
  <c r="BE84" i="17"/>
  <c r="BM60" i="17"/>
  <c r="BE145" i="17"/>
  <c r="G10" i="18"/>
  <c r="H10" i="18" s="1"/>
  <c r="G5" i="18"/>
  <c r="M5" i="18" s="1"/>
  <c r="G9" i="18"/>
  <c r="H9" i="18" s="1"/>
  <c r="J2" i="18"/>
  <c r="L2" i="18" s="1"/>
  <c r="J3" i="18"/>
  <c r="L3" i="18" s="1"/>
  <c r="J10" i="18"/>
  <c r="J7" i="18"/>
  <c r="L7" i="18" s="1"/>
  <c r="J4" i="18"/>
  <c r="L4" i="18" s="1"/>
  <c r="J6" i="18"/>
  <c r="L6" i="18" s="1"/>
  <c r="J8" i="18"/>
  <c r="L8" i="18" s="1"/>
  <c r="J9" i="18"/>
  <c r="L9" i="18" s="1"/>
  <c r="J5" i="18"/>
  <c r="L5" i="18" s="1"/>
  <c r="J12" i="18"/>
  <c r="L12" i="18" s="1"/>
  <c r="J11" i="18"/>
  <c r="L11" i="18" s="1"/>
  <c r="G51" i="13"/>
  <c r="N6" i="18" s="1"/>
  <c r="G46" i="13"/>
  <c r="H46" i="13" s="1"/>
  <c r="G52" i="13"/>
  <c r="N8" i="18" s="1"/>
  <c r="BE10" i="17"/>
  <c r="BE101" i="17"/>
  <c r="BE115" i="17"/>
  <c r="BE156" i="17"/>
  <c r="G54" i="13"/>
  <c r="H54" i="13" s="1"/>
  <c r="G50" i="13"/>
  <c r="N9" i="18" s="1"/>
  <c r="M9" i="18"/>
  <c r="BE157" i="17"/>
  <c r="BE116" i="17"/>
  <c r="BE75" i="17"/>
  <c r="BE26" i="17"/>
  <c r="BE42" i="17"/>
  <c r="G53" i="13"/>
  <c r="H53" i="13" s="1"/>
  <c r="G44" i="13"/>
  <c r="H44" i="13" s="1"/>
  <c r="G49" i="13"/>
  <c r="H49" i="13" s="1"/>
  <c r="BG132" i="17"/>
  <c r="G47" i="13"/>
  <c r="N3" i="18" s="1"/>
  <c r="G48" i="13"/>
  <c r="N12" i="18" s="1"/>
  <c r="H43" i="13"/>
  <c r="N7" i="19" s="1"/>
  <c r="N2" i="18"/>
  <c r="H55" i="13"/>
  <c r="H45" i="13"/>
  <c r="M8" i="19"/>
  <c r="BG114" i="17"/>
  <c r="BG79" i="17"/>
  <c r="BG128" i="17"/>
  <c r="BG32" i="17"/>
  <c r="BG59" i="17"/>
  <c r="BG19" i="17"/>
  <c r="BG131" i="17"/>
  <c r="BG78" i="17"/>
  <c r="BG39" i="17"/>
  <c r="BM103" i="17"/>
  <c r="BM123" i="17"/>
  <c r="BG156" i="17"/>
  <c r="BM146" i="17"/>
  <c r="BM156" i="17"/>
  <c r="BE99" i="17"/>
  <c r="BG96" i="17"/>
  <c r="BE127" i="17"/>
  <c r="BE100" i="17"/>
  <c r="BG84" i="17"/>
  <c r="BG80" i="17"/>
  <c r="BE102" i="17"/>
  <c r="BE129" i="17"/>
  <c r="BG43" i="17"/>
  <c r="BG35" i="17"/>
  <c r="BG113" i="17"/>
  <c r="BE147" i="17"/>
  <c r="BG150" i="17"/>
  <c r="BM142" i="17"/>
  <c r="BM133" i="17"/>
  <c r="BM125" i="17"/>
  <c r="BE108" i="17"/>
  <c r="BM127" i="17"/>
  <c r="BE95" i="17"/>
  <c r="BG88" i="17"/>
  <c r="BG74" i="17"/>
  <c r="BM74" i="17"/>
  <c r="BE46" i="17"/>
  <c r="BE20" i="17"/>
  <c r="BG31" i="17"/>
  <c r="BM145" i="17"/>
  <c r="BG124" i="17"/>
  <c r="BE104" i="17"/>
  <c r="BG13" i="17"/>
  <c r="BG7" i="17"/>
  <c r="BE121" i="17"/>
  <c r="BE105" i="17"/>
  <c r="BE113" i="17"/>
  <c r="BG47" i="17"/>
  <c r="BM9" i="17"/>
  <c r="BM109" i="17"/>
  <c r="BM115" i="17"/>
  <c r="BM153" i="17"/>
  <c r="BM149" i="17"/>
  <c r="BM35" i="17"/>
  <c r="BM18" i="17"/>
  <c r="BM151" i="17"/>
  <c r="BM132" i="17"/>
  <c r="BM20" i="17"/>
  <c r="AO146" i="17"/>
  <c r="AZ146" i="17"/>
  <c r="AZ143" i="17"/>
  <c r="AZ131" i="17"/>
  <c r="AO131" i="17"/>
  <c r="AZ126" i="17"/>
  <c r="AO126" i="17"/>
  <c r="AO136" i="17"/>
  <c r="AZ136" i="17"/>
  <c r="AO124" i="17"/>
  <c r="AZ124" i="17"/>
  <c r="BE139" i="17"/>
  <c r="BM134" i="17"/>
  <c r="BM130" i="17"/>
  <c r="BE126" i="17"/>
  <c r="AZ121" i="17"/>
  <c r="AO121" i="17"/>
  <c r="AZ113" i="17"/>
  <c r="AZ105" i="17"/>
  <c r="BM126" i="17"/>
  <c r="AO95" i="17"/>
  <c r="AZ95" i="17"/>
  <c r="AZ127" i="17"/>
  <c r="AO127" i="17"/>
  <c r="AO104" i="17"/>
  <c r="AZ104" i="17"/>
  <c r="AZ114" i="17"/>
  <c r="AP88" i="17"/>
  <c r="BG94" i="17"/>
  <c r="AZ84" i="17"/>
  <c r="AO80" i="17"/>
  <c r="AZ80" i="17"/>
  <c r="AZ118" i="17"/>
  <c r="BE110" i="17"/>
  <c r="AP110" i="17"/>
  <c r="BG99" i="17"/>
  <c r="BG93" i="17"/>
  <c r="AZ75" i="17"/>
  <c r="BM73" i="17"/>
  <c r="BG70" i="17"/>
  <c r="BG62" i="17"/>
  <c r="BG54" i="17"/>
  <c r="AP33" i="17"/>
  <c r="AP17" i="17"/>
  <c r="BM69" i="17"/>
  <c r="BG63" i="17"/>
  <c r="BG53" i="17"/>
  <c r="BE33" i="17"/>
  <c r="AZ32" i="17"/>
  <c r="BG14" i="17"/>
  <c r="AZ9" i="17"/>
  <c r="AO9" i="17"/>
  <c r="AP7" i="17"/>
  <c r="AZ39" i="17"/>
  <c r="BM25" i="17"/>
  <c r="AO81" i="17"/>
  <c r="AZ81" i="17"/>
  <c r="AZ82" i="17"/>
  <c r="BG97" i="17"/>
  <c r="BE53" i="17"/>
  <c r="AO60" i="17"/>
  <c r="AZ60" i="17"/>
  <c r="BG64" i="17"/>
  <c r="BI64" i="17" s="1"/>
  <c r="BE69" i="17"/>
  <c r="BG81" i="17"/>
  <c r="AO99" i="17"/>
  <c r="AZ99" i="17"/>
  <c r="AZ87" i="17"/>
  <c r="BG91" i="17"/>
  <c r="BG100" i="17"/>
  <c r="AZ137" i="17"/>
  <c r="AO137" i="17"/>
  <c r="AO108" i="17"/>
  <c r="AZ108" i="17"/>
  <c r="AZ116" i="17"/>
  <c r="BE81" i="17"/>
  <c r="AO100" i="17"/>
  <c r="AZ100" i="17"/>
  <c r="BG108" i="17"/>
  <c r="BG116" i="17"/>
  <c r="BE138" i="17"/>
  <c r="BG130" i="17"/>
  <c r="BG126" i="17"/>
  <c r="BG103" i="17"/>
  <c r="BG111" i="17"/>
  <c r="BG119" i="17"/>
  <c r="AZ134" i="17"/>
  <c r="AO134" i="17"/>
  <c r="BE142" i="17"/>
  <c r="BG148" i="17"/>
  <c r="AZ145" i="17"/>
  <c r="AO145" i="17"/>
  <c r="AP152" i="17"/>
  <c r="AP157" i="17"/>
  <c r="AP142" i="17"/>
  <c r="BE155" i="17"/>
  <c r="AZ151" i="17"/>
  <c r="AO151" i="17"/>
  <c r="AP150" i="17"/>
  <c r="AP134" i="17"/>
  <c r="BG146" i="17"/>
  <c r="BG143" i="17"/>
  <c r="BM131" i="17"/>
  <c r="AP128" i="17"/>
  <c r="BG136" i="17"/>
  <c r="BM108" i="17"/>
  <c r="AP139" i="17"/>
  <c r="BG117" i="17"/>
  <c r="BG109" i="17"/>
  <c r="BG101" i="17"/>
  <c r="AP99" i="17"/>
  <c r="AP100" i="17"/>
  <c r="AP97" i="17"/>
  <c r="AO122" i="17"/>
  <c r="AZ122" i="17"/>
  <c r="AZ77" i="17"/>
  <c r="AP73" i="17"/>
  <c r="AP66" i="17"/>
  <c r="AP50" i="17"/>
  <c r="BG118" i="17"/>
  <c r="AP102" i="17"/>
  <c r="BM91" i="17"/>
  <c r="BE77" i="17"/>
  <c r="BE73" i="17"/>
  <c r="AZ70" i="17"/>
  <c r="AO70" i="17"/>
  <c r="AP69" i="17"/>
  <c r="AZ62" i="17"/>
  <c r="AO62" i="17"/>
  <c r="AP61" i="17"/>
  <c r="AZ54" i="17"/>
  <c r="AO54" i="17"/>
  <c r="AP45" i="17"/>
  <c r="AP79" i="17"/>
  <c r="BG73" i="17"/>
  <c r="BE70" i="17"/>
  <c r="AP64" i="17"/>
  <c r="AP63" i="17"/>
  <c r="AO42" i="17"/>
  <c r="AZ42" i="17"/>
  <c r="BG38" i="17"/>
  <c r="AP35" i="17"/>
  <c r="AO26" i="17"/>
  <c r="AZ26" i="17"/>
  <c r="BG22" i="17"/>
  <c r="BE17" i="17"/>
  <c r="AZ16" i="17"/>
  <c r="AO16" i="17"/>
  <c r="AO11" i="17"/>
  <c r="AZ11" i="17"/>
  <c r="AP9" i="17"/>
  <c r="BG9" i="17"/>
  <c r="BM33" i="17"/>
  <c r="AO85" i="17"/>
  <c r="AZ85" i="17"/>
  <c r="BE22" i="17"/>
  <c r="BE38" i="17"/>
  <c r="BE49" i="17"/>
  <c r="AZ56" i="17"/>
  <c r="BG60" i="17"/>
  <c r="BE65" i="17"/>
  <c r="AO72" i="17"/>
  <c r="AZ72" i="17"/>
  <c r="BE82" i="17"/>
  <c r="BG87" i="17"/>
  <c r="BE96" i="17"/>
  <c r="AZ98" i="17"/>
  <c r="AO98" i="17"/>
  <c r="AO153" i="17"/>
  <c r="AZ153" i="17"/>
  <c r="BG133" i="17"/>
  <c r="AO128" i="17"/>
  <c r="AZ128" i="17"/>
  <c r="BE135" i="17"/>
  <c r="AO107" i="17"/>
  <c r="AZ107" i="17"/>
  <c r="AO115" i="17"/>
  <c r="AZ115" i="17"/>
  <c r="AO123" i="17"/>
  <c r="AZ123" i="17"/>
  <c r="AO129" i="17"/>
  <c r="AZ129" i="17"/>
  <c r="AO148" i="17"/>
  <c r="AZ148" i="17"/>
  <c r="AO140" i="17"/>
  <c r="AZ140" i="17"/>
  <c r="AZ156" i="17"/>
  <c r="AO156" i="17"/>
  <c r="BG152" i="17"/>
  <c r="AZ138" i="17"/>
  <c r="AO155" i="17"/>
  <c r="AZ155" i="17"/>
  <c r="BE151" i="17"/>
  <c r="AO147" i="17"/>
  <c r="AZ147" i="17"/>
  <c r="AO157" i="17"/>
  <c r="AZ157" i="17"/>
  <c r="AO142" i="17"/>
  <c r="AZ142" i="17"/>
  <c r="BE146" i="17"/>
  <c r="AP146" i="17"/>
  <c r="AZ135" i="17"/>
  <c r="AO135" i="17"/>
  <c r="AP131" i="17"/>
  <c r="AP126" i="17"/>
  <c r="AP124" i="17"/>
  <c r="BG138" i="17"/>
  <c r="AO132" i="17"/>
  <c r="AZ132" i="17"/>
  <c r="AZ139" i="17"/>
  <c r="AO139" i="17"/>
  <c r="AZ117" i="17"/>
  <c r="AZ109" i="17"/>
  <c r="AO109" i="17"/>
  <c r="AP108" i="17"/>
  <c r="AZ101" i="17"/>
  <c r="AZ94" i="17"/>
  <c r="AZ89" i="17"/>
  <c r="BE120" i="17"/>
  <c r="AP91" i="17"/>
  <c r="AP87" i="17"/>
  <c r="BG122" i="17"/>
  <c r="AP95" i="17"/>
  <c r="BE114" i="17"/>
  <c r="AZ106" i="17"/>
  <c r="AZ88" i="17"/>
  <c r="AZ78" i="17"/>
  <c r="AO74" i="17"/>
  <c r="AZ74" i="17"/>
  <c r="BE118" i="17"/>
  <c r="AP118" i="17"/>
  <c r="AZ110" i="17"/>
  <c r="BG66" i="17"/>
  <c r="BG58" i="17"/>
  <c r="BG50" i="17"/>
  <c r="AP25" i="17"/>
  <c r="BM70" i="17"/>
  <c r="AO57" i="17"/>
  <c r="AZ57" i="17"/>
  <c r="BE54" i="17"/>
  <c r="BE41" i="17"/>
  <c r="AO40" i="17"/>
  <c r="AZ40" i="17"/>
  <c r="BE25" i="17"/>
  <c r="AZ24" i="17"/>
  <c r="AO24" i="17"/>
  <c r="BG16" i="17"/>
  <c r="AZ13" i="17"/>
  <c r="AO13" i="17"/>
  <c r="AP11" i="17"/>
  <c r="BG11" i="17"/>
  <c r="AP2" i="17"/>
  <c r="BE39" i="17"/>
  <c r="AZ21" i="17"/>
  <c r="AO21" i="17"/>
  <c r="AZ90" i="17"/>
  <c r="BE60" i="17"/>
  <c r="AZ76" i="17"/>
  <c r="AO76" i="17"/>
  <c r="BG90" i="17"/>
  <c r="AO52" i="17"/>
  <c r="AZ52" i="17"/>
  <c r="BG56" i="17"/>
  <c r="BE61" i="17"/>
  <c r="AO68" i="17"/>
  <c r="AZ68" i="17"/>
  <c r="BG72" i="17"/>
  <c r="BG85" i="17"/>
  <c r="AZ86" i="17"/>
  <c r="AO86" i="17"/>
  <c r="AO97" i="17"/>
  <c r="AZ97" i="17"/>
  <c r="AZ120" i="17"/>
  <c r="AZ112" i="17"/>
  <c r="BG120" i="17"/>
  <c r="BG104" i="17"/>
  <c r="BG112" i="17"/>
  <c r="AZ125" i="17"/>
  <c r="AO125" i="17"/>
  <c r="BG134" i="17"/>
  <c r="BG140" i="17"/>
  <c r="AZ152" i="17"/>
  <c r="AO152" i="17"/>
  <c r="AP153" i="17"/>
  <c r="AP151" i="17"/>
  <c r="AO150" i="17"/>
  <c r="AZ150" i="17"/>
  <c r="BG142" i="17"/>
  <c r="AP130" i="17"/>
  <c r="BG147" i="17"/>
  <c r="BG135" i="17"/>
  <c r="AP132" i="17"/>
  <c r="BE124" i="17"/>
  <c r="BG121" i="17"/>
  <c r="BG105" i="17"/>
  <c r="BE112" i="17"/>
  <c r="AZ96" i="17"/>
  <c r="BG95" i="17"/>
  <c r="BE122" i="17"/>
  <c r="AP122" i="17"/>
  <c r="BM95" i="17"/>
  <c r="AP84" i="17"/>
  <c r="AP74" i="17"/>
  <c r="AZ73" i="17"/>
  <c r="AO73" i="17"/>
  <c r="AP70" i="17"/>
  <c r="AP62" i="17"/>
  <c r="AP54" i="17"/>
  <c r="BG110" i="17"/>
  <c r="AZ102" i="17"/>
  <c r="AO93" i="17"/>
  <c r="AZ93" i="17"/>
  <c r="AZ66" i="17"/>
  <c r="AO66" i="17"/>
  <c r="AP65" i="17"/>
  <c r="AZ58" i="17"/>
  <c r="AZ50" i="17"/>
  <c r="AO50" i="17"/>
  <c r="AP49" i="17"/>
  <c r="AP37" i="17"/>
  <c r="AP21" i="17"/>
  <c r="BG82" i="17"/>
  <c r="AZ79" i="17"/>
  <c r="AO79" i="17"/>
  <c r="BG69" i="17"/>
  <c r="AO63" i="17"/>
  <c r="AZ63" i="17"/>
  <c r="BM54" i="17"/>
  <c r="BG46" i="17"/>
  <c r="BG40" i="17"/>
  <c r="AZ34" i="17"/>
  <c r="BG30" i="17"/>
  <c r="BG24" i="17"/>
  <c r="AO18" i="17"/>
  <c r="AZ18" i="17"/>
  <c r="AP13" i="17"/>
  <c r="AZ7" i="17"/>
  <c r="AO7" i="17"/>
  <c r="AP4" i="17"/>
  <c r="AZ45" i="17"/>
  <c r="AP26" i="17"/>
  <c r="BG17" i="17"/>
  <c r="BG10" i="17"/>
  <c r="AO5" i="17"/>
  <c r="AZ5" i="17"/>
  <c r="BG76" i="17"/>
  <c r="BE91" i="17"/>
  <c r="BG77" i="17"/>
  <c r="BG52" i="17"/>
  <c r="BE57" i="17"/>
  <c r="AO64" i="17"/>
  <c r="AZ64" i="17"/>
  <c r="BG68" i="17"/>
  <c r="BG86" i="17"/>
  <c r="AZ91" i="17"/>
  <c r="AO91" i="17"/>
  <c r="BG98" i="17"/>
  <c r="BE130" i="17"/>
  <c r="BG129" i="17"/>
  <c r="BG137" i="17"/>
  <c r="AZ103" i="17"/>
  <c r="AO103" i="17"/>
  <c r="AZ111" i="17"/>
  <c r="AO119" i="17"/>
  <c r="AZ119" i="17"/>
  <c r="AO133" i="17"/>
  <c r="AZ133" i="17"/>
  <c r="BG144" i="17"/>
  <c r="BG151" i="17"/>
  <c r="AO144" i="17"/>
  <c r="AZ144" i="17"/>
  <c r="AZ149" i="17"/>
  <c r="AO149" i="17"/>
  <c r="BG149" i="17"/>
  <c r="BG75" i="17"/>
  <c r="BM65" i="17"/>
  <c r="BM50" i="17"/>
  <c r="AZ48" i="17"/>
  <c r="BM37" i="17"/>
  <c r="AZ33" i="17"/>
  <c r="AO33" i="17"/>
  <c r="BM21" i="17"/>
  <c r="AZ17" i="17"/>
  <c r="AP10" i="17"/>
  <c r="AP6" i="17"/>
  <c r="AO2" i="17"/>
  <c r="AZ2" i="17"/>
  <c r="BE86" i="17"/>
  <c r="AP68" i="17"/>
  <c r="AO61" i="17"/>
  <c r="AZ61" i="17"/>
  <c r="AP52" i="17"/>
  <c r="BE47" i="17"/>
  <c r="BM31" i="17"/>
  <c r="BG125" i="17"/>
  <c r="AP72" i="17"/>
  <c r="BM61" i="17"/>
  <c r="BE45" i="17"/>
  <c r="AZ44" i="17"/>
  <c r="AZ38" i="17"/>
  <c r="BG34" i="17"/>
  <c r="AP31" i="17"/>
  <c r="AP23" i="17"/>
  <c r="AP20" i="17"/>
  <c r="BM13" i="17"/>
  <c r="AZ12" i="17"/>
  <c r="AO12" i="17"/>
  <c r="AZ8" i="17"/>
  <c r="AO8" i="17"/>
  <c r="BE4" i="17"/>
  <c r="AP3" i="17"/>
  <c r="AP119" i="17"/>
  <c r="AP127" i="17"/>
  <c r="AP133" i="17"/>
  <c r="AP101" i="17"/>
  <c r="BM139" i="17"/>
  <c r="AP147" i="17"/>
  <c r="AP154" i="17"/>
  <c r="AP149" i="17"/>
  <c r="AZ92" i="17"/>
  <c r="BG83" i="17"/>
  <c r="BE58" i="17"/>
  <c r="AZ51" i="17"/>
  <c r="BM23" i="17"/>
  <c r="AO23" i="17"/>
  <c r="AZ23" i="17"/>
  <c r="BM15" i="17"/>
  <c r="BG145" i="17"/>
  <c r="BG154" i="17"/>
  <c r="BM85" i="17"/>
  <c r="AO69" i="17"/>
  <c r="AZ69" i="17"/>
  <c r="BE66" i="17"/>
  <c r="AP60" i="17"/>
  <c r="AP59" i="17"/>
  <c r="BG49" i="17"/>
  <c r="BG48" i="17"/>
  <c r="AP38" i="17"/>
  <c r="BG29" i="17"/>
  <c r="AZ27" i="17"/>
  <c r="BM26" i="17"/>
  <c r="AP22" i="17"/>
  <c r="BE16" i="17"/>
  <c r="BG4" i="17"/>
  <c r="BM59" i="17"/>
  <c r="BM47" i="17"/>
  <c r="BG12" i="17"/>
  <c r="BM81" i="17"/>
  <c r="AO71" i="17"/>
  <c r="AZ71" i="17"/>
  <c r="AO65" i="17"/>
  <c r="AZ65" i="17"/>
  <c r="BE62" i="17"/>
  <c r="AZ55" i="17"/>
  <c r="AO49" i="17"/>
  <c r="AZ49" i="17"/>
  <c r="BG44" i="17"/>
  <c r="BE37" i="17"/>
  <c r="AZ36" i="17"/>
  <c r="AO36" i="17"/>
  <c r="AO30" i="17"/>
  <c r="AZ30" i="17"/>
  <c r="BG26" i="17"/>
  <c r="AZ22" i="17"/>
  <c r="BM12" i="17"/>
  <c r="AP81" i="17"/>
  <c r="AP76" i="17"/>
  <c r="AP107" i="17"/>
  <c r="AP103" i="17"/>
  <c r="AP109" i="17"/>
  <c r="AP125" i="17"/>
  <c r="AP140" i="17"/>
  <c r="AP148" i="17"/>
  <c r="BG92" i="17"/>
  <c r="AP83" i="17"/>
  <c r="BE78" i="17"/>
  <c r="AO67" i="17"/>
  <c r="AZ67" i="17"/>
  <c r="BG57" i="17"/>
  <c r="BG51" i="17"/>
  <c r="BE31" i="17"/>
  <c r="BG23" i="17"/>
  <c r="AO15" i="17"/>
  <c r="AZ15" i="17"/>
  <c r="BM6" i="17"/>
  <c r="BE131" i="17"/>
  <c r="BG107" i="17"/>
  <c r="BG115" i="17"/>
  <c r="BG123" i="17"/>
  <c r="AZ130" i="17"/>
  <c r="AO130" i="17"/>
  <c r="BG141" i="17"/>
  <c r="AZ141" i="17"/>
  <c r="AO141" i="17"/>
  <c r="BG155" i="17"/>
  <c r="BM66" i="17"/>
  <c r="BM49" i="17"/>
  <c r="BG45" i="17"/>
  <c r="AZ43" i="17"/>
  <c r="BM42" i="17"/>
  <c r="BG27" i="17"/>
  <c r="AZ25" i="17"/>
  <c r="AO25" i="17"/>
  <c r="AP12" i="17"/>
  <c r="AZ4" i="17"/>
  <c r="BG89" i="17"/>
  <c r="AO47" i="17"/>
  <c r="AZ47" i="17"/>
  <c r="BG41" i="17"/>
  <c r="AZ37" i="17"/>
  <c r="AO37" i="17"/>
  <c r="AZ29" i="17"/>
  <c r="BG8" i="17"/>
  <c r="BG71" i="17"/>
  <c r="BM62" i="17"/>
  <c r="BG55" i="17"/>
  <c r="BG36" i="17"/>
  <c r="BE29" i="17"/>
  <c r="AZ28" i="17"/>
  <c r="AO28" i="17"/>
  <c r="BE21" i="17"/>
  <c r="AZ20" i="17"/>
  <c r="AO20" i="17"/>
  <c r="BG18" i="17"/>
  <c r="AP15" i="17"/>
  <c r="BM11" i="17"/>
  <c r="AZ10" i="17"/>
  <c r="BM7" i="17"/>
  <c r="AZ6" i="17"/>
  <c r="AO6" i="17"/>
  <c r="AP5" i="17"/>
  <c r="AP85" i="17"/>
  <c r="AP115" i="17"/>
  <c r="BM122" i="17"/>
  <c r="BM150" i="17"/>
  <c r="BM157" i="17"/>
  <c r="AP144" i="17"/>
  <c r="AP145" i="17"/>
  <c r="BE76" i="17"/>
  <c r="BG67" i="17"/>
  <c r="BM64" i="17"/>
  <c r="BE28" i="17"/>
  <c r="BE23" i="17"/>
  <c r="BG15" i="17"/>
  <c r="BG6" i="17"/>
  <c r="BG3" i="17"/>
  <c r="AZ154" i="17"/>
  <c r="AO154" i="17"/>
  <c r="BM79" i="17"/>
  <c r="BG65" i="17"/>
  <c r="AO59" i="17"/>
  <c r="AZ59" i="17"/>
  <c r="AZ53" i="17"/>
  <c r="BE50" i="17"/>
  <c r="AZ41" i="17"/>
  <c r="BG37" i="17"/>
  <c r="AO35" i="17"/>
  <c r="AZ35" i="17"/>
  <c r="AP30" i="17"/>
  <c r="BG21" i="17"/>
  <c r="AO19" i="17"/>
  <c r="AZ19" i="17"/>
  <c r="AP14" i="17"/>
  <c r="BE2" i="17"/>
  <c r="BG33" i="17"/>
  <c r="BG25" i="17"/>
  <c r="BG5" i="17"/>
  <c r="BE134" i="17"/>
  <c r="BM97" i="17"/>
  <c r="BE87" i="17"/>
  <c r="BE71" i="17"/>
  <c r="AP71" i="17"/>
  <c r="BM68" i="17"/>
  <c r="BM63" i="17"/>
  <c r="BG61" i="17"/>
  <c r="BE55" i="17"/>
  <c r="AP55" i="17"/>
  <c r="BM52" i="17"/>
  <c r="AZ46" i="17"/>
  <c r="BG42" i="17"/>
  <c r="BG28" i="17"/>
  <c r="BG20" i="17"/>
  <c r="AO14" i="17"/>
  <c r="AZ14" i="17"/>
  <c r="AP123" i="17"/>
  <c r="AP98" i="17"/>
  <c r="AP129" i="17"/>
  <c r="AP105" i="17"/>
  <c r="AP121" i="17"/>
  <c r="BM128" i="17"/>
  <c r="BM152" i="17"/>
  <c r="AP156" i="17"/>
  <c r="AZ83" i="17"/>
  <c r="AO83" i="17"/>
  <c r="BE67" i="17"/>
  <c r="AP67" i="17"/>
  <c r="AP42" i="17"/>
  <c r="AO31" i="17"/>
  <c r="AZ31" i="17"/>
  <c r="BE15" i="17"/>
  <c r="AO3" i="17"/>
  <c r="AZ3" i="17"/>
  <c r="N64" i="10"/>
  <c r="M10" i="18" l="1"/>
  <c r="BI109" i="17"/>
  <c r="BI140" i="17"/>
  <c r="BI148" i="17"/>
  <c r="BI137" i="17"/>
  <c r="BI30" i="17"/>
  <c r="BI63" i="17"/>
  <c r="BI19" i="17"/>
  <c r="V28" i="17"/>
  <c r="W23" i="17"/>
  <c r="BI154" i="17"/>
  <c r="BI117" i="17"/>
  <c r="W59" i="17"/>
  <c r="V31" i="17"/>
  <c r="W65" i="17"/>
  <c r="W27" i="17"/>
  <c r="V78" i="17"/>
  <c r="V118" i="17"/>
  <c r="W80" i="17"/>
  <c r="W101" i="17"/>
  <c r="V66" i="17"/>
  <c r="V108" i="17"/>
  <c r="BI102" i="17"/>
  <c r="BI98" i="17"/>
  <c r="BI143" i="17"/>
  <c r="BJ143" i="17" s="1"/>
  <c r="BI72" i="17"/>
  <c r="BI93" i="17"/>
  <c r="BI2" i="17"/>
  <c r="W11" i="17"/>
  <c r="BI107" i="17"/>
  <c r="BI74" i="17"/>
  <c r="BI141" i="17"/>
  <c r="BJ141" i="17" s="1"/>
  <c r="BI48" i="17"/>
  <c r="BJ48" i="17" s="1"/>
  <c r="W7" i="17"/>
  <c r="M11" i="18"/>
  <c r="BI88" i="17"/>
  <c r="BI5" i="17"/>
  <c r="BI51" i="17"/>
  <c r="BJ51" i="17" s="1"/>
  <c r="BI11" i="17"/>
  <c r="BI106" i="17"/>
  <c r="BJ106" i="17" s="1"/>
  <c r="BI83" i="17"/>
  <c r="BI3" i="17"/>
  <c r="BI123" i="17"/>
  <c r="BI14" i="17"/>
  <c r="BI150" i="17"/>
  <c r="BI136" i="17"/>
  <c r="BJ136" i="17" s="1"/>
  <c r="BI89" i="17"/>
  <c r="BJ89" i="17" s="1"/>
  <c r="BI8" i="17"/>
  <c r="BI44" i="17"/>
  <c r="BI79" i="17"/>
  <c r="M2" i="18"/>
  <c r="BI12" i="17"/>
  <c r="BI56" i="17"/>
  <c r="BJ56" i="17" s="1"/>
  <c r="M12" i="18"/>
  <c r="BI36" i="17"/>
  <c r="BJ36" i="17" s="1"/>
  <c r="BI90" i="17"/>
  <c r="BJ90" i="17" s="1"/>
  <c r="BI132" i="17"/>
  <c r="BI92" i="17"/>
  <c r="BI43" i="17"/>
  <c r="BI59" i="17"/>
  <c r="BI149" i="17"/>
  <c r="BI32" i="17"/>
  <c r="BJ32" i="17" s="1"/>
  <c r="BI94" i="17"/>
  <c r="BJ94" i="17" s="1"/>
  <c r="BI35" i="17"/>
  <c r="BI39" i="17"/>
  <c r="BJ39" i="17" s="1"/>
  <c r="BI144" i="17"/>
  <c r="BI75" i="17"/>
  <c r="BJ75" i="17" s="1"/>
  <c r="BI9" i="17"/>
  <c r="BI84" i="17"/>
  <c r="BI115" i="17"/>
  <c r="W47" i="17"/>
  <c r="W92" i="17"/>
  <c r="V76" i="17"/>
  <c r="W76" i="17"/>
  <c r="BI68" i="17"/>
  <c r="BI7" i="17"/>
  <c r="V110" i="17"/>
  <c r="BI6" i="17"/>
  <c r="V106" i="17"/>
  <c r="V148" i="17"/>
  <c r="W156" i="17"/>
  <c r="V156" i="17"/>
  <c r="W95" i="17"/>
  <c r="W124" i="17"/>
  <c r="V124" i="17"/>
  <c r="W191" i="17"/>
  <c r="V191" i="17"/>
  <c r="V55" i="17"/>
  <c r="W132" i="17"/>
  <c r="V132" i="17"/>
  <c r="W136" i="17"/>
  <c r="V136" i="17"/>
  <c r="V105" i="17"/>
  <c r="W105" i="17"/>
  <c r="W168" i="17"/>
  <c r="V168" i="17"/>
  <c r="V100" i="17"/>
  <c r="W100" i="17"/>
  <c r="W207" i="17"/>
  <c r="V207" i="17"/>
  <c r="V120" i="17"/>
  <c r="W120" i="17"/>
  <c r="W176" i="17"/>
  <c r="V176" i="17"/>
  <c r="W268" i="17"/>
  <c r="V268" i="17"/>
  <c r="W199" i="17"/>
  <c r="V199" i="17"/>
  <c r="W179" i="17"/>
  <c r="V179" i="17"/>
  <c r="V172" i="17"/>
  <c r="W172" i="17"/>
  <c r="W195" i="17"/>
  <c r="V195" i="17"/>
  <c r="W144" i="17"/>
  <c r="V144" i="17"/>
  <c r="W15" i="17"/>
  <c r="V203" i="17"/>
  <c r="W203" i="17"/>
  <c r="W183" i="17"/>
  <c r="V183" i="17"/>
  <c r="W160" i="17"/>
  <c r="V160" i="17"/>
  <c r="W140" i="17"/>
  <c r="V140" i="17"/>
  <c r="W187" i="17"/>
  <c r="V187" i="17"/>
  <c r="W164" i="17"/>
  <c r="V164" i="17"/>
  <c r="W128" i="17"/>
  <c r="V128" i="17"/>
  <c r="V89" i="17"/>
  <c r="W89" i="17"/>
  <c r="V211" i="17"/>
  <c r="W211" i="17"/>
  <c r="W180" i="17"/>
  <c r="V180" i="17"/>
  <c r="V43" i="17"/>
  <c r="BI91" i="17"/>
  <c r="BI54" i="17"/>
  <c r="BI13" i="17"/>
  <c r="BI157" i="17"/>
  <c r="BI40" i="17"/>
  <c r="BJ40" i="17" s="1"/>
  <c r="BI153" i="17"/>
  <c r="BI133" i="17"/>
  <c r="BI27" i="17"/>
  <c r="BJ27" i="17" s="1"/>
  <c r="BI125" i="17"/>
  <c r="BI113" i="17"/>
  <c r="BJ113" i="17" s="1"/>
  <c r="V88" i="17"/>
  <c r="W88" i="17"/>
  <c r="V102" i="17"/>
  <c r="W79" i="17"/>
  <c r="BI24" i="17"/>
  <c r="BI103" i="17"/>
  <c r="BI116" i="17"/>
  <c r="V114" i="17"/>
  <c r="W104" i="17"/>
  <c r="BI129" i="17"/>
  <c r="BI85" i="17"/>
  <c r="H52" i="13"/>
  <c r="W5" i="19" s="1"/>
  <c r="BI152" i="17"/>
  <c r="BI156" i="17"/>
  <c r="H6" i="18"/>
  <c r="BI145" i="17"/>
  <c r="BI34" i="17"/>
  <c r="BJ34" i="17" s="1"/>
  <c r="BI105" i="17"/>
  <c r="BJ105" i="17" s="1"/>
  <c r="V82" i="17"/>
  <c r="BI121" i="17"/>
  <c r="BI147" i="17"/>
  <c r="BI119" i="17"/>
  <c r="BI80" i="17"/>
  <c r="H3" i="18"/>
  <c r="BI111" i="17"/>
  <c r="BJ111" i="17" s="1"/>
  <c r="BI128" i="17"/>
  <c r="W154" i="17"/>
  <c r="V154" i="17"/>
  <c r="W51" i="17"/>
  <c r="V51" i="17"/>
  <c r="W122" i="17"/>
  <c r="V122" i="17"/>
  <c r="V283" i="17"/>
  <c r="W283" i="17"/>
  <c r="V127" i="17"/>
  <c r="W127" i="17"/>
  <c r="W126" i="17"/>
  <c r="V126" i="17"/>
  <c r="W19" i="17"/>
  <c r="V19" i="17"/>
  <c r="W248" i="17"/>
  <c r="V248" i="17"/>
  <c r="W162" i="17"/>
  <c r="V162" i="17"/>
  <c r="H5" i="18"/>
  <c r="W67" i="17"/>
  <c r="V67" i="17"/>
  <c r="W150" i="17"/>
  <c r="V150" i="17"/>
  <c r="W158" i="17"/>
  <c r="V158" i="17"/>
  <c r="V267" i="17"/>
  <c r="W267" i="17"/>
  <c r="H4" i="18"/>
  <c r="H7" i="18"/>
  <c r="W90" i="17"/>
  <c r="V90" i="17"/>
  <c r="W252" i="17"/>
  <c r="V252" i="17"/>
  <c r="W86" i="17"/>
  <c r="V86" i="17"/>
  <c r="W94" i="17"/>
  <c r="V94" i="17"/>
  <c r="BI108" i="17"/>
  <c r="BI97" i="17"/>
  <c r="BI20" i="17"/>
  <c r="BI10" i="17"/>
  <c r="BJ10" i="17" s="1"/>
  <c r="BI104" i="17"/>
  <c r="BJ104" i="17" s="1"/>
  <c r="BI52" i="17"/>
  <c r="BI146" i="17"/>
  <c r="BI100" i="17"/>
  <c r="BI139" i="17"/>
  <c r="BI50" i="17"/>
  <c r="N5" i="19"/>
  <c r="H51" i="13"/>
  <c r="V6" i="19" s="1"/>
  <c r="H48" i="13"/>
  <c r="S8" i="19" s="1"/>
  <c r="H50" i="13"/>
  <c r="U7" i="19" s="1"/>
  <c r="H47" i="13"/>
  <c r="R7" i="19" s="1"/>
  <c r="BI42" i="17"/>
  <c r="BI31" i="17"/>
  <c r="BI95" i="17"/>
  <c r="BI114" i="17"/>
  <c r="M8" i="18"/>
  <c r="BI18" i="17"/>
  <c r="BI127" i="17"/>
  <c r="N4" i="18"/>
  <c r="BI124" i="17"/>
  <c r="BI86" i="17"/>
  <c r="BJ86" i="17" s="1"/>
  <c r="BI101" i="17"/>
  <c r="BI71" i="17"/>
  <c r="BI22" i="17"/>
  <c r="BJ22" i="17" s="1"/>
  <c r="BI66" i="17"/>
  <c r="BI118" i="17"/>
  <c r="BJ118" i="17" s="1"/>
  <c r="Y7" i="19"/>
  <c r="Y5" i="19"/>
  <c r="Y6" i="19"/>
  <c r="BI112" i="17"/>
  <c r="BJ112" i="17" s="1"/>
  <c r="BI99" i="17"/>
  <c r="Y8" i="19"/>
  <c r="N10" i="18"/>
  <c r="N11" i="18"/>
  <c r="N7" i="18"/>
  <c r="BI87" i="17"/>
  <c r="BJ87" i="17" s="1"/>
  <c r="BI76" i="17"/>
  <c r="BI78" i="17"/>
  <c r="BJ78" i="17" s="1"/>
  <c r="BI47" i="17"/>
  <c r="BI130" i="17"/>
  <c r="BI46" i="17"/>
  <c r="BJ46" i="17" s="1"/>
  <c r="N6" i="19"/>
  <c r="BI29" i="17"/>
  <c r="BJ29" i="17" s="1"/>
  <c r="BI26" i="17"/>
  <c r="BI96" i="17"/>
  <c r="BJ96" i="17" s="1"/>
  <c r="BI53" i="17"/>
  <c r="BJ53" i="17" s="1"/>
  <c r="N8" i="19"/>
  <c r="Q5" i="19"/>
  <c r="Q8" i="19"/>
  <c r="Q6" i="19"/>
  <c r="Q7" i="19"/>
  <c r="O8" i="19"/>
  <c r="O6" i="19"/>
  <c r="O5" i="19"/>
  <c r="O7" i="19"/>
  <c r="Z7" i="19"/>
  <c r="Z6" i="19"/>
  <c r="Z8" i="19"/>
  <c r="Z5" i="19"/>
  <c r="X7" i="19"/>
  <c r="X8" i="19"/>
  <c r="X5" i="19"/>
  <c r="X6" i="19"/>
  <c r="T6" i="19"/>
  <c r="T7" i="19"/>
  <c r="T8" i="19"/>
  <c r="T5" i="19"/>
  <c r="P8" i="19"/>
  <c r="P5" i="19"/>
  <c r="P7" i="19"/>
  <c r="P6" i="19"/>
  <c r="BI55" i="17"/>
  <c r="BI23" i="17"/>
  <c r="BI16" i="17"/>
  <c r="BJ16" i="17" s="1"/>
  <c r="M9" i="19"/>
  <c r="Q9" i="19" s="1"/>
  <c r="BI122" i="17"/>
  <c r="BI62" i="17"/>
  <c r="BI131" i="17"/>
  <c r="BI134" i="17"/>
  <c r="BI37" i="17"/>
  <c r="BI60" i="17"/>
  <c r="BI58" i="17"/>
  <c r="BJ58" i="17" s="1"/>
  <c r="BI70" i="17"/>
  <c r="BI28" i="17"/>
  <c r="BJ28" i="17" s="1"/>
  <c r="BI67" i="17"/>
  <c r="BI38" i="17"/>
  <c r="BJ38" i="17" s="1"/>
  <c r="BI73" i="17"/>
  <c r="BN31" i="17"/>
  <c r="BJ31" i="17"/>
  <c r="BF31" i="17"/>
  <c r="BH31" i="17"/>
  <c r="AQ31" i="17"/>
  <c r="BH41" i="17"/>
  <c r="BF41" i="17"/>
  <c r="BN47" i="17"/>
  <c r="BJ47" i="17"/>
  <c r="BF47" i="17"/>
  <c r="BH47" i="17"/>
  <c r="AQ47" i="17"/>
  <c r="BH69" i="17"/>
  <c r="AQ69" i="17"/>
  <c r="BN69" i="17"/>
  <c r="BF69" i="17"/>
  <c r="BJ69" i="17"/>
  <c r="BH53" i="17"/>
  <c r="BF53" i="17"/>
  <c r="BH3" i="17"/>
  <c r="AQ3" i="17"/>
  <c r="BN3" i="17"/>
  <c r="BJ3" i="17"/>
  <c r="BF3" i="17"/>
  <c r="AQ83" i="17"/>
  <c r="BN83" i="17"/>
  <c r="BJ83" i="17"/>
  <c r="BF83" i="17"/>
  <c r="BH83" i="17"/>
  <c r="BN154" i="17"/>
  <c r="BJ154" i="17"/>
  <c r="BF154" i="17"/>
  <c r="BH154" i="17"/>
  <c r="AQ154" i="17"/>
  <c r="BH4" i="17"/>
  <c r="BF4" i="17"/>
  <c r="AT118" i="17"/>
  <c r="AQ118" i="17" s="1"/>
  <c r="AT80" i="17"/>
  <c r="AW80" i="17" s="1"/>
  <c r="AT84" i="17"/>
  <c r="AW84" i="17" s="1"/>
  <c r="AT114" i="17"/>
  <c r="AW114" i="17" s="1"/>
  <c r="AT127" i="17"/>
  <c r="AW127" i="17" s="1"/>
  <c r="AT89" i="17"/>
  <c r="AW89" i="17" s="1"/>
  <c r="AT94" i="17"/>
  <c r="AW94" i="17" s="1"/>
  <c r="AT101" i="17"/>
  <c r="AW101" i="17" s="1"/>
  <c r="AT109" i="17"/>
  <c r="AW109" i="17" s="1"/>
  <c r="AT117" i="17"/>
  <c r="AW117" i="17" s="1"/>
  <c r="AT136" i="17"/>
  <c r="AW136" i="17" s="1"/>
  <c r="AT124" i="17"/>
  <c r="AW124" i="17" s="1"/>
  <c r="AT131" i="17"/>
  <c r="AW131" i="17" s="1"/>
  <c r="AT143" i="17"/>
  <c r="AW143" i="17" s="1"/>
  <c r="AT146" i="17"/>
  <c r="AW146" i="17" s="1"/>
  <c r="AT75" i="17"/>
  <c r="AW75" i="17" s="1"/>
  <c r="AT97" i="17"/>
  <c r="AW97" i="17" s="1"/>
  <c r="AT99" i="17"/>
  <c r="AW99" i="17" s="1"/>
  <c r="AT96" i="17"/>
  <c r="AW96" i="17" s="1"/>
  <c r="AT128" i="17"/>
  <c r="AW128" i="17" s="1"/>
  <c r="AT150" i="17"/>
  <c r="AW150" i="17" s="1"/>
  <c r="AT151" i="17"/>
  <c r="AW151" i="17" s="1"/>
  <c r="AT152" i="17"/>
  <c r="AW152" i="17" s="1"/>
  <c r="AT147" i="17"/>
  <c r="AW147" i="17" s="1"/>
  <c r="AT102" i="17"/>
  <c r="AQ102" i="17" s="1"/>
  <c r="AT110" i="17"/>
  <c r="AW110" i="17" s="1"/>
  <c r="AT74" i="17"/>
  <c r="AW74" i="17" s="1"/>
  <c r="AT78" i="17"/>
  <c r="AW78" i="17" s="1"/>
  <c r="AT88" i="17"/>
  <c r="AW88" i="17" s="1"/>
  <c r="AT106" i="17"/>
  <c r="AW106" i="17" s="1"/>
  <c r="AT95" i="17"/>
  <c r="AW95" i="17" s="1"/>
  <c r="AT105" i="17"/>
  <c r="AW105" i="17" s="1"/>
  <c r="AT113" i="17"/>
  <c r="AW113" i="17" s="1"/>
  <c r="AT121" i="17"/>
  <c r="AW121" i="17" s="1"/>
  <c r="AT139" i="17"/>
  <c r="AW139" i="17" s="1"/>
  <c r="AT132" i="17"/>
  <c r="AW132" i="17" s="1"/>
  <c r="AT135" i="17"/>
  <c r="AW135" i="17" s="1"/>
  <c r="AT142" i="17"/>
  <c r="AW142" i="17" s="1"/>
  <c r="AT156" i="17"/>
  <c r="AW156" i="17" s="1"/>
  <c r="AT157" i="17"/>
  <c r="AW157" i="17" s="1"/>
  <c r="AT153" i="17"/>
  <c r="AW153" i="17" s="1"/>
  <c r="AT122" i="17"/>
  <c r="AW122" i="17" s="1"/>
  <c r="AT58" i="17"/>
  <c r="AW58" i="17" s="1"/>
  <c r="AT7" i="17"/>
  <c r="AW7" i="17" s="1"/>
  <c r="AT13" i="17"/>
  <c r="AW13" i="17" s="1"/>
  <c r="AT134" i="17"/>
  <c r="AW134" i="17" s="1"/>
  <c r="AT120" i="17"/>
  <c r="AW120" i="17" s="1"/>
  <c r="AT22" i="17"/>
  <c r="AW22" i="17" s="1"/>
  <c r="AT73" i="17"/>
  <c r="AW73" i="17" s="1"/>
  <c r="AT51" i="17"/>
  <c r="AW51" i="17" s="1"/>
  <c r="AT48" i="17"/>
  <c r="AW48" i="17" s="1"/>
  <c r="AT125" i="17"/>
  <c r="AW125" i="17" s="1"/>
  <c r="AT91" i="17"/>
  <c r="AW91" i="17" s="1"/>
  <c r="AT46" i="17"/>
  <c r="AW46" i="17" s="1"/>
  <c r="AT49" i="17"/>
  <c r="AW49" i="17" s="1"/>
  <c r="AT31" i="17"/>
  <c r="AW31" i="17" s="1"/>
  <c r="AT59" i="17"/>
  <c r="AW59" i="17" s="1"/>
  <c r="AT141" i="17"/>
  <c r="AW141" i="17" s="1"/>
  <c r="AT87" i="17"/>
  <c r="AW87" i="17" s="1"/>
  <c r="AT38" i="17"/>
  <c r="AW38" i="17" s="1"/>
  <c r="AT5" i="17"/>
  <c r="AW5" i="17" s="1"/>
  <c r="AT20" i="17"/>
  <c r="AW20" i="17" s="1"/>
  <c r="AT6" i="17"/>
  <c r="AW6" i="17" s="1"/>
  <c r="AT103" i="17"/>
  <c r="AW103" i="17" s="1"/>
  <c r="AT104" i="17"/>
  <c r="AQ104" i="17" s="1"/>
  <c r="AT77" i="17"/>
  <c r="AQ77" i="17" s="1"/>
  <c r="AT3" i="17"/>
  <c r="AW3" i="17" s="1"/>
  <c r="AT67" i="17"/>
  <c r="AW67" i="17" s="1"/>
  <c r="AT27" i="17"/>
  <c r="AW27" i="17" s="1"/>
  <c r="AT32" i="17"/>
  <c r="AW32" i="17" s="1"/>
  <c r="AT50" i="17"/>
  <c r="AW50" i="17" s="1"/>
  <c r="AT16" i="17"/>
  <c r="AW16" i="17" s="1"/>
  <c r="AT70" i="17"/>
  <c r="AW70" i="17" s="1"/>
  <c r="AT54" i="17"/>
  <c r="AW54" i="17" s="1"/>
  <c r="AT137" i="17"/>
  <c r="AW137" i="17" s="1"/>
  <c r="AT98" i="17"/>
  <c r="AW98" i="17" s="1"/>
  <c r="AT72" i="17"/>
  <c r="AW72" i="17" s="1"/>
  <c r="AT82" i="17"/>
  <c r="AW82" i="17" s="1"/>
  <c r="AT34" i="17"/>
  <c r="AW34" i="17" s="1"/>
  <c r="AT92" i="17"/>
  <c r="AW92" i="17" s="1"/>
  <c r="AT155" i="17"/>
  <c r="AW155" i="17" s="1"/>
  <c r="AT133" i="17"/>
  <c r="AW133" i="17" s="1"/>
  <c r="AT85" i="17"/>
  <c r="AW85" i="17" s="1"/>
  <c r="AT14" i="17"/>
  <c r="AW14" i="17" s="1"/>
  <c r="AT69" i="17"/>
  <c r="AW69" i="17" s="1"/>
  <c r="AT83" i="17"/>
  <c r="AW83" i="17" s="1"/>
  <c r="AT149" i="17"/>
  <c r="AW149" i="17" s="1"/>
  <c r="AT130" i="17"/>
  <c r="AW130" i="17" s="1"/>
  <c r="AT81" i="17"/>
  <c r="AW81" i="17" s="1"/>
  <c r="AT41" i="17"/>
  <c r="AQ41" i="17" s="1"/>
  <c r="AT53" i="17"/>
  <c r="AW53" i="17" s="1"/>
  <c r="AT28" i="17"/>
  <c r="AW28" i="17" s="1"/>
  <c r="AT43" i="17"/>
  <c r="AQ43" i="17" s="1"/>
  <c r="AT138" i="17"/>
  <c r="AW138" i="17" s="1"/>
  <c r="AT86" i="17"/>
  <c r="AW86" i="17" s="1"/>
  <c r="AT30" i="17"/>
  <c r="AW30" i="17" s="1"/>
  <c r="AT42" i="17"/>
  <c r="AW42" i="17" s="1"/>
  <c r="AT36" i="17"/>
  <c r="AW36" i="17" s="1"/>
  <c r="AT9" i="17"/>
  <c r="AW9" i="17" s="1"/>
  <c r="AT66" i="17"/>
  <c r="AW66" i="17" s="1"/>
  <c r="AT40" i="17"/>
  <c r="AW40" i="17" s="1"/>
  <c r="AT63" i="17"/>
  <c r="AW63" i="17" s="1"/>
  <c r="AT115" i="17"/>
  <c r="AW115" i="17" s="1"/>
  <c r="AT116" i="17"/>
  <c r="AW116" i="17" s="1"/>
  <c r="AT56" i="17"/>
  <c r="AQ56" i="17" s="1"/>
  <c r="AT29" i="17"/>
  <c r="AW29" i="17" s="1"/>
  <c r="AT33" i="17"/>
  <c r="AW33" i="17" s="1"/>
  <c r="AT44" i="17"/>
  <c r="AW44" i="17" s="1"/>
  <c r="AT154" i="17"/>
  <c r="AW154" i="17" s="1"/>
  <c r="AT148" i="17"/>
  <c r="AW148" i="17" s="1"/>
  <c r="AT68" i="17"/>
  <c r="AW68" i="17" s="1"/>
  <c r="AT57" i="17"/>
  <c r="AW57" i="17" s="1"/>
  <c r="AT26" i="17"/>
  <c r="AW26" i="17" s="1"/>
  <c r="AT19" i="17"/>
  <c r="AW19" i="17" s="1"/>
  <c r="AT123" i="17"/>
  <c r="AW123" i="17" s="1"/>
  <c r="AT140" i="17"/>
  <c r="AW140" i="17" s="1"/>
  <c r="AT64" i="17"/>
  <c r="AW64" i="17" s="1"/>
  <c r="AT45" i="17"/>
  <c r="AW45" i="17" s="1"/>
  <c r="AT18" i="17"/>
  <c r="AW18" i="17" s="1"/>
  <c r="AT47" i="17"/>
  <c r="AW47" i="17" s="1"/>
  <c r="AT145" i="17"/>
  <c r="AW145" i="17" s="1"/>
  <c r="AT129" i="17"/>
  <c r="AW129" i="17" s="1"/>
  <c r="AT76" i="17"/>
  <c r="AW76" i="17" s="1"/>
  <c r="AT37" i="17"/>
  <c r="AW37" i="17" s="1"/>
  <c r="AT65" i="17"/>
  <c r="AW65" i="17" s="1"/>
  <c r="AT55" i="17"/>
  <c r="AW55" i="17" s="1"/>
  <c r="AT39" i="17"/>
  <c r="AW39" i="17" s="1"/>
  <c r="AT11" i="17"/>
  <c r="AW11" i="17" s="1"/>
  <c r="AT24" i="17"/>
  <c r="AQ24" i="17" s="1"/>
  <c r="AT93" i="17"/>
  <c r="AW93" i="17" s="1"/>
  <c r="AT62" i="17"/>
  <c r="AW62" i="17" s="1"/>
  <c r="AT79" i="17"/>
  <c r="AW79" i="17" s="1"/>
  <c r="AT144" i="17"/>
  <c r="AW144" i="17" s="1"/>
  <c r="AT100" i="17"/>
  <c r="AW100" i="17" s="1"/>
  <c r="AT61" i="17"/>
  <c r="AW61" i="17" s="1"/>
  <c r="AT8" i="17"/>
  <c r="AW8" i="17" s="1"/>
  <c r="AT23" i="17"/>
  <c r="AW23" i="17" s="1"/>
  <c r="AT4" i="17"/>
  <c r="AQ4" i="17" s="1"/>
  <c r="AT111" i="17"/>
  <c r="AW111" i="17" s="1"/>
  <c r="AT112" i="17"/>
  <c r="AW112" i="17" s="1"/>
  <c r="AT52" i="17"/>
  <c r="AW52" i="17" s="1"/>
  <c r="AT21" i="17"/>
  <c r="AW21" i="17" s="1"/>
  <c r="AT25" i="17"/>
  <c r="AW25" i="17" s="1"/>
  <c r="AT35" i="17"/>
  <c r="AW35" i="17" s="1"/>
  <c r="AT107" i="17"/>
  <c r="AW107" i="17" s="1"/>
  <c r="AT108" i="17"/>
  <c r="AW108" i="17" s="1"/>
  <c r="AT90" i="17"/>
  <c r="AW90" i="17" s="1"/>
  <c r="AT12" i="17"/>
  <c r="AW12" i="17" s="1"/>
  <c r="AT17" i="17"/>
  <c r="AW17" i="17" s="1"/>
  <c r="AT2" i="17"/>
  <c r="AW2" i="17" s="1"/>
  <c r="AT119" i="17"/>
  <c r="AW119" i="17" s="1"/>
  <c r="AT126" i="17"/>
  <c r="AW126" i="17" s="1"/>
  <c r="AT60" i="17"/>
  <c r="AW60" i="17" s="1"/>
  <c r="AT10" i="17"/>
  <c r="AQ10" i="17" s="1"/>
  <c r="AT15" i="17"/>
  <c r="AW15" i="17" s="1"/>
  <c r="AT71" i="17"/>
  <c r="AW71" i="17" s="1"/>
  <c r="BH46" i="17"/>
  <c r="BF46" i="17"/>
  <c r="AQ59" i="17"/>
  <c r="BN59" i="17"/>
  <c r="BJ59" i="17"/>
  <c r="BF59" i="17"/>
  <c r="BH59" i="17"/>
  <c r="BH37" i="17"/>
  <c r="AQ37" i="17"/>
  <c r="BJ37" i="17"/>
  <c r="BN37" i="17"/>
  <c r="BF37" i="17"/>
  <c r="BJ43" i="17"/>
  <c r="BF43" i="17"/>
  <c r="BH43" i="17"/>
  <c r="BH130" i="17"/>
  <c r="AQ130" i="17"/>
  <c r="BN130" i="17"/>
  <c r="BF130" i="17"/>
  <c r="BJ130" i="17"/>
  <c r="BF36" i="17"/>
  <c r="BH36" i="17"/>
  <c r="AQ55" i="17"/>
  <c r="BJ55" i="17"/>
  <c r="BF55" i="17"/>
  <c r="BH55" i="17"/>
  <c r="AQ71" i="17"/>
  <c r="BN71" i="17"/>
  <c r="BJ71" i="17"/>
  <c r="BF71" i="17"/>
  <c r="BH71" i="17"/>
  <c r="BH14" i="17"/>
  <c r="BJ14" i="17"/>
  <c r="AQ14" i="17"/>
  <c r="BN14" i="17"/>
  <c r="BF14" i="17"/>
  <c r="AQ20" i="17"/>
  <c r="BN20" i="17"/>
  <c r="BJ20" i="17"/>
  <c r="BF20" i="17"/>
  <c r="BH20" i="17"/>
  <c r="BF28" i="17"/>
  <c r="BH28" i="17"/>
  <c r="BH25" i="17"/>
  <c r="AQ25" i="17"/>
  <c r="BN25" i="17"/>
  <c r="BF25" i="17"/>
  <c r="BJ25" i="17"/>
  <c r="BH141" i="17"/>
  <c r="BF141" i="17"/>
  <c r="BN15" i="17"/>
  <c r="BJ15" i="17"/>
  <c r="BF15" i="17"/>
  <c r="BH15" i="17"/>
  <c r="AQ15" i="17"/>
  <c r="BI15" i="17"/>
  <c r="BJ19" i="17"/>
  <c r="BF19" i="17"/>
  <c r="BH19" i="17"/>
  <c r="BN35" i="17"/>
  <c r="BJ35" i="17"/>
  <c r="BF35" i="17"/>
  <c r="AQ35" i="17"/>
  <c r="BH35" i="17"/>
  <c r="BH6" i="17"/>
  <c r="BF6" i="17"/>
  <c r="AQ6" i="17"/>
  <c r="BJ6" i="17"/>
  <c r="BN6" i="17"/>
  <c r="BH10" i="17"/>
  <c r="BF10" i="17"/>
  <c r="BI21" i="17"/>
  <c r="BH29" i="17"/>
  <c r="BF29" i="17"/>
  <c r="AQ67" i="17"/>
  <c r="BN67" i="17"/>
  <c r="BJ67" i="17"/>
  <c r="BF67" i="17"/>
  <c r="BH67" i="17"/>
  <c r="BH22" i="17"/>
  <c r="AQ22" i="17"/>
  <c r="BF22" i="17"/>
  <c r="BH30" i="17"/>
  <c r="BJ30" i="17"/>
  <c r="AQ30" i="17"/>
  <c r="BN30" i="17"/>
  <c r="BF30" i="17"/>
  <c r="BH49" i="17"/>
  <c r="AQ49" i="17"/>
  <c r="BF49" i="17"/>
  <c r="BJ49" i="17"/>
  <c r="BN49" i="17"/>
  <c r="BH65" i="17"/>
  <c r="AQ65" i="17"/>
  <c r="BF65" i="17"/>
  <c r="BJ65" i="17"/>
  <c r="BN65" i="17"/>
  <c r="BF27" i="17"/>
  <c r="BH27" i="17"/>
  <c r="AQ44" i="17"/>
  <c r="BJ44" i="17"/>
  <c r="BF44" i="17"/>
  <c r="BH44" i="17"/>
  <c r="AQ2" i="17"/>
  <c r="BN2" i="17"/>
  <c r="BJ2" i="17"/>
  <c r="BF2" i="17"/>
  <c r="BH2" i="17"/>
  <c r="BH144" i="17"/>
  <c r="BJ144" i="17"/>
  <c r="AQ144" i="17"/>
  <c r="BF144" i="17"/>
  <c r="BN144" i="17"/>
  <c r="BF111" i="17"/>
  <c r="BH111" i="17"/>
  <c r="BN103" i="17"/>
  <c r="BJ103" i="17"/>
  <c r="BF103" i="17"/>
  <c r="BH103" i="17"/>
  <c r="AQ103" i="17"/>
  <c r="BI57" i="17"/>
  <c r="BH45" i="17"/>
  <c r="BF45" i="17"/>
  <c r="BJ93" i="17"/>
  <c r="BF93" i="17"/>
  <c r="BH93" i="17"/>
  <c r="BH112" i="17"/>
  <c r="BF112" i="17"/>
  <c r="BH120" i="17"/>
  <c r="BF120" i="17"/>
  <c r="BN52" i="17"/>
  <c r="BJ52" i="17"/>
  <c r="BF52" i="17"/>
  <c r="BH52" i="17"/>
  <c r="AQ52" i="17"/>
  <c r="BI25" i="17"/>
  <c r="BN74" i="17"/>
  <c r="BJ74" i="17"/>
  <c r="BF74" i="17"/>
  <c r="BH74" i="17"/>
  <c r="AQ74" i="17"/>
  <c r="BF94" i="17"/>
  <c r="BH94" i="17"/>
  <c r="BH109" i="17"/>
  <c r="AQ109" i="17"/>
  <c r="BN109" i="17"/>
  <c r="BJ109" i="17"/>
  <c r="BF109" i="17"/>
  <c r="BN139" i="17"/>
  <c r="BJ139" i="17"/>
  <c r="BF139" i="17"/>
  <c r="BH139" i="17"/>
  <c r="AQ139" i="17"/>
  <c r="BN147" i="17"/>
  <c r="BJ147" i="17"/>
  <c r="BF147" i="17"/>
  <c r="BH147" i="17"/>
  <c r="AQ147" i="17"/>
  <c r="BH156" i="17"/>
  <c r="BN156" i="17"/>
  <c r="BJ156" i="17"/>
  <c r="BF156" i="17"/>
  <c r="AQ156" i="17"/>
  <c r="BN123" i="17"/>
  <c r="BJ123" i="17"/>
  <c r="BF123" i="17"/>
  <c r="BH123" i="17"/>
  <c r="AQ123" i="17"/>
  <c r="BI135" i="17"/>
  <c r="BJ135" i="17" s="1"/>
  <c r="AQ153" i="17"/>
  <c r="BF153" i="17"/>
  <c r="BJ153" i="17"/>
  <c r="BN153" i="17"/>
  <c r="BH153" i="17"/>
  <c r="BJ72" i="17"/>
  <c r="BF72" i="17"/>
  <c r="BN72" i="17"/>
  <c r="BH72" i="17"/>
  <c r="AQ72" i="17"/>
  <c r="BH62" i="17"/>
  <c r="AQ62" i="17"/>
  <c r="BN62" i="17"/>
  <c r="BJ62" i="17"/>
  <c r="BF62" i="17"/>
  <c r="BH134" i="17"/>
  <c r="AQ134" i="17"/>
  <c r="BN134" i="17"/>
  <c r="BF134" i="17"/>
  <c r="BJ134" i="17"/>
  <c r="BI81" i="17"/>
  <c r="BH82" i="17"/>
  <c r="BF82" i="17"/>
  <c r="BI33" i="17"/>
  <c r="BF118" i="17"/>
  <c r="BH118" i="17"/>
  <c r="BH121" i="17"/>
  <c r="AQ121" i="17"/>
  <c r="BN121" i="17"/>
  <c r="BJ121" i="17"/>
  <c r="BF121" i="17"/>
  <c r="BH12" i="17"/>
  <c r="BF12" i="17"/>
  <c r="BJ12" i="17"/>
  <c r="BN12" i="17"/>
  <c r="AQ12" i="17"/>
  <c r="BH38" i="17"/>
  <c r="AQ38" i="17"/>
  <c r="BF38" i="17"/>
  <c r="BH17" i="17"/>
  <c r="BF17" i="17"/>
  <c r="BH33" i="17"/>
  <c r="AQ33" i="17"/>
  <c r="BN33" i="17"/>
  <c r="BF33" i="17"/>
  <c r="BJ33" i="17"/>
  <c r="BH149" i="17"/>
  <c r="AQ149" i="17"/>
  <c r="BN149" i="17"/>
  <c r="BJ149" i="17"/>
  <c r="BF149" i="17"/>
  <c r="BH133" i="17"/>
  <c r="BN133" i="17"/>
  <c r="BF133" i="17"/>
  <c r="BJ133" i="17"/>
  <c r="AQ133" i="17"/>
  <c r="BN119" i="17"/>
  <c r="BJ119" i="17"/>
  <c r="BF119" i="17"/>
  <c r="BH119" i="17"/>
  <c r="AQ119" i="17"/>
  <c r="BH91" i="17"/>
  <c r="AQ91" i="17"/>
  <c r="BN91" i="17"/>
  <c r="BJ91" i="17"/>
  <c r="BF91" i="17"/>
  <c r="BH18" i="17"/>
  <c r="BN18" i="17"/>
  <c r="BF18" i="17"/>
  <c r="AQ18" i="17"/>
  <c r="BJ18" i="17"/>
  <c r="BH34" i="17"/>
  <c r="BF34" i="17"/>
  <c r="AQ63" i="17"/>
  <c r="BN63" i="17"/>
  <c r="BJ63" i="17"/>
  <c r="BF63" i="17"/>
  <c r="BH63" i="17"/>
  <c r="AQ150" i="17"/>
  <c r="BN150" i="17"/>
  <c r="BJ150" i="17"/>
  <c r="BF150" i="17"/>
  <c r="BH150" i="17"/>
  <c r="BN152" i="17"/>
  <c r="BJ152" i="17"/>
  <c r="BF152" i="17"/>
  <c r="BH152" i="17"/>
  <c r="AQ152" i="17"/>
  <c r="BI61" i="17"/>
  <c r="BH76" i="17"/>
  <c r="BJ76" i="17"/>
  <c r="BN76" i="17"/>
  <c r="AQ76" i="17"/>
  <c r="BF76" i="17"/>
  <c r="AQ110" i="17"/>
  <c r="BF110" i="17"/>
  <c r="BH110" i="17"/>
  <c r="BF78" i="17"/>
  <c r="BH78" i="17"/>
  <c r="BF89" i="17"/>
  <c r="BH89" i="17"/>
  <c r="BH117" i="17"/>
  <c r="BJ117" i="17"/>
  <c r="BF117" i="17"/>
  <c r="BH138" i="17"/>
  <c r="BF138" i="17"/>
  <c r="BH129" i="17"/>
  <c r="BN129" i="17"/>
  <c r="BF129" i="17"/>
  <c r="BJ129" i="17"/>
  <c r="AQ129" i="17"/>
  <c r="BF56" i="17"/>
  <c r="BH56" i="17"/>
  <c r="BF16" i="17"/>
  <c r="BH16" i="17"/>
  <c r="BH70" i="17"/>
  <c r="AQ70" i="17"/>
  <c r="BN70" i="17"/>
  <c r="BJ70" i="17"/>
  <c r="BF70" i="17"/>
  <c r="BI142" i="17"/>
  <c r="AQ100" i="17"/>
  <c r="BN100" i="17"/>
  <c r="BF100" i="17"/>
  <c r="BJ100" i="17"/>
  <c r="BH100" i="17"/>
  <c r="BH108" i="17"/>
  <c r="AQ108" i="17"/>
  <c r="BN108" i="17"/>
  <c r="BJ108" i="17"/>
  <c r="BF108" i="17"/>
  <c r="BH137" i="17"/>
  <c r="BF137" i="17"/>
  <c r="BJ137" i="17"/>
  <c r="BN9" i="17"/>
  <c r="BJ9" i="17"/>
  <c r="BF9" i="17"/>
  <c r="BH9" i="17"/>
  <c r="AQ9" i="17"/>
  <c r="BF32" i="17"/>
  <c r="BH32" i="17"/>
  <c r="BF75" i="17"/>
  <c r="BH75" i="17"/>
  <c r="BH104" i="17"/>
  <c r="BF104" i="17"/>
  <c r="BN127" i="17"/>
  <c r="BJ127" i="17"/>
  <c r="BF127" i="17"/>
  <c r="BH127" i="17"/>
  <c r="AQ127" i="17"/>
  <c r="BI126" i="17"/>
  <c r="AQ131" i="17"/>
  <c r="BN131" i="17"/>
  <c r="BJ131" i="17"/>
  <c r="BF131" i="17"/>
  <c r="BH131" i="17"/>
  <c r="AQ146" i="17"/>
  <c r="BN146" i="17"/>
  <c r="BJ146" i="17"/>
  <c r="BF146" i="17"/>
  <c r="BH146" i="17"/>
  <c r="BN23" i="17"/>
  <c r="BJ23" i="17"/>
  <c r="BF23" i="17"/>
  <c r="BH23" i="17"/>
  <c r="AQ23" i="17"/>
  <c r="BF51" i="17"/>
  <c r="BH51" i="17"/>
  <c r="BH8" i="17"/>
  <c r="BF8" i="17"/>
  <c r="BJ8" i="17"/>
  <c r="BI45" i="17"/>
  <c r="BJ45" i="17" s="1"/>
  <c r="BF48" i="17"/>
  <c r="BH48" i="17"/>
  <c r="BN64" i="17"/>
  <c r="BJ64" i="17"/>
  <c r="BF64" i="17"/>
  <c r="BH64" i="17"/>
  <c r="AQ64" i="17"/>
  <c r="BH5" i="17"/>
  <c r="BN5" i="17"/>
  <c r="BJ5" i="17"/>
  <c r="BF5" i="17"/>
  <c r="AQ5" i="17"/>
  <c r="BH50" i="17"/>
  <c r="AQ50" i="17"/>
  <c r="BN50" i="17"/>
  <c r="BJ50" i="17"/>
  <c r="BF50" i="17"/>
  <c r="BH66" i="17"/>
  <c r="AQ66" i="17"/>
  <c r="BN66" i="17"/>
  <c r="BJ66" i="17"/>
  <c r="BF66" i="17"/>
  <c r="BH125" i="17"/>
  <c r="BF125" i="17"/>
  <c r="BJ125" i="17"/>
  <c r="BN125" i="17"/>
  <c r="AQ125" i="17"/>
  <c r="BJ24" i="17"/>
  <c r="BF24" i="17"/>
  <c r="BH24" i="17"/>
  <c r="BI41" i="17"/>
  <c r="BJ41" i="17" s="1"/>
  <c r="BI120" i="17"/>
  <c r="BJ120" i="17" s="1"/>
  <c r="BN132" i="17"/>
  <c r="BJ132" i="17"/>
  <c r="BF132" i="17"/>
  <c r="AQ132" i="17"/>
  <c r="BH132" i="17"/>
  <c r="BF135" i="17"/>
  <c r="BH135" i="17"/>
  <c r="AQ157" i="17"/>
  <c r="BJ157" i="17"/>
  <c r="BH157" i="17"/>
  <c r="BN157" i="17"/>
  <c r="BF157" i="17"/>
  <c r="BI151" i="17"/>
  <c r="BH148" i="17"/>
  <c r="AQ148" i="17"/>
  <c r="BF148" i="17"/>
  <c r="BN148" i="17"/>
  <c r="BJ148" i="17"/>
  <c r="BN107" i="17"/>
  <c r="BJ107" i="17"/>
  <c r="BF107" i="17"/>
  <c r="BH107" i="17"/>
  <c r="AQ107" i="17"/>
  <c r="BN128" i="17"/>
  <c r="BJ128" i="17"/>
  <c r="BF128" i="17"/>
  <c r="AQ128" i="17"/>
  <c r="BH128" i="17"/>
  <c r="BI82" i="17"/>
  <c r="BJ82" i="17" s="1"/>
  <c r="BI65" i="17"/>
  <c r="BH85" i="17"/>
  <c r="BJ85" i="17"/>
  <c r="AQ85" i="17"/>
  <c r="BF85" i="17"/>
  <c r="BN85" i="17"/>
  <c r="BH26" i="17"/>
  <c r="BN26" i="17"/>
  <c r="BF26" i="17"/>
  <c r="BJ26" i="17"/>
  <c r="AQ26" i="17"/>
  <c r="BH77" i="17"/>
  <c r="BF77" i="17"/>
  <c r="AQ151" i="17"/>
  <c r="BF151" i="17"/>
  <c r="BJ151" i="17"/>
  <c r="BN151" i="17"/>
  <c r="BH151" i="17"/>
  <c r="BI155" i="17"/>
  <c r="BJ155" i="17" s="1"/>
  <c r="BH145" i="17"/>
  <c r="AQ145" i="17"/>
  <c r="BN145" i="17"/>
  <c r="BJ145" i="17"/>
  <c r="BF145" i="17"/>
  <c r="BI138" i="17"/>
  <c r="BJ138" i="17" s="1"/>
  <c r="BH116" i="17"/>
  <c r="AQ116" i="17"/>
  <c r="BJ116" i="17"/>
  <c r="BF116" i="17"/>
  <c r="BH87" i="17"/>
  <c r="BF87" i="17"/>
  <c r="BN60" i="17"/>
  <c r="BJ60" i="17"/>
  <c r="BF60" i="17"/>
  <c r="BH60" i="17"/>
  <c r="AQ60" i="17"/>
  <c r="BH81" i="17"/>
  <c r="BJ81" i="17"/>
  <c r="AQ81" i="17"/>
  <c r="BN81" i="17"/>
  <c r="BF81" i="17"/>
  <c r="BJ84" i="17"/>
  <c r="BF84" i="17"/>
  <c r="BH84" i="17"/>
  <c r="AQ114" i="17"/>
  <c r="BJ114" i="17"/>
  <c r="BF114" i="17"/>
  <c r="BH114" i="17"/>
  <c r="BH105" i="17"/>
  <c r="BF105" i="17"/>
  <c r="BJ124" i="17"/>
  <c r="BN124" i="17"/>
  <c r="BH124" i="17"/>
  <c r="AQ124" i="17"/>
  <c r="BF124" i="17"/>
  <c r="BF136" i="17"/>
  <c r="BH136" i="17"/>
  <c r="AQ126" i="17"/>
  <c r="BN126" i="17"/>
  <c r="BH126" i="17"/>
  <c r="BF126" i="17"/>
  <c r="BJ126" i="17"/>
  <c r="AQ92" i="17"/>
  <c r="BJ92" i="17"/>
  <c r="BF92" i="17"/>
  <c r="BH92" i="17"/>
  <c r="BI4" i="17"/>
  <c r="BJ4" i="17" s="1"/>
  <c r="BH61" i="17"/>
  <c r="AQ61" i="17"/>
  <c r="BJ61" i="17"/>
  <c r="BF61" i="17"/>
  <c r="BN61" i="17"/>
  <c r="BN7" i="17"/>
  <c r="BJ7" i="17"/>
  <c r="BF7" i="17"/>
  <c r="BH7" i="17"/>
  <c r="AQ7" i="17"/>
  <c r="AQ79" i="17"/>
  <c r="BN79" i="17"/>
  <c r="BJ79" i="17"/>
  <c r="BF79" i="17"/>
  <c r="BH79" i="17"/>
  <c r="BH58" i="17"/>
  <c r="BF58" i="17"/>
  <c r="BJ102" i="17"/>
  <c r="BH102" i="17"/>
  <c r="BF102" i="17"/>
  <c r="AQ73" i="17"/>
  <c r="BN73" i="17"/>
  <c r="BH73" i="17"/>
  <c r="BF73" i="17"/>
  <c r="BJ73" i="17"/>
  <c r="BF96" i="17"/>
  <c r="BH96" i="17"/>
  <c r="BF97" i="17"/>
  <c r="BJ97" i="17"/>
  <c r="BN97" i="17"/>
  <c r="BH97" i="17"/>
  <c r="AQ97" i="17"/>
  <c r="BH86" i="17"/>
  <c r="BF86" i="17"/>
  <c r="BN68" i="17"/>
  <c r="BJ68" i="17"/>
  <c r="BF68" i="17"/>
  <c r="BH68" i="17"/>
  <c r="AQ68" i="17"/>
  <c r="BH90" i="17"/>
  <c r="BF90" i="17"/>
  <c r="BH21" i="17"/>
  <c r="AQ21" i="17"/>
  <c r="BJ21" i="17"/>
  <c r="BN21" i="17"/>
  <c r="BF21" i="17"/>
  <c r="BN13" i="17"/>
  <c r="BJ13" i="17"/>
  <c r="BF13" i="17"/>
  <c r="BH13" i="17"/>
  <c r="AQ13" i="17"/>
  <c r="BF40" i="17"/>
  <c r="BH40" i="17"/>
  <c r="BH57" i="17"/>
  <c r="AQ57" i="17"/>
  <c r="BJ57" i="17"/>
  <c r="BF57" i="17"/>
  <c r="AQ88" i="17"/>
  <c r="BJ88" i="17"/>
  <c r="BF88" i="17"/>
  <c r="BH88" i="17"/>
  <c r="BF106" i="17"/>
  <c r="BH106" i="17"/>
  <c r="BH101" i="17"/>
  <c r="BJ101" i="17"/>
  <c r="BF101" i="17"/>
  <c r="AQ101" i="17"/>
  <c r="AQ142" i="17"/>
  <c r="BN142" i="17"/>
  <c r="BJ142" i="17"/>
  <c r="BF142" i="17"/>
  <c r="BH142" i="17"/>
  <c r="AQ155" i="17"/>
  <c r="BF155" i="17"/>
  <c r="BH155" i="17"/>
  <c r="BH140" i="17"/>
  <c r="AQ140" i="17"/>
  <c r="BN140" i="17"/>
  <c r="BF140" i="17"/>
  <c r="BJ140" i="17"/>
  <c r="BN115" i="17"/>
  <c r="BJ115" i="17"/>
  <c r="BF115" i="17"/>
  <c r="BH115" i="17"/>
  <c r="AQ115" i="17"/>
  <c r="BH98" i="17"/>
  <c r="BJ98" i="17"/>
  <c r="BN98" i="17"/>
  <c r="AQ98" i="17"/>
  <c r="BF98" i="17"/>
  <c r="BI49" i="17"/>
  <c r="BN11" i="17"/>
  <c r="BJ11" i="17"/>
  <c r="BF11" i="17"/>
  <c r="BH11" i="17"/>
  <c r="AQ11" i="17"/>
  <c r="BI17" i="17"/>
  <c r="BJ17" i="17" s="1"/>
  <c r="BH42" i="17"/>
  <c r="BN42" i="17"/>
  <c r="BF42" i="17"/>
  <c r="AQ42" i="17"/>
  <c r="BJ42" i="17"/>
  <c r="BH54" i="17"/>
  <c r="AQ54" i="17"/>
  <c r="BN54" i="17"/>
  <c r="BJ54" i="17"/>
  <c r="BF54" i="17"/>
  <c r="BI77" i="17"/>
  <c r="BJ77" i="17" s="1"/>
  <c r="AQ122" i="17"/>
  <c r="BN122" i="17"/>
  <c r="BJ122" i="17"/>
  <c r="BF122" i="17"/>
  <c r="BH122" i="17"/>
  <c r="AQ99" i="17"/>
  <c r="BJ99" i="17"/>
  <c r="BH99" i="17"/>
  <c r="BN99" i="17"/>
  <c r="BF99" i="17"/>
  <c r="BI69" i="17"/>
  <c r="BF39" i="17"/>
  <c r="BH39" i="17"/>
  <c r="BI110" i="17"/>
  <c r="BJ110" i="17" s="1"/>
  <c r="BJ80" i="17"/>
  <c r="BF80" i="17"/>
  <c r="BH80" i="17"/>
  <c r="BN95" i="17"/>
  <c r="BH95" i="17"/>
  <c r="BF95" i="17"/>
  <c r="BJ95" i="17"/>
  <c r="AQ95" i="17"/>
  <c r="BH113" i="17"/>
  <c r="BF113" i="17"/>
  <c r="BF143" i="17"/>
  <c r="BH143" i="17"/>
  <c r="N63" i="10"/>
  <c r="P63" i="10" s="1"/>
  <c r="O63" i="10"/>
  <c r="S63" i="10"/>
  <c r="T63" i="10"/>
  <c r="AN63" i="10"/>
  <c r="AQ78" i="17" l="1"/>
  <c r="AQ141" i="17"/>
  <c r="AQ112" i="17"/>
  <c r="AQ75" i="17"/>
  <c r="AQ16" i="17"/>
  <c r="AQ27" i="17"/>
  <c r="AQ113" i="17"/>
  <c r="AQ111" i="17"/>
  <c r="AQ105" i="17"/>
  <c r="AQ28" i="17"/>
  <c r="AQ36" i="17"/>
  <c r="AW102" i="17"/>
  <c r="AQ51" i="17"/>
  <c r="AQ8" i="17"/>
  <c r="AQ138" i="17"/>
  <c r="AQ17" i="17"/>
  <c r="AQ82" i="17"/>
  <c r="AQ137" i="17"/>
  <c r="AQ34" i="17"/>
  <c r="AQ87" i="17"/>
  <c r="AQ90" i="17"/>
  <c r="AQ58" i="17"/>
  <c r="AQ84" i="17"/>
  <c r="AQ39" i="17"/>
  <c r="AQ86" i="17"/>
  <c r="AQ136" i="17"/>
  <c r="AQ48" i="17"/>
  <c r="AQ94" i="17"/>
  <c r="AQ120" i="17"/>
  <c r="AS153" i="17"/>
  <c r="AV153" i="17" s="1"/>
  <c r="AW24" i="17"/>
  <c r="AW118" i="17"/>
  <c r="AW43" i="17"/>
  <c r="W6" i="19"/>
  <c r="W8" i="19"/>
  <c r="W7" i="19"/>
  <c r="AQ40" i="17"/>
  <c r="AW104" i="17"/>
  <c r="AW56" i="17"/>
  <c r="AQ135" i="17"/>
  <c r="AS73" i="17"/>
  <c r="AV73" i="17" s="1"/>
  <c r="AR106" i="17"/>
  <c r="AU106" i="17" s="1"/>
  <c r="S6" i="19"/>
  <c r="AS67" i="17"/>
  <c r="AV67" i="17" s="1"/>
  <c r="AS108" i="17"/>
  <c r="AV108" i="17" s="1"/>
  <c r="AS112" i="17"/>
  <c r="AS79" i="17"/>
  <c r="AV79" i="17" s="1"/>
  <c r="AS126" i="17"/>
  <c r="AV126" i="17" s="1"/>
  <c r="AS102" i="17"/>
  <c r="AV102" i="17" s="1"/>
  <c r="AS100" i="17"/>
  <c r="AV100" i="17" s="1"/>
  <c r="AS13" i="17"/>
  <c r="AV13" i="17" s="1"/>
  <c r="AS7" i="17"/>
  <c r="AV7" i="17" s="1"/>
  <c r="AS31" i="17"/>
  <c r="AV31" i="17" s="1"/>
  <c r="AS47" i="17"/>
  <c r="AV47" i="17" s="1"/>
  <c r="AR97" i="17"/>
  <c r="AU97" i="17" s="1"/>
  <c r="AS78" i="17"/>
  <c r="AP78" i="17" s="1"/>
  <c r="AS148" i="17"/>
  <c r="AV148" i="17" s="1"/>
  <c r="AS104" i="17"/>
  <c r="AV104" i="17" s="1"/>
  <c r="S7" i="19"/>
  <c r="V5" i="19"/>
  <c r="V8" i="19"/>
  <c r="V7" i="19"/>
  <c r="S5" i="19"/>
  <c r="U8" i="19"/>
  <c r="U5" i="19"/>
  <c r="U6" i="19"/>
  <c r="R5" i="19"/>
  <c r="R8" i="19"/>
  <c r="R6" i="19"/>
  <c r="AQ80" i="17"/>
  <c r="AS99" i="17"/>
  <c r="AV99" i="17" s="1"/>
  <c r="AS74" i="17"/>
  <c r="AV74" i="17" s="1"/>
  <c r="AS63" i="17"/>
  <c r="AV63" i="17" s="1"/>
  <c r="AS152" i="17"/>
  <c r="AV152" i="17" s="1"/>
  <c r="AS114" i="17"/>
  <c r="AV114" i="17" s="1"/>
  <c r="AS77" i="17"/>
  <c r="AV77" i="17" s="1"/>
  <c r="AS35" i="17"/>
  <c r="AV35" i="17" s="1"/>
  <c r="AS6" i="17"/>
  <c r="AV6" i="17" s="1"/>
  <c r="AQ89" i="17"/>
  <c r="AQ93" i="17"/>
  <c r="AQ19" i="17"/>
  <c r="AR100" i="17"/>
  <c r="AU100" i="17" s="1"/>
  <c r="AQ143" i="17"/>
  <c r="AQ106" i="17"/>
  <c r="AS95" i="17"/>
  <c r="AV95" i="17" s="1"/>
  <c r="AS93" i="17"/>
  <c r="AV93" i="17" s="1"/>
  <c r="AS150" i="17"/>
  <c r="AV150" i="17" s="1"/>
  <c r="AS143" i="17"/>
  <c r="AP143" i="17" s="1"/>
  <c r="AS151" i="17"/>
  <c r="AV151" i="17" s="1"/>
  <c r="AS106" i="17"/>
  <c r="AV106" i="17" s="1"/>
  <c r="AS92" i="17"/>
  <c r="AV92" i="17" s="1"/>
  <c r="AR4" i="17"/>
  <c r="AU4" i="17" s="1"/>
  <c r="AR149" i="17"/>
  <c r="AU149" i="17" s="1"/>
  <c r="AQ32" i="17"/>
  <c r="AQ117" i="17"/>
  <c r="AQ45" i="17"/>
  <c r="AQ29" i="17"/>
  <c r="AQ46" i="17"/>
  <c r="P9" i="19"/>
  <c r="Y9" i="19"/>
  <c r="N9" i="19"/>
  <c r="Z9" i="19"/>
  <c r="T9" i="19"/>
  <c r="U9" i="19"/>
  <c r="W9" i="19"/>
  <c r="O9" i="19"/>
  <c r="R9" i="19"/>
  <c r="S9" i="19"/>
  <c r="V9" i="19"/>
  <c r="X9" i="19"/>
  <c r="M10" i="19"/>
  <c r="AQ96" i="17"/>
  <c r="AW77" i="17"/>
  <c r="AW10" i="17"/>
  <c r="AP114" i="17"/>
  <c r="AR154" i="17"/>
  <c r="AU154" i="17" s="1"/>
  <c r="AR107" i="17"/>
  <c r="AU107" i="17" s="1"/>
  <c r="AR41" i="17"/>
  <c r="AR102" i="17"/>
  <c r="AR12" i="17"/>
  <c r="AU12" i="17" s="1"/>
  <c r="AR130" i="17"/>
  <c r="AU130" i="17" s="1"/>
  <c r="AR140" i="17"/>
  <c r="AU140" i="17" s="1"/>
  <c r="AR105" i="17"/>
  <c r="AR98" i="17"/>
  <c r="AU98" i="17" s="1"/>
  <c r="AR127" i="17"/>
  <c r="AU127" i="17" s="1"/>
  <c r="AR69" i="17"/>
  <c r="AU69" i="17" s="1"/>
  <c r="AR75" i="17"/>
  <c r="AR18" i="17"/>
  <c r="AU18" i="17" s="1"/>
  <c r="AR120" i="17"/>
  <c r="AR96" i="17"/>
  <c r="AR29" i="17"/>
  <c r="AR14" i="17"/>
  <c r="AU14" i="17" s="1"/>
  <c r="AR146" i="17"/>
  <c r="AU146" i="17" s="1"/>
  <c r="AR101" i="17"/>
  <c r="AR122" i="17"/>
  <c r="AU122" i="17" s="1"/>
  <c r="AR114" i="17"/>
  <c r="AR73" i="17"/>
  <c r="AU73" i="17" s="1"/>
  <c r="AR118" i="17"/>
  <c r="AR42" i="17"/>
  <c r="AU42" i="17" s="1"/>
  <c r="AR20" i="17"/>
  <c r="AU20" i="17" s="1"/>
  <c r="AR2" i="17"/>
  <c r="AU2" i="17" s="1"/>
  <c r="AR63" i="17"/>
  <c r="AU63" i="17" s="1"/>
  <c r="AR71" i="17"/>
  <c r="AU71" i="17" s="1"/>
  <c r="AR83" i="17"/>
  <c r="AU83" i="17" s="1"/>
  <c r="AR59" i="17"/>
  <c r="AU59" i="17" s="1"/>
  <c r="AR153" i="17"/>
  <c r="AU153" i="17" s="1"/>
  <c r="AR11" i="17"/>
  <c r="AU11" i="17" s="1"/>
  <c r="AR88" i="17"/>
  <c r="AR155" i="17"/>
  <c r="AU155" i="17" s="1"/>
  <c r="AR3" i="17"/>
  <c r="AU3" i="17" s="1"/>
  <c r="AR35" i="17"/>
  <c r="AU35" i="17" s="1"/>
  <c r="AR126" i="17"/>
  <c r="AU126" i="17" s="1"/>
  <c r="AW4" i="17"/>
  <c r="AW41" i="17"/>
  <c r="AS138" i="17"/>
  <c r="AS116" i="17"/>
  <c r="AS84" i="17"/>
  <c r="AV84" i="17" s="1"/>
  <c r="AS39" i="17"/>
  <c r="AS157" i="17"/>
  <c r="AV157" i="17" s="1"/>
  <c r="AS94" i="17"/>
  <c r="AS9" i="17"/>
  <c r="AV9" i="17" s="1"/>
  <c r="AS132" i="17"/>
  <c r="AV132" i="17" s="1"/>
  <c r="AS88" i="17"/>
  <c r="AV88" i="17" s="1"/>
  <c r="AS11" i="17"/>
  <c r="AV11" i="17" s="1"/>
  <c r="AS19" i="17"/>
  <c r="AS48" i="17"/>
  <c r="AS27" i="17"/>
  <c r="AS43" i="17"/>
  <c r="AR117" i="17"/>
  <c r="AR135" i="17"/>
  <c r="AU135" i="17" s="1"/>
  <c r="AR33" i="17"/>
  <c r="AU33" i="17" s="1"/>
  <c r="AR72" i="17"/>
  <c r="AU72" i="17" s="1"/>
  <c r="AR8" i="17"/>
  <c r="AU8" i="17" s="1"/>
  <c r="AR138" i="17"/>
  <c r="AR143" i="17"/>
  <c r="AR124" i="17"/>
  <c r="AU124" i="17" s="1"/>
  <c r="AR91" i="17"/>
  <c r="AU91" i="17" s="1"/>
  <c r="AR81" i="17"/>
  <c r="AU81" i="17" s="1"/>
  <c r="AR70" i="17"/>
  <c r="AU70" i="17" s="1"/>
  <c r="AR61" i="17"/>
  <c r="AU61" i="17" s="1"/>
  <c r="AR64" i="17"/>
  <c r="AU64" i="17" s="1"/>
  <c r="AR44" i="17"/>
  <c r="AR144" i="17"/>
  <c r="AU144" i="17" s="1"/>
  <c r="AR139" i="17"/>
  <c r="AU139" i="17" s="1"/>
  <c r="AR74" i="17"/>
  <c r="AU74" i="17" s="1"/>
  <c r="AR21" i="17"/>
  <c r="AU21" i="17" s="1"/>
  <c r="AR10" i="17"/>
  <c r="AR133" i="17"/>
  <c r="AU133" i="17" s="1"/>
  <c r="AR108" i="17"/>
  <c r="AU108" i="17" s="1"/>
  <c r="AR85" i="17"/>
  <c r="AU85" i="17" s="1"/>
  <c r="AR66" i="17"/>
  <c r="AU66" i="17" s="1"/>
  <c r="AR65" i="17"/>
  <c r="AU65" i="17" s="1"/>
  <c r="AR68" i="17"/>
  <c r="AU68" i="17" s="1"/>
  <c r="AR26" i="17"/>
  <c r="AU26" i="17" s="1"/>
  <c r="AR128" i="17"/>
  <c r="AU128" i="17" s="1"/>
  <c r="AR92" i="17"/>
  <c r="AR48" i="17"/>
  <c r="AR51" i="17"/>
  <c r="AR16" i="17"/>
  <c r="AU16" i="17" s="1"/>
  <c r="AR78" i="17"/>
  <c r="AR23" i="17"/>
  <c r="AU23" i="17" s="1"/>
  <c r="AR6" i="17"/>
  <c r="AU6" i="17" s="1"/>
  <c r="AR104" i="17"/>
  <c r="AU104" i="17" s="1"/>
  <c r="AR152" i="17"/>
  <c r="AU152" i="17" s="1"/>
  <c r="AR7" i="17"/>
  <c r="AU7" i="17" s="1"/>
  <c r="AR43" i="17"/>
  <c r="AR150" i="17"/>
  <c r="AU150" i="17" s="1"/>
  <c r="AQ53" i="17"/>
  <c r="AP106" i="17"/>
  <c r="AP92" i="17"/>
  <c r="AS140" i="17"/>
  <c r="AV140" i="17" s="1"/>
  <c r="AS146" i="17"/>
  <c r="AV146" i="17" s="1"/>
  <c r="AS136" i="17"/>
  <c r="AS80" i="17"/>
  <c r="AS155" i="17"/>
  <c r="AS120" i="17"/>
  <c r="AS89" i="17"/>
  <c r="AS147" i="17"/>
  <c r="AV147" i="17" s="1"/>
  <c r="AS139" i="17"/>
  <c r="AV139" i="17" s="1"/>
  <c r="AS75" i="17"/>
  <c r="AS59" i="17"/>
  <c r="AV59" i="17" s="1"/>
  <c r="AS2" i="17"/>
  <c r="AV2" i="17" s="1"/>
  <c r="AS32" i="17"/>
  <c r="AS71" i="17"/>
  <c r="AV71" i="17" s="1"/>
  <c r="AS24" i="17"/>
  <c r="AR112" i="17"/>
  <c r="AR90" i="17"/>
  <c r="AR25" i="17"/>
  <c r="AU25" i="17" s="1"/>
  <c r="AR38" i="17"/>
  <c r="AR141" i="17"/>
  <c r="AU141" i="17" s="1"/>
  <c r="AR145" i="17"/>
  <c r="AU145" i="17" s="1"/>
  <c r="AR129" i="17"/>
  <c r="AU129" i="17" s="1"/>
  <c r="AR116" i="17"/>
  <c r="AR87" i="17"/>
  <c r="AR131" i="17"/>
  <c r="AU131" i="17" s="1"/>
  <c r="AR62" i="17"/>
  <c r="AU62" i="17" s="1"/>
  <c r="AR53" i="17"/>
  <c r="AR56" i="17"/>
  <c r="AR28" i="17"/>
  <c r="AU28" i="17" s="1"/>
  <c r="AR134" i="17"/>
  <c r="AU134" i="17" s="1"/>
  <c r="AR119" i="17"/>
  <c r="AU119" i="17" s="1"/>
  <c r="AR45" i="17"/>
  <c r="AR46" i="17"/>
  <c r="AR137" i="17"/>
  <c r="AU137" i="17" s="1"/>
  <c r="AR125" i="17"/>
  <c r="AU125" i="17" s="1"/>
  <c r="AR103" i="17"/>
  <c r="AU103" i="17" s="1"/>
  <c r="AR94" i="17"/>
  <c r="AR58" i="17"/>
  <c r="AR57" i="17"/>
  <c r="AU57" i="17" s="1"/>
  <c r="AR60" i="17"/>
  <c r="AU60" i="17" s="1"/>
  <c r="AR79" i="17"/>
  <c r="AU79" i="17" s="1"/>
  <c r="AR67" i="17"/>
  <c r="AU67" i="17" s="1"/>
  <c r="AR27" i="17"/>
  <c r="AR77" i="17"/>
  <c r="AR31" i="17"/>
  <c r="AU31" i="17" s="1"/>
  <c r="AR80" i="17"/>
  <c r="AU80" i="17" s="1"/>
  <c r="AR136" i="17"/>
  <c r="AU136" i="17" s="1"/>
  <c r="AR13" i="17"/>
  <c r="AU13" i="17" s="1"/>
  <c r="AR24" i="17"/>
  <c r="AU24" i="17" s="1"/>
  <c r="AR93" i="17"/>
  <c r="AU93" i="17" s="1"/>
  <c r="AR5" i="17"/>
  <c r="AU5" i="17" s="1"/>
  <c r="AR39" i="17"/>
  <c r="AS156" i="17"/>
  <c r="AV156" i="17" s="1"/>
  <c r="AS133" i="17"/>
  <c r="AV133" i="17" s="1"/>
  <c r="AS137" i="17"/>
  <c r="AS119" i="17"/>
  <c r="AV119" i="17" s="1"/>
  <c r="AS125" i="17"/>
  <c r="AV125" i="17" s="1"/>
  <c r="AS90" i="17"/>
  <c r="AS98" i="17"/>
  <c r="AV98" i="17" s="1"/>
  <c r="AS69" i="17"/>
  <c r="AV69" i="17" s="1"/>
  <c r="AS53" i="17"/>
  <c r="AS87" i="17"/>
  <c r="AV87" i="17" s="1"/>
  <c r="AS68" i="17"/>
  <c r="AV68" i="17" s="1"/>
  <c r="AS52" i="17"/>
  <c r="AV52" i="17" s="1"/>
  <c r="AS34" i="17"/>
  <c r="AS18" i="17"/>
  <c r="AV18" i="17" s="1"/>
  <c r="AS41" i="17"/>
  <c r="AS5" i="17"/>
  <c r="AV5" i="17" s="1"/>
  <c r="AS154" i="17"/>
  <c r="AV154" i="17" s="1"/>
  <c r="AS129" i="17"/>
  <c r="AV129" i="17" s="1"/>
  <c r="AS135" i="17"/>
  <c r="AS115" i="17"/>
  <c r="AV115" i="17" s="1"/>
  <c r="AS134" i="17"/>
  <c r="AV134" i="17" s="1"/>
  <c r="AS85" i="17"/>
  <c r="AV85" i="17" s="1"/>
  <c r="AS130" i="17"/>
  <c r="AV130" i="17" s="1"/>
  <c r="AS65" i="17"/>
  <c r="AV65" i="17" s="1"/>
  <c r="AS49" i="17"/>
  <c r="AV49" i="17" s="1"/>
  <c r="AS86" i="17"/>
  <c r="AS64" i="17"/>
  <c r="AV64" i="17" s="1"/>
  <c r="AS46" i="17"/>
  <c r="AS30" i="17"/>
  <c r="AV30" i="17" s="1"/>
  <c r="AS14" i="17"/>
  <c r="AV14" i="17" s="1"/>
  <c r="AS33" i="17"/>
  <c r="AV33" i="17" s="1"/>
  <c r="AS3" i="17"/>
  <c r="AV3" i="17" s="1"/>
  <c r="AS149" i="17"/>
  <c r="AV149" i="17" s="1"/>
  <c r="AS145" i="17"/>
  <c r="AV145" i="17" s="1"/>
  <c r="AS131" i="17"/>
  <c r="AV131" i="17" s="1"/>
  <c r="AS111" i="17"/>
  <c r="AS127" i="17"/>
  <c r="AV127" i="17" s="1"/>
  <c r="AS81" i="17"/>
  <c r="AV81" i="17" s="1"/>
  <c r="AS91" i="17"/>
  <c r="AV91" i="17" s="1"/>
  <c r="AS61" i="17"/>
  <c r="AV61" i="17" s="1"/>
  <c r="AS117" i="17"/>
  <c r="AS76" i="17"/>
  <c r="AV76" i="17" s="1"/>
  <c r="AS60" i="17"/>
  <c r="AV60" i="17" s="1"/>
  <c r="AS42" i="17"/>
  <c r="AV42" i="17" s="1"/>
  <c r="AS26" i="17"/>
  <c r="AV26" i="17" s="1"/>
  <c r="AS101" i="17"/>
  <c r="AV101" i="17" s="1"/>
  <c r="AS25" i="17"/>
  <c r="AV25" i="17" s="1"/>
  <c r="AS28" i="17"/>
  <c r="AS16" i="17"/>
  <c r="AS37" i="17"/>
  <c r="AV37" i="17" s="1"/>
  <c r="AS10" i="17"/>
  <c r="AV10" i="17" s="1"/>
  <c r="AS141" i="17"/>
  <c r="AS142" i="17"/>
  <c r="AV142" i="17" s="1"/>
  <c r="AS123" i="17"/>
  <c r="AV123" i="17" s="1"/>
  <c r="AS107" i="17"/>
  <c r="AV107" i="17" s="1"/>
  <c r="AS121" i="17"/>
  <c r="AV121" i="17" s="1"/>
  <c r="AS103" i="17"/>
  <c r="AV103" i="17" s="1"/>
  <c r="AS82" i="17"/>
  <c r="AS57" i="17"/>
  <c r="AS109" i="17"/>
  <c r="AV109" i="17" s="1"/>
  <c r="AS72" i="17"/>
  <c r="AV72" i="17" s="1"/>
  <c r="AS56" i="17"/>
  <c r="AS38" i="17"/>
  <c r="AV38" i="17" s="1"/>
  <c r="AS22" i="17"/>
  <c r="AV22" i="17" s="1"/>
  <c r="AS62" i="17"/>
  <c r="AV62" i="17" s="1"/>
  <c r="AS17" i="17"/>
  <c r="AV17" i="17" s="1"/>
  <c r="AS113" i="17"/>
  <c r="AS70" i="17"/>
  <c r="AV70" i="17" s="1"/>
  <c r="AS29" i="17"/>
  <c r="AS8" i="17"/>
  <c r="AS36" i="17"/>
  <c r="AS105" i="17"/>
  <c r="AV105" i="17" s="1"/>
  <c r="AS21" i="17"/>
  <c r="AV21" i="17" s="1"/>
  <c r="AS44" i="17"/>
  <c r="AS50" i="17"/>
  <c r="AV50" i="17" s="1"/>
  <c r="AS58" i="17"/>
  <c r="AS12" i="17"/>
  <c r="AV12" i="17" s="1"/>
  <c r="AS20" i="17"/>
  <c r="AV20" i="17" s="1"/>
  <c r="AS15" i="17"/>
  <c r="AV15" i="17" s="1"/>
  <c r="AS51" i="17"/>
  <c r="AS45" i="17"/>
  <c r="AV45" i="17" s="1"/>
  <c r="AS54" i="17"/>
  <c r="AV54" i="17" s="1"/>
  <c r="AS66" i="17"/>
  <c r="AV66" i="17" s="1"/>
  <c r="AS23" i="17"/>
  <c r="AV23" i="17" s="1"/>
  <c r="AS96" i="17"/>
  <c r="AS118" i="17"/>
  <c r="AV118" i="17" s="1"/>
  <c r="AS144" i="17"/>
  <c r="AV144" i="17" s="1"/>
  <c r="AS124" i="17"/>
  <c r="AV124" i="17" s="1"/>
  <c r="AS122" i="17"/>
  <c r="AV122" i="17" s="1"/>
  <c r="AS128" i="17"/>
  <c r="AV128" i="17" s="1"/>
  <c r="AS97" i="17"/>
  <c r="AV97" i="17" s="1"/>
  <c r="AS110" i="17"/>
  <c r="AV110" i="17" s="1"/>
  <c r="AS40" i="17"/>
  <c r="AS83" i="17"/>
  <c r="AV83" i="17" s="1"/>
  <c r="AS4" i="17"/>
  <c r="AV4" i="17" s="1"/>
  <c r="AS55" i="17"/>
  <c r="AV55" i="17" s="1"/>
  <c r="AR115" i="17"/>
  <c r="AU115" i="17" s="1"/>
  <c r="AR76" i="17"/>
  <c r="AU76" i="17" s="1"/>
  <c r="AR17" i="17"/>
  <c r="AR22" i="17"/>
  <c r="AR147" i="17"/>
  <c r="AU147" i="17" s="1"/>
  <c r="AR148" i="17"/>
  <c r="AU148" i="17" s="1"/>
  <c r="AR121" i="17"/>
  <c r="AU121" i="17" s="1"/>
  <c r="AR123" i="17"/>
  <c r="AU123" i="17" s="1"/>
  <c r="AR82" i="17"/>
  <c r="AR95" i="17"/>
  <c r="AU95" i="17" s="1"/>
  <c r="AR54" i="17"/>
  <c r="AU54" i="17" s="1"/>
  <c r="AR110" i="17"/>
  <c r="AR34" i="17"/>
  <c r="AR156" i="17"/>
  <c r="AU156" i="17" s="1"/>
  <c r="AR109" i="17"/>
  <c r="AU109" i="17" s="1"/>
  <c r="AR111" i="17"/>
  <c r="AR37" i="17"/>
  <c r="AU37" i="17" s="1"/>
  <c r="AR30" i="17"/>
  <c r="AU30" i="17" s="1"/>
  <c r="AR157" i="17"/>
  <c r="AU157" i="17" s="1"/>
  <c r="AR113" i="17"/>
  <c r="AR86" i="17"/>
  <c r="AU86" i="17" s="1"/>
  <c r="AR89" i="17"/>
  <c r="AR50" i="17"/>
  <c r="AU50" i="17" s="1"/>
  <c r="AR49" i="17"/>
  <c r="AU49" i="17" s="1"/>
  <c r="AR52" i="17"/>
  <c r="AU52" i="17" s="1"/>
  <c r="AR36" i="17"/>
  <c r="AU36" i="17" s="1"/>
  <c r="AR151" i="17"/>
  <c r="AU151" i="17" s="1"/>
  <c r="AR55" i="17"/>
  <c r="AR40" i="17"/>
  <c r="AU40" i="17" s="1"/>
  <c r="AR99" i="17"/>
  <c r="AU99" i="17" s="1"/>
  <c r="AR47" i="17"/>
  <c r="AU47" i="17" s="1"/>
  <c r="AR84" i="17"/>
  <c r="AR142" i="17"/>
  <c r="AU142" i="17" s="1"/>
  <c r="AR15" i="17"/>
  <c r="AU15" i="17" s="1"/>
  <c r="AR19" i="17"/>
  <c r="AU19" i="17" s="1"/>
  <c r="AR132" i="17"/>
  <c r="AU132" i="17" s="1"/>
  <c r="AR9" i="17"/>
  <c r="AU9" i="17" s="1"/>
  <c r="AR32" i="17"/>
  <c r="R63" i="10"/>
  <c r="Q63" i="10"/>
  <c r="AJ157" i="14"/>
  <c r="AJ156" i="14"/>
  <c r="AJ155" i="14"/>
  <c r="AJ154" i="14"/>
  <c r="AJ153" i="14"/>
  <c r="AJ152" i="14"/>
  <c r="AJ151" i="14"/>
  <c r="AJ150" i="14"/>
  <c r="AJ149" i="14"/>
  <c r="AJ148" i="14"/>
  <c r="AJ147" i="14"/>
  <c r="AJ146" i="14"/>
  <c r="AJ145" i="14"/>
  <c r="AJ144" i="14"/>
  <c r="AJ23" i="14"/>
  <c r="AJ33" i="14"/>
  <c r="AJ65" i="14"/>
  <c r="AJ143" i="14"/>
  <c r="AJ14" i="14"/>
  <c r="AJ28" i="14"/>
  <c r="AJ44" i="14"/>
  <c r="AJ142" i="14"/>
  <c r="AJ50" i="14"/>
  <c r="AJ13" i="14"/>
  <c r="AJ141" i="14"/>
  <c r="AJ140" i="14"/>
  <c r="AJ43" i="14"/>
  <c r="AJ139" i="14"/>
  <c r="AJ138" i="14"/>
  <c r="AJ137" i="14"/>
  <c r="AJ136" i="14"/>
  <c r="AJ135" i="14"/>
  <c r="AJ134" i="14"/>
  <c r="AJ133" i="14"/>
  <c r="AJ12" i="14"/>
  <c r="AJ132" i="14"/>
  <c r="AJ131" i="14"/>
  <c r="AJ24" i="14"/>
  <c r="AJ130" i="14"/>
  <c r="AJ129" i="14"/>
  <c r="AJ49" i="14"/>
  <c r="AJ21" i="14"/>
  <c r="AJ11" i="14"/>
  <c r="AJ18" i="14"/>
  <c r="AJ37" i="14"/>
  <c r="AJ128" i="14"/>
  <c r="AJ26" i="14"/>
  <c r="AJ32" i="14"/>
  <c r="AJ127" i="14"/>
  <c r="AJ64" i="14"/>
  <c r="AJ126" i="14"/>
  <c r="AJ55" i="14"/>
  <c r="AJ125" i="14"/>
  <c r="AJ124" i="14"/>
  <c r="AJ123" i="14"/>
  <c r="AJ51" i="14"/>
  <c r="AJ63" i="14"/>
  <c r="AJ122" i="14"/>
  <c r="AJ61" i="14"/>
  <c r="AJ10" i="14"/>
  <c r="AJ121" i="14"/>
  <c r="AJ45" i="14"/>
  <c r="AJ120" i="14"/>
  <c r="AJ30" i="14"/>
  <c r="AJ119" i="14"/>
  <c r="AJ118" i="14"/>
  <c r="AJ117" i="14"/>
  <c r="AJ46" i="14"/>
  <c r="AJ47" i="14"/>
  <c r="AJ116" i="14"/>
  <c r="AJ53" i="14"/>
  <c r="AJ25" i="14"/>
  <c r="AJ115" i="14"/>
  <c r="AJ22" i="14"/>
  <c r="AJ114" i="14"/>
  <c r="AJ15" i="14"/>
  <c r="AJ60" i="14"/>
  <c r="AJ54" i="14"/>
  <c r="AJ9" i="14"/>
  <c r="AJ34" i="14"/>
  <c r="AJ59" i="14"/>
  <c r="AJ113" i="14"/>
  <c r="AJ52" i="14"/>
  <c r="AJ8" i="14"/>
  <c r="AJ112" i="14"/>
  <c r="AJ111" i="14"/>
  <c r="AJ110" i="14"/>
  <c r="AJ109" i="14"/>
  <c r="AJ108" i="14"/>
  <c r="AJ107" i="14"/>
  <c r="AJ106" i="14"/>
  <c r="AJ105" i="14"/>
  <c r="AJ104" i="14"/>
  <c r="AJ103" i="14"/>
  <c r="AJ102" i="14"/>
  <c r="AJ101" i="14"/>
  <c r="AJ100" i="14"/>
  <c r="AJ36" i="14"/>
  <c r="AJ99" i="14"/>
  <c r="AJ19" i="14"/>
  <c r="AJ62" i="14"/>
  <c r="AJ58" i="14"/>
  <c r="AJ57" i="14"/>
  <c r="AJ98" i="14"/>
  <c r="AJ48" i="14"/>
  <c r="AJ97" i="14"/>
  <c r="AJ31" i="14"/>
  <c r="AJ42" i="14"/>
  <c r="AJ96" i="14"/>
  <c r="AJ27" i="14"/>
  <c r="AJ95" i="14"/>
  <c r="AJ17" i="14"/>
  <c r="AJ67" i="14"/>
  <c r="AJ35" i="14"/>
  <c r="AJ66" i="14"/>
  <c r="AJ41" i="14"/>
  <c r="AJ29" i="14"/>
  <c r="AJ94" i="14"/>
  <c r="AJ16" i="14"/>
  <c r="AJ56" i="14"/>
  <c r="AJ93" i="14"/>
  <c r="AJ7" i="14"/>
  <c r="AJ92" i="14"/>
  <c r="AJ91" i="14"/>
  <c r="AJ90" i="14"/>
  <c r="AJ6" i="14"/>
  <c r="AJ89" i="14"/>
  <c r="AJ88" i="14"/>
  <c r="AJ87" i="14"/>
  <c r="AJ86" i="14"/>
  <c r="AJ85" i="14"/>
  <c r="AJ84" i="14"/>
  <c r="AJ83" i="14"/>
  <c r="AJ5" i="14"/>
  <c r="AJ82" i="14"/>
  <c r="AJ4" i="14"/>
  <c r="AJ81" i="14"/>
  <c r="AJ40" i="14"/>
  <c r="AJ80" i="14"/>
  <c r="AJ79" i="14"/>
  <c r="AJ78" i="14"/>
  <c r="AJ3" i="14"/>
  <c r="AJ77" i="14"/>
  <c r="AJ76" i="14"/>
  <c r="AJ75" i="14"/>
  <c r="AJ39" i="14"/>
  <c r="AJ74" i="14"/>
  <c r="AJ20" i="14"/>
  <c r="AJ73" i="14"/>
  <c r="AJ72" i="14"/>
  <c r="AJ71" i="14"/>
  <c r="AJ70" i="14"/>
  <c r="AJ38" i="14"/>
  <c r="AJ2" i="14"/>
  <c r="AJ69" i="14"/>
  <c r="AJ68" i="14"/>
  <c r="E12" i="11"/>
  <c r="E14" i="11"/>
  <c r="D12" i="11"/>
  <c r="D14" i="11"/>
  <c r="C12" i="11"/>
  <c r="C14" i="11"/>
  <c r="B12" i="11"/>
  <c r="R13" i="10"/>
  <c r="L13" i="11"/>
  <c r="L14" i="11"/>
  <c r="L8" i="11"/>
  <c r="L10" i="11"/>
  <c r="L6" i="11"/>
  <c r="L5" i="11"/>
  <c r="M6" i="12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E13" i="11"/>
  <c r="D13" i="11"/>
  <c r="C13" i="11"/>
  <c r="B13" i="11"/>
  <c r="B14" i="11"/>
  <c r="E10" i="11"/>
  <c r="D10" i="11"/>
  <c r="C10" i="11"/>
  <c r="B10" i="11"/>
  <c r="E7" i="11"/>
  <c r="D7" i="11"/>
  <c r="C7" i="11"/>
  <c r="B7" i="11"/>
  <c r="E9" i="11"/>
  <c r="D9" i="11"/>
  <c r="C9" i="11"/>
  <c r="B9" i="11"/>
  <c r="E5" i="11"/>
  <c r="D5" i="11"/>
  <c r="C5" i="11"/>
  <c r="E6" i="11"/>
  <c r="D6" i="11"/>
  <c r="C6" i="11"/>
  <c r="B6" i="11"/>
  <c r="E8" i="11"/>
  <c r="D8" i="11"/>
  <c r="C8" i="11"/>
  <c r="B8" i="11"/>
  <c r="E11" i="11"/>
  <c r="D11" i="11"/>
  <c r="C11" i="11"/>
  <c r="B11" i="11"/>
  <c r="E4" i="11"/>
  <c r="D4" i="11"/>
  <c r="C4" i="11"/>
  <c r="AF14" i="10"/>
  <c r="AE14" i="10"/>
  <c r="AD14" i="10"/>
  <c r="AC14" i="10"/>
  <c r="AF13" i="10"/>
  <c r="AE13" i="10"/>
  <c r="AD13" i="10"/>
  <c r="AC13" i="10"/>
  <c r="AF12" i="10"/>
  <c r="AE12" i="10"/>
  <c r="AD12" i="10"/>
  <c r="AC12" i="10"/>
  <c r="AF11" i="10"/>
  <c r="AE11" i="10"/>
  <c r="AD11" i="10"/>
  <c r="AC11" i="10"/>
  <c r="AF10" i="10"/>
  <c r="AE10" i="10"/>
  <c r="AD10" i="10"/>
  <c r="AC10" i="10"/>
  <c r="AF9" i="10"/>
  <c r="AE9" i="10"/>
  <c r="AD9" i="10"/>
  <c r="AC9" i="10"/>
  <c r="AF8" i="10"/>
  <c r="AE8" i="10"/>
  <c r="AD8" i="10"/>
  <c r="AC8" i="10"/>
  <c r="AF7" i="10"/>
  <c r="AE7" i="10"/>
  <c r="AD7" i="10"/>
  <c r="AC7" i="10"/>
  <c r="AF6" i="10"/>
  <c r="AE6" i="10"/>
  <c r="AD6" i="10"/>
  <c r="AC6" i="10"/>
  <c r="AF5" i="10"/>
  <c r="AE5" i="10"/>
  <c r="AD5" i="10"/>
  <c r="AC5" i="10"/>
  <c r="AE4" i="10"/>
  <c r="AD4" i="10"/>
  <c r="AC4" i="10"/>
  <c r="AF3" i="10"/>
  <c r="AE3" i="10"/>
  <c r="AD3" i="10"/>
  <c r="AC3" i="10"/>
  <c r="AF2" i="10"/>
  <c r="AE2" i="10"/>
  <c r="AD2" i="10"/>
  <c r="AC2" i="10"/>
  <c r="E17" i="15"/>
  <c r="D17" i="15"/>
  <c r="C17" i="15"/>
  <c r="B17" i="15"/>
  <c r="F17" i="15" s="1"/>
  <c r="B14" i="15"/>
  <c r="B13" i="15"/>
  <c r="B12" i="15"/>
  <c r="B11" i="15"/>
  <c r="B10" i="15"/>
  <c r="B9" i="15"/>
  <c r="B8" i="15"/>
  <c r="B7" i="15"/>
  <c r="B6" i="15"/>
  <c r="B5" i="15"/>
  <c r="B4" i="15"/>
  <c r="J11" i="15"/>
  <c r="B14" i="13" a="1"/>
  <c r="B3" i="13" a="1"/>
  <c r="B8" i="13" a="1"/>
  <c r="B7" i="13" a="1"/>
  <c r="B4" i="13" a="1"/>
  <c r="B15" i="13" a="1"/>
  <c r="AV155" i="17" l="1"/>
  <c r="AP155" i="17"/>
  <c r="AV112" i="17"/>
  <c r="AP112" i="17"/>
  <c r="AU96" i="17"/>
  <c r="AO96" i="17"/>
  <c r="AV51" i="17"/>
  <c r="AP51" i="17"/>
  <c r="AU32" i="17"/>
  <c r="AO32" i="17"/>
  <c r="AO106" i="17"/>
  <c r="AV111" i="17"/>
  <c r="AP111" i="17"/>
  <c r="AU89" i="17"/>
  <c r="AO89" i="17"/>
  <c r="AU27" i="17"/>
  <c r="AO27" i="17"/>
  <c r="AV141" i="17"/>
  <c r="AP141" i="17"/>
  <c r="AP104" i="17"/>
  <c r="AV78" i="17"/>
  <c r="AP77" i="17"/>
  <c r="AP93" i="17"/>
  <c r="AV143" i="17"/>
  <c r="AO4" i="17"/>
  <c r="AU112" i="17"/>
  <c r="AO112" i="17"/>
  <c r="N10" i="19"/>
  <c r="Y10" i="19"/>
  <c r="W10" i="19"/>
  <c r="V10" i="19"/>
  <c r="S10" i="19"/>
  <c r="O10" i="19"/>
  <c r="Z10" i="19"/>
  <c r="X10" i="19"/>
  <c r="P10" i="19"/>
  <c r="Q10" i="19"/>
  <c r="U10" i="19"/>
  <c r="T10" i="19"/>
  <c r="R10" i="19"/>
  <c r="M11" i="19"/>
  <c r="AP29" i="17"/>
  <c r="AV29" i="17"/>
  <c r="AP117" i="17"/>
  <c r="AV117" i="17"/>
  <c r="AP53" i="17"/>
  <c r="AV53" i="17"/>
  <c r="AP32" i="17"/>
  <c r="AV32" i="17"/>
  <c r="AO48" i="17"/>
  <c r="AU48" i="17"/>
  <c r="AO117" i="17"/>
  <c r="AU117" i="17"/>
  <c r="AP19" i="17"/>
  <c r="AV19" i="17"/>
  <c r="AU120" i="17"/>
  <c r="AO120" i="17"/>
  <c r="AO17" i="17"/>
  <c r="AU17" i="17"/>
  <c r="AU94" i="17"/>
  <c r="AO94" i="17"/>
  <c r="AP58" i="17"/>
  <c r="AV58" i="17"/>
  <c r="AV28" i="17"/>
  <c r="AP28" i="17"/>
  <c r="AP46" i="17"/>
  <c r="AV46" i="17"/>
  <c r="AO39" i="17"/>
  <c r="AU39" i="17"/>
  <c r="AO77" i="17"/>
  <c r="AU77" i="17"/>
  <c r="AU45" i="17"/>
  <c r="AO45" i="17"/>
  <c r="AO56" i="17"/>
  <c r="AU56" i="17"/>
  <c r="AU87" i="17"/>
  <c r="AO87" i="17"/>
  <c r="AP80" i="17"/>
  <c r="AV80" i="17"/>
  <c r="AO78" i="17"/>
  <c r="AU78" i="17"/>
  <c r="AU92" i="17"/>
  <c r="AO92" i="17"/>
  <c r="AP43" i="17"/>
  <c r="AV43" i="17"/>
  <c r="AP94" i="17"/>
  <c r="AV94" i="17"/>
  <c r="AV116" i="17"/>
  <c r="AP116" i="17"/>
  <c r="AU88" i="17"/>
  <c r="AO88" i="17"/>
  <c r="AO114" i="17"/>
  <c r="AU114" i="17"/>
  <c r="AO34" i="17"/>
  <c r="AU34" i="17"/>
  <c r="AU82" i="17"/>
  <c r="AO82" i="17"/>
  <c r="AP40" i="17"/>
  <c r="AV40" i="17"/>
  <c r="AP96" i="17"/>
  <c r="AV96" i="17"/>
  <c r="AP36" i="17"/>
  <c r="AV36" i="17"/>
  <c r="AP113" i="17"/>
  <c r="AV113" i="17"/>
  <c r="AP57" i="17"/>
  <c r="AV57" i="17"/>
  <c r="AP135" i="17"/>
  <c r="AV135" i="17"/>
  <c r="AP41" i="17"/>
  <c r="AV41" i="17"/>
  <c r="AV137" i="17"/>
  <c r="AP137" i="17"/>
  <c r="AU53" i="17"/>
  <c r="AO53" i="17"/>
  <c r="AO116" i="17"/>
  <c r="AU116" i="17"/>
  <c r="AO38" i="17"/>
  <c r="AU38" i="17"/>
  <c r="AV24" i="17"/>
  <c r="AP24" i="17"/>
  <c r="AV89" i="17"/>
  <c r="AP89" i="17"/>
  <c r="AP136" i="17"/>
  <c r="AV136" i="17"/>
  <c r="AO10" i="17"/>
  <c r="AU10" i="17"/>
  <c r="AU143" i="17"/>
  <c r="AO143" i="17"/>
  <c r="AP27" i="17"/>
  <c r="AV27" i="17"/>
  <c r="AV138" i="17"/>
  <c r="AP138" i="17"/>
  <c r="AU29" i="17"/>
  <c r="AO29" i="17"/>
  <c r="AO75" i="17"/>
  <c r="AU75" i="17"/>
  <c r="AU105" i="17"/>
  <c r="AO105" i="17"/>
  <c r="AU102" i="17"/>
  <c r="AO102" i="17"/>
  <c r="AP16" i="17"/>
  <c r="AV16" i="17"/>
  <c r="AV34" i="17"/>
  <c r="AP34" i="17"/>
  <c r="AO46" i="17"/>
  <c r="AU46" i="17"/>
  <c r="AU90" i="17"/>
  <c r="AO90" i="17"/>
  <c r="AU84" i="17"/>
  <c r="AO84" i="17"/>
  <c r="AO55" i="17"/>
  <c r="AU55" i="17"/>
  <c r="AU113" i="17"/>
  <c r="AO113" i="17"/>
  <c r="AU111" i="17"/>
  <c r="AO111" i="17"/>
  <c r="AU110" i="17"/>
  <c r="AO110" i="17"/>
  <c r="AU22" i="17"/>
  <c r="AO22" i="17"/>
  <c r="AP44" i="17"/>
  <c r="AV44" i="17"/>
  <c r="AP8" i="17"/>
  <c r="AV8" i="17"/>
  <c r="AV56" i="17"/>
  <c r="AP56" i="17"/>
  <c r="AV82" i="17"/>
  <c r="AP82" i="17"/>
  <c r="AV86" i="17"/>
  <c r="AP86" i="17"/>
  <c r="AP90" i="17"/>
  <c r="AV90" i="17"/>
  <c r="AU58" i="17"/>
  <c r="AO58" i="17"/>
  <c r="AP75" i="17"/>
  <c r="AV75" i="17"/>
  <c r="AV120" i="17"/>
  <c r="AP120" i="17"/>
  <c r="AO43" i="17"/>
  <c r="AU43" i="17"/>
  <c r="AO51" i="17"/>
  <c r="AU51" i="17"/>
  <c r="AO44" i="17"/>
  <c r="AU44" i="17"/>
  <c r="AU138" i="17"/>
  <c r="AO138" i="17"/>
  <c r="AV48" i="17"/>
  <c r="AP48" i="17"/>
  <c r="AP39" i="17"/>
  <c r="AV39" i="17"/>
  <c r="AU118" i="17"/>
  <c r="AO118" i="17"/>
  <c r="AO101" i="17"/>
  <c r="AU101" i="17"/>
  <c r="AU41" i="17"/>
  <c r="AO41" i="17"/>
  <c r="U63" i="10"/>
  <c r="B4" i="13"/>
  <c r="D4" i="13" s="1"/>
  <c r="F12" i="11"/>
  <c r="B15" i="13"/>
  <c r="B14" i="13"/>
  <c r="B8" i="13"/>
  <c r="D8" i="13" s="1"/>
  <c r="B7" i="13"/>
  <c r="D7" i="13" s="1"/>
  <c r="B3" i="13"/>
  <c r="D3" i="13" s="1"/>
  <c r="F13" i="11"/>
  <c r="U13" i="11" s="1"/>
  <c r="F6" i="11"/>
  <c r="U6" i="11" s="1"/>
  <c r="AH14" i="10"/>
  <c r="AH3" i="10"/>
  <c r="AH5" i="10"/>
  <c r="AH6" i="10"/>
  <c r="AH7" i="10"/>
  <c r="AH12" i="10"/>
  <c r="F4" i="11"/>
  <c r="F11" i="11"/>
  <c r="V11" i="11" s="1"/>
  <c r="F8" i="11"/>
  <c r="V8" i="11" s="1"/>
  <c r="F5" i="11"/>
  <c r="F9" i="11"/>
  <c r="V9" i="11" s="1"/>
  <c r="F7" i="11"/>
  <c r="V7" i="11" s="1"/>
  <c r="F10" i="11"/>
  <c r="V10" i="11" s="1"/>
  <c r="F14" i="11"/>
  <c r="U14" i="11" s="1"/>
  <c r="AH8" i="10"/>
  <c r="AI2" i="10"/>
  <c r="AI3" i="10"/>
  <c r="AG13" i="10"/>
  <c r="AI14" i="10"/>
  <c r="AG4" i="10"/>
  <c r="AH9" i="10"/>
  <c r="AH10" i="10"/>
  <c r="AH11" i="10"/>
  <c r="AH2" i="10"/>
  <c r="AG5" i="10"/>
  <c r="AI6" i="10"/>
  <c r="AG7" i="10"/>
  <c r="AG8" i="10"/>
  <c r="AH13" i="10"/>
  <c r="AG9" i="10"/>
  <c r="AI10" i="10"/>
  <c r="AI11" i="10"/>
  <c r="AG12" i="10"/>
  <c r="AG3" i="10"/>
  <c r="AI9" i="10"/>
  <c r="AG2" i="10"/>
  <c r="AG6" i="10"/>
  <c r="AI8" i="10"/>
  <c r="AG10" i="10"/>
  <c r="AI12" i="10"/>
  <c r="AG14" i="10"/>
  <c r="AI5" i="10"/>
  <c r="AG11" i="10"/>
  <c r="AI7" i="10"/>
  <c r="AI13" i="10"/>
  <c r="D26" i="13"/>
  <c r="Q42" i="10"/>
  <c r="U10" i="11" l="1"/>
  <c r="H10" i="11"/>
  <c r="U8" i="11"/>
  <c r="E4" i="13"/>
  <c r="E7" i="13"/>
  <c r="E8" i="13"/>
  <c r="E3" i="13"/>
  <c r="G3" i="13" s="1"/>
  <c r="N11" i="19"/>
  <c r="Y11" i="19"/>
  <c r="S11" i="19"/>
  <c r="O11" i="19"/>
  <c r="U11" i="19"/>
  <c r="Z11" i="19"/>
  <c r="R11" i="19"/>
  <c r="Q11" i="19"/>
  <c r="X11" i="19"/>
  <c r="W11" i="19"/>
  <c r="P11" i="19"/>
  <c r="V11" i="19"/>
  <c r="T11" i="19"/>
  <c r="M12" i="19"/>
  <c r="U7" i="11"/>
  <c r="U11" i="11"/>
  <c r="U9" i="11"/>
  <c r="V14" i="11"/>
  <c r="V13" i="11"/>
  <c r="V6" i="11"/>
  <c r="V5" i="11"/>
  <c r="U5" i="11"/>
  <c r="W63" i="10"/>
  <c r="V63" i="10"/>
  <c r="I12" i="11"/>
  <c r="B12" i="13"/>
  <c r="D12" i="13" s="1"/>
  <c r="B11" i="13"/>
  <c r="D11" i="13" s="1"/>
  <c r="C10" i="15"/>
  <c r="E25" i="13"/>
  <c r="E31" i="13"/>
  <c r="E32" i="13"/>
  <c r="E34" i="13"/>
  <c r="E27" i="13"/>
  <c r="E33" i="13"/>
  <c r="E29" i="13"/>
  <c r="E26" i="13"/>
  <c r="E28" i="13"/>
  <c r="E30" i="13"/>
  <c r="E35" i="13"/>
  <c r="E37" i="13"/>
  <c r="E36" i="13"/>
  <c r="D25" i="13"/>
  <c r="D31" i="13"/>
  <c r="D32" i="13"/>
  <c r="D34" i="13"/>
  <c r="D27" i="13"/>
  <c r="D33" i="13"/>
  <c r="D29" i="13"/>
  <c r="D28" i="13"/>
  <c r="D30" i="13"/>
  <c r="D35" i="13"/>
  <c r="D37" i="13"/>
  <c r="D36" i="13"/>
  <c r="C25" i="13"/>
  <c r="B31" i="13"/>
  <c r="B32" i="13"/>
  <c r="B34" i="13"/>
  <c r="B27" i="13"/>
  <c r="B33" i="13"/>
  <c r="B29" i="13"/>
  <c r="B26" i="13"/>
  <c r="B28" i="13"/>
  <c r="B30" i="13"/>
  <c r="B35" i="13"/>
  <c r="B37" i="13"/>
  <c r="B36" i="13"/>
  <c r="C31" i="13"/>
  <c r="C32" i="13"/>
  <c r="C34" i="13"/>
  <c r="C27" i="13"/>
  <c r="C33" i="13"/>
  <c r="C29" i="13"/>
  <c r="C26" i="13"/>
  <c r="C28" i="13"/>
  <c r="C30" i="13"/>
  <c r="C35" i="13"/>
  <c r="C37" i="13"/>
  <c r="C36" i="13"/>
  <c r="E3" i="16"/>
  <c r="E4" i="16"/>
  <c r="E5" i="16"/>
  <c r="E7" i="16"/>
  <c r="E6" i="16"/>
  <c r="E8" i="16"/>
  <c r="E9" i="16"/>
  <c r="E10" i="16"/>
  <c r="E11" i="16"/>
  <c r="E12" i="16"/>
  <c r="E14" i="16"/>
  <c r="E13" i="16"/>
  <c r="D3" i="16"/>
  <c r="D4" i="16"/>
  <c r="D5" i="16"/>
  <c r="D7" i="16"/>
  <c r="D6" i="16"/>
  <c r="D8" i="16"/>
  <c r="D9" i="16"/>
  <c r="D10" i="16"/>
  <c r="D11" i="16"/>
  <c r="D12" i="16"/>
  <c r="D14" i="16"/>
  <c r="D13" i="16"/>
  <c r="C3" i="16"/>
  <c r="C4" i="16"/>
  <c r="C5" i="16"/>
  <c r="C7" i="16"/>
  <c r="C6" i="16"/>
  <c r="C8" i="16"/>
  <c r="C9" i="16"/>
  <c r="C10" i="16"/>
  <c r="C11" i="16"/>
  <c r="C12" i="16"/>
  <c r="C14" i="16"/>
  <c r="C13" i="16"/>
  <c r="B3" i="16"/>
  <c r="B4" i="16"/>
  <c r="B5" i="16"/>
  <c r="B7" i="16"/>
  <c r="B6" i="16"/>
  <c r="B8" i="16"/>
  <c r="B9" i="16"/>
  <c r="B10" i="16"/>
  <c r="B11" i="16"/>
  <c r="B12" i="16"/>
  <c r="B14" i="16"/>
  <c r="B13" i="16"/>
  <c r="E2" i="16"/>
  <c r="D2" i="16"/>
  <c r="C2" i="16"/>
  <c r="Q143" i="16"/>
  <c r="Q144" i="16"/>
  <c r="Q133" i="16"/>
  <c r="Q141" i="16"/>
  <c r="Q120" i="16"/>
  <c r="Q145" i="16"/>
  <c r="Q128" i="16"/>
  <c r="Q69" i="16"/>
  <c r="Q134" i="16"/>
  <c r="Q81" i="16"/>
  <c r="Q82" i="16"/>
  <c r="Q129" i="16"/>
  <c r="Q93" i="16"/>
  <c r="Q99" i="16"/>
  <c r="Q125" i="16"/>
  <c r="Q85" i="16"/>
  <c r="Q148" i="16"/>
  <c r="Q63" i="16"/>
  <c r="Q138" i="16"/>
  <c r="Q92" i="16"/>
  <c r="Q89" i="16"/>
  <c r="Q150" i="16"/>
  <c r="Q114" i="16"/>
  <c r="Q140" i="16"/>
  <c r="Q97" i="16"/>
  <c r="Q124" i="16"/>
  <c r="Q147" i="16"/>
  <c r="Q110" i="16"/>
  <c r="Q109" i="16"/>
  <c r="Q137" i="16"/>
  <c r="Q131" i="16"/>
  <c r="Q127" i="16"/>
  <c r="Q103" i="16"/>
  <c r="Q108" i="16"/>
  <c r="Q104" i="16"/>
  <c r="Q107" i="16"/>
  <c r="Q105" i="16"/>
  <c r="Q65" i="16"/>
  <c r="Q6" i="16"/>
  <c r="Q106" i="16"/>
  <c r="Q149" i="16"/>
  <c r="Q112" i="16"/>
  <c r="Q139" i="16"/>
  <c r="Q96" i="16"/>
  <c r="Q95" i="16"/>
  <c r="Q90" i="16"/>
  <c r="Q94" i="16"/>
  <c r="Q88" i="16"/>
  <c r="Q91" i="16"/>
  <c r="Q123" i="16"/>
  <c r="Q16" i="16"/>
  <c r="Q126" i="16"/>
  <c r="Q19" i="16"/>
  <c r="Q66" i="16"/>
  <c r="Q8" i="16"/>
  <c r="Q14" i="16"/>
  <c r="Q136" i="16"/>
  <c r="Q11" i="16"/>
  <c r="Q152" i="16"/>
  <c r="Q156" i="16"/>
  <c r="Q20" i="16"/>
  <c r="Q153" i="16"/>
  <c r="Q157" i="16"/>
  <c r="Q56" i="16"/>
  <c r="Q151" i="16"/>
  <c r="Q21" i="16"/>
  <c r="Q155" i="16"/>
  <c r="Q154" i="16"/>
  <c r="Q121" i="16"/>
  <c r="Q113" i="16"/>
  <c r="Q117" i="16"/>
  <c r="Q122" i="16"/>
  <c r="Q116" i="16"/>
  <c r="Q115" i="16"/>
  <c r="Q119" i="16"/>
  <c r="Q118" i="16"/>
  <c r="Q142" i="16"/>
  <c r="Q146" i="16"/>
  <c r="Q55" i="16"/>
  <c r="Q98" i="16"/>
  <c r="Q101" i="16"/>
  <c r="Q100" i="16"/>
  <c r="Q111" i="16"/>
  <c r="Q132" i="16"/>
  <c r="Q135" i="16"/>
  <c r="Q130" i="16"/>
  <c r="Q102" i="16"/>
  <c r="Q87" i="16"/>
  <c r="Q52" i="16"/>
  <c r="Q80" i="16"/>
  <c r="Q84" i="16"/>
  <c r="Q83" i="16"/>
  <c r="Q86" i="16"/>
  <c r="Q74" i="16"/>
  <c r="Q68" i="16"/>
  <c r="Q76" i="16"/>
  <c r="Q79" i="16"/>
  <c r="Q78" i="16"/>
  <c r="Q70" i="16"/>
  <c r="Q67" i="16"/>
  <c r="Q57" i="16"/>
  <c r="Q77" i="16"/>
  <c r="Q60" i="16"/>
  <c r="Q62" i="16"/>
  <c r="Q73" i="16"/>
  <c r="Q48" i="16"/>
  <c r="Q47" i="16"/>
  <c r="Q59" i="16"/>
  <c r="Q51" i="16"/>
  <c r="Q53" i="16"/>
  <c r="Q46" i="16"/>
  <c r="Q38" i="16"/>
  <c r="Q61" i="16"/>
  <c r="Q36" i="16"/>
  <c r="Q40" i="16"/>
  <c r="Q43" i="16"/>
  <c r="Q32" i="16"/>
  <c r="Q75" i="16"/>
  <c r="Q29" i="16"/>
  <c r="Q39" i="16"/>
  <c r="Q42" i="16"/>
  <c r="Q26" i="16"/>
  <c r="Q28" i="16"/>
  <c r="Q37" i="16"/>
  <c r="Q17" i="16"/>
  <c r="Q9" i="16"/>
  <c r="Q31" i="16"/>
  <c r="Q10" i="16"/>
  <c r="Q15" i="16"/>
  <c r="Q49" i="16"/>
  <c r="Q3" i="16"/>
  <c r="Q50" i="16"/>
  <c r="Q12" i="16"/>
  <c r="Q18" i="16"/>
  <c r="Q13" i="16"/>
  <c r="Q27" i="16"/>
  <c r="Q2" i="16"/>
  <c r="Q45" i="16"/>
  <c r="Q33" i="16"/>
  <c r="Q22" i="16"/>
  <c r="Q72" i="16"/>
  <c r="Q5" i="16"/>
  <c r="Q7" i="16"/>
  <c r="Q4" i="16"/>
  <c r="Q64" i="16"/>
  <c r="Q54" i="16"/>
  <c r="Q71" i="16"/>
  <c r="Q44" i="16"/>
  <c r="Q58" i="16"/>
  <c r="Q34" i="16"/>
  <c r="Q41" i="16"/>
  <c r="Q35" i="16"/>
  <c r="Q24" i="16"/>
  <c r="Q30" i="16"/>
  <c r="Q23" i="16"/>
  <c r="Q25" i="16"/>
  <c r="M398" i="5"/>
  <c r="M402" i="5"/>
  <c r="M430" i="5"/>
  <c r="M462" i="5"/>
  <c r="M486" i="5"/>
  <c r="M508" i="5"/>
  <c r="M540" i="5"/>
  <c r="M560" i="5"/>
  <c r="M570" i="5"/>
  <c r="M590" i="5"/>
  <c r="M642" i="5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O440" i="5" s="1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O456" i="5" s="1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O472" i="5" s="1"/>
  <c r="L473" i="5"/>
  <c r="L474" i="5"/>
  <c r="L475" i="5"/>
  <c r="L476" i="5"/>
  <c r="L477" i="5"/>
  <c r="L478" i="5"/>
  <c r="L479" i="5"/>
  <c r="L480" i="5"/>
  <c r="L481" i="5"/>
  <c r="L482" i="5"/>
  <c r="O482" i="5" s="1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O498" i="5" s="1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O514" i="5" s="1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O560" i="5" s="1"/>
  <c r="L561" i="5"/>
  <c r="L562" i="5"/>
  <c r="L563" i="5"/>
  <c r="L564" i="5"/>
  <c r="L565" i="5"/>
  <c r="L566" i="5"/>
  <c r="L567" i="5"/>
  <c r="L568" i="5"/>
  <c r="L569" i="5"/>
  <c r="L570" i="5"/>
  <c r="O570" i="5" s="1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O616" i="5" s="1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O642" i="5" s="1"/>
  <c r="L643" i="5"/>
  <c r="L644" i="5"/>
  <c r="L645" i="5"/>
  <c r="L646" i="5"/>
  <c r="L647" i="5"/>
  <c r="L648" i="5"/>
  <c r="L649" i="5"/>
  <c r="O649" i="5" s="1"/>
  <c r="L650" i="5"/>
  <c r="L651" i="5"/>
  <c r="L652" i="5"/>
  <c r="L653" i="5"/>
  <c r="L654" i="5"/>
  <c r="L655" i="5"/>
  <c r="L656" i="5"/>
  <c r="O656" i="5" s="1"/>
  <c r="L657" i="5"/>
  <c r="O657" i="5" s="1"/>
  <c r="L658" i="5"/>
  <c r="L659" i="5"/>
  <c r="L660" i="5"/>
  <c r="L661" i="5"/>
  <c r="L662" i="5"/>
  <c r="L663" i="5"/>
  <c r="L664" i="5"/>
  <c r="O664" i="5" s="1"/>
  <c r="L665" i="5"/>
  <c r="L666" i="5"/>
  <c r="O666" i="5" s="1"/>
  <c r="L667" i="5"/>
  <c r="L668" i="5"/>
  <c r="L669" i="5"/>
  <c r="L670" i="5"/>
  <c r="L671" i="5"/>
  <c r="L672" i="5"/>
  <c r="O672" i="5" s="1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N337" i="5" s="1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N482" i="5" s="1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N498" i="5" s="1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N514" i="5" s="1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N623" i="5" s="1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N642" i="5" s="1"/>
  <c r="K643" i="5"/>
  <c r="K644" i="5"/>
  <c r="K645" i="5"/>
  <c r="K646" i="5"/>
  <c r="K647" i="5"/>
  <c r="K648" i="5"/>
  <c r="K649" i="5"/>
  <c r="N649" i="5" s="1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M669" i="5" s="1"/>
  <c r="J670" i="5"/>
  <c r="M670" i="5" s="1"/>
  <c r="J671" i="5"/>
  <c r="J672" i="5"/>
  <c r="I653" i="5"/>
  <c r="I654" i="5"/>
  <c r="M654" i="5" s="1"/>
  <c r="I655" i="5"/>
  <c r="I656" i="5"/>
  <c r="M656" i="5" s="1"/>
  <c r="I657" i="5"/>
  <c r="M657" i="5" s="1"/>
  <c r="I658" i="5"/>
  <c r="M658" i="5" s="1"/>
  <c r="I659" i="5"/>
  <c r="M659" i="5" s="1"/>
  <c r="I660" i="5"/>
  <c r="I661" i="5"/>
  <c r="I662" i="5"/>
  <c r="I663" i="5"/>
  <c r="I664" i="5"/>
  <c r="M664" i="5" s="1"/>
  <c r="N664" i="5" s="1"/>
  <c r="I665" i="5"/>
  <c r="I666" i="5"/>
  <c r="M666" i="5" s="1"/>
  <c r="I667" i="5"/>
  <c r="M667" i="5" s="1"/>
  <c r="I668" i="5"/>
  <c r="I669" i="5"/>
  <c r="I670" i="5"/>
  <c r="I671" i="5"/>
  <c r="I672" i="5"/>
  <c r="M672" i="5" s="1"/>
  <c r="N672" i="5" s="1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45" i="5"/>
  <c r="I643" i="5"/>
  <c r="H641" i="5"/>
  <c r="I639" i="5"/>
  <c r="H637" i="5"/>
  <c r="J635" i="5"/>
  <c r="H633" i="5"/>
  <c r="H629" i="5"/>
  <c r="I627" i="5"/>
  <c r="H625" i="5"/>
  <c r="I623" i="5"/>
  <c r="M623" i="5" s="1"/>
  <c r="H621" i="5"/>
  <c r="J619" i="5"/>
  <c r="H617" i="5"/>
  <c r="H613" i="5"/>
  <c r="I611" i="5"/>
  <c r="H609" i="5"/>
  <c r="I607" i="5"/>
  <c r="H605" i="5"/>
  <c r="J603" i="5"/>
  <c r="H601" i="5"/>
  <c r="H597" i="5"/>
  <c r="I595" i="5"/>
  <c r="H593" i="5"/>
  <c r="I591" i="5"/>
  <c r="H589" i="5"/>
  <c r="J587" i="5"/>
  <c r="H585" i="5"/>
  <c r="H581" i="5"/>
  <c r="I579" i="5"/>
  <c r="H577" i="5"/>
  <c r="I575" i="5"/>
  <c r="M575" i="5" s="1"/>
  <c r="H573" i="5"/>
  <c r="J571" i="5"/>
  <c r="H569" i="5"/>
  <c r="H565" i="5"/>
  <c r="I563" i="5"/>
  <c r="H561" i="5"/>
  <c r="I559" i="5"/>
  <c r="M559" i="5" s="1"/>
  <c r="H557" i="5"/>
  <c r="J555" i="5"/>
  <c r="H553" i="5"/>
  <c r="H549" i="5"/>
  <c r="I547" i="5"/>
  <c r="H545" i="5"/>
  <c r="I543" i="5"/>
  <c r="M543" i="5" s="1"/>
  <c r="H541" i="5"/>
  <c r="J539" i="5"/>
  <c r="H537" i="5"/>
  <c r="H533" i="5"/>
  <c r="I531" i="5"/>
  <c r="H529" i="5"/>
  <c r="I527" i="5"/>
  <c r="H525" i="5"/>
  <c r="J523" i="5"/>
  <c r="H521" i="5"/>
  <c r="H517" i="5"/>
  <c r="I515" i="5"/>
  <c r="H513" i="5"/>
  <c r="H511" i="5"/>
  <c r="I509" i="5"/>
  <c r="I507" i="5"/>
  <c r="I505" i="5"/>
  <c r="I489" i="5"/>
  <c r="I457" i="5"/>
  <c r="I441" i="5"/>
  <c r="I425" i="5"/>
  <c r="I393" i="5"/>
  <c r="I377" i="5"/>
  <c r="I361" i="5"/>
  <c r="J639" i="5"/>
  <c r="J631" i="5"/>
  <c r="J623" i="5"/>
  <c r="J615" i="5"/>
  <c r="J607" i="5"/>
  <c r="J599" i="5"/>
  <c r="J591" i="5"/>
  <c r="J583" i="5"/>
  <c r="J575" i="5"/>
  <c r="J567" i="5"/>
  <c r="J559" i="5"/>
  <c r="J551" i="5"/>
  <c r="J543" i="5"/>
  <c r="J535" i="5"/>
  <c r="J527" i="5"/>
  <c r="J519" i="5"/>
  <c r="J511" i="5"/>
  <c r="H344" i="5"/>
  <c r="I344" i="5"/>
  <c r="J344" i="5"/>
  <c r="I345" i="5"/>
  <c r="H346" i="5"/>
  <c r="I346" i="5"/>
  <c r="J346" i="5"/>
  <c r="H348" i="5"/>
  <c r="I348" i="5"/>
  <c r="M348" i="5" s="1"/>
  <c r="J348" i="5"/>
  <c r="H350" i="5"/>
  <c r="I350" i="5"/>
  <c r="M350" i="5" s="1"/>
  <c r="J350" i="5"/>
  <c r="H352" i="5"/>
  <c r="I352" i="5"/>
  <c r="J352" i="5"/>
  <c r="H354" i="5"/>
  <c r="I354" i="5"/>
  <c r="J354" i="5"/>
  <c r="H356" i="5"/>
  <c r="I356" i="5"/>
  <c r="J356" i="5"/>
  <c r="H358" i="5"/>
  <c r="I358" i="5"/>
  <c r="J358" i="5"/>
  <c r="H360" i="5"/>
  <c r="I360" i="5"/>
  <c r="J360" i="5"/>
  <c r="H362" i="5"/>
  <c r="I362" i="5"/>
  <c r="J362" i="5"/>
  <c r="H364" i="5"/>
  <c r="I364" i="5"/>
  <c r="M364" i="5" s="1"/>
  <c r="J364" i="5"/>
  <c r="H366" i="5"/>
  <c r="I366" i="5"/>
  <c r="M366" i="5" s="1"/>
  <c r="J366" i="5"/>
  <c r="H368" i="5"/>
  <c r="I368" i="5"/>
  <c r="J368" i="5"/>
  <c r="H370" i="5"/>
  <c r="I370" i="5"/>
  <c r="J370" i="5"/>
  <c r="H372" i="5"/>
  <c r="I372" i="5"/>
  <c r="J372" i="5"/>
  <c r="H374" i="5"/>
  <c r="I374" i="5"/>
  <c r="J374" i="5"/>
  <c r="H376" i="5"/>
  <c r="I376" i="5"/>
  <c r="J376" i="5"/>
  <c r="H378" i="5"/>
  <c r="I378" i="5"/>
  <c r="J378" i="5"/>
  <c r="H380" i="5"/>
  <c r="I380" i="5"/>
  <c r="M380" i="5" s="1"/>
  <c r="J380" i="5"/>
  <c r="H382" i="5"/>
  <c r="I382" i="5"/>
  <c r="M382" i="5" s="1"/>
  <c r="J382" i="5"/>
  <c r="H384" i="5"/>
  <c r="I384" i="5"/>
  <c r="J384" i="5"/>
  <c r="H386" i="5"/>
  <c r="I386" i="5"/>
  <c r="M386" i="5" s="1"/>
  <c r="O386" i="5" s="1"/>
  <c r="J386" i="5"/>
  <c r="H388" i="5"/>
  <c r="I388" i="5"/>
  <c r="J388" i="5"/>
  <c r="H390" i="5"/>
  <c r="I390" i="5"/>
  <c r="J390" i="5"/>
  <c r="H392" i="5"/>
  <c r="I392" i="5"/>
  <c r="J392" i="5"/>
  <c r="H394" i="5"/>
  <c r="I394" i="5"/>
  <c r="J394" i="5"/>
  <c r="H396" i="5"/>
  <c r="I396" i="5"/>
  <c r="M396" i="5" s="1"/>
  <c r="N396" i="5" s="1"/>
  <c r="J396" i="5"/>
  <c r="H398" i="5"/>
  <c r="I398" i="5"/>
  <c r="J398" i="5"/>
  <c r="H400" i="5"/>
  <c r="I400" i="5"/>
  <c r="J400" i="5"/>
  <c r="H402" i="5"/>
  <c r="I402" i="5"/>
  <c r="J402" i="5"/>
  <c r="H404" i="5"/>
  <c r="I404" i="5"/>
  <c r="J404" i="5"/>
  <c r="H406" i="5"/>
  <c r="I406" i="5"/>
  <c r="J406" i="5"/>
  <c r="H408" i="5"/>
  <c r="I408" i="5"/>
  <c r="M408" i="5" s="1"/>
  <c r="J408" i="5"/>
  <c r="I409" i="5"/>
  <c r="H410" i="5"/>
  <c r="I410" i="5"/>
  <c r="J410" i="5"/>
  <c r="H412" i="5"/>
  <c r="I412" i="5"/>
  <c r="J412" i="5"/>
  <c r="H414" i="5"/>
  <c r="I414" i="5"/>
  <c r="J414" i="5"/>
  <c r="H416" i="5"/>
  <c r="I416" i="5"/>
  <c r="J416" i="5"/>
  <c r="H418" i="5"/>
  <c r="I418" i="5"/>
  <c r="M418" i="5" s="1"/>
  <c r="J418" i="5"/>
  <c r="H420" i="5"/>
  <c r="I420" i="5"/>
  <c r="J420" i="5"/>
  <c r="H422" i="5"/>
  <c r="I422" i="5"/>
  <c r="M422" i="5" s="1"/>
  <c r="J422" i="5"/>
  <c r="H424" i="5"/>
  <c r="I424" i="5"/>
  <c r="M424" i="5" s="1"/>
  <c r="J424" i="5"/>
  <c r="H426" i="5"/>
  <c r="I426" i="5"/>
  <c r="J426" i="5"/>
  <c r="H428" i="5"/>
  <c r="I428" i="5"/>
  <c r="J428" i="5"/>
  <c r="H430" i="5"/>
  <c r="I430" i="5"/>
  <c r="J430" i="5"/>
  <c r="H432" i="5"/>
  <c r="I432" i="5"/>
  <c r="J432" i="5"/>
  <c r="H434" i="5"/>
  <c r="I434" i="5"/>
  <c r="J434" i="5"/>
  <c r="H436" i="5"/>
  <c r="I436" i="5"/>
  <c r="J436" i="5"/>
  <c r="H438" i="5"/>
  <c r="I438" i="5"/>
  <c r="M438" i="5" s="1"/>
  <c r="J438" i="5"/>
  <c r="H440" i="5"/>
  <c r="I440" i="5"/>
  <c r="M440" i="5" s="1"/>
  <c r="J440" i="5"/>
  <c r="H442" i="5"/>
  <c r="I442" i="5"/>
  <c r="M442" i="5" s="1"/>
  <c r="J442" i="5"/>
  <c r="H444" i="5"/>
  <c r="I444" i="5"/>
  <c r="J444" i="5"/>
  <c r="H446" i="5"/>
  <c r="I446" i="5"/>
  <c r="M446" i="5" s="1"/>
  <c r="J446" i="5"/>
  <c r="H448" i="5"/>
  <c r="I448" i="5"/>
  <c r="J448" i="5"/>
  <c r="H450" i="5"/>
  <c r="I450" i="5"/>
  <c r="J450" i="5"/>
  <c r="H452" i="5"/>
  <c r="I452" i="5"/>
  <c r="J452" i="5"/>
  <c r="H454" i="5"/>
  <c r="I454" i="5"/>
  <c r="M454" i="5" s="1"/>
  <c r="J454" i="5"/>
  <c r="H456" i="5"/>
  <c r="I456" i="5"/>
  <c r="M456" i="5" s="1"/>
  <c r="J456" i="5"/>
  <c r="H458" i="5"/>
  <c r="I458" i="5"/>
  <c r="J458" i="5"/>
  <c r="M458" i="5" s="1"/>
  <c r="H460" i="5"/>
  <c r="I460" i="5"/>
  <c r="J460" i="5"/>
  <c r="H462" i="5"/>
  <c r="I462" i="5"/>
  <c r="J462" i="5"/>
  <c r="H464" i="5"/>
  <c r="I464" i="5"/>
  <c r="J464" i="5"/>
  <c r="H466" i="5"/>
  <c r="I466" i="5"/>
  <c r="J466" i="5"/>
  <c r="H468" i="5"/>
  <c r="I468" i="5"/>
  <c r="J468" i="5"/>
  <c r="H470" i="5"/>
  <c r="I470" i="5"/>
  <c r="M470" i="5" s="1"/>
  <c r="J470" i="5"/>
  <c r="H472" i="5"/>
  <c r="I472" i="5"/>
  <c r="M472" i="5" s="1"/>
  <c r="J472" i="5"/>
  <c r="I473" i="5"/>
  <c r="H474" i="5"/>
  <c r="I474" i="5"/>
  <c r="J474" i="5"/>
  <c r="H476" i="5"/>
  <c r="I476" i="5"/>
  <c r="J476" i="5"/>
  <c r="H478" i="5"/>
  <c r="I478" i="5"/>
  <c r="M478" i="5" s="1"/>
  <c r="J478" i="5"/>
  <c r="H480" i="5"/>
  <c r="I480" i="5"/>
  <c r="M480" i="5" s="1"/>
  <c r="J480" i="5"/>
  <c r="H482" i="5"/>
  <c r="I482" i="5"/>
  <c r="M482" i="5" s="1"/>
  <c r="J482" i="5"/>
  <c r="H484" i="5"/>
  <c r="I484" i="5"/>
  <c r="J484" i="5"/>
  <c r="H486" i="5"/>
  <c r="I486" i="5"/>
  <c r="J486" i="5"/>
  <c r="H488" i="5"/>
  <c r="I488" i="5"/>
  <c r="J488" i="5"/>
  <c r="H490" i="5"/>
  <c r="I490" i="5"/>
  <c r="J490" i="5"/>
  <c r="H492" i="5"/>
  <c r="I492" i="5"/>
  <c r="J492" i="5"/>
  <c r="H494" i="5"/>
  <c r="I494" i="5"/>
  <c r="J494" i="5"/>
  <c r="H496" i="5"/>
  <c r="I496" i="5"/>
  <c r="M496" i="5" s="1"/>
  <c r="J496" i="5"/>
  <c r="H498" i="5"/>
  <c r="I498" i="5"/>
  <c r="M498" i="5" s="1"/>
  <c r="J498" i="5"/>
  <c r="H500" i="5"/>
  <c r="I500" i="5"/>
  <c r="J500" i="5"/>
  <c r="H502" i="5"/>
  <c r="I502" i="5"/>
  <c r="J502" i="5"/>
  <c r="H504" i="5"/>
  <c r="I504" i="5"/>
  <c r="M504" i="5" s="1"/>
  <c r="J504" i="5"/>
  <c r="H506" i="5"/>
  <c r="I506" i="5"/>
  <c r="J506" i="5"/>
  <c r="H508" i="5"/>
  <c r="I508" i="5"/>
  <c r="J508" i="5"/>
  <c r="H510" i="5"/>
  <c r="I510" i="5"/>
  <c r="J510" i="5"/>
  <c r="H512" i="5"/>
  <c r="I512" i="5"/>
  <c r="M512" i="5" s="1"/>
  <c r="J512" i="5"/>
  <c r="H514" i="5"/>
  <c r="I514" i="5"/>
  <c r="M514" i="5" s="1"/>
  <c r="J514" i="5"/>
  <c r="H516" i="5"/>
  <c r="I516" i="5"/>
  <c r="J516" i="5"/>
  <c r="H518" i="5"/>
  <c r="I518" i="5"/>
  <c r="J518" i="5"/>
  <c r="I519" i="5"/>
  <c r="H520" i="5"/>
  <c r="I520" i="5"/>
  <c r="M520" i="5" s="1"/>
  <c r="J520" i="5"/>
  <c r="H522" i="5"/>
  <c r="I522" i="5"/>
  <c r="M522" i="5" s="1"/>
  <c r="J522" i="5"/>
  <c r="H524" i="5"/>
  <c r="I524" i="5"/>
  <c r="M524" i="5" s="1"/>
  <c r="J524" i="5"/>
  <c r="H526" i="5"/>
  <c r="I526" i="5"/>
  <c r="J526" i="5"/>
  <c r="H528" i="5"/>
  <c r="I528" i="5"/>
  <c r="M528" i="5" s="1"/>
  <c r="J528" i="5"/>
  <c r="H530" i="5"/>
  <c r="I530" i="5"/>
  <c r="J530" i="5"/>
  <c r="H532" i="5"/>
  <c r="I532" i="5"/>
  <c r="J532" i="5"/>
  <c r="H534" i="5"/>
  <c r="I534" i="5"/>
  <c r="J534" i="5"/>
  <c r="I535" i="5"/>
  <c r="M535" i="5" s="1"/>
  <c r="N535" i="5" s="1"/>
  <c r="H536" i="5"/>
  <c r="I536" i="5"/>
  <c r="M536" i="5" s="1"/>
  <c r="J536" i="5"/>
  <c r="H538" i="5"/>
  <c r="I538" i="5"/>
  <c r="J538" i="5"/>
  <c r="H540" i="5"/>
  <c r="I540" i="5"/>
  <c r="J540" i="5"/>
  <c r="H542" i="5"/>
  <c r="I542" i="5"/>
  <c r="J542" i="5"/>
  <c r="H544" i="5"/>
  <c r="I544" i="5"/>
  <c r="M544" i="5" s="1"/>
  <c r="J544" i="5"/>
  <c r="H546" i="5"/>
  <c r="I546" i="5"/>
  <c r="J546" i="5"/>
  <c r="H548" i="5"/>
  <c r="I548" i="5"/>
  <c r="M548" i="5" s="1"/>
  <c r="J548" i="5"/>
  <c r="H550" i="5"/>
  <c r="I550" i="5"/>
  <c r="M550" i="5" s="1"/>
  <c r="J550" i="5"/>
  <c r="I551" i="5"/>
  <c r="M551" i="5" s="1"/>
  <c r="H552" i="5"/>
  <c r="I552" i="5"/>
  <c r="J552" i="5"/>
  <c r="H554" i="5"/>
  <c r="I554" i="5"/>
  <c r="J554" i="5"/>
  <c r="H556" i="5"/>
  <c r="I556" i="5"/>
  <c r="M556" i="5" s="1"/>
  <c r="J556" i="5"/>
  <c r="H558" i="5"/>
  <c r="I558" i="5"/>
  <c r="M558" i="5" s="1"/>
  <c r="J558" i="5"/>
  <c r="H560" i="5"/>
  <c r="I560" i="5"/>
  <c r="J560" i="5"/>
  <c r="H562" i="5"/>
  <c r="I562" i="5"/>
  <c r="J562" i="5"/>
  <c r="H564" i="5"/>
  <c r="I564" i="5"/>
  <c r="J564" i="5"/>
  <c r="H566" i="5"/>
  <c r="I566" i="5"/>
  <c r="J566" i="5"/>
  <c r="I567" i="5"/>
  <c r="H568" i="5"/>
  <c r="I568" i="5"/>
  <c r="M568" i="5" s="1"/>
  <c r="J568" i="5"/>
  <c r="H570" i="5"/>
  <c r="I570" i="5"/>
  <c r="J570" i="5"/>
  <c r="H572" i="5"/>
  <c r="I572" i="5"/>
  <c r="J572" i="5"/>
  <c r="H574" i="5"/>
  <c r="I574" i="5"/>
  <c r="M574" i="5" s="1"/>
  <c r="J574" i="5"/>
  <c r="H576" i="5"/>
  <c r="I576" i="5"/>
  <c r="J576" i="5"/>
  <c r="H578" i="5"/>
  <c r="I578" i="5"/>
  <c r="J578" i="5"/>
  <c r="H580" i="5"/>
  <c r="I580" i="5"/>
  <c r="J580" i="5"/>
  <c r="H582" i="5"/>
  <c r="I582" i="5"/>
  <c r="J582" i="5"/>
  <c r="I583" i="5"/>
  <c r="M583" i="5" s="1"/>
  <c r="H584" i="5"/>
  <c r="I584" i="5"/>
  <c r="J584" i="5"/>
  <c r="H586" i="5"/>
  <c r="I586" i="5"/>
  <c r="M586" i="5" s="1"/>
  <c r="J586" i="5"/>
  <c r="H588" i="5"/>
  <c r="I588" i="5"/>
  <c r="J588" i="5"/>
  <c r="H590" i="5"/>
  <c r="I590" i="5"/>
  <c r="J590" i="5"/>
  <c r="H592" i="5"/>
  <c r="I592" i="5"/>
  <c r="J592" i="5"/>
  <c r="H594" i="5"/>
  <c r="I594" i="5"/>
  <c r="M594" i="5" s="1"/>
  <c r="J594" i="5"/>
  <c r="H596" i="5"/>
  <c r="I596" i="5"/>
  <c r="M596" i="5" s="1"/>
  <c r="J596" i="5"/>
  <c r="H598" i="5"/>
  <c r="I598" i="5"/>
  <c r="J598" i="5"/>
  <c r="I599" i="5"/>
  <c r="M599" i="5" s="1"/>
  <c r="H600" i="5"/>
  <c r="I600" i="5"/>
  <c r="J600" i="5"/>
  <c r="H602" i="5"/>
  <c r="I602" i="5"/>
  <c r="M602" i="5" s="1"/>
  <c r="J602" i="5"/>
  <c r="H604" i="5"/>
  <c r="I604" i="5"/>
  <c r="M604" i="5" s="1"/>
  <c r="J604" i="5"/>
  <c r="H606" i="5"/>
  <c r="I606" i="5"/>
  <c r="M606" i="5" s="1"/>
  <c r="J606" i="5"/>
  <c r="H608" i="5"/>
  <c r="I608" i="5"/>
  <c r="J608" i="5"/>
  <c r="H610" i="5"/>
  <c r="I610" i="5"/>
  <c r="J610" i="5"/>
  <c r="M610" i="5" s="1"/>
  <c r="H612" i="5"/>
  <c r="I612" i="5"/>
  <c r="J612" i="5"/>
  <c r="H614" i="5"/>
  <c r="I614" i="5"/>
  <c r="J614" i="5"/>
  <c r="I615" i="5"/>
  <c r="H616" i="5"/>
  <c r="I616" i="5"/>
  <c r="M616" i="5" s="1"/>
  <c r="J616" i="5"/>
  <c r="H618" i="5"/>
  <c r="I618" i="5"/>
  <c r="J618" i="5"/>
  <c r="M618" i="5" s="1"/>
  <c r="H620" i="5"/>
  <c r="I620" i="5"/>
  <c r="J620" i="5"/>
  <c r="H622" i="5"/>
  <c r="I622" i="5"/>
  <c r="M622" i="5" s="1"/>
  <c r="J622" i="5"/>
  <c r="H624" i="5"/>
  <c r="I624" i="5"/>
  <c r="J624" i="5"/>
  <c r="H626" i="5"/>
  <c r="I626" i="5"/>
  <c r="M626" i="5" s="1"/>
  <c r="J626" i="5"/>
  <c r="H628" i="5"/>
  <c r="I628" i="5"/>
  <c r="J628" i="5"/>
  <c r="H630" i="5"/>
  <c r="I630" i="5"/>
  <c r="M630" i="5" s="1"/>
  <c r="J630" i="5"/>
  <c r="I631" i="5"/>
  <c r="H632" i="5"/>
  <c r="I632" i="5"/>
  <c r="J632" i="5"/>
  <c r="H634" i="5"/>
  <c r="I634" i="5"/>
  <c r="J634" i="5"/>
  <c r="H636" i="5"/>
  <c r="I636" i="5"/>
  <c r="J636" i="5"/>
  <c r="H638" i="5"/>
  <c r="I638" i="5"/>
  <c r="J638" i="5"/>
  <c r="M638" i="5" s="1"/>
  <c r="H640" i="5"/>
  <c r="I640" i="5"/>
  <c r="M640" i="5" s="1"/>
  <c r="O640" i="5" s="1"/>
  <c r="J640" i="5"/>
  <c r="H642" i="5"/>
  <c r="I642" i="5"/>
  <c r="J642" i="5"/>
  <c r="H644" i="5"/>
  <c r="I644" i="5"/>
  <c r="J644" i="5"/>
  <c r="H646" i="5"/>
  <c r="I646" i="5"/>
  <c r="J646" i="5"/>
  <c r="I333" i="5"/>
  <c r="M333" i="5" s="1"/>
  <c r="J333" i="5"/>
  <c r="I334" i="5"/>
  <c r="J334" i="5"/>
  <c r="I335" i="5"/>
  <c r="J335" i="5"/>
  <c r="I336" i="5"/>
  <c r="J336" i="5"/>
  <c r="I337" i="5"/>
  <c r="M337" i="5" s="1"/>
  <c r="J337" i="5"/>
  <c r="I338" i="5"/>
  <c r="J338" i="5"/>
  <c r="I339" i="5"/>
  <c r="J339" i="5"/>
  <c r="I340" i="5"/>
  <c r="J340" i="5"/>
  <c r="I341" i="5"/>
  <c r="M341" i="5" s="1"/>
  <c r="J341" i="5"/>
  <c r="I342" i="5"/>
  <c r="J342" i="5"/>
  <c r="I647" i="5"/>
  <c r="J647" i="5"/>
  <c r="I648" i="5"/>
  <c r="J648" i="5"/>
  <c r="I649" i="5"/>
  <c r="M649" i="5" s="1"/>
  <c r="J649" i="5"/>
  <c r="I650" i="5"/>
  <c r="M650" i="5" s="1"/>
  <c r="J650" i="5"/>
  <c r="I651" i="5"/>
  <c r="J651" i="5"/>
  <c r="I652" i="5"/>
  <c r="J652" i="5"/>
  <c r="H333" i="5"/>
  <c r="H334" i="5"/>
  <c r="H335" i="5"/>
  <c r="H336" i="5"/>
  <c r="H337" i="5"/>
  <c r="H338" i="5"/>
  <c r="H339" i="5"/>
  <c r="H340" i="5"/>
  <c r="H341" i="5"/>
  <c r="H342" i="5"/>
  <c r="Y12" i="19" l="1"/>
  <c r="N12" i="19"/>
  <c r="O12" i="19"/>
  <c r="W12" i="19"/>
  <c r="X12" i="19"/>
  <c r="U12" i="19"/>
  <c r="T12" i="19"/>
  <c r="Z12" i="19"/>
  <c r="V12" i="19"/>
  <c r="R12" i="19"/>
  <c r="Q12" i="19"/>
  <c r="S12" i="19"/>
  <c r="P12" i="19"/>
  <c r="E12" i="13"/>
  <c r="E11" i="13"/>
  <c r="M13" i="19"/>
  <c r="M651" i="5"/>
  <c r="N651" i="5" s="1"/>
  <c r="M578" i="5"/>
  <c r="N599" i="5"/>
  <c r="O658" i="5"/>
  <c r="O650" i="5"/>
  <c r="O634" i="5"/>
  <c r="O626" i="5"/>
  <c r="O594" i="5"/>
  <c r="N667" i="5"/>
  <c r="M634" i="5"/>
  <c r="N659" i="5"/>
  <c r="M552" i="5"/>
  <c r="M490" i="5"/>
  <c r="M474" i="5"/>
  <c r="N474" i="5" s="1"/>
  <c r="N624" i="5"/>
  <c r="M624" i="5"/>
  <c r="M532" i="5"/>
  <c r="M416" i="5"/>
  <c r="M390" i="5"/>
  <c r="N390" i="5" s="1"/>
  <c r="M374" i="5"/>
  <c r="N610" i="5"/>
  <c r="N578" i="5"/>
  <c r="N522" i="5"/>
  <c r="N458" i="5"/>
  <c r="N418" i="5"/>
  <c r="N386" i="5"/>
  <c r="O544" i="5"/>
  <c r="O512" i="5"/>
  <c r="O488" i="5"/>
  <c r="O408" i="5"/>
  <c r="M342" i="5"/>
  <c r="M334" i="5"/>
  <c r="M592" i="5"/>
  <c r="N592" i="5" s="1"/>
  <c r="M582" i="5"/>
  <c r="M510" i="5"/>
  <c r="M468" i="5"/>
  <c r="M452" i="5"/>
  <c r="M436" i="5"/>
  <c r="N436" i="5" s="1"/>
  <c r="M420" i="5"/>
  <c r="M394" i="5"/>
  <c r="M362" i="5"/>
  <c r="N656" i="5"/>
  <c r="N640" i="5"/>
  <c r="N616" i="5"/>
  <c r="N568" i="5"/>
  <c r="N560" i="5"/>
  <c r="N552" i="5"/>
  <c r="N544" i="5"/>
  <c r="N536" i="5"/>
  <c r="N528" i="5"/>
  <c r="N520" i="5"/>
  <c r="N512" i="5"/>
  <c r="N472" i="5"/>
  <c r="O618" i="5"/>
  <c r="O602" i="5"/>
  <c r="O586" i="5"/>
  <c r="O578" i="5"/>
  <c r="O490" i="5"/>
  <c r="O418" i="5"/>
  <c r="M335" i="5"/>
  <c r="N394" i="5"/>
  <c r="N346" i="5"/>
  <c r="M608" i="5"/>
  <c r="N608" i="5" s="1"/>
  <c r="M562" i="5"/>
  <c r="O562" i="5" s="1"/>
  <c r="M516" i="5"/>
  <c r="M400" i="5"/>
  <c r="O400" i="5" s="1"/>
  <c r="M352" i="5"/>
  <c r="O352" i="5" s="1"/>
  <c r="N657" i="5"/>
  <c r="O608" i="5"/>
  <c r="O592" i="5"/>
  <c r="O552" i="5"/>
  <c r="O528" i="5"/>
  <c r="O504" i="5"/>
  <c r="O480" i="5"/>
  <c r="M338" i="5"/>
  <c r="M628" i="5"/>
  <c r="M546" i="5"/>
  <c r="N546" i="5" s="1"/>
  <c r="M494" i="5"/>
  <c r="N494" i="5" s="1"/>
  <c r="M378" i="5"/>
  <c r="M346" i="5"/>
  <c r="M527" i="5"/>
  <c r="M632" i="5"/>
  <c r="O632" i="5" s="1"/>
  <c r="M612" i="5"/>
  <c r="O612" i="5" s="1"/>
  <c r="M576" i="5"/>
  <c r="M566" i="5"/>
  <c r="N566" i="5" s="1"/>
  <c r="M530" i="5"/>
  <c r="O530" i="5" s="1"/>
  <c r="M488" i="5"/>
  <c r="M414" i="5"/>
  <c r="M404" i="5"/>
  <c r="M388" i="5"/>
  <c r="M372" i="5"/>
  <c r="N372" i="5" s="1"/>
  <c r="M356" i="5"/>
  <c r="N356" i="5" s="1"/>
  <c r="M639" i="5"/>
  <c r="M671" i="5"/>
  <c r="M663" i="5"/>
  <c r="M655" i="5"/>
  <c r="N655" i="5" s="1"/>
  <c r="N671" i="5"/>
  <c r="N663" i="5"/>
  <c r="N639" i="5"/>
  <c r="N583" i="5"/>
  <c r="N575" i="5"/>
  <c r="N559" i="5"/>
  <c r="N551" i="5"/>
  <c r="N543" i="5"/>
  <c r="N527" i="5"/>
  <c r="O610" i="5"/>
  <c r="O522" i="5"/>
  <c r="O506" i="5"/>
  <c r="O458" i="5"/>
  <c r="O442" i="5"/>
  <c r="O426" i="5"/>
  <c r="M647" i="5"/>
  <c r="M588" i="5"/>
  <c r="N588" i="5" s="1"/>
  <c r="M464" i="5"/>
  <c r="M406" i="5"/>
  <c r="M358" i="5"/>
  <c r="N358" i="5" s="1"/>
  <c r="N666" i="5"/>
  <c r="N634" i="5"/>
  <c r="N594" i="5"/>
  <c r="N530" i="5"/>
  <c r="N378" i="5"/>
  <c r="M500" i="5"/>
  <c r="N500" i="5" s="1"/>
  <c r="M410" i="5"/>
  <c r="N410" i="5" s="1"/>
  <c r="M384" i="5"/>
  <c r="N384" i="5" s="1"/>
  <c r="O568" i="5"/>
  <c r="N638" i="5"/>
  <c r="N582" i="5"/>
  <c r="N550" i="5"/>
  <c r="N526" i="5"/>
  <c r="N478" i="5"/>
  <c r="N438" i="5"/>
  <c r="N414" i="5"/>
  <c r="N366" i="5"/>
  <c r="N334" i="5"/>
  <c r="O669" i="5"/>
  <c r="O653" i="5"/>
  <c r="O341" i="5"/>
  <c r="O333" i="5"/>
  <c r="M339" i="5"/>
  <c r="N339" i="5" s="1"/>
  <c r="M506" i="5"/>
  <c r="N506" i="5" s="1"/>
  <c r="M432" i="5"/>
  <c r="O432" i="5" s="1"/>
  <c r="N650" i="5"/>
  <c r="N618" i="5"/>
  <c r="N586" i="5"/>
  <c r="N562" i="5"/>
  <c r="N442" i="5"/>
  <c r="N362" i="5"/>
  <c r="M644" i="5"/>
  <c r="M598" i="5"/>
  <c r="M572" i="5"/>
  <c r="M526" i="5"/>
  <c r="M484" i="5"/>
  <c r="O520" i="5"/>
  <c r="O496" i="5"/>
  <c r="O464" i="5"/>
  <c r="O424" i="5"/>
  <c r="O384" i="5"/>
  <c r="O344" i="5"/>
  <c r="M519" i="5"/>
  <c r="N519" i="5" s="1"/>
  <c r="N654" i="5"/>
  <c r="N630" i="5"/>
  <c r="N606" i="5"/>
  <c r="N590" i="5"/>
  <c r="N518" i="5"/>
  <c r="N470" i="5"/>
  <c r="N454" i="5"/>
  <c r="N430" i="5"/>
  <c r="N406" i="5"/>
  <c r="N382" i="5"/>
  <c r="N342" i="5"/>
  <c r="M636" i="5"/>
  <c r="M600" i="5"/>
  <c r="M580" i="5"/>
  <c r="N580" i="5" s="1"/>
  <c r="M534" i="5"/>
  <c r="M492" i="5"/>
  <c r="M476" i="5"/>
  <c r="O476" i="5" s="1"/>
  <c r="M450" i="5"/>
  <c r="O450" i="5" s="1"/>
  <c r="M434" i="5"/>
  <c r="O434" i="5" s="1"/>
  <c r="M392" i="5"/>
  <c r="N392" i="5" s="1"/>
  <c r="M360" i="5"/>
  <c r="M607" i="5"/>
  <c r="N607" i="5" s="1"/>
  <c r="M661" i="5"/>
  <c r="O661" i="5" s="1"/>
  <c r="M653" i="5"/>
  <c r="N653" i="5" s="1"/>
  <c r="M665" i="5"/>
  <c r="N665" i="5" s="1"/>
  <c r="N669" i="5"/>
  <c r="N661" i="5"/>
  <c r="N341" i="5"/>
  <c r="N333" i="5"/>
  <c r="O668" i="5"/>
  <c r="O660" i="5"/>
  <c r="O652" i="5"/>
  <c r="O644" i="5"/>
  <c r="O628" i="5"/>
  <c r="O604" i="5"/>
  <c r="O596" i="5"/>
  <c r="O580" i="5"/>
  <c r="M614" i="5"/>
  <c r="N614" i="5" s="1"/>
  <c r="M542" i="5"/>
  <c r="N542" i="5" s="1"/>
  <c r="M448" i="5"/>
  <c r="N448" i="5" s="1"/>
  <c r="N658" i="5"/>
  <c r="N626" i="5"/>
  <c r="N602" i="5"/>
  <c r="N570" i="5"/>
  <c r="N490" i="5"/>
  <c r="N450" i="5"/>
  <c r="N402" i="5"/>
  <c r="N370" i="5"/>
  <c r="N338" i="5"/>
  <c r="M567" i="5"/>
  <c r="N567" i="5" s="1"/>
  <c r="M426" i="5"/>
  <c r="N426" i="5" s="1"/>
  <c r="M368" i="5"/>
  <c r="O624" i="5"/>
  <c r="O584" i="5"/>
  <c r="O536" i="5"/>
  <c r="O416" i="5"/>
  <c r="O368" i="5"/>
  <c r="M662" i="5"/>
  <c r="N662" i="5" s="1"/>
  <c r="N670" i="5"/>
  <c r="N622" i="5"/>
  <c r="N598" i="5"/>
  <c r="N574" i="5"/>
  <c r="N558" i="5"/>
  <c r="N534" i="5"/>
  <c r="N510" i="5"/>
  <c r="N486" i="5"/>
  <c r="N462" i="5"/>
  <c r="N446" i="5"/>
  <c r="N422" i="5"/>
  <c r="N398" i="5"/>
  <c r="N374" i="5"/>
  <c r="N350" i="5"/>
  <c r="M631" i="5"/>
  <c r="M554" i="5"/>
  <c r="O554" i="5" s="1"/>
  <c r="M466" i="5"/>
  <c r="N466" i="5" s="1"/>
  <c r="M376" i="5"/>
  <c r="O376" i="5" s="1"/>
  <c r="M652" i="5"/>
  <c r="M648" i="5"/>
  <c r="O648" i="5" s="1"/>
  <c r="M340" i="5"/>
  <c r="M336" i="5"/>
  <c r="O336" i="5" s="1"/>
  <c r="M646" i="5"/>
  <c r="O646" i="5" s="1"/>
  <c r="M620" i="5"/>
  <c r="O620" i="5" s="1"/>
  <c r="M615" i="5"/>
  <c r="N615" i="5" s="1"/>
  <c r="M584" i="5"/>
  <c r="N584" i="5" s="1"/>
  <c r="M564" i="5"/>
  <c r="O564" i="5" s="1"/>
  <c r="M538" i="5"/>
  <c r="N538" i="5" s="1"/>
  <c r="M518" i="5"/>
  <c r="M502" i="5"/>
  <c r="N502" i="5" s="1"/>
  <c r="M460" i="5"/>
  <c r="N460" i="5" s="1"/>
  <c r="M444" i="5"/>
  <c r="N444" i="5" s="1"/>
  <c r="M428" i="5"/>
  <c r="N428" i="5" s="1"/>
  <c r="M412" i="5"/>
  <c r="M370" i="5"/>
  <c r="M354" i="5"/>
  <c r="N354" i="5" s="1"/>
  <c r="M344" i="5"/>
  <c r="M591" i="5"/>
  <c r="N591" i="5" s="1"/>
  <c r="M668" i="5"/>
  <c r="N668" i="5" s="1"/>
  <c r="M660" i="5"/>
  <c r="N660" i="5" s="1"/>
  <c r="N652" i="5"/>
  <c r="N644" i="5"/>
  <c r="N628" i="5"/>
  <c r="N604" i="5"/>
  <c r="N596" i="5"/>
  <c r="N572" i="5"/>
  <c r="N556" i="5"/>
  <c r="N548" i="5"/>
  <c r="N540" i="5"/>
  <c r="N532" i="5"/>
  <c r="N524" i="5"/>
  <c r="N516" i="5"/>
  <c r="N508" i="5"/>
  <c r="N492" i="5"/>
  <c r="N484" i="5"/>
  <c r="N476" i="5"/>
  <c r="N468" i="5"/>
  <c r="N420" i="5"/>
  <c r="N412" i="5"/>
  <c r="N404" i="5"/>
  <c r="N388" i="5"/>
  <c r="N380" i="5"/>
  <c r="N364" i="5"/>
  <c r="N348" i="5"/>
  <c r="N340" i="5"/>
  <c r="O667" i="5"/>
  <c r="O659" i="5"/>
  <c r="O651" i="5"/>
  <c r="O339" i="5"/>
  <c r="N504" i="5"/>
  <c r="N496" i="5"/>
  <c r="N488" i="5"/>
  <c r="N480" i="5"/>
  <c r="N464" i="5"/>
  <c r="N456" i="5"/>
  <c r="N440" i="5"/>
  <c r="N432" i="5"/>
  <c r="N424" i="5"/>
  <c r="N416" i="5"/>
  <c r="N408" i="5"/>
  <c r="N400" i="5"/>
  <c r="N376" i="5"/>
  <c r="N368" i="5"/>
  <c r="N352" i="5"/>
  <c r="N344" i="5"/>
  <c r="N336" i="5"/>
  <c r="O671" i="5"/>
  <c r="O663" i="5"/>
  <c r="O655" i="5"/>
  <c r="O639" i="5"/>
  <c r="O623" i="5"/>
  <c r="O615" i="5"/>
  <c r="O607" i="5"/>
  <c r="O599" i="5"/>
  <c r="O591" i="5"/>
  <c r="O583" i="5"/>
  <c r="O575" i="5"/>
  <c r="O567" i="5"/>
  <c r="O559" i="5"/>
  <c r="O551" i="5"/>
  <c r="O543" i="5"/>
  <c r="O535" i="5"/>
  <c r="O527" i="5"/>
  <c r="O519" i="5"/>
  <c r="O335" i="5"/>
  <c r="N335" i="5"/>
  <c r="O670" i="5"/>
  <c r="O654" i="5"/>
  <c r="O638" i="5"/>
  <c r="O630" i="5"/>
  <c r="O622" i="5"/>
  <c r="O614" i="5"/>
  <c r="O606" i="5"/>
  <c r="O598" i="5"/>
  <c r="O590" i="5"/>
  <c r="O582" i="5"/>
  <c r="O574" i="5"/>
  <c r="O566" i="5"/>
  <c r="O558" i="5"/>
  <c r="O550" i="5"/>
  <c r="O542" i="5"/>
  <c r="O534" i="5"/>
  <c r="O526" i="5"/>
  <c r="O518" i="5"/>
  <c r="O510" i="5"/>
  <c r="O502" i="5"/>
  <c r="O494" i="5"/>
  <c r="O486" i="5"/>
  <c r="O478" i="5"/>
  <c r="O470" i="5"/>
  <c r="O462" i="5"/>
  <c r="O454" i="5"/>
  <c r="O446" i="5"/>
  <c r="O438" i="5"/>
  <c r="O430" i="5"/>
  <c r="O422" i="5"/>
  <c r="O414" i="5"/>
  <c r="O406" i="5"/>
  <c r="O398" i="5"/>
  <c r="O390" i="5"/>
  <c r="O382" i="5"/>
  <c r="O374" i="5"/>
  <c r="O366" i="5"/>
  <c r="O358" i="5"/>
  <c r="O350" i="5"/>
  <c r="O342" i="5"/>
  <c r="O334" i="5"/>
  <c r="O588" i="5"/>
  <c r="O572" i="5"/>
  <c r="O556" i="5"/>
  <c r="O548" i="5"/>
  <c r="O540" i="5"/>
  <c r="O532" i="5"/>
  <c r="O524" i="5"/>
  <c r="O516" i="5"/>
  <c r="O508" i="5"/>
  <c r="O500" i="5"/>
  <c r="O492" i="5"/>
  <c r="O484" i="5"/>
  <c r="O468" i="5"/>
  <c r="O460" i="5"/>
  <c r="O444" i="5"/>
  <c r="O436" i="5"/>
  <c r="O428" i="5"/>
  <c r="O420" i="5"/>
  <c r="O412" i="5"/>
  <c r="O404" i="5"/>
  <c r="O396" i="5"/>
  <c r="O388" i="5"/>
  <c r="O380" i="5"/>
  <c r="O364" i="5"/>
  <c r="O356" i="5"/>
  <c r="O348" i="5"/>
  <c r="O340" i="5"/>
  <c r="O410" i="5"/>
  <c r="O402" i="5"/>
  <c r="O394" i="5"/>
  <c r="O378" i="5"/>
  <c r="O370" i="5"/>
  <c r="O362" i="5"/>
  <c r="O346" i="5"/>
  <c r="O338" i="5"/>
  <c r="O337" i="5"/>
  <c r="N564" i="5"/>
  <c r="F30" i="13"/>
  <c r="F33" i="13"/>
  <c r="F31" i="13"/>
  <c r="F36" i="13"/>
  <c r="F28" i="13"/>
  <c r="F27" i="13"/>
  <c r="F37" i="13"/>
  <c r="F26" i="13"/>
  <c r="F34" i="13"/>
  <c r="F35" i="13"/>
  <c r="F29" i="13"/>
  <c r="F32" i="13"/>
  <c r="F25" i="13"/>
  <c r="G25" i="13" s="1"/>
  <c r="C11" i="13"/>
  <c r="C60" i="13"/>
  <c r="F60" i="13"/>
  <c r="C69" i="13"/>
  <c r="F69" i="13"/>
  <c r="C12" i="13"/>
  <c r="AA25" i="16"/>
  <c r="AB25" i="16"/>
  <c r="AA35" i="16"/>
  <c r="AB35" i="16"/>
  <c r="AA44" i="16"/>
  <c r="AB44" i="16"/>
  <c r="AA4" i="16"/>
  <c r="AB4" i="16"/>
  <c r="S4" i="16" s="1"/>
  <c r="AA22" i="16"/>
  <c r="AB22" i="16"/>
  <c r="AA27" i="16"/>
  <c r="AB27" i="16"/>
  <c r="AB23" i="16"/>
  <c r="AA23" i="16"/>
  <c r="AB41" i="16"/>
  <c r="AA41" i="16"/>
  <c r="AB71" i="16"/>
  <c r="AA71" i="16"/>
  <c r="AB7" i="16"/>
  <c r="AA7" i="16"/>
  <c r="AB33" i="16"/>
  <c r="AA33" i="16"/>
  <c r="AB13" i="16"/>
  <c r="AA13" i="16"/>
  <c r="AB3" i="16"/>
  <c r="AA3" i="16"/>
  <c r="AA30" i="16"/>
  <c r="AB30" i="16"/>
  <c r="AA34" i="16"/>
  <c r="AB34" i="16"/>
  <c r="AA54" i="16"/>
  <c r="AB54" i="16"/>
  <c r="AA5" i="16"/>
  <c r="AB5" i="16"/>
  <c r="AA45" i="16"/>
  <c r="AB45" i="16"/>
  <c r="AA24" i="16"/>
  <c r="AB24" i="16"/>
  <c r="AA58" i="16"/>
  <c r="AB58" i="16"/>
  <c r="AA64" i="16"/>
  <c r="AB64" i="16"/>
  <c r="AA72" i="16"/>
  <c r="AB72" i="16"/>
  <c r="AA2" i="16"/>
  <c r="AB2" i="16"/>
  <c r="AA12" i="16"/>
  <c r="AB12" i="16"/>
  <c r="AA15" i="16"/>
  <c r="AB15" i="16"/>
  <c r="AA17" i="16"/>
  <c r="AB17" i="16"/>
  <c r="AA50" i="16"/>
  <c r="AB50" i="16"/>
  <c r="AA10" i="16"/>
  <c r="R10" i="16" s="1"/>
  <c r="AB10" i="16"/>
  <c r="AA37" i="16"/>
  <c r="AB37" i="16"/>
  <c r="AA39" i="16"/>
  <c r="AB39" i="16"/>
  <c r="AA43" i="16"/>
  <c r="AB43" i="16"/>
  <c r="AA38" i="16"/>
  <c r="AB38" i="16"/>
  <c r="AA59" i="16"/>
  <c r="AB59" i="16"/>
  <c r="AA62" i="16"/>
  <c r="AB62" i="16"/>
  <c r="AA67" i="16"/>
  <c r="AB67" i="16"/>
  <c r="AA76" i="16"/>
  <c r="AB76" i="16"/>
  <c r="AA83" i="16"/>
  <c r="AB83" i="16"/>
  <c r="AA87" i="16"/>
  <c r="AB87" i="16"/>
  <c r="AA132" i="16"/>
  <c r="AB132" i="16"/>
  <c r="S132" i="16" s="1"/>
  <c r="AA98" i="16"/>
  <c r="AB98" i="16"/>
  <c r="S98" i="16" s="1"/>
  <c r="AA118" i="16"/>
  <c r="R118" i="16" s="1"/>
  <c r="AB118" i="16"/>
  <c r="S118" i="16" s="1"/>
  <c r="AA122" i="16"/>
  <c r="R122" i="16" s="1"/>
  <c r="AB122" i="16"/>
  <c r="AA154" i="16"/>
  <c r="AB154" i="16"/>
  <c r="AA56" i="16"/>
  <c r="AB56" i="16"/>
  <c r="AA156" i="16"/>
  <c r="AB156" i="16"/>
  <c r="S156" i="16" s="1"/>
  <c r="AA14" i="16"/>
  <c r="AB14" i="16"/>
  <c r="AA126" i="16"/>
  <c r="AB126" i="16"/>
  <c r="AA88" i="16"/>
  <c r="AB88" i="16"/>
  <c r="S88" i="16" s="1"/>
  <c r="AA96" i="16"/>
  <c r="R96" i="16" s="1"/>
  <c r="AB96" i="16"/>
  <c r="AA106" i="16"/>
  <c r="R106" i="16" s="1"/>
  <c r="AB106" i="16"/>
  <c r="AA107" i="16"/>
  <c r="AB107" i="16"/>
  <c r="S107" i="16" s="1"/>
  <c r="AA127" i="16"/>
  <c r="R127" i="16" s="1"/>
  <c r="AB127" i="16"/>
  <c r="S127" i="16" s="1"/>
  <c r="AA110" i="16"/>
  <c r="AB110" i="16"/>
  <c r="AA140" i="16"/>
  <c r="AB140" i="16"/>
  <c r="S140" i="16" s="1"/>
  <c r="AA92" i="16"/>
  <c r="AB92" i="16"/>
  <c r="S92" i="16" s="1"/>
  <c r="AA85" i="16"/>
  <c r="AB85" i="16"/>
  <c r="AA129" i="16"/>
  <c r="AB129" i="16"/>
  <c r="AA69" i="16"/>
  <c r="R69" i="16" s="1"/>
  <c r="AB69" i="16"/>
  <c r="AB141" i="16"/>
  <c r="AA141" i="16"/>
  <c r="R141" i="16" s="1"/>
  <c r="AB31" i="16"/>
  <c r="AA31" i="16"/>
  <c r="AB28" i="16"/>
  <c r="AA28" i="16"/>
  <c r="AB29" i="16"/>
  <c r="AA29" i="16"/>
  <c r="AB40" i="16"/>
  <c r="AA40" i="16"/>
  <c r="AB46" i="16"/>
  <c r="S46" i="16" s="1"/>
  <c r="AA46" i="16"/>
  <c r="AB47" i="16"/>
  <c r="AA47" i="16"/>
  <c r="AB60" i="16"/>
  <c r="AA60" i="16"/>
  <c r="AB70" i="16"/>
  <c r="AA70" i="16"/>
  <c r="AB68" i="16"/>
  <c r="AA68" i="16"/>
  <c r="AB84" i="16"/>
  <c r="AA84" i="16"/>
  <c r="AB102" i="16"/>
  <c r="S102" i="16" s="1"/>
  <c r="AA102" i="16"/>
  <c r="AB111" i="16"/>
  <c r="AA111" i="16"/>
  <c r="AB55" i="16"/>
  <c r="AA55" i="16"/>
  <c r="AB119" i="16"/>
  <c r="S119" i="16" s="1"/>
  <c r="AA119" i="16"/>
  <c r="AB117" i="16"/>
  <c r="S117" i="16" s="1"/>
  <c r="AA117" i="16"/>
  <c r="AB155" i="16"/>
  <c r="AA155" i="16"/>
  <c r="AB157" i="16"/>
  <c r="AA157" i="16"/>
  <c r="AB152" i="16"/>
  <c r="S152" i="16" s="1"/>
  <c r="AA152" i="16"/>
  <c r="AB8" i="16"/>
  <c r="AA8" i="16"/>
  <c r="AB16" i="16"/>
  <c r="S16" i="16" s="1"/>
  <c r="AA16" i="16"/>
  <c r="AB94" i="16"/>
  <c r="S94" i="16" s="1"/>
  <c r="AA94" i="16"/>
  <c r="AB139" i="16"/>
  <c r="S139" i="16" s="1"/>
  <c r="AA139" i="16"/>
  <c r="AB6" i="16"/>
  <c r="AA6" i="16"/>
  <c r="AB104" i="16"/>
  <c r="AA104" i="16"/>
  <c r="AB131" i="16"/>
  <c r="AA131" i="16"/>
  <c r="AB147" i="16"/>
  <c r="AA147" i="16"/>
  <c r="AB114" i="16"/>
  <c r="AA114" i="16"/>
  <c r="AB138" i="16"/>
  <c r="S138" i="16" s="1"/>
  <c r="AA138" i="16"/>
  <c r="AB125" i="16"/>
  <c r="AA125" i="16"/>
  <c r="AB82" i="16"/>
  <c r="AA82" i="16"/>
  <c r="AB128" i="16"/>
  <c r="AA128" i="16"/>
  <c r="AB133" i="16"/>
  <c r="AA133" i="16"/>
  <c r="AA18" i="16"/>
  <c r="AB18" i="16"/>
  <c r="AA49" i="16"/>
  <c r="AB49" i="16"/>
  <c r="AA9" i="16"/>
  <c r="AB9" i="16"/>
  <c r="AA26" i="16"/>
  <c r="AB26" i="16"/>
  <c r="AA75" i="16"/>
  <c r="AB75" i="16"/>
  <c r="AA36" i="16"/>
  <c r="AB36" i="16"/>
  <c r="AA53" i="16"/>
  <c r="AB53" i="16"/>
  <c r="AA48" i="16"/>
  <c r="AB48" i="16"/>
  <c r="AA77" i="16"/>
  <c r="AB77" i="16"/>
  <c r="AA78" i="16"/>
  <c r="AB78" i="16"/>
  <c r="AA74" i="16"/>
  <c r="AB74" i="16"/>
  <c r="AA80" i="16"/>
  <c r="AB80" i="16"/>
  <c r="AA130" i="16"/>
  <c r="AB130" i="16"/>
  <c r="AA100" i="16"/>
  <c r="AB100" i="16"/>
  <c r="AA146" i="16"/>
  <c r="AB146" i="16"/>
  <c r="AA115" i="16"/>
  <c r="AB115" i="16"/>
  <c r="AA113" i="16"/>
  <c r="AB113" i="16"/>
  <c r="AA21" i="16"/>
  <c r="AB21" i="16"/>
  <c r="AA153" i="16"/>
  <c r="AB153" i="16"/>
  <c r="AA11" i="16"/>
  <c r="AB11" i="16"/>
  <c r="AA66" i="16"/>
  <c r="AB66" i="16"/>
  <c r="AA123" i="16"/>
  <c r="AB123" i="16"/>
  <c r="AA90" i="16"/>
  <c r="AB90" i="16"/>
  <c r="AA112" i="16"/>
  <c r="AB112" i="16"/>
  <c r="AA65" i="16"/>
  <c r="AB65" i="16"/>
  <c r="AA108" i="16"/>
  <c r="AB108" i="16"/>
  <c r="AA137" i="16"/>
  <c r="AB137" i="16"/>
  <c r="S137" i="16" s="1"/>
  <c r="AA124" i="16"/>
  <c r="AB124" i="16"/>
  <c r="S124" i="16" s="1"/>
  <c r="AA150" i="16"/>
  <c r="AB150" i="16"/>
  <c r="AA63" i="16"/>
  <c r="AB63" i="16"/>
  <c r="AA99" i="16"/>
  <c r="AB99" i="16"/>
  <c r="AA81" i="16"/>
  <c r="AB81" i="16"/>
  <c r="AA145" i="16"/>
  <c r="R145" i="16" s="1"/>
  <c r="AB145" i="16"/>
  <c r="AA144" i="16"/>
  <c r="R144" i="16" s="1"/>
  <c r="AB144" i="16"/>
  <c r="AA42" i="16"/>
  <c r="AB42" i="16"/>
  <c r="AA32" i="16"/>
  <c r="AB32" i="16"/>
  <c r="AA61" i="16"/>
  <c r="AB61" i="16"/>
  <c r="AA51" i="16"/>
  <c r="AB51" i="16"/>
  <c r="AA73" i="16"/>
  <c r="AB73" i="16"/>
  <c r="AA57" i="16"/>
  <c r="AB57" i="16"/>
  <c r="AA79" i="16"/>
  <c r="AB79" i="16"/>
  <c r="AA86" i="16"/>
  <c r="AB86" i="16"/>
  <c r="AA52" i="16"/>
  <c r="AB52" i="16"/>
  <c r="AA135" i="16"/>
  <c r="AB135" i="16"/>
  <c r="AA101" i="16"/>
  <c r="AB101" i="16"/>
  <c r="AA142" i="16"/>
  <c r="AB142" i="16"/>
  <c r="AA116" i="16"/>
  <c r="AB116" i="16"/>
  <c r="AA121" i="16"/>
  <c r="AB121" i="16"/>
  <c r="AA151" i="16"/>
  <c r="AB151" i="16"/>
  <c r="AA20" i="16"/>
  <c r="AB20" i="16"/>
  <c r="AA136" i="16"/>
  <c r="AB136" i="16"/>
  <c r="AA19" i="16"/>
  <c r="AB19" i="16"/>
  <c r="AA91" i="16"/>
  <c r="AB91" i="16"/>
  <c r="AA95" i="16"/>
  <c r="AB95" i="16"/>
  <c r="AA149" i="16"/>
  <c r="AB149" i="16"/>
  <c r="AA105" i="16"/>
  <c r="AB105" i="16"/>
  <c r="AA103" i="16"/>
  <c r="AB103" i="16"/>
  <c r="AA109" i="16"/>
  <c r="AB109" i="16"/>
  <c r="AA97" i="16"/>
  <c r="AB97" i="16"/>
  <c r="AA89" i="16"/>
  <c r="AB89" i="16"/>
  <c r="AA148" i="16"/>
  <c r="AB148" i="16"/>
  <c r="AA93" i="16"/>
  <c r="AB93" i="16"/>
  <c r="AA134" i="16"/>
  <c r="AB134" i="16"/>
  <c r="AA120" i="16"/>
  <c r="AB120" i="16"/>
  <c r="AA143" i="16"/>
  <c r="AB143" i="16"/>
  <c r="S104" i="16"/>
  <c r="F8" i="16"/>
  <c r="F7" i="16"/>
  <c r="F14" i="16"/>
  <c r="F5" i="16"/>
  <c r="F4" i="16"/>
  <c r="F9" i="16"/>
  <c r="F6" i="16"/>
  <c r="F10" i="16"/>
  <c r="F11" i="16"/>
  <c r="F13" i="16"/>
  <c r="F12" i="16"/>
  <c r="F3" i="16"/>
  <c r="I635" i="5"/>
  <c r="M635" i="5" s="1"/>
  <c r="I619" i="5"/>
  <c r="M619" i="5" s="1"/>
  <c r="O619" i="5" s="1"/>
  <c r="I603" i="5"/>
  <c r="M603" i="5" s="1"/>
  <c r="I587" i="5"/>
  <c r="M587" i="5" s="1"/>
  <c r="I571" i="5"/>
  <c r="M571" i="5" s="1"/>
  <c r="I555" i="5"/>
  <c r="M555" i="5" s="1"/>
  <c r="N555" i="5" s="1"/>
  <c r="I539" i="5"/>
  <c r="M539" i="5" s="1"/>
  <c r="N539" i="5" s="1"/>
  <c r="I523" i="5"/>
  <c r="M523" i="5" s="1"/>
  <c r="J515" i="5"/>
  <c r="M515" i="5" s="1"/>
  <c r="J531" i="5"/>
  <c r="M531" i="5" s="1"/>
  <c r="O531" i="5" s="1"/>
  <c r="J547" i="5"/>
  <c r="M547" i="5" s="1"/>
  <c r="N547" i="5" s="1"/>
  <c r="J563" i="5"/>
  <c r="M563" i="5" s="1"/>
  <c r="N563" i="5" s="1"/>
  <c r="J579" i="5"/>
  <c r="M579" i="5" s="1"/>
  <c r="J595" i="5"/>
  <c r="M595" i="5" s="1"/>
  <c r="J611" i="5"/>
  <c r="M611" i="5" s="1"/>
  <c r="N611" i="5" s="1"/>
  <c r="J627" i="5"/>
  <c r="M627" i="5" s="1"/>
  <c r="N627" i="5" s="1"/>
  <c r="J643" i="5"/>
  <c r="M643" i="5" s="1"/>
  <c r="H343" i="5"/>
  <c r="I343" i="5"/>
  <c r="J343" i="5"/>
  <c r="J345" i="5"/>
  <c r="M345" i="5" s="1"/>
  <c r="N345" i="5" s="1"/>
  <c r="H345" i="5"/>
  <c r="H347" i="5"/>
  <c r="I347" i="5"/>
  <c r="J347" i="5"/>
  <c r="J349" i="5"/>
  <c r="H349" i="5"/>
  <c r="H351" i="5"/>
  <c r="I351" i="5"/>
  <c r="J351" i="5"/>
  <c r="J353" i="5"/>
  <c r="H353" i="5"/>
  <c r="H355" i="5"/>
  <c r="I355" i="5"/>
  <c r="J355" i="5"/>
  <c r="J357" i="5"/>
  <c r="H357" i="5"/>
  <c r="H359" i="5"/>
  <c r="I359" i="5"/>
  <c r="J359" i="5"/>
  <c r="J361" i="5"/>
  <c r="M361" i="5" s="1"/>
  <c r="H361" i="5"/>
  <c r="H363" i="5"/>
  <c r="I363" i="5"/>
  <c r="M363" i="5" s="1"/>
  <c r="J363" i="5"/>
  <c r="J365" i="5"/>
  <c r="H365" i="5"/>
  <c r="H367" i="5"/>
  <c r="I367" i="5"/>
  <c r="M367" i="5" s="1"/>
  <c r="J367" i="5"/>
  <c r="J369" i="5"/>
  <c r="H369" i="5"/>
  <c r="H371" i="5"/>
  <c r="I371" i="5"/>
  <c r="J371" i="5"/>
  <c r="J373" i="5"/>
  <c r="H373" i="5"/>
  <c r="H375" i="5"/>
  <c r="I375" i="5"/>
  <c r="J375" i="5"/>
  <c r="J377" i="5"/>
  <c r="M377" i="5" s="1"/>
  <c r="N377" i="5" s="1"/>
  <c r="H377" i="5"/>
  <c r="H379" i="5"/>
  <c r="I379" i="5"/>
  <c r="J379" i="5"/>
  <c r="J381" i="5"/>
  <c r="H381" i="5"/>
  <c r="H383" i="5"/>
  <c r="I383" i="5"/>
  <c r="J383" i="5"/>
  <c r="J385" i="5"/>
  <c r="H385" i="5"/>
  <c r="H387" i="5"/>
  <c r="I387" i="5"/>
  <c r="J387" i="5"/>
  <c r="J389" i="5"/>
  <c r="H389" i="5"/>
  <c r="H391" i="5"/>
  <c r="I391" i="5"/>
  <c r="J391" i="5"/>
  <c r="J393" i="5"/>
  <c r="M393" i="5" s="1"/>
  <c r="N393" i="5" s="1"/>
  <c r="H393" i="5"/>
  <c r="H395" i="5"/>
  <c r="I395" i="5"/>
  <c r="M395" i="5" s="1"/>
  <c r="N395" i="5" s="1"/>
  <c r="J395" i="5"/>
  <c r="J397" i="5"/>
  <c r="H397" i="5"/>
  <c r="H399" i="5"/>
  <c r="I399" i="5"/>
  <c r="M399" i="5" s="1"/>
  <c r="N399" i="5" s="1"/>
  <c r="J399" i="5"/>
  <c r="J401" i="5"/>
  <c r="H401" i="5"/>
  <c r="H403" i="5"/>
  <c r="I403" i="5"/>
  <c r="J403" i="5"/>
  <c r="J405" i="5"/>
  <c r="H405" i="5"/>
  <c r="H407" i="5"/>
  <c r="I407" i="5"/>
  <c r="J407" i="5"/>
  <c r="J409" i="5"/>
  <c r="M409" i="5" s="1"/>
  <c r="O409" i="5" s="1"/>
  <c r="H409" i="5"/>
  <c r="H411" i="5"/>
  <c r="I411" i="5"/>
  <c r="J411" i="5"/>
  <c r="J413" i="5"/>
  <c r="H413" i="5"/>
  <c r="H415" i="5"/>
  <c r="I415" i="5"/>
  <c r="J415" i="5"/>
  <c r="J417" i="5"/>
  <c r="H417" i="5"/>
  <c r="H419" i="5"/>
  <c r="I419" i="5"/>
  <c r="J419" i="5"/>
  <c r="J421" i="5"/>
  <c r="H421" i="5"/>
  <c r="H423" i="5"/>
  <c r="I423" i="5"/>
  <c r="J423" i="5"/>
  <c r="J425" i="5"/>
  <c r="M425" i="5" s="1"/>
  <c r="H425" i="5"/>
  <c r="H427" i="5"/>
  <c r="I427" i="5"/>
  <c r="M427" i="5" s="1"/>
  <c r="O427" i="5" s="1"/>
  <c r="J427" i="5"/>
  <c r="J429" i="5"/>
  <c r="H429" i="5"/>
  <c r="H431" i="5"/>
  <c r="I431" i="5"/>
  <c r="M431" i="5" s="1"/>
  <c r="J431" i="5"/>
  <c r="J433" i="5"/>
  <c r="H433" i="5"/>
  <c r="H435" i="5"/>
  <c r="I435" i="5"/>
  <c r="J435" i="5"/>
  <c r="J437" i="5"/>
  <c r="H437" i="5"/>
  <c r="H439" i="5"/>
  <c r="I439" i="5"/>
  <c r="J439" i="5"/>
  <c r="J441" i="5"/>
  <c r="M441" i="5" s="1"/>
  <c r="N441" i="5" s="1"/>
  <c r="H441" i="5"/>
  <c r="H443" i="5"/>
  <c r="I443" i="5"/>
  <c r="J443" i="5"/>
  <c r="J445" i="5"/>
  <c r="H445" i="5"/>
  <c r="H447" i="5"/>
  <c r="I447" i="5"/>
  <c r="J447" i="5"/>
  <c r="J449" i="5"/>
  <c r="H449" i="5"/>
  <c r="H451" i="5"/>
  <c r="I451" i="5"/>
  <c r="J451" i="5"/>
  <c r="J453" i="5"/>
  <c r="H453" i="5"/>
  <c r="H455" i="5"/>
  <c r="I455" i="5"/>
  <c r="J455" i="5"/>
  <c r="J457" i="5"/>
  <c r="M457" i="5" s="1"/>
  <c r="H457" i="5"/>
  <c r="H459" i="5"/>
  <c r="I459" i="5"/>
  <c r="M459" i="5" s="1"/>
  <c r="J459" i="5"/>
  <c r="J461" i="5"/>
  <c r="H461" i="5"/>
  <c r="H463" i="5"/>
  <c r="I463" i="5"/>
  <c r="M463" i="5" s="1"/>
  <c r="O463" i="5" s="1"/>
  <c r="J463" i="5"/>
  <c r="J465" i="5"/>
  <c r="H465" i="5"/>
  <c r="H467" i="5"/>
  <c r="I467" i="5"/>
  <c r="J467" i="5"/>
  <c r="J469" i="5"/>
  <c r="H469" i="5"/>
  <c r="H471" i="5"/>
  <c r="I471" i="5"/>
  <c r="J471" i="5"/>
  <c r="J473" i="5"/>
  <c r="M473" i="5" s="1"/>
  <c r="N473" i="5" s="1"/>
  <c r="H473" i="5"/>
  <c r="H475" i="5"/>
  <c r="I475" i="5"/>
  <c r="J475" i="5"/>
  <c r="J477" i="5"/>
  <c r="H477" i="5"/>
  <c r="H479" i="5"/>
  <c r="I479" i="5"/>
  <c r="J479" i="5"/>
  <c r="J481" i="5"/>
  <c r="H481" i="5"/>
  <c r="H483" i="5"/>
  <c r="I483" i="5"/>
  <c r="J483" i="5"/>
  <c r="J485" i="5"/>
  <c r="H485" i="5"/>
  <c r="H487" i="5"/>
  <c r="I487" i="5"/>
  <c r="J487" i="5"/>
  <c r="J489" i="5"/>
  <c r="M489" i="5" s="1"/>
  <c r="H489" i="5"/>
  <c r="H491" i="5"/>
  <c r="I491" i="5"/>
  <c r="M491" i="5" s="1"/>
  <c r="J491" i="5"/>
  <c r="J493" i="5"/>
  <c r="H493" i="5"/>
  <c r="H495" i="5"/>
  <c r="I495" i="5"/>
  <c r="M495" i="5" s="1"/>
  <c r="J495" i="5"/>
  <c r="J497" i="5"/>
  <c r="H497" i="5"/>
  <c r="H499" i="5"/>
  <c r="I499" i="5"/>
  <c r="J499" i="5"/>
  <c r="J501" i="5"/>
  <c r="H501" i="5"/>
  <c r="H503" i="5"/>
  <c r="I503" i="5"/>
  <c r="J503" i="5"/>
  <c r="J505" i="5"/>
  <c r="M505" i="5" s="1"/>
  <c r="N505" i="5" s="1"/>
  <c r="H505" i="5"/>
  <c r="H507" i="5"/>
  <c r="J507" i="5"/>
  <c r="M507" i="5" s="1"/>
  <c r="J509" i="5"/>
  <c r="M509" i="5" s="1"/>
  <c r="H509" i="5"/>
  <c r="J645" i="5"/>
  <c r="H643" i="5"/>
  <c r="J641" i="5"/>
  <c r="H639" i="5"/>
  <c r="J637" i="5"/>
  <c r="H635" i="5"/>
  <c r="J633" i="5"/>
  <c r="H631" i="5"/>
  <c r="J629" i="5"/>
  <c r="H627" i="5"/>
  <c r="J625" i="5"/>
  <c r="H623" i="5"/>
  <c r="J621" i="5"/>
  <c r="H619" i="5"/>
  <c r="J617" i="5"/>
  <c r="H615" i="5"/>
  <c r="J613" i="5"/>
  <c r="H611" i="5"/>
  <c r="J609" i="5"/>
  <c r="H607" i="5"/>
  <c r="J605" i="5"/>
  <c r="H603" i="5"/>
  <c r="J601" i="5"/>
  <c r="H599" i="5"/>
  <c r="J597" i="5"/>
  <c r="H595" i="5"/>
  <c r="J593" i="5"/>
  <c r="H591" i="5"/>
  <c r="J589" i="5"/>
  <c r="H587" i="5"/>
  <c r="J585" i="5"/>
  <c r="H583" i="5"/>
  <c r="J581" i="5"/>
  <c r="H579" i="5"/>
  <c r="J577" i="5"/>
  <c r="H575" i="5"/>
  <c r="J573" i="5"/>
  <c r="H571" i="5"/>
  <c r="J569" i="5"/>
  <c r="H567" i="5"/>
  <c r="J565" i="5"/>
  <c r="H563" i="5"/>
  <c r="J561" i="5"/>
  <c r="H559" i="5"/>
  <c r="J557" i="5"/>
  <c r="H555" i="5"/>
  <c r="J553" i="5"/>
  <c r="H551" i="5"/>
  <c r="J549" i="5"/>
  <c r="H547" i="5"/>
  <c r="J545" i="5"/>
  <c r="H543" i="5"/>
  <c r="J541" i="5"/>
  <c r="H539" i="5"/>
  <c r="J537" i="5"/>
  <c r="H535" i="5"/>
  <c r="J533" i="5"/>
  <c r="H531" i="5"/>
  <c r="J529" i="5"/>
  <c r="H527" i="5"/>
  <c r="J525" i="5"/>
  <c r="H523" i="5"/>
  <c r="J521" i="5"/>
  <c r="H519" i="5"/>
  <c r="J517" i="5"/>
  <c r="H515" i="5"/>
  <c r="J513" i="5"/>
  <c r="I493" i="5"/>
  <c r="M493" i="5" s="1"/>
  <c r="I477" i="5"/>
  <c r="M477" i="5" s="1"/>
  <c r="N477" i="5" s="1"/>
  <c r="I461" i="5"/>
  <c r="M461" i="5" s="1"/>
  <c r="I445" i="5"/>
  <c r="M445" i="5" s="1"/>
  <c r="O445" i="5" s="1"/>
  <c r="I429" i="5"/>
  <c r="M429" i="5" s="1"/>
  <c r="I413" i="5"/>
  <c r="M413" i="5" s="1"/>
  <c r="N413" i="5" s="1"/>
  <c r="I397" i="5"/>
  <c r="M397" i="5" s="1"/>
  <c r="I381" i="5"/>
  <c r="I365" i="5"/>
  <c r="M365" i="5" s="1"/>
  <c r="I349" i="5"/>
  <c r="M349" i="5" s="1"/>
  <c r="N349" i="5" s="1"/>
  <c r="I645" i="5"/>
  <c r="M645" i="5" s="1"/>
  <c r="I641" i="5"/>
  <c r="M641" i="5" s="1"/>
  <c r="N641" i="5" s="1"/>
  <c r="I637" i="5"/>
  <c r="I633" i="5"/>
  <c r="I629" i="5"/>
  <c r="M629" i="5" s="1"/>
  <c r="I625" i="5"/>
  <c r="M625" i="5" s="1"/>
  <c r="N625" i="5" s="1"/>
  <c r="I621" i="5"/>
  <c r="I617" i="5"/>
  <c r="I613" i="5"/>
  <c r="M613" i="5" s="1"/>
  <c r="N613" i="5" s="1"/>
  <c r="I609" i="5"/>
  <c r="M609" i="5" s="1"/>
  <c r="I605" i="5"/>
  <c r="I601" i="5"/>
  <c r="I597" i="5"/>
  <c r="M597" i="5" s="1"/>
  <c r="O597" i="5" s="1"/>
  <c r="I593" i="5"/>
  <c r="M593" i="5" s="1"/>
  <c r="I589" i="5"/>
  <c r="I585" i="5"/>
  <c r="I581" i="5"/>
  <c r="M581" i="5" s="1"/>
  <c r="I577" i="5"/>
  <c r="M577" i="5" s="1"/>
  <c r="N577" i="5" s="1"/>
  <c r="I573" i="5"/>
  <c r="I569" i="5"/>
  <c r="I565" i="5"/>
  <c r="M565" i="5" s="1"/>
  <c r="I561" i="5"/>
  <c r="M561" i="5" s="1"/>
  <c r="O561" i="5" s="1"/>
  <c r="I557" i="5"/>
  <c r="I553" i="5"/>
  <c r="I549" i="5"/>
  <c r="M549" i="5" s="1"/>
  <c r="N549" i="5" s="1"/>
  <c r="I545" i="5"/>
  <c r="M545" i="5" s="1"/>
  <c r="I541" i="5"/>
  <c r="I537" i="5"/>
  <c r="I533" i="5"/>
  <c r="M533" i="5" s="1"/>
  <c r="I529" i="5"/>
  <c r="M529" i="5" s="1"/>
  <c r="I525" i="5"/>
  <c r="I521" i="5"/>
  <c r="I517" i="5"/>
  <c r="M517" i="5" s="1"/>
  <c r="O517" i="5" s="1"/>
  <c r="I513" i="5"/>
  <c r="M513" i="5" s="1"/>
  <c r="N513" i="5" s="1"/>
  <c r="I497" i="5"/>
  <c r="I481" i="5"/>
  <c r="I465" i="5"/>
  <c r="M465" i="5" s="1"/>
  <c r="I449" i="5"/>
  <c r="I433" i="5"/>
  <c r="I417" i="5"/>
  <c r="M417" i="5" s="1"/>
  <c r="I401" i="5"/>
  <c r="M401" i="5" s="1"/>
  <c r="I385" i="5"/>
  <c r="M385" i="5" s="1"/>
  <c r="N385" i="5" s="1"/>
  <c r="I369" i="5"/>
  <c r="I353" i="5"/>
  <c r="I511" i="5"/>
  <c r="M511" i="5" s="1"/>
  <c r="I501" i="5"/>
  <c r="I485" i="5"/>
  <c r="I469" i="5"/>
  <c r="I453" i="5"/>
  <c r="I437" i="5"/>
  <c r="M437" i="5" s="1"/>
  <c r="O437" i="5" s="1"/>
  <c r="I421" i="5"/>
  <c r="I405" i="5"/>
  <c r="I389" i="5"/>
  <c r="M389" i="5" s="1"/>
  <c r="I373" i="5"/>
  <c r="I357" i="5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301" i="10"/>
  <c r="P302" i="10"/>
  <c r="P303" i="10"/>
  <c r="P304" i="10"/>
  <c r="P305" i="10"/>
  <c r="G11" i="13" l="1"/>
  <c r="F11" i="13"/>
  <c r="G12" i="13"/>
  <c r="F12" i="13"/>
  <c r="Y13" i="19"/>
  <c r="N13" i="19"/>
  <c r="U13" i="19"/>
  <c r="X13" i="19"/>
  <c r="Q13" i="19"/>
  <c r="O13" i="19"/>
  <c r="T13" i="19"/>
  <c r="R13" i="19"/>
  <c r="Z13" i="19"/>
  <c r="V13" i="19"/>
  <c r="P13" i="19"/>
  <c r="S13" i="19"/>
  <c r="W13" i="19"/>
  <c r="M14" i="19"/>
  <c r="N457" i="5"/>
  <c r="O457" i="5"/>
  <c r="N463" i="5"/>
  <c r="O399" i="5"/>
  <c r="O555" i="5"/>
  <c r="N517" i="5"/>
  <c r="O477" i="5"/>
  <c r="N619" i="5"/>
  <c r="M405" i="5"/>
  <c r="M481" i="5"/>
  <c r="M569" i="5"/>
  <c r="M601" i="5"/>
  <c r="M633" i="5"/>
  <c r="M503" i="5"/>
  <c r="M471" i="5"/>
  <c r="M439" i="5"/>
  <c r="O377" i="5"/>
  <c r="O473" i="5"/>
  <c r="O577" i="5"/>
  <c r="O395" i="5"/>
  <c r="O611" i="5"/>
  <c r="O625" i="5"/>
  <c r="O389" i="5"/>
  <c r="N389" i="5"/>
  <c r="N465" i="5"/>
  <c r="O465" i="5"/>
  <c r="N565" i="5"/>
  <c r="O565" i="5"/>
  <c r="N629" i="5"/>
  <c r="O629" i="5"/>
  <c r="N363" i="5"/>
  <c r="O363" i="5"/>
  <c r="O587" i="5"/>
  <c r="N587" i="5"/>
  <c r="M353" i="5"/>
  <c r="M537" i="5"/>
  <c r="M407" i="5"/>
  <c r="M375" i="5"/>
  <c r="M343" i="5"/>
  <c r="N603" i="5"/>
  <c r="O603" i="5"/>
  <c r="M421" i="5"/>
  <c r="M369" i="5"/>
  <c r="M497" i="5"/>
  <c r="M541" i="5"/>
  <c r="M573" i="5"/>
  <c r="M605" i="5"/>
  <c r="M637" i="5"/>
  <c r="O429" i="5"/>
  <c r="N429" i="5"/>
  <c r="M483" i="5"/>
  <c r="M451" i="5"/>
  <c r="M419" i="5"/>
  <c r="M387" i="5"/>
  <c r="M355" i="5"/>
  <c r="O385" i="5"/>
  <c r="O641" i="5"/>
  <c r="O360" i="5"/>
  <c r="N360" i="5"/>
  <c r="O600" i="5"/>
  <c r="N600" i="5"/>
  <c r="N561" i="5"/>
  <c r="O549" i="5"/>
  <c r="N554" i="5"/>
  <c r="O647" i="5"/>
  <c r="N647" i="5"/>
  <c r="N409" i="5"/>
  <c r="O393" i="5"/>
  <c r="O505" i="5"/>
  <c r="O627" i="5"/>
  <c r="N631" i="5"/>
  <c r="O631" i="5"/>
  <c r="N646" i="5"/>
  <c r="N597" i="5"/>
  <c r="N636" i="5"/>
  <c r="O636" i="5"/>
  <c r="O513" i="5"/>
  <c r="O372" i="5"/>
  <c r="N612" i="5"/>
  <c r="O349" i="5"/>
  <c r="O613" i="5"/>
  <c r="O452" i="5"/>
  <c r="N452" i="5"/>
  <c r="N427" i="5"/>
  <c r="O533" i="5"/>
  <c r="N533" i="5"/>
  <c r="M453" i="5"/>
  <c r="O401" i="5"/>
  <c r="N401" i="5"/>
  <c r="O581" i="5"/>
  <c r="N581" i="5"/>
  <c r="O645" i="5"/>
  <c r="N645" i="5"/>
  <c r="O461" i="5"/>
  <c r="N461" i="5"/>
  <c r="O507" i="5"/>
  <c r="N507" i="5"/>
  <c r="M475" i="5"/>
  <c r="M443" i="5"/>
  <c r="M411" i="5"/>
  <c r="M379" i="5"/>
  <c r="M347" i="5"/>
  <c r="N523" i="5"/>
  <c r="O523" i="5"/>
  <c r="N620" i="5"/>
  <c r="N511" i="5"/>
  <c r="O511" i="5"/>
  <c r="O397" i="5"/>
  <c r="N397" i="5"/>
  <c r="O459" i="5"/>
  <c r="N459" i="5"/>
  <c r="M469" i="5"/>
  <c r="M521" i="5"/>
  <c r="M585" i="5"/>
  <c r="M487" i="5"/>
  <c r="O441" i="5"/>
  <c r="O539" i="5"/>
  <c r="N437" i="5"/>
  <c r="O413" i="5"/>
  <c r="O474" i="5"/>
  <c r="N545" i="5"/>
  <c r="O545" i="5"/>
  <c r="N609" i="5"/>
  <c r="O609" i="5"/>
  <c r="O509" i="5"/>
  <c r="N509" i="5"/>
  <c r="O495" i="5"/>
  <c r="N495" i="5"/>
  <c r="O489" i="5"/>
  <c r="N489" i="5"/>
  <c r="O431" i="5"/>
  <c r="N431" i="5"/>
  <c r="O425" i="5"/>
  <c r="N425" i="5"/>
  <c r="N367" i="5"/>
  <c r="O367" i="5"/>
  <c r="O361" i="5"/>
  <c r="N361" i="5"/>
  <c r="N643" i="5"/>
  <c r="O643" i="5"/>
  <c r="O515" i="5"/>
  <c r="N515" i="5"/>
  <c r="O635" i="5"/>
  <c r="N635" i="5"/>
  <c r="O417" i="5"/>
  <c r="N417" i="5"/>
  <c r="M553" i="5"/>
  <c r="M617" i="5"/>
  <c r="M455" i="5"/>
  <c r="M423" i="5"/>
  <c r="M391" i="5"/>
  <c r="M359" i="5"/>
  <c r="M357" i="5"/>
  <c r="M485" i="5"/>
  <c r="M433" i="5"/>
  <c r="M525" i="5"/>
  <c r="M557" i="5"/>
  <c r="M589" i="5"/>
  <c r="M621" i="5"/>
  <c r="O365" i="5"/>
  <c r="N365" i="5"/>
  <c r="M499" i="5"/>
  <c r="M467" i="5"/>
  <c r="M435" i="5"/>
  <c r="M403" i="5"/>
  <c r="M371" i="5"/>
  <c r="O595" i="5"/>
  <c r="N595" i="5"/>
  <c r="M373" i="5"/>
  <c r="M501" i="5"/>
  <c r="M449" i="5"/>
  <c r="N529" i="5"/>
  <c r="O529" i="5"/>
  <c r="N593" i="5"/>
  <c r="O593" i="5"/>
  <c r="M381" i="5"/>
  <c r="M479" i="5"/>
  <c r="M447" i="5"/>
  <c r="M415" i="5"/>
  <c r="M383" i="5"/>
  <c r="M351" i="5"/>
  <c r="O579" i="5"/>
  <c r="N579" i="5"/>
  <c r="N571" i="5"/>
  <c r="O571" i="5"/>
  <c r="O345" i="5"/>
  <c r="O547" i="5"/>
  <c r="N445" i="5"/>
  <c r="O392" i="5"/>
  <c r="O576" i="5"/>
  <c r="N576" i="5"/>
  <c r="N531" i="5"/>
  <c r="O448" i="5"/>
  <c r="O466" i="5"/>
  <c r="N632" i="5"/>
  <c r="N648" i="5"/>
  <c r="O354" i="5"/>
  <c r="O546" i="5"/>
  <c r="O665" i="5"/>
  <c r="O662" i="5"/>
  <c r="N434" i="5"/>
  <c r="O538" i="5"/>
  <c r="AC98" i="16"/>
  <c r="T98" i="16" s="1"/>
  <c r="AC27" i="16"/>
  <c r="AC38" i="16"/>
  <c r="AC45" i="16"/>
  <c r="AC9" i="16"/>
  <c r="AC88" i="16"/>
  <c r="T88" i="16" s="1"/>
  <c r="AC56" i="16"/>
  <c r="AC75" i="16"/>
  <c r="AC76" i="16"/>
  <c r="AC62" i="16"/>
  <c r="AC140" i="16"/>
  <c r="T140" i="16" s="1"/>
  <c r="N493" i="5"/>
  <c r="O493" i="5"/>
  <c r="N491" i="5"/>
  <c r="O491" i="5"/>
  <c r="O563" i="5"/>
  <c r="AC81" i="16"/>
  <c r="AC138" i="16"/>
  <c r="AC147" i="16"/>
  <c r="AC104" i="16"/>
  <c r="T104" i="16" s="1"/>
  <c r="AC139" i="16"/>
  <c r="T139" i="16" s="1"/>
  <c r="AC16" i="16"/>
  <c r="AC155" i="16"/>
  <c r="AC154" i="16"/>
  <c r="T154" i="16" s="1"/>
  <c r="AC59" i="16"/>
  <c r="AC34" i="16"/>
  <c r="AC44" i="16"/>
  <c r="AC127" i="16"/>
  <c r="T127" i="16" s="1"/>
  <c r="AC122" i="16"/>
  <c r="T122" i="16" s="1"/>
  <c r="AC94" i="16"/>
  <c r="T94" i="16" s="1"/>
  <c r="R140" i="16"/>
  <c r="AC18" i="16"/>
  <c r="AC125" i="16"/>
  <c r="AC114" i="16"/>
  <c r="T114" i="16" s="1"/>
  <c r="AC6" i="16"/>
  <c r="AC8" i="16"/>
  <c r="AC85" i="16"/>
  <c r="AC106" i="16"/>
  <c r="T106" i="16" s="1"/>
  <c r="AC14" i="16"/>
  <c r="AC87" i="16"/>
  <c r="AC39" i="16"/>
  <c r="AC54" i="16"/>
  <c r="AC30" i="16"/>
  <c r="AC35" i="16"/>
  <c r="AC69" i="16"/>
  <c r="AC4" i="16"/>
  <c r="R98" i="16"/>
  <c r="AC133" i="16"/>
  <c r="AC82" i="16"/>
  <c r="S106" i="16"/>
  <c r="AC67" i="16"/>
  <c r="AC131" i="16"/>
  <c r="AC26" i="16"/>
  <c r="AC63" i="16"/>
  <c r="AC83" i="16"/>
  <c r="AC156" i="16"/>
  <c r="AC36" i="16"/>
  <c r="AC49" i="16"/>
  <c r="AC92" i="16"/>
  <c r="AC107" i="16"/>
  <c r="T107" i="16" s="1"/>
  <c r="AC126" i="16"/>
  <c r="T126" i="16" s="1"/>
  <c r="AC43" i="16"/>
  <c r="AC141" i="16"/>
  <c r="AC110" i="16"/>
  <c r="T110" i="16" s="1"/>
  <c r="AC5" i="16"/>
  <c r="S111" i="16"/>
  <c r="S155" i="16"/>
  <c r="AC96" i="16"/>
  <c r="T96" i="16" s="1"/>
  <c r="S154" i="16"/>
  <c r="AC118" i="16"/>
  <c r="AC37" i="16"/>
  <c r="AC22" i="16"/>
  <c r="AC144" i="16"/>
  <c r="AC137" i="16"/>
  <c r="AC65" i="16"/>
  <c r="S126" i="16"/>
  <c r="S110" i="16"/>
  <c r="AC50" i="16"/>
  <c r="AC93" i="16"/>
  <c r="AC129" i="16"/>
  <c r="AC132" i="16"/>
  <c r="R132" i="16"/>
  <c r="R154" i="16"/>
  <c r="R126" i="16"/>
  <c r="S108" i="16"/>
  <c r="AC148" i="16"/>
  <c r="R148" i="16"/>
  <c r="S89" i="16"/>
  <c r="R103" i="16"/>
  <c r="AC103" i="16"/>
  <c r="AC91" i="16"/>
  <c r="R91" i="16"/>
  <c r="AC151" i="16"/>
  <c r="S121" i="16"/>
  <c r="AC101" i="16"/>
  <c r="R101" i="16"/>
  <c r="S135" i="16"/>
  <c r="AC79" i="16"/>
  <c r="AC61" i="16"/>
  <c r="R150" i="16"/>
  <c r="S112" i="16"/>
  <c r="AC66" i="16"/>
  <c r="AC113" i="16"/>
  <c r="R113" i="16"/>
  <c r="S115" i="16"/>
  <c r="AC130" i="16"/>
  <c r="AC77" i="16"/>
  <c r="R18" i="16"/>
  <c r="R104" i="16"/>
  <c r="AC111" i="16"/>
  <c r="R111" i="16"/>
  <c r="AC70" i="16"/>
  <c r="AC40" i="16"/>
  <c r="R88" i="16"/>
  <c r="R2" i="16"/>
  <c r="AC2" i="16"/>
  <c r="AC24" i="16"/>
  <c r="AC33" i="16"/>
  <c r="AC23" i="16"/>
  <c r="AC120" i="16"/>
  <c r="AC89" i="16"/>
  <c r="R89" i="16"/>
  <c r="S97" i="16"/>
  <c r="AC105" i="16"/>
  <c r="R105" i="16"/>
  <c r="S149" i="16"/>
  <c r="AC19" i="16"/>
  <c r="R19" i="16"/>
  <c r="R121" i="16"/>
  <c r="AC121" i="16"/>
  <c r="S116" i="16"/>
  <c r="R135" i="16"/>
  <c r="AC135" i="16"/>
  <c r="AC57" i="16"/>
  <c r="R32" i="16"/>
  <c r="AC32" i="16"/>
  <c r="AC124" i="16"/>
  <c r="R124" i="16"/>
  <c r="AC112" i="16"/>
  <c r="R112" i="16"/>
  <c r="S90" i="16"/>
  <c r="AC11" i="16"/>
  <c r="R11" i="16"/>
  <c r="S153" i="16"/>
  <c r="R115" i="16"/>
  <c r="AC115" i="16"/>
  <c r="AC80" i="16"/>
  <c r="AC48" i="16"/>
  <c r="AC128" i="16"/>
  <c r="R114" i="16"/>
  <c r="AC117" i="16"/>
  <c r="R117" i="16"/>
  <c r="AC102" i="16"/>
  <c r="R102" i="16"/>
  <c r="AC60" i="16"/>
  <c r="AC29" i="16"/>
  <c r="R107" i="16"/>
  <c r="S122" i="16"/>
  <c r="S17" i="16"/>
  <c r="AC72" i="16"/>
  <c r="AC7" i="16"/>
  <c r="AC143" i="16"/>
  <c r="AC134" i="16"/>
  <c r="R97" i="16"/>
  <c r="AC97" i="16"/>
  <c r="R149" i="16"/>
  <c r="AC149" i="16"/>
  <c r="S95" i="16"/>
  <c r="R136" i="16"/>
  <c r="AC136" i="16"/>
  <c r="AC116" i="16"/>
  <c r="R116" i="16"/>
  <c r="S142" i="16"/>
  <c r="AC52" i="16"/>
  <c r="AC73" i="16"/>
  <c r="AC42" i="16"/>
  <c r="AC99" i="16"/>
  <c r="R99" i="16"/>
  <c r="R137" i="16"/>
  <c r="AC90" i="16"/>
  <c r="R90" i="16"/>
  <c r="S123" i="16"/>
  <c r="AC153" i="16"/>
  <c r="R153" i="16"/>
  <c r="S21" i="16"/>
  <c r="AC146" i="16"/>
  <c r="R146" i="16"/>
  <c r="AC74" i="16"/>
  <c r="AC53" i="16"/>
  <c r="S114" i="16"/>
  <c r="R147" i="16"/>
  <c r="R139" i="16"/>
  <c r="AC152" i="16"/>
  <c r="R152" i="16"/>
  <c r="AC119" i="16"/>
  <c r="R119" i="16"/>
  <c r="AC84" i="16"/>
  <c r="AC47" i="16"/>
  <c r="AC28" i="16"/>
  <c r="S96" i="16"/>
  <c r="AC10" i="16"/>
  <c r="AC17" i="16"/>
  <c r="S12" i="16"/>
  <c r="AC64" i="16"/>
  <c r="AC3" i="16"/>
  <c r="AC71" i="16"/>
  <c r="R93" i="16"/>
  <c r="AC109" i="16"/>
  <c r="R109" i="16"/>
  <c r="S103" i="16"/>
  <c r="AC95" i="16"/>
  <c r="R95" i="16"/>
  <c r="S91" i="16"/>
  <c r="AC20" i="16"/>
  <c r="R20" i="16"/>
  <c r="S151" i="16"/>
  <c r="AC142" i="16"/>
  <c r="R142" i="16"/>
  <c r="S101" i="16"/>
  <c r="AC86" i="16"/>
  <c r="AC51" i="16"/>
  <c r="R51" i="16"/>
  <c r="AC145" i="16"/>
  <c r="AC150" i="16"/>
  <c r="S150" i="16"/>
  <c r="AC108" i="16"/>
  <c r="R108" i="16"/>
  <c r="AC123" i="16"/>
  <c r="R123" i="16"/>
  <c r="AC21" i="16"/>
  <c r="S113" i="16"/>
  <c r="R100" i="16"/>
  <c r="AC100" i="16"/>
  <c r="AC78" i="16"/>
  <c r="S147" i="16"/>
  <c r="R131" i="16"/>
  <c r="R94" i="16"/>
  <c r="AC157" i="16"/>
  <c r="R157" i="16"/>
  <c r="AC55" i="16"/>
  <c r="AC68" i="16"/>
  <c r="AC46" i="16"/>
  <c r="AC31" i="16"/>
  <c r="R110" i="16"/>
  <c r="R15" i="16"/>
  <c r="AC15" i="16"/>
  <c r="AC12" i="16"/>
  <c r="AC58" i="16"/>
  <c r="R5" i="16"/>
  <c r="S3" i="16"/>
  <c r="R13" i="16"/>
  <c r="AC13" i="16"/>
  <c r="AC41" i="16"/>
  <c r="AC25" i="16"/>
  <c r="T147" i="16"/>
  <c r="J5" i="15"/>
  <c r="E14" i="15"/>
  <c r="D14" i="15"/>
  <c r="C14" i="15"/>
  <c r="E13" i="15"/>
  <c r="D13" i="15"/>
  <c r="C13" i="15"/>
  <c r="E12" i="15"/>
  <c r="D12" i="15"/>
  <c r="C12" i="15"/>
  <c r="E11" i="15"/>
  <c r="D11" i="15"/>
  <c r="C11" i="15"/>
  <c r="E10" i="15"/>
  <c r="D10" i="15"/>
  <c r="E9" i="15"/>
  <c r="D9" i="15"/>
  <c r="C9" i="15"/>
  <c r="E8" i="15"/>
  <c r="D8" i="15"/>
  <c r="C8" i="15"/>
  <c r="E7" i="15"/>
  <c r="D7" i="15"/>
  <c r="C7" i="15"/>
  <c r="E6" i="15"/>
  <c r="D6" i="15"/>
  <c r="C6" i="15"/>
  <c r="E5" i="15"/>
  <c r="D5" i="15"/>
  <c r="C5" i="15"/>
  <c r="E4" i="15"/>
  <c r="D4" i="15"/>
  <c r="C4" i="15"/>
  <c r="G16" i="15"/>
  <c r="E16" i="15"/>
  <c r="D16" i="15"/>
  <c r="C16" i="15"/>
  <c r="B16" i="15"/>
  <c r="F16" i="15" s="1"/>
  <c r="J13" i="15"/>
  <c r="J12" i="15"/>
  <c r="J10" i="15"/>
  <c r="J9" i="15"/>
  <c r="J8" i="15"/>
  <c r="J7" i="15"/>
  <c r="J6" i="15"/>
  <c r="J4" i="15"/>
  <c r="G3" i="15"/>
  <c r="E3" i="15"/>
  <c r="D3" i="15"/>
  <c r="C3" i="15"/>
  <c r="B3" i="15"/>
  <c r="F3" i="15" s="1"/>
  <c r="G2" i="15"/>
  <c r="E2" i="15"/>
  <c r="D2" i="15"/>
  <c r="C2" i="15"/>
  <c r="B2" i="15"/>
  <c r="F2" i="15" s="1"/>
  <c r="T304" i="14"/>
  <c r="S304" i="14"/>
  <c r="Q304" i="14"/>
  <c r="O304" i="14"/>
  <c r="N304" i="14"/>
  <c r="T303" i="14"/>
  <c r="S303" i="14"/>
  <c r="O303" i="14"/>
  <c r="N303" i="14"/>
  <c r="T302" i="14"/>
  <c r="S302" i="14"/>
  <c r="O302" i="14"/>
  <c r="N302" i="14"/>
  <c r="T301" i="14"/>
  <c r="S301" i="14"/>
  <c r="O301" i="14"/>
  <c r="N301" i="14"/>
  <c r="T300" i="14"/>
  <c r="S300" i="14"/>
  <c r="O300" i="14"/>
  <c r="N300" i="14"/>
  <c r="Q300" i="14" s="1"/>
  <c r="T299" i="14"/>
  <c r="S299" i="14"/>
  <c r="O299" i="14"/>
  <c r="N299" i="14"/>
  <c r="T298" i="14"/>
  <c r="S298" i="14"/>
  <c r="O298" i="14"/>
  <c r="N298" i="14"/>
  <c r="T297" i="14"/>
  <c r="S297" i="14"/>
  <c r="O297" i="14"/>
  <c r="N297" i="14"/>
  <c r="T296" i="14"/>
  <c r="S296" i="14"/>
  <c r="O296" i="14"/>
  <c r="N296" i="14"/>
  <c r="T295" i="14"/>
  <c r="S295" i="14"/>
  <c r="O295" i="14"/>
  <c r="N295" i="14"/>
  <c r="T294" i="14"/>
  <c r="S294" i="14"/>
  <c r="O294" i="14"/>
  <c r="N294" i="14"/>
  <c r="T293" i="14"/>
  <c r="S293" i="14"/>
  <c r="O293" i="14"/>
  <c r="N293" i="14"/>
  <c r="T292" i="14"/>
  <c r="S292" i="14"/>
  <c r="O292" i="14"/>
  <c r="N292" i="14"/>
  <c r="T291" i="14"/>
  <c r="S291" i="14"/>
  <c r="O291" i="14"/>
  <c r="N291" i="14"/>
  <c r="T290" i="14"/>
  <c r="S290" i="14"/>
  <c r="O290" i="14"/>
  <c r="N290" i="14"/>
  <c r="T289" i="14"/>
  <c r="S289" i="14"/>
  <c r="O289" i="14"/>
  <c r="N289" i="14"/>
  <c r="T288" i="14"/>
  <c r="S288" i="14"/>
  <c r="Q288" i="14"/>
  <c r="O288" i="14"/>
  <c r="N288" i="14"/>
  <c r="T287" i="14"/>
  <c r="S287" i="14"/>
  <c r="O287" i="14"/>
  <c r="N287" i="14"/>
  <c r="T286" i="14"/>
  <c r="S286" i="14"/>
  <c r="O286" i="14"/>
  <c r="N286" i="14"/>
  <c r="T285" i="14"/>
  <c r="S285" i="14"/>
  <c r="O285" i="14"/>
  <c r="N285" i="14"/>
  <c r="T284" i="14"/>
  <c r="S284" i="14"/>
  <c r="O284" i="14"/>
  <c r="N284" i="14"/>
  <c r="Q284" i="14" s="1"/>
  <c r="T283" i="14"/>
  <c r="S283" i="14"/>
  <c r="O283" i="14"/>
  <c r="N283" i="14"/>
  <c r="T282" i="14"/>
  <c r="S282" i="14"/>
  <c r="O282" i="14"/>
  <c r="N282" i="14"/>
  <c r="T281" i="14"/>
  <c r="S281" i="14"/>
  <c r="O281" i="14"/>
  <c r="N281" i="14"/>
  <c r="T280" i="14"/>
  <c r="S280" i="14"/>
  <c r="O280" i="14"/>
  <c r="N280" i="14"/>
  <c r="Q280" i="14" s="1"/>
  <c r="T279" i="14"/>
  <c r="S279" i="14"/>
  <c r="O279" i="14"/>
  <c r="N279" i="14"/>
  <c r="T278" i="14"/>
  <c r="S278" i="14"/>
  <c r="O278" i="14"/>
  <c r="N278" i="14"/>
  <c r="P278" i="14" s="1"/>
  <c r="T277" i="14"/>
  <c r="S277" i="14"/>
  <c r="O277" i="14"/>
  <c r="N277" i="14"/>
  <c r="T276" i="14"/>
  <c r="S276" i="14"/>
  <c r="O276" i="14"/>
  <c r="N276" i="14"/>
  <c r="T275" i="14"/>
  <c r="S275" i="14"/>
  <c r="P275" i="14"/>
  <c r="O275" i="14"/>
  <c r="N275" i="14"/>
  <c r="T274" i="14"/>
  <c r="S274" i="14"/>
  <c r="O274" i="14"/>
  <c r="N274" i="14"/>
  <c r="T273" i="14"/>
  <c r="S273" i="14"/>
  <c r="O273" i="14"/>
  <c r="N273" i="14"/>
  <c r="T272" i="14"/>
  <c r="S272" i="14"/>
  <c r="P272" i="14"/>
  <c r="O272" i="14"/>
  <c r="N272" i="14"/>
  <c r="T271" i="14"/>
  <c r="S271" i="14"/>
  <c r="O271" i="14"/>
  <c r="N271" i="14"/>
  <c r="T270" i="14"/>
  <c r="S270" i="14"/>
  <c r="O270" i="14"/>
  <c r="N270" i="14"/>
  <c r="T269" i="14"/>
  <c r="S269" i="14"/>
  <c r="O269" i="14"/>
  <c r="N269" i="14"/>
  <c r="T268" i="14"/>
  <c r="S268" i="14"/>
  <c r="O268" i="14"/>
  <c r="N268" i="14"/>
  <c r="T267" i="14"/>
  <c r="S267" i="14"/>
  <c r="O267" i="14"/>
  <c r="N267" i="14"/>
  <c r="T266" i="14"/>
  <c r="S266" i="14"/>
  <c r="O266" i="14"/>
  <c r="N266" i="14"/>
  <c r="T265" i="14"/>
  <c r="S265" i="14"/>
  <c r="O265" i="14"/>
  <c r="N265" i="14"/>
  <c r="T264" i="14"/>
  <c r="S264" i="14"/>
  <c r="O264" i="14"/>
  <c r="N264" i="14"/>
  <c r="T263" i="14"/>
  <c r="S263" i="14"/>
  <c r="P263" i="14"/>
  <c r="O263" i="14"/>
  <c r="N263" i="14"/>
  <c r="T262" i="14"/>
  <c r="S262" i="14"/>
  <c r="O262" i="14"/>
  <c r="N262" i="14"/>
  <c r="T261" i="14"/>
  <c r="S261" i="14"/>
  <c r="O261" i="14"/>
  <c r="N261" i="14"/>
  <c r="T260" i="14"/>
  <c r="S260" i="14"/>
  <c r="O260" i="14"/>
  <c r="N260" i="14"/>
  <c r="T259" i="14"/>
  <c r="S259" i="14"/>
  <c r="O259" i="14"/>
  <c r="N259" i="14"/>
  <c r="Q259" i="14" s="1"/>
  <c r="T258" i="14"/>
  <c r="S258" i="14"/>
  <c r="O258" i="14"/>
  <c r="N258" i="14"/>
  <c r="T257" i="14"/>
  <c r="S257" i="14"/>
  <c r="O257" i="14"/>
  <c r="N257" i="14"/>
  <c r="R257" i="14" s="1"/>
  <c r="T256" i="14"/>
  <c r="S256" i="14"/>
  <c r="O256" i="14"/>
  <c r="N256" i="14"/>
  <c r="T255" i="14"/>
  <c r="S255" i="14"/>
  <c r="O255" i="14"/>
  <c r="N255" i="14"/>
  <c r="T254" i="14"/>
  <c r="S254" i="14"/>
  <c r="O254" i="14"/>
  <c r="N254" i="14"/>
  <c r="T253" i="14"/>
  <c r="S253" i="14"/>
  <c r="O253" i="14"/>
  <c r="N253" i="14"/>
  <c r="Q253" i="14" s="1"/>
  <c r="T252" i="14"/>
  <c r="S252" i="14"/>
  <c r="O252" i="14"/>
  <c r="N252" i="14"/>
  <c r="T251" i="14"/>
  <c r="S251" i="14"/>
  <c r="O251" i="14"/>
  <c r="N251" i="14"/>
  <c r="T250" i="14"/>
  <c r="S250" i="14"/>
  <c r="R250" i="14"/>
  <c r="O250" i="14"/>
  <c r="N250" i="14"/>
  <c r="T249" i="14"/>
  <c r="S249" i="14"/>
  <c r="O249" i="14"/>
  <c r="N249" i="14"/>
  <c r="T248" i="14"/>
  <c r="S248" i="14"/>
  <c r="O248" i="14"/>
  <c r="N248" i="14"/>
  <c r="T247" i="14"/>
  <c r="S247" i="14"/>
  <c r="O247" i="14"/>
  <c r="N247" i="14"/>
  <c r="T246" i="14"/>
  <c r="S246" i="14"/>
  <c r="O246" i="14"/>
  <c r="N246" i="14"/>
  <c r="T245" i="14"/>
  <c r="S245" i="14"/>
  <c r="P245" i="14"/>
  <c r="O245" i="14"/>
  <c r="N245" i="14"/>
  <c r="T244" i="14"/>
  <c r="S244" i="14"/>
  <c r="O244" i="14"/>
  <c r="N244" i="14"/>
  <c r="T243" i="14"/>
  <c r="S243" i="14"/>
  <c r="O243" i="14"/>
  <c r="N243" i="14"/>
  <c r="T242" i="14"/>
  <c r="S242" i="14"/>
  <c r="O242" i="14"/>
  <c r="N242" i="14"/>
  <c r="T241" i="14"/>
  <c r="S241" i="14"/>
  <c r="O241" i="14"/>
  <c r="N241" i="14"/>
  <c r="T240" i="14"/>
  <c r="S240" i="14"/>
  <c r="O240" i="14"/>
  <c r="N240" i="14"/>
  <c r="T239" i="14"/>
  <c r="S239" i="14"/>
  <c r="O239" i="14"/>
  <c r="N239" i="14"/>
  <c r="T238" i="14"/>
  <c r="S238" i="14"/>
  <c r="O238" i="14"/>
  <c r="N238" i="14"/>
  <c r="T237" i="14"/>
  <c r="S237" i="14"/>
  <c r="O237" i="14"/>
  <c r="N237" i="14"/>
  <c r="T236" i="14"/>
  <c r="S236" i="14"/>
  <c r="O236" i="14"/>
  <c r="N236" i="14"/>
  <c r="T235" i="14"/>
  <c r="S235" i="14"/>
  <c r="O235" i="14"/>
  <c r="N235" i="14"/>
  <c r="T234" i="14"/>
  <c r="S234" i="14"/>
  <c r="O234" i="14"/>
  <c r="N234" i="14"/>
  <c r="T233" i="14"/>
  <c r="S233" i="14"/>
  <c r="O233" i="14"/>
  <c r="N233" i="14"/>
  <c r="T232" i="14"/>
  <c r="S232" i="14"/>
  <c r="O232" i="14"/>
  <c r="N232" i="14"/>
  <c r="T231" i="14"/>
  <c r="S231" i="14"/>
  <c r="O231" i="14"/>
  <c r="N231" i="14"/>
  <c r="T230" i="14"/>
  <c r="S230" i="14"/>
  <c r="O230" i="14"/>
  <c r="R230" i="14" s="1"/>
  <c r="N230" i="14"/>
  <c r="T229" i="14"/>
  <c r="S229" i="14"/>
  <c r="O229" i="14"/>
  <c r="N229" i="14"/>
  <c r="P229" i="14" s="1"/>
  <c r="T228" i="14"/>
  <c r="S228" i="14"/>
  <c r="O228" i="14"/>
  <c r="N228" i="14"/>
  <c r="T227" i="14"/>
  <c r="S227" i="14"/>
  <c r="O227" i="14"/>
  <c r="N227" i="14"/>
  <c r="T226" i="14"/>
  <c r="S226" i="14"/>
  <c r="O226" i="14"/>
  <c r="N226" i="14"/>
  <c r="T225" i="14"/>
  <c r="S225" i="14"/>
  <c r="O225" i="14"/>
  <c r="N225" i="14"/>
  <c r="T224" i="14"/>
  <c r="S224" i="14"/>
  <c r="O224" i="14"/>
  <c r="N224" i="14"/>
  <c r="T223" i="14"/>
  <c r="S223" i="14"/>
  <c r="O223" i="14"/>
  <c r="N223" i="14"/>
  <c r="T222" i="14"/>
  <c r="S222" i="14"/>
  <c r="O222" i="14"/>
  <c r="N222" i="14"/>
  <c r="T221" i="14"/>
  <c r="S221" i="14"/>
  <c r="O221" i="14"/>
  <c r="N221" i="14"/>
  <c r="T220" i="14"/>
  <c r="S220" i="14"/>
  <c r="O220" i="14"/>
  <c r="N220" i="14"/>
  <c r="Q220" i="14" s="1"/>
  <c r="T219" i="14"/>
  <c r="S219" i="14"/>
  <c r="O219" i="14"/>
  <c r="N219" i="14"/>
  <c r="T218" i="14"/>
  <c r="S218" i="14"/>
  <c r="O218" i="14"/>
  <c r="N218" i="14"/>
  <c r="T217" i="14"/>
  <c r="S217" i="14"/>
  <c r="O217" i="14"/>
  <c r="N217" i="14"/>
  <c r="T216" i="14"/>
  <c r="S216" i="14"/>
  <c r="O216" i="14"/>
  <c r="N216" i="14"/>
  <c r="T215" i="14"/>
  <c r="S215" i="14"/>
  <c r="O215" i="14"/>
  <c r="N215" i="14"/>
  <c r="T214" i="14"/>
  <c r="S214" i="14"/>
  <c r="O214" i="14"/>
  <c r="N214" i="14"/>
  <c r="T213" i="14"/>
  <c r="S213" i="14"/>
  <c r="O213" i="14"/>
  <c r="N213" i="14"/>
  <c r="T212" i="14"/>
  <c r="S212" i="14"/>
  <c r="O212" i="14"/>
  <c r="N212" i="14"/>
  <c r="Q212" i="14" s="1"/>
  <c r="T211" i="14"/>
  <c r="S211" i="14"/>
  <c r="O211" i="14"/>
  <c r="N211" i="14"/>
  <c r="T210" i="14"/>
  <c r="S210" i="14"/>
  <c r="O210" i="14"/>
  <c r="N210" i="14"/>
  <c r="T209" i="14"/>
  <c r="S209" i="14"/>
  <c r="O209" i="14"/>
  <c r="N209" i="14"/>
  <c r="T208" i="14"/>
  <c r="S208" i="14"/>
  <c r="O208" i="14"/>
  <c r="N208" i="14"/>
  <c r="T207" i="14"/>
  <c r="S207" i="14"/>
  <c r="O207" i="14"/>
  <c r="N207" i="14"/>
  <c r="T206" i="14"/>
  <c r="S206" i="14"/>
  <c r="O206" i="14"/>
  <c r="N206" i="14"/>
  <c r="R206" i="14" s="1"/>
  <c r="T205" i="14"/>
  <c r="S205" i="14"/>
  <c r="O205" i="14"/>
  <c r="N205" i="14"/>
  <c r="R205" i="14" s="1"/>
  <c r="T204" i="14"/>
  <c r="S204" i="14"/>
  <c r="O204" i="14"/>
  <c r="N204" i="14"/>
  <c r="T203" i="14"/>
  <c r="S203" i="14"/>
  <c r="O203" i="14"/>
  <c r="N203" i="14"/>
  <c r="T202" i="14"/>
  <c r="S202" i="14"/>
  <c r="O202" i="14"/>
  <c r="N202" i="14"/>
  <c r="T201" i="14"/>
  <c r="S201" i="14"/>
  <c r="O201" i="14"/>
  <c r="N201" i="14"/>
  <c r="T200" i="14"/>
  <c r="S200" i="14"/>
  <c r="O200" i="14"/>
  <c r="N200" i="14"/>
  <c r="T199" i="14"/>
  <c r="S199" i="14"/>
  <c r="O199" i="14"/>
  <c r="N199" i="14"/>
  <c r="T198" i="14"/>
  <c r="S198" i="14"/>
  <c r="O198" i="14"/>
  <c r="N198" i="14"/>
  <c r="T197" i="14"/>
  <c r="S197" i="14"/>
  <c r="O197" i="14"/>
  <c r="R197" i="14" s="1"/>
  <c r="N197" i="14"/>
  <c r="T196" i="14"/>
  <c r="S196" i="14"/>
  <c r="O196" i="14"/>
  <c r="N196" i="14"/>
  <c r="Q196" i="14" s="1"/>
  <c r="T195" i="14"/>
  <c r="S195" i="14"/>
  <c r="O195" i="14"/>
  <c r="N195" i="14"/>
  <c r="T194" i="14"/>
  <c r="S194" i="14"/>
  <c r="O194" i="14"/>
  <c r="N194" i="14"/>
  <c r="P194" i="14" s="1"/>
  <c r="T193" i="14"/>
  <c r="S193" i="14"/>
  <c r="O193" i="14"/>
  <c r="N193" i="14"/>
  <c r="T192" i="14"/>
  <c r="S192" i="14"/>
  <c r="O192" i="14"/>
  <c r="N192" i="14"/>
  <c r="T191" i="14"/>
  <c r="S191" i="14"/>
  <c r="O191" i="14"/>
  <c r="N191" i="14"/>
  <c r="T190" i="14"/>
  <c r="S190" i="14"/>
  <c r="O190" i="14"/>
  <c r="N190" i="14"/>
  <c r="T189" i="14"/>
  <c r="S189" i="14"/>
  <c r="O189" i="14"/>
  <c r="N189" i="14"/>
  <c r="T188" i="14"/>
  <c r="S188" i="14"/>
  <c r="O188" i="14"/>
  <c r="N188" i="14"/>
  <c r="T187" i="14"/>
  <c r="S187" i="14"/>
  <c r="O187" i="14"/>
  <c r="N187" i="14"/>
  <c r="T186" i="14"/>
  <c r="S186" i="14"/>
  <c r="O186" i="14"/>
  <c r="N186" i="14"/>
  <c r="Q186" i="14" s="1"/>
  <c r="T185" i="14"/>
  <c r="S185" i="14"/>
  <c r="O185" i="14"/>
  <c r="N185" i="14"/>
  <c r="T184" i="14"/>
  <c r="S184" i="14"/>
  <c r="O184" i="14"/>
  <c r="N184" i="14"/>
  <c r="T183" i="14"/>
  <c r="S183" i="14"/>
  <c r="O183" i="14"/>
  <c r="N183" i="14"/>
  <c r="T182" i="14"/>
  <c r="S182" i="14"/>
  <c r="O182" i="14"/>
  <c r="Q182" i="14" s="1"/>
  <c r="N182" i="14"/>
  <c r="T181" i="14"/>
  <c r="S181" i="14"/>
  <c r="O181" i="14"/>
  <c r="N181" i="14"/>
  <c r="T180" i="14"/>
  <c r="S180" i="14"/>
  <c r="O180" i="14"/>
  <c r="N180" i="14"/>
  <c r="T179" i="14"/>
  <c r="S179" i="14"/>
  <c r="O179" i="14"/>
  <c r="N179" i="14"/>
  <c r="T178" i="14"/>
  <c r="S178" i="14"/>
  <c r="O178" i="14"/>
  <c r="N178" i="14"/>
  <c r="T177" i="14"/>
  <c r="S177" i="14"/>
  <c r="O177" i="14"/>
  <c r="N177" i="14"/>
  <c r="T176" i="14"/>
  <c r="S176" i="14"/>
  <c r="O176" i="14"/>
  <c r="N176" i="14"/>
  <c r="T175" i="14"/>
  <c r="S175" i="14"/>
  <c r="O175" i="14"/>
  <c r="N175" i="14"/>
  <c r="T174" i="14"/>
  <c r="S174" i="14"/>
  <c r="O174" i="14"/>
  <c r="N174" i="14"/>
  <c r="T173" i="14"/>
  <c r="S173" i="14"/>
  <c r="O173" i="14"/>
  <c r="N173" i="14"/>
  <c r="T172" i="14"/>
  <c r="S172" i="14"/>
  <c r="O172" i="14"/>
  <c r="N172" i="14"/>
  <c r="T171" i="14"/>
  <c r="S171" i="14"/>
  <c r="O171" i="14"/>
  <c r="N171" i="14"/>
  <c r="T170" i="14"/>
  <c r="S170" i="14"/>
  <c r="Q170" i="14"/>
  <c r="O170" i="14"/>
  <c r="N170" i="14"/>
  <c r="P170" i="14" s="1"/>
  <c r="T169" i="14"/>
  <c r="S169" i="14"/>
  <c r="O169" i="14"/>
  <c r="N169" i="14"/>
  <c r="T168" i="14"/>
  <c r="S168" i="14"/>
  <c r="O168" i="14"/>
  <c r="N168" i="14"/>
  <c r="T167" i="14"/>
  <c r="S167" i="14"/>
  <c r="O167" i="14"/>
  <c r="N167" i="14"/>
  <c r="T166" i="14"/>
  <c r="S166" i="14"/>
  <c r="O166" i="14"/>
  <c r="N166" i="14"/>
  <c r="P166" i="14" s="1"/>
  <c r="T165" i="14"/>
  <c r="S165" i="14"/>
  <c r="O165" i="14"/>
  <c r="N165" i="14"/>
  <c r="T164" i="14"/>
  <c r="S164" i="14"/>
  <c r="O164" i="14"/>
  <c r="N164" i="14"/>
  <c r="T163" i="14"/>
  <c r="S163" i="14"/>
  <c r="O163" i="14"/>
  <c r="N163" i="14"/>
  <c r="T162" i="14"/>
  <c r="S162" i="14"/>
  <c r="O162" i="14"/>
  <c r="N162" i="14"/>
  <c r="R162" i="14" s="1"/>
  <c r="T161" i="14"/>
  <c r="S161" i="14"/>
  <c r="O161" i="14"/>
  <c r="Q161" i="14" s="1"/>
  <c r="N161" i="14"/>
  <c r="T160" i="14"/>
  <c r="S160" i="14"/>
  <c r="O160" i="14"/>
  <c r="N160" i="14"/>
  <c r="T159" i="14"/>
  <c r="S159" i="14"/>
  <c r="O159" i="14"/>
  <c r="Q159" i="14" s="1"/>
  <c r="N159" i="14"/>
  <c r="T158" i="14"/>
  <c r="S158" i="14"/>
  <c r="O158" i="14"/>
  <c r="N158" i="14"/>
  <c r="R158" i="14" s="1"/>
  <c r="T157" i="14"/>
  <c r="S157" i="14"/>
  <c r="O157" i="14"/>
  <c r="N157" i="14"/>
  <c r="T156" i="14"/>
  <c r="S156" i="14"/>
  <c r="O156" i="14"/>
  <c r="N156" i="14"/>
  <c r="T155" i="14"/>
  <c r="S155" i="14"/>
  <c r="O155" i="14"/>
  <c r="N155" i="14"/>
  <c r="T154" i="14"/>
  <c r="S154" i="14"/>
  <c r="O154" i="14"/>
  <c r="N154" i="14"/>
  <c r="T153" i="14"/>
  <c r="S153" i="14"/>
  <c r="O153" i="14"/>
  <c r="N153" i="14"/>
  <c r="T152" i="14"/>
  <c r="S152" i="14"/>
  <c r="O152" i="14"/>
  <c r="N152" i="14"/>
  <c r="T151" i="14"/>
  <c r="S151" i="14"/>
  <c r="O151" i="14"/>
  <c r="Q151" i="14" s="1"/>
  <c r="N151" i="14"/>
  <c r="T150" i="14"/>
  <c r="S150" i="14"/>
  <c r="O150" i="14"/>
  <c r="N150" i="14"/>
  <c r="T149" i="14"/>
  <c r="S149" i="14"/>
  <c r="O149" i="14"/>
  <c r="N149" i="14"/>
  <c r="T148" i="14"/>
  <c r="S148" i="14"/>
  <c r="O148" i="14"/>
  <c r="N148" i="14"/>
  <c r="T147" i="14"/>
  <c r="S147" i="14"/>
  <c r="O147" i="14"/>
  <c r="N147" i="14"/>
  <c r="P147" i="14" s="1"/>
  <c r="T146" i="14"/>
  <c r="S146" i="14"/>
  <c r="O146" i="14"/>
  <c r="N146" i="14"/>
  <c r="P146" i="14" s="1"/>
  <c r="T145" i="14"/>
  <c r="S145" i="14"/>
  <c r="O145" i="14"/>
  <c r="N145" i="14"/>
  <c r="T144" i="14"/>
  <c r="S144" i="14"/>
  <c r="O144" i="14"/>
  <c r="N144" i="14"/>
  <c r="T143" i="14"/>
  <c r="S143" i="14"/>
  <c r="O143" i="14"/>
  <c r="N143" i="14"/>
  <c r="P143" i="14" s="1"/>
  <c r="T142" i="14"/>
  <c r="S142" i="14"/>
  <c r="O142" i="14"/>
  <c r="N142" i="14"/>
  <c r="T141" i="14"/>
  <c r="S141" i="14"/>
  <c r="O141" i="14"/>
  <c r="P141" i="14" s="1"/>
  <c r="N141" i="14"/>
  <c r="T140" i="14"/>
  <c r="S140" i="14"/>
  <c r="O140" i="14"/>
  <c r="N140" i="14"/>
  <c r="T139" i="14"/>
  <c r="S139" i="14"/>
  <c r="O139" i="14"/>
  <c r="P139" i="14" s="1"/>
  <c r="N139" i="14"/>
  <c r="T138" i="14"/>
  <c r="S138" i="14"/>
  <c r="O138" i="14"/>
  <c r="N138" i="14"/>
  <c r="T137" i="14"/>
  <c r="S137" i="14"/>
  <c r="O137" i="14"/>
  <c r="N137" i="14"/>
  <c r="T136" i="14"/>
  <c r="S136" i="14"/>
  <c r="O136" i="14"/>
  <c r="N136" i="14"/>
  <c r="P136" i="14" s="1"/>
  <c r="T135" i="14"/>
  <c r="S135" i="14"/>
  <c r="O135" i="14"/>
  <c r="N135" i="14"/>
  <c r="T134" i="14"/>
  <c r="S134" i="14"/>
  <c r="O134" i="14"/>
  <c r="N134" i="14"/>
  <c r="T133" i="14"/>
  <c r="S133" i="14"/>
  <c r="O133" i="14"/>
  <c r="N133" i="14"/>
  <c r="T132" i="14"/>
  <c r="S132" i="14"/>
  <c r="O132" i="14"/>
  <c r="N132" i="14"/>
  <c r="Q132" i="14" s="1"/>
  <c r="T131" i="14"/>
  <c r="S131" i="14"/>
  <c r="O131" i="14"/>
  <c r="N131" i="14"/>
  <c r="T130" i="14"/>
  <c r="S130" i="14"/>
  <c r="O130" i="14"/>
  <c r="N130" i="14"/>
  <c r="T129" i="14"/>
  <c r="S129" i="14"/>
  <c r="O129" i="14"/>
  <c r="N129" i="14"/>
  <c r="T128" i="14"/>
  <c r="S128" i="14"/>
  <c r="O128" i="14"/>
  <c r="N128" i="14"/>
  <c r="T127" i="14"/>
  <c r="S127" i="14"/>
  <c r="O127" i="14"/>
  <c r="N127" i="14"/>
  <c r="T126" i="14"/>
  <c r="S126" i="14"/>
  <c r="O126" i="14"/>
  <c r="N126" i="14"/>
  <c r="R126" i="14" s="1"/>
  <c r="T125" i="14"/>
  <c r="S125" i="14"/>
  <c r="Q125" i="14"/>
  <c r="O125" i="14"/>
  <c r="N125" i="14"/>
  <c r="T124" i="14"/>
  <c r="S124" i="14"/>
  <c r="O124" i="14"/>
  <c r="N124" i="14"/>
  <c r="T123" i="14"/>
  <c r="S123" i="14"/>
  <c r="O123" i="14"/>
  <c r="N123" i="14"/>
  <c r="T122" i="14"/>
  <c r="S122" i="14"/>
  <c r="O122" i="14"/>
  <c r="Q122" i="14" s="1"/>
  <c r="N122" i="14"/>
  <c r="T121" i="14"/>
  <c r="S121" i="14"/>
  <c r="O121" i="14"/>
  <c r="N121" i="14"/>
  <c r="T120" i="14"/>
  <c r="S120" i="14"/>
  <c r="O120" i="14"/>
  <c r="N120" i="14"/>
  <c r="T119" i="14"/>
  <c r="S119" i="14"/>
  <c r="O119" i="14"/>
  <c r="N119" i="14"/>
  <c r="T118" i="14"/>
  <c r="S118" i="14"/>
  <c r="O118" i="14"/>
  <c r="N118" i="14"/>
  <c r="T117" i="14"/>
  <c r="S117" i="14"/>
  <c r="O117" i="14"/>
  <c r="N117" i="14"/>
  <c r="R117" i="14" s="1"/>
  <c r="T116" i="14"/>
  <c r="S116" i="14"/>
  <c r="O116" i="14"/>
  <c r="N116" i="14"/>
  <c r="T115" i="14"/>
  <c r="S115" i="14"/>
  <c r="O115" i="14"/>
  <c r="N115" i="14"/>
  <c r="T114" i="14"/>
  <c r="S114" i="14"/>
  <c r="O114" i="14"/>
  <c r="Q114" i="14" s="1"/>
  <c r="N114" i="14"/>
  <c r="T113" i="14"/>
  <c r="S113" i="14"/>
  <c r="O113" i="14"/>
  <c r="N113" i="14"/>
  <c r="Q113" i="14" s="1"/>
  <c r="T112" i="14"/>
  <c r="S112" i="14"/>
  <c r="O112" i="14"/>
  <c r="N112" i="14"/>
  <c r="T111" i="14"/>
  <c r="S111" i="14"/>
  <c r="O111" i="14"/>
  <c r="N111" i="14"/>
  <c r="T110" i="14"/>
  <c r="S110" i="14"/>
  <c r="O110" i="14"/>
  <c r="N110" i="14"/>
  <c r="T109" i="14"/>
  <c r="S109" i="14"/>
  <c r="O109" i="14"/>
  <c r="N109" i="14"/>
  <c r="Q109" i="14" s="1"/>
  <c r="T108" i="14"/>
  <c r="S108" i="14"/>
  <c r="O108" i="14"/>
  <c r="N108" i="14"/>
  <c r="T107" i="14"/>
  <c r="S107" i="14"/>
  <c r="O107" i="14"/>
  <c r="N107" i="14"/>
  <c r="T106" i="14"/>
  <c r="S106" i="14"/>
  <c r="O106" i="14"/>
  <c r="N106" i="14"/>
  <c r="T105" i="14"/>
  <c r="S105" i="14"/>
  <c r="O105" i="14"/>
  <c r="N105" i="14"/>
  <c r="T104" i="14"/>
  <c r="S104" i="14"/>
  <c r="O104" i="14"/>
  <c r="N104" i="14"/>
  <c r="T103" i="14"/>
  <c r="S103" i="14"/>
  <c r="O103" i="14"/>
  <c r="N103" i="14"/>
  <c r="T102" i="14"/>
  <c r="S102" i="14"/>
  <c r="O102" i="14"/>
  <c r="N102" i="14"/>
  <c r="T101" i="14"/>
  <c r="S101" i="14"/>
  <c r="O101" i="14"/>
  <c r="N101" i="14"/>
  <c r="T100" i="14"/>
  <c r="S100" i="14"/>
  <c r="O100" i="14"/>
  <c r="N100" i="14"/>
  <c r="T99" i="14"/>
  <c r="S99" i="14"/>
  <c r="O99" i="14"/>
  <c r="N99" i="14"/>
  <c r="T98" i="14"/>
  <c r="S98" i="14"/>
  <c r="Q98" i="14"/>
  <c r="O98" i="14"/>
  <c r="N98" i="14"/>
  <c r="T97" i="14"/>
  <c r="S97" i="14"/>
  <c r="O97" i="14"/>
  <c r="N97" i="14"/>
  <c r="T96" i="14"/>
  <c r="S96" i="14"/>
  <c r="O96" i="14"/>
  <c r="N96" i="14"/>
  <c r="T95" i="14"/>
  <c r="S95" i="14"/>
  <c r="O95" i="14"/>
  <c r="N95" i="14"/>
  <c r="T94" i="14"/>
  <c r="S94" i="14"/>
  <c r="O94" i="14"/>
  <c r="N94" i="14"/>
  <c r="R94" i="14" s="1"/>
  <c r="T93" i="14"/>
  <c r="S93" i="14"/>
  <c r="O93" i="14"/>
  <c r="N93" i="14"/>
  <c r="T92" i="14"/>
  <c r="S92" i="14"/>
  <c r="O92" i="14"/>
  <c r="N92" i="14"/>
  <c r="T91" i="14"/>
  <c r="S91" i="14"/>
  <c r="O91" i="14"/>
  <c r="N91" i="14"/>
  <c r="T90" i="14"/>
  <c r="S90" i="14"/>
  <c r="O90" i="14"/>
  <c r="N90" i="14"/>
  <c r="T89" i="14"/>
  <c r="S89" i="14"/>
  <c r="O89" i="14"/>
  <c r="N89" i="14"/>
  <c r="Q89" i="14" s="1"/>
  <c r="T88" i="14"/>
  <c r="S88" i="14"/>
  <c r="O88" i="14"/>
  <c r="N88" i="14"/>
  <c r="T87" i="14"/>
  <c r="S87" i="14"/>
  <c r="O87" i="14"/>
  <c r="N87" i="14"/>
  <c r="P87" i="14" s="1"/>
  <c r="T86" i="14"/>
  <c r="S86" i="14"/>
  <c r="O86" i="14"/>
  <c r="N86" i="14"/>
  <c r="T85" i="14"/>
  <c r="S85" i="14"/>
  <c r="O85" i="14"/>
  <c r="N85" i="14"/>
  <c r="T84" i="14"/>
  <c r="S84" i="14"/>
  <c r="O84" i="14"/>
  <c r="N84" i="14"/>
  <c r="P84" i="14" s="1"/>
  <c r="T83" i="14"/>
  <c r="S83" i="14"/>
  <c r="O83" i="14"/>
  <c r="N83" i="14"/>
  <c r="T82" i="14"/>
  <c r="S82" i="14"/>
  <c r="O82" i="14"/>
  <c r="N82" i="14"/>
  <c r="T81" i="14"/>
  <c r="S81" i="14"/>
  <c r="O81" i="14"/>
  <c r="N81" i="14"/>
  <c r="P81" i="14" s="1"/>
  <c r="T80" i="14"/>
  <c r="S80" i="14"/>
  <c r="O80" i="14"/>
  <c r="N80" i="14"/>
  <c r="T79" i="14"/>
  <c r="S79" i="14"/>
  <c r="O79" i="14"/>
  <c r="N79" i="14"/>
  <c r="T78" i="14"/>
  <c r="S78" i="14"/>
  <c r="O78" i="14"/>
  <c r="N78" i="14"/>
  <c r="T77" i="14"/>
  <c r="S77" i="14"/>
  <c r="O77" i="14"/>
  <c r="N77" i="14"/>
  <c r="T76" i="14"/>
  <c r="S76" i="14"/>
  <c r="O76" i="14"/>
  <c r="N76" i="14"/>
  <c r="T75" i="14"/>
  <c r="S75" i="14"/>
  <c r="O75" i="14"/>
  <c r="N75" i="14"/>
  <c r="Q75" i="14" s="1"/>
  <c r="T74" i="14"/>
  <c r="S74" i="14"/>
  <c r="O74" i="14"/>
  <c r="N74" i="14"/>
  <c r="T73" i="14"/>
  <c r="S73" i="14"/>
  <c r="O73" i="14"/>
  <c r="N73" i="14"/>
  <c r="T72" i="14"/>
  <c r="S72" i="14"/>
  <c r="O72" i="14"/>
  <c r="N72" i="14"/>
  <c r="T71" i="14"/>
  <c r="S71" i="14"/>
  <c r="O71" i="14"/>
  <c r="N71" i="14"/>
  <c r="T70" i="14"/>
  <c r="S70" i="14"/>
  <c r="O70" i="14"/>
  <c r="N70" i="14"/>
  <c r="T69" i="14"/>
  <c r="S69" i="14"/>
  <c r="O69" i="14"/>
  <c r="N69" i="14"/>
  <c r="T68" i="14"/>
  <c r="S68" i="14"/>
  <c r="O68" i="14"/>
  <c r="N68" i="14"/>
  <c r="T67" i="14"/>
  <c r="S67" i="14"/>
  <c r="O67" i="14"/>
  <c r="N67" i="14"/>
  <c r="T66" i="14"/>
  <c r="S66" i="14"/>
  <c r="O66" i="14"/>
  <c r="N66" i="14"/>
  <c r="T65" i="14"/>
  <c r="S65" i="14"/>
  <c r="O65" i="14"/>
  <c r="N65" i="14"/>
  <c r="Q65" i="14" s="1"/>
  <c r="T64" i="14"/>
  <c r="S64" i="14"/>
  <c r="O64" i="14"/>
  <c r="N64" i="14"/>
  <c r="T63" i="14"/>
  <c r="S63" i="14"/>
  <c r="O63" i="14"/>
  <c r="N63" i="14"/>
  <c r="T62" i="14"/>
  <c r="S62" i="14"/>
  <c r="O62" i="14"/>
  <c r="N62" i="14"/>
  <c r="T61" i="14"/>
  <c r="S61" i="14"/>
  <c r="O61" i="14"/>
  <c r="N61" i="14"/>
  <c r="Q61" i="14" s="1"/>
  <c r="T60" i="14"/>
  <c r="S60" i="14"/>
  <c r="O60" i="14"/>
  <c r="N60" i="14"/>
  <c r="P60" i="14" s="1"/>
  <c r="T59" i="14"/>
  <c r="S59" i="14"/>
  <c r="O59" i="14"/>
  <c r="N59" i="14"/>
  <c r="T58" i="14"/>
  <c r="S58" i="14"/>
  <c r="O58" i="14"/>
  <c r="N58" i="14"/>
  <c r="Q58" i="14" s="1"/>
  <c r="T57" i="14"/>
  <c r="S57" i="14"/>
  <c r="O57" i="14"/>
  <c r="N57" i="14"/>
  <c r="T56" i="14"/>
  <c r="S56" i="14"/>
  <c r="O56" i="14"/>
  <c r="N56" i="14"/>
  <c r="P56" i="14" s="1"/>
  <c r="T55" i="14"/>
  <c r="S55" i="14"/>
  <c r="O55" i="14"/>
  <c r="N55" i="14"/>
  <c r="T54" i="14"/>
  <c r="S54" i="14"/>
  <c r="O54" i="14"/>
  <c r="N54" i="14"/>
  <c r="R54" i="14" s="1"/>
  <c r="T53" i="14"/>
  <c r="S53" i="14"/>
  <c r="O53" i="14"/>
  <c r="N53" i="14"/>
  <c r="T52" i="14"/>
  <c r="S52" i="14"/>
  <c r="O52" i="14"/>
  <c r="N52" i="14"/>
  <c r="T51" i="14"/>
  <c r="S51" i="14"/>
  <c r="O51" i="14"/>
  <c r="N51" i="14"/>
  <c r="T50" i="14"/>
  <c r="S50" i="14"/>
  <c r="O50" i="14"/>
  <c r="N50" i="14"/>
  <c r="T49" i="14"/>
  <c r="S49" i="14"/>
  <c r="O49" i="14"/>
  <c r="N49" i="14"/>
  <c r="T48" i="14"/>
  <c r="S48" i="14"/>
  <c r="O48" i="14"/>
  <c r="N48" i="14"/>
  <c r="T47" i="14"/>
  <c r="S47" i="14"/>
  <c r="O47" i="14"/>
  <c r="N47" i="14"/>
  <c r="T46" i="14"/>
  <c r="S46" i="14"/>
  <c r="O46" i="14"/>
  <c r="N46" i="14"/>
  <c r="T45" i="14"/>
  <c r="S45" i="14"/>
  <c r="Q45" i="14"/>
  <c r="O45" i="14"/>
  <c r="N45" i="14"/>
  <c r="T44" i="14"/>
  <c r="S44" i="14"/>
  <c r="O44" i="14"/>
  <c r="N44" i="14"/>
  <c r="T43" i="14"/>
  <c r="S43" i="14"/>
  <c r="O43" i="14"/>
  <c r="N43" i="14"/>
  <c r="T42" i="14"/>
  <c r="S42" i="14"/>
  <c r="Q42" i="14"/>
  <c r="O42" i="14"/>
  <c r="N42" i="14"/>
  <c r="T41" i="14"/>
  <c r="S41" i="14"/>
  <c r="O41" i="14"/>
  <c r="N41" i="14"/>
  <c r="T40" i="14"/>
  <c r="S40" i="14"/>
  <c r="O40" i="14"/>
  <c r="N40" i="14"/>
  <c r="R40" i="14" s="1"/>
  <c r="T39" i="14"/>
  <c r="S39" i="14"/>
  <c r="O39" i="14"/>
  <c r="N39" i="14"/>
  <c r="T38" i="14"/>
  <c r="S38" i="14"/>
  <c r="O38" i="14"/>
  <c r="N38" i="14"/>
  <c r="T37" i="14"/>
  <c r="S37" i="14"/>
  <c r="O37" i="14"/>
  <c r="N37" i="14"/>
  <c r="R37" i="14" s="1"/>
  <c r="T36" i="14"/>
  <c r="S36" i="14"/>
  <c r="O36" i="14"/>
  <c r="N36" i="14"/>
  <c r="Q36" i="14" s="1"/>
  <c r="T35" i="14"/>
  <c r="S35" i="14"/>
  <c r="O35" i="14"/>
  <c r="N35" i="14"/>
  <c r="T34" i="14"/>
  <c r="S34" i="14"/>
  <c r="O34" i="14"/>
  <c r="N34" i="14"/>
  <c r="T33" i="14"/>
  <c r="S33" i="14"/>
  <c r="O33" i="14"/>
  <c r="N33" i="14"/>
  <c r="T32" i="14"/>
  <c r="S32" i="14"/>
  <c r="O32" i="14"/>
  <c r="N32" i="14"/>
  <c r="Q32" i="14" s="1"/>
  <c r="T31" i="14"/>
  <c r="S31" i="14"/>
  <c r="O31" i="14"/>
  <c r="N31" i="14"/>
  <c r="T30" i="14"/>
  <c r="S30" i="14"/>
  <c r="O30" i="14"/>
  <c r="N30" i="14"/>
  <c r="T29" i="14"/>
  <c r="S29" i="14"/>
  <c r="O29" i="14"/>
  <c r="N29" i="14"/>
  <c r="R29" i="14" s="1"/>
  <c r="T28" i="14"/>
  <c r="S28" i="14"/>
  <c r="O28" i="14"/>
  <c r="N28" i="14"/>
  <c r="Q28" i="14" s="1"/>
  <c r="T27" i="14"/>
  <c r="S27" i="14"/>
  <c r="O27" i="14"/>
  <c r="N27" i="14"/>
  <c r="T26" i="14"/>
  <c r="S26" i="14"/>
  <c r="O26" i="14"/>
  <c r="N26" i="14"/>
  <c r="T25" i="14"/>
  <c r="S25" i="14"/>
  <c r="O25" i="14"/>
  <c r="N25" i="14"/>
  <c r="T24" i="14"/>
  <c r="S24" i="14"/>
  <c r="O24" i="14"/>
  <c r="N24" i="14"/>
  <c r="Q24" i="14" s="1"/>
  <c r="T23" i="14"/>
  <c r="S23" i="14"/>
  <c r="O23" i="14"/>
  <c r="N23" i="14"/>
  <c r="T22" i="14"/>
  <c r="S22" i="14"/>
  <c r="O22" i="14"/>
  <c r="N22" i="14"/>
  <c r="T21" i="14"/>
  <c r="S21" i="14"/>
  <c r="O21" i="14"/>
  <c r="N21" i="14"/>
  <c r="R21" i="14" s="1"/>
  <c r="T20" i="14"/>
  <c r="S20" i="14"/>
  <c r="O20" i="14"/>
  <c r="N20" i="14"/>
  <c r="Q20" i="14" s="1"/>
  <c r="T19" i="14"/>
  <c r="S19" i="14"/>
  <c r="O19" i="14"/>
  <c r="N19" i="14"/>
  <c r="T18" i="14"/>
  <c r="S18" i="14"/>
  <c r="O18" i="14"/>
  <c r="N18" i="14"/>
  <c r="T17" i="14"/>
  <c r="S17" i="14"/>
  <c r="O17" i="14"/>
  <c r="N17" i="14"/>
  <c r="T16" i="14"/>
  <c r="S16" i="14"/>
  <c r="O16" i="14"/>
  <c r="N16" i="14"/>
  <c r="T15" i="14"/>
  <c r="S15" i="14"/>
  <c r="O15" i="14"/>
  <c r="N15" i="14"/>
  <c r="AC14" i="14"/>
  <c r="AB14" i="14"/>
  <c r="AA14" i="14"/>
  <c r="Z14" i="14"/>
  <c r="T14" i="14"/>
  <c r="S14" i="14"/>
  <c r="O14" i="14"/>
  <c r="N14" i="14"/>
  <c r="AC13" i="14"/>
  <c r="AB13" i="14"/>
  <c r="AA13" i="14"/>
  <c r="Z13" i="14"/>
  <c r="T13" i="14"/>
  <c r="S13" i="14"/>
  <c r="O13" i="14"/>
  <c r="N13" i="14"/>
  <c r="R13" i="14" s="1"/>
  <c r="AC12" i="14"/>
  <c r="AB12" i="14"/>
  <c r="AA12" i="14"/>
  <c r="Z12" i="14"/>
  <c r="T12" i="14"/>
  <c r="S12" i="14"/>
  <c r="O12" i="14"/>
  <c r="N12" i="14"/>
  <c r="Q12" i="14" s="1"/>
  <c r="AC11" i="14"/>
  <c r="AB11" i="14"/>
  <c r="AA11" i="14"/>
  <c r="Z11" i="14"/>
  <c r="T11" i="14"/>
  <c r="S11" i="14"/>
  <c r="O11" i="14"/>
  <c r="N11" i="14"/>
  <c r="AC10" i="14"/>
  <c r="AB10" i="14"/>
  <c r="AA10" i="14"/>
  <c r="Z10" i="14"/>
  <c r="T10" i="14"/>
  <c r="S10" i="14"/>
  <c r="O10" i="14"/>
  <c r="N10" i="14"/>
  <c r="AC9" i="14"/>
  <c r="AB9" i="14"/>
  <c r="AA9" i="14"/>
  <c r="Z9" i="14"/>
  <c r="T9" i="14"/>
  <c r="S9" i="14"/>
  <c r="O9" i="14"/>
  <c r="N9" i="14"/>
  <c r="AC8" i="14"/>
  <c r="AB8" i="14"/>
  <c r="AA8" i="14"/>
  <c r="Z8" i="14"/>
  <c r="T8" i="14"/>
  <c r="S8" i="14"/>
  <c r="O8" i="14"/>
  <c r="N8" i="14"/>
  <c r="AC7" i="14"/>
  <c r="AB7" i="14"/>
  <c r="AA7" i="14"/>
  <c r="Z7" i="14"/>
  <c r="T7" i="14"/>
  <c r="S7" i="14"/>
  <c r="O7" i="14"/>
  <c r="N7" i="14"/>
  <c r="AC6" i="14"/>
  <c r="AB6" i="14"/>
  <c r="AA6" i="14"/>
  <c r="Z6" i="14"/>
  <c r="T6" i="14"/>
  <c r="S6" i="14"/>
  <c r="O6" i="14"/>
  <c r="N6" i="14"/>
  <c r="AC5" i="14"/>
  <c r="AB5" i="14"/>
  <c r="AA5" i="14"/>
  <c r="Z5" i="14"/>
  <c r="T5" i="14"/>
  <c r="S5" i="14"/>
  <c r="O5" i="14"/>
  <c r="N5" i="14"/>
  <c r="AC4" i="14"/>
  <c r="AB4" i="14"/>
  <c r="AA4" i="14"/>
  <c r="Z4" i="14"/>
  <c r="T4" i="14"/>
  <c r="S4" i="14"/>
  <c r="O4" i="14"/>
  <c r="N4" i="14"/>
  <c r="AC3" i="14"/>
  <c r="AB3" i="14"/>
  <c r="AA3" i="14"/>
  <c r="Z3" i="14"/>
  <c r="T3" i="14"/>
  <c r="S3" i="14"/>
  <c r="O3" i="14"/>
  <c r="N3" i="14"/>
  <c r="AC2" i="14"/>
  <c r="AB2" i="14"/>
  <c r="AA2" i="14"/>
  <c r="Z2" i="14"/>
  <c r="T2" i="14"/>
  <c r="S2" i="14"/>
  <c r="O2" i="14"/>
  <c r="N2" i="14"/>
  <c r="N14" i="19" l="1"/>
  <c r="Y14" i="19"/>
  <c r="X14" i="19"/>
  <c r="T14" i="19"/>
  <c r="U14" i="19"/>
  <c r="W14" i="19"/>
  <c r="S14" i="19"/>
  <c r="Z14" i="19"/>
  <c r="P14" i="19"/>
  <c r="V14" i="19"/>
  <c r="Q14" i="19"/>
  <c r="R14" i="19"/>
  <c r="O14" i="19"/>
  <c r="M15" i="19"/>
  <c r="N621" i="5"/>
  <c r="O621" i="5"/>
  <c r="N359" i="5"/>
  <c r="O359" i="5"/>
  <c r="N469" i="5"/>
  <c r="O469" i="5"/>
  <c r="O637" i="5"/>
  <c r="N637" i="5"/>
  <c r="O439" i="5"/>
  <c r="N439" i="5"/>
  <c r="Q11" i="14"/>
  <c r="P14" i="14"/>
  <c r="Q19" i="14"/>
  <c r="Q27" i="14"/>
  <c r="Q35" i="14"/>
  <c r="Q43" i="14"/>
  <c r="P92" i="14"/>
  <c r="Q157" i="14"/>
  <c r="P202" i="14"/>
  <c r="P231" i="14"/>
  <c r="R237" i="14"/>
  <c r="R239" i="14"/>
  <c r="R245" i="14"/>
  <c r="R266" i="14"/>
  <c r="R272" i="14"/>
  <c r="O371" i="5"/>
  <c r="N371" i="5"/>
  <c r="O589" i="5"/>
  <c r="N589" i="5"/>
  <c r="O391" i="5"/>
  <c r="N391" i="5"/>
  <c r="O453" i="5"/>
  <c r="N453" i="5"/>
  <c r="O355" i="5"/>
  <c r="N355" i="5"/>
  <c r="N605" i="5"/>
  <c r="O605" i="5"/>
  <c r="O343" i="5"/>
  <c r="N343" i="5"/>
  <c r="O471" i="5"/>
  <c r="N471" i="5"/>
  <c r="Q51" i="14"/>
  <c r="Q59" i="14"/>
  <c r="Q94" i="14"/>
  <c r="Q102" i="14"/>
  <c r="R169" i="14"/>
  <c r="R196" i="14"/>
  <c r="O351" i="5"/>
  <c r="N351" i="5"/>
  <c r="N403" i="5"/>
  <c r="O403" i="5"/>
  <c r="N557" i="5"/>
  <c r="O557" i="5"/>
  <c r="N423" i="5"/>
  <c r="O423" i="5"/>
  <c r="O347" i="5"/>
  <c r="N347" i="5"/>
  <c r="N387" i="5"/>
  <c r="O387" i="5"/>
  <c r="O573" i="5"/>
  <c r="N573" i="5"/>
  <c r="N375" i="5"/>
  <c r="O375" i="5"/>
  <c r="O503" i="5"/>
  <c r="N503" i="5"/>
  <c r="N383" i="5"/>
  <c r="O383" i="5"/>
  <c r="O435" i="5"/>
  <c r="N435" i="5"/>
  <c r="O525" i="5"/>
  <c r="N525" i="5"/>
  <c r="O455" i="5"/>
  <c r="N455" i="5"/>
  <c r="O379" i="5"/>
  <c r="N379" i="5"/>
  <c r="O419" i="5"/>
  <c r="N419" i="5"/>
  <c r="N541" i="5"/>
  <c r="O541" i="5"/>
  <c r="N407" i="5"/>
  <c r="O407" i="5"/>
  <c r="O633" i="5"/>
  <c r="N633" i="5"/>
  <c r="Q128" i="14"/>
  <c r="R208" i="14"/>
  <c r="N415" i="5"/>
  <c r="O415" i="5"/>
  <c r="N449" i="5"/>
  <c r="O449" i="5"/>
  <c r="N467" i="5"/>
  <c r="O467" i="5"/>
  <c r="N433" i="5"/>
  <c r="O433" i="5"/>
  <c r="O617" i="5"/>
  <c r="N617" i="5"/>
  <c r="N411" i="5"/>
  <c r="O411" i="5"/>
  <c r="N451" i="5"/>
  <c r="O451" i="5"/>
  <c r="N497" i="5"/>
  <c r="O497" i="5"/>
  <c r="N537" i="5"/>
  <c r="O537" i="5"/>
  <c r="N601" i="5"/>
  <c r="O601" i="5"/>
  <c r="P22" i="14"/>
  <c r="P30" i="14"/>
  <c r="Q38" i="14"/>
  <c r="R44" i="14"/>
  <c r="P201" i="14"/>
  <c r="Q203" i="14"/>
  <c r="R220" i="14"/>
  <c r="R222" i="14"/>
  <c r="R224" i="14"/>
  <c r="R232" i="14"/>
  <c r="Q269" i="14"/>
  <c r="Q292" i="14"/>
  <c r="Q296" i="14"/>
  <c r="O447" i="5"/>
  <c r="N447" i="5"/>
  <c r="N501" i="5"/>
  <c r="O501" i="5"/>
  <c r="O499" i="5"/>
  <c r="N499" i="5"/>
  <c r="N485" i="5"/>
  <c r="O485" i="5"/>
  <c r="O553" i="5"/>
  <c r="N553" i="5"/>
  <c r="O487" i="5"/>
  <c r="N487" i="5"/>
  <c r="N443" i="5"/>
  <c r="O443" i="5"/>
  <c r="N483" i="5"/>
  <c r="O483" i="5"/>
  <c r="N369" i="5"/>
  <c r="O369" i="5"/>
  <c r="O353" i="5"/>
  <c r="N353" i="5"/>
  <c r="N569" i="5"/>
  <c r="O569" i="5"/>
  <c r="O479" i="5"/>
  <c r="N479" i="5"/>
  <c r="O373" i="5"/>
  <c r="N373" i="5"/>
  <c r="N357" i="5"/>
  <c r="O357" i="5"/>
  <c r="O585" i="5"/>
  <c r="N585" i="5"/>
  <c r="N475" i="5"/>
  <c r="O475" i="5"/>
  <c r="N421" i="5"/>
  <c r="O421" i="5"/>
  <c r="O481" i="5"/>
  <c r="N481" i="5"/>
  <c r="R74" i="14"/>
  <c r="P111" i="14"/>
  <c r="P121" i="14"/>
  <c r="R127" i="14"/>
  <c r="Q137" i="14"/>
  <c r="P209" i="14"/>
  <c r="Q211" i="14"/>
  <c r="R246" i="14"/>
  <c r="R258" i="14"/>
  <c r="O381" i="5"/>
  <c r="N381" i="5"/>
  <c r="N521" i="5"/>
  <c r="O521" i="5"/>
  <c r="N405" i="5"/>
  <c r="O405" i="5"/>
  <c r="L4" i="15"/>
  <c r="AD3" i="14"/>
  <c r="AE5" i="14"/>
  <c r="AD7" i="14"/>
  <c r="AE9" i="14"/>
  <c r="AE14" i="14"/>
  <c r="AD11" i="14"/>
  <c r="AE13" i="14"/>
  <c r="AE6" i="14"/>
  <c r="AE10" i="14"/>
  <c r="AE3" i="14"/>
  <c r="AD5" i="14"/>
  <c r="AE7" i="14"/>
  <c r="AD9" i="14"/>
  <c r="AE11" i="14"/>
  <c r="AD13" i="14"/>
  <c r="AE4" i="14"/>
  <c r="AE8" i="14"/>
  <c r="AE12" i="14"/>
  <c r="AE2" i="14"/>
  <c r="AD4" i="14"/>
  <c r="AD8" i="14"/>
  <c r="AD12" i="14"/>
  <c r="AD6" i="14"/>
  <c r="AD10" i="14"/>
  <c r="AD14" i="14"/>
  <c r="AD2" i="14"/>
  <c r="F4" i="15"/>
  <c r="AF3" i="14"/>
  <c r="AF11" i="14"/>
  <c r="AF7" i="14"/>
  <c r="AF4" i="14"/>
  <c r="AF8" i="14"/>
  <c r="AF12" i="14"/>
  <c r="AF5" i="14"/>
  <c r="AF9" i="14"/>
  <c r="AF13" i="14"/>
  <c r="AF2" i="14"/>
  <c r="AF6" i="14"/>
  <c r="AF10" i="14"/>
  <c r="AF14" i="14"/>
  <c r="P83" i="14"/>
  <c r="P198" i="14"/>
  <c r="P155" i="14"/>
  <c r="R213" i="14"/>
  <c r="Q219" i="14"/>
  <c r="R198" i="14"/>
  <c r="U94" i="14"/>
  <c r="Q101" i="14"/>
  <c r="Q117" i="14"/>
  <c r="U117" i="14" s="1"/>
  <c r="W117" i="14" s="1"/>
  <c r="Q129" i="14"/>
  <c r="P50" i="14"/>
  <c r="P80" i="14"/>
  <c r="Q87" i="14"/>
  <c r="Q93" i="14"/>
  <c r="R96" i="14"/>
  <c r="P109" i="14"/>
  <c r="Q156" i="14"/>
  <c r="Q163" i="14"/>
  <c r="R192" i="14"/>
  <c r="P235" i="14"/>
  <c r="R254" i="14"/>
  <c r="AY6" i="14"/>
  <c r="Q4" i="14"/>
  <c r="P2" i="14"/>
  <c r="AW2" i="14"/>
  <c r="R10" i="14"/>
  <c r="Q17" i="14"/>
  <c r="R18" i="14"/>
  <c r="R26" i="14"/>
  <c r="R34" i="14"/>
  <c r="Q41" i="14"/>
  <c r="R42" i="14"/>
  <c r="U42" i="14" s="1"/>
  <c r="R45" i="14"/>
  <c r="U45" i="14" s="1"/>
  <c r="P47" i="14"/>
  <c r="P48" i="14"/>
  <c r="P54" i="14"/>
  <c r="Q57" i="14"/>
  <c r="R58" i="14"/>
  <c r="U58" i="14" s="1"/>
  <c r="R61" i="14"/>
  <c r="P63" i="14"/>
  <c r="P64" i="14"/>
  <c r="Q67" i="14"/>
  <c r="R75" i="14"/>
  <c r="U75" i="14" s="1"/>
  <c r="P85" i="14"/>
  <c r="R88" i="14"/>
  <c r="Q97" i="14"/>
  <c r="R98" i="14"/>
  <c r="R108" i="14"/>
  <c r="P110" i="14"/>
  <c r="P113" i="14"/>
  <c r="Q121" i="14"/>
  <c r="R125" i="14"/>
  <c r="U125" i="14" s="1"/>
  <c r="P137" i="14"/>
  <c r="Q143" i="14"/>
  <c r="Q166" i="14"/>
  <c r="Q176" i="14"/>
  <c r="R177" i="14"/>
  <c r="P178" i="14"/>
  <c r="P182" i="14"/>
  <c r="P205" i="14"/>
  <c r="R225" i="14"/>
  <c r="R229" i="14"/>
  <c r="P239" i="14"/>
  <c r="R240" i="14"/>
  <c r="P257" i="14"/>
  <c r="R262" i="14"/>
  <c r="R263" i="14"/>
  <c r="R270" i="14"/>
  <c r="Q275" i="14"/>
  <c r="U61" i="14"/>
  <c r="V61" i="14" s="1"/>
  <c r="U98" i="14"/>
  <c r="V98" i="14" s="1"/>
  <c r="R15" i="14"/>
  <c r="R23" i="14"/>
  <c r="R31" i="14"/>
  <c r="R49" i="14"/>
  <c r="Q54" i="14"/>
  <c r="Q55" i="14"/>
  <c r="R65" i="14"/>
  <c r="U65" i="14" s="1"/>
  <c r="R86" i="14"/>
  <c r="V94" i="14"/>
  <c r="R102" i="14"/>
  <c r="U102" i="14" s="1"/>
  <c r="R118" i="14"/>
  <c r="R129" i="14"/>
  <c r="U129" i="14" s="1"/>
  <c r="R152" i="14"/>
  <c r="Q162" i="14"/>
  <c r="U162" i="14" s="1"/>
  <c r="W162" i="14" s="1"/>
  <c r="R185" i="14"/>
  <c r="P186" i="14"/>
  <c r="R231" i="14"/>
  <c r="R277" i="14"/>
  <c r="R278" i="14"/>
  <c r="R66" i="14"/>
  <c r="P66" i="14"/>
  <c r="R103" i="14"/>
  <c r="U103" i="14" s="1"/>
  <c r="P103" i="14"/>
  <c r="Q204" i="14"/>
  <c r="R204" i="14"/>
  <c r="Q217" i="14"/>
  <c r="U217" i="14" s="1"/>
  <c r="V217" i="14" s="1"/>
  <c r="R217" i="14"/>
  <c r="P217" i="14"/>
  <c r="Q294" i="14"/>
  <c r="P294" i="14"/>
  <c r="R3" i="14"/>
  <c r="P3" i="14"/>
  <c r="P9" i="14"/>
  <c r="Q9" i="14"/>
  <c r="P25" i="14"/>
  <c r="Q25" i="14"/>
  <c r="P33" i="14"/>
  <c r="Q33" i="14"/>
  <c r="Q70" i="14"/>
  <c r="P70" i="14"/>
  <c r="R91" i="14"/>
  <c r="P91" i="14"/>
  <c r="Q107" i="14"/>
  <c r="P107" i="14"/>
  <c r="P174" i="14"/>
  <c r="Q174" i="14"/>
  <c r="P214" i="14"/>
  <c r="R214" i="14"/>
  <c r="R249" i="14"/>
  <c r="Q249" i="14"/>
  <c r="P249" i="14"/>
  <c r="R274" i="14"/>
  <c r="Q274" i="14"/>
  <c r="U274" i="14" s="1"/>
  <c r="V274" i="14" s="1"/>
  <c r="P274" i="14"/>
  <c r="Q6" i="14"/>
  <c r="P6" i="14"/>
  <c r="R90" i="14"/>
  <c r="Q90" i="14"/>
  <c r="P90" i="14"/>
  <c r="R133" i="14"/>
  <c r="Q133" i="14"/>
  <c r="P133" i="14"/>
  <c r="P154" i="14"/>
  <c r="Q154" i="14"/>
  <c r="Q2" i="14"/>
  <c r="AW11" i="14"/>
  <c r="R6" i="14"/>
  <c r="Q7" i="14"/>
  <c r="Q39" i="14"/>
  <c r="P39" i="14"/>
  <c r="R53" i="14"/>
  <c r="Q53" i="14"/>
  <c r="R79" i="14"/>
  <c r="Q79" i="14"/>
  <c r="P79" i="14"/>
  <c r="Q83" i="14"/>
  <c r="R95" i="14"/>
  <c r="P95" i="14"/>
  <c r="R111" i="14"/>
  <c r="P160" i="14"/>
  <c r="R160" i="14"/>
  <c r="P221" i="14"/>
  <c r="R221" i="14"/>
  <c r="R5" i="14"/>
  <c r="AZ14" i="14"/>
  <c r="R46" i="14"/>
  <c r="Q46" i="14"/>
  <c r="P46" i="14"/>
  <c r="Q50" i="14"/>
  <c r="R62" i="14"/>
  <c r="Q62" i="14"/>
  <c r="P62" i="14"/>
  <c r="R69" i="14"/>
  <c r="Q69" i="14"/>
  <c r="P69" i="14"/>
  <c r="Q76" i="14"/>
  <c r="P76" i="14"/>
  <c r="R99" i="14"/>
  <c r="P99" i="14"/>
  <c r="R106" i="14"/>
  <c r="Q106" i="14"/>
  <c r="P106" i="14"/>
  <c r="P190" i="14"/>
  <c r="Q190" i="14"/>
  <c r="Q210" i="14"/>
  <c r="R210" i="14"/>
  <c r="P210" i="14"/>
  <c r="R233" i="14"/>
  <c r="P233" i="14"/>
  <c r="P43" i="14"/>
  <c r="P59" i="14"/>
  <c r="Q66" i="14"/>
  <c r="P88" i="14"/>
  <c r="Q91" i="14"/>
  <c r="Q95" i="14"/>
  <c r="Q99" i="14"/>
  <c r="Q103" i="14"/>
  <c r="Q118" i="14"/>
  <c r="Q126" i="14"/>
  <c r="U126" i="14" s="1"/>
  <c r="W126" i="14" s="1"/>
  <c r="Q193" i="14"/>
  <c r="R193" i="14"/>
  <c r="Q218" i="14"/>
  <c r="R218" i="14"/>
  <c r="Q261" i="14"/>
  <c r="P261" i="14"/>
  <c r="R265" i="14"/>
  <c r="Q265" i="14"/>
  <c r="P265" i="14"/>
  <c r="R276" i="14"/>
  <c r="Q276" i="14"/>
  <c r="P276" i="14"/>
  <c r="Q282" i="14"/>
  <c r="P282" i="14"/>
  <c r="Q298" i="14"/>
  <c r="P298" i="14"/>
  <c r="P13" i="14"/>
  <c r="Q15" i="14"/>
  <c r="Q16" i="14"/>
  <c r="P21" i="14"/>
  <c r="Q23" i="14"/>
  <c r="P29" i="14"/>
  <c r="Q31" i="14"/>
  <c r="P55" i="14"/>
  <c r="P71" i="14"/>
  <c r="P77" i="14"/>
  <c r="R82" i="14"/>
  <c r="Q84" i="14"/>
  <c r="R87" i="14"/>
  <c r="W98" i="14"/>
  <c r="R109" i="14"/>
  <c r="U109" i="14" s="1"/>
  <c r="V109" i="14" s="1"/>
  <c r="Q110" i="14"/>
  <c r="R114" i="14"/>
  <c r="R122" i="14"/>
  <c r="P132" i="14"/>
  <c r="R138" i="14"/>
  <c r="Q141" i="14"/>
  <c r="R141" i="14"/>
  <c r="R155" i="14"/>
  <c r="Q155" i="14"/>
  <c r="Q194" i="14"/>
  <c r="R194" i="14"/>
  <c r="Q201" i="14"/>
  <c r="U201" i="14" s="1"/>
  <c r="R201" i="14"/>
  <c r="R238" i="14"/>
  <c r="Q251" i="14"/>
  <c r="P251" i="14"/>
  <c r="R255" i="14"/>
  <c r="Q255" i="14"/>
  <c r="P255" i="14"/>
  <c r="Q286" i="14"/>
  <c r="P286" i="14"/>
  <c r="Q302" i="14"/>
  <c r="P302" i="14"/>
  <c r="R4" i="14"/>
  <c r="U4" i="14" s="1"/>
  <c r="AX11" i="14"/>
  <c r="R9" i="14"/>
  <c r="P10" i="14"/>
  <c r="R11" i="14"/>
  <c r="U11" i="14" s="1"/>
  <c r="W11" i="14" s="1"/>
  <c r="Q13" i="14"/>
  <c r="R14" i="14"/>
  <c r="P17" i="14"/>
  <c r="P18" i="14"/>
  <c r="R19" i="14"/>
  <c r="U19" i="14" s="1"/>
  <c r="Q21" i="14"/>
  <c r="R22" i="14"/>
  <c r="R25" i="14"/>
  <c r="P26" i="14"/>
  <c r="R27" i="14"/>
  <c r="U27" i="14" s="1"/>
  <c r="Q29" i="14"/>
  <c r="R30" i="14"/>
  <c r="R33" i="14"/>
  <c r="P34" i="14"/>
  <c r="R35" i="14"/>
  <c r="P37" i="14"/>
  <c r="P41" i="14"/>
  <c r="P42" i="14"/>
  <c r="Q47" i="14"/>
  <c r="Q49" i="14"/>
  <c r="U49" i="14" s="1"/>
  <c r="V49" i="14" s="1"/>
  <c r="R50" i="14"/>
  <c r="P51" i="14"/>
  <c r="P52" i="14"/>
  <c r="R57" i="14"/>
  <c r="U57" i="14" s="1"/>
  <c r="P58" i="14"/>
  <c r="Q63" i="14"/>
  <c r="P65" i="14"/>
  <c r="P68" i="14"/>
  <c r="R70" i="14"/>
  <c r="P72" i="14"/>
  <c r="P75" i="14"/>
  <c r="R78" i="14"/>
  <c r="Q80" i="14"/>
  <c r="R83" i="14"/>
  <c r="P94" i="14"/>
  <c r="P97" i="14"/>
  <c r="P98" i="14"/>
  <c r="P101" i="14"/>
  <c r="P102" i="14"/>
  <c r="R107" i="14"/>
  <c r="Q111" i="14"/>
  <c r="R113" i="14"/>
  <c r="U113" i="14" s="1"/>
  <c r="P117" i="14"/>
  <c r="R121" i="14"/>
  <c r="U121" i="14" s="1"/>
  <c r="P125" i="14"/>
  <c r="P128" i="14"/>
  <c r="P129" i="14"/>
  <c r="R134" i="14"/>
  <c r="Q136" i="14"/>
  <c r="R137" i="14"/>
  <c r="R139" i="14"/>
  <c r="Q139" i="14"/>
  <c r="Q146" i="14"/>
  <c r="R147" i="14"/>
  <c r="Q147" i="14"/>
  <c r="Q150" i="14"/>
  <c r="P159" i="14"/>
  <c r="Q168" i="14"/>
  <c r="Q178" i="14"/>
  <c r="Q184" i="14"/>
  <c r="P193" i="14"/>
  <c r="Q202" i="14"/>
  <c r="R202" i="14"/>
  <c r="Q209" i="14"/>
  <c r="R209" i="14"/>
  <c r="R212" i="14"/>
  <c r="P218" i="14"/>
  <c r="P225" i="14"/>
  <c r="P237" i="14"/>
  <c r="R241" i="14"/>
  <c r="P241" i="14"/>
  <c r="Q267" i="14"/>
  <c r="P267" i="14"/>
  <c r="R271" i="14"/>
  <c r="Q271" i="14"/>
  <c r="U271" i="14" s="1"/>
  <c r="V271" i="14" s="1"/>
  <c r="P271" i="14"/>
  <c r="Q290" i="14"/>
  <c r="P290" i="14"/>
  <c r="P142" i="14"/>
  <c r="R151" i="14"/>
  <c r="U151" i="14" s="1"/>
  <c r="Q152" i="14"/>
  <c r="U152" i="14" s="1"/>
  <c r="Q153" i="14"/>
  <c r="P158" i="14"/>
  <c r="R163" i="14"/>
  <c r="P164" i="14"/>
  <c r="R171" i="14"/>
  <c r="P172" i="14"/>
  <c r="R179" i="14"/>
  <c r="P180" i="14"/>
  <c r="R187" i="14"/>
  <c r="P188" i="14"/>
  <c r="Q197" i="14"/>
  <c r="Q200" i="14"/>
  <c r="Q206" i="14"/>
  <c r="Q213" i="14"/>
  <c r="Q215" i="14"/>
  <c r="Q216" i="14"/>
  <c r="Q222" i="14"/>
  <c r="U222" i="14" s="1"/>
  <c r="V222" i="14" s="1"/>
  <c r="R227" i="14"/>
  <c r="R243" i="14"/>
  <c r="R253" i="14"/>
  <c r="U253" i="14" s="1"/>
  <c r="Q257" i="14"/>
  <c r="U257" i="14" s="1"/>
  <c r="R259" i="14"/>
  <c r="Q263" i="14"/>
  <c r="R269" i="14"/>
  <c r="Q272" i="14"/>
  <c r="U272" i="14" s="1"/>
  <c r="V272" i="14" s="1"/>
  <c r="R275" i="14"/>
  <c r="Q278" i="14"/>
  <c r="U278" i="14" s="1"/>
  <c r="V278" i="14" s="1"/>
  <c r="R279" i="14"/>
  <c r="R280" i="14"/>
  <c r="U280" i="14" s="1"/>
  <c r="R283" i="14"/>
  <c r="R284" i="14"/>
  <c r="U284" i="14" s="1"/>
  <c r="R287" i="14"/>
  <c r="R288" i="14"/>
  <c r="U288" i="14" s="1"/>
  <c r="R291" i="14"/>
  <c r="R292" i="14"/>
  <c r="U292" i="14" s="1"/>
  <c r="R295" i="14"/>
  <c r="R296" i="14"/>
  <c r="U296" i="14" s="1"/>
  <c r="R299" i="14"/>
  <c r="R300" i="14"/>
  <c r="U300" i="14" s="1"/>
  <c r="R303" i="14"/>
  <c r="R304" i="14"/>
  <c r="U304" i="14" s="1"/>
  <c r="F14" i="15"/>
  <c r="R142" i="14"/>
  <c r="R143" i="14"/>
  <c r="U143" i="14" s="1"/>
  <c r="V143" i="14" s="1"/>
  <c r="P150" i="14"/>
  <c r="P151" i="14"/>
  <c r="R156" i="14"/>
  <c r="U156" i="14" s="1"/>
  <c r="Q158" i="14"/>
  <c r="U158" i="14" s="1"/>
  <c r="V158" i="14" s="1"/>
  <c r="R159" i="14"/>
  <c r="U159" i="14" s="1"/>
  <c r="P162" i="14"/>
  <c r="Q164" i="14"/>
  <c r="R167" i="14"/>
  <c r="P168" i="14"/>
  <c r="Q172" i="14"/>
  <c r="R175" i="14"/>
  <c r="P176" i="14"/>
  <c r="Q180" i="14"/>
  <c r="R183" i="14"/>
  <c r="P184" i="14"/>
  <c r="Q188" i="14"/>
  <c r="R191" i="14"/>
  <c r="Q192" i="14"/>
  <c r="P197" i="14"/>
  <c r="Q198" i="14"/>
  <c r="R200" i="14"/>
  <c r="Q205" i="14"/>
  <c r="P206" i="14"/>
  <c r="Q207" i="14"/>
  <c r="Q208" i="14"/>
  <c r="U208" i="14" s="1"/>
  <c r="V208" i="14" s="1"/>
  <c r="P213" i="14"/>
  <c r="Q214" i="14"/>
  <c r="R216" i="14"/>
  <c r="Q221" i="14"/>
  <c r="P222" i="14"/>
  <c r="Q223" i="14"/>
  <c r="P227" i="14"/>
  <c r="R235" i="14"/>
  <c r="P243" i="14"/>
  <c r="R251" i="14"/>
  <c r="P253" i="14"/>
  <c r="P259" i="14"/>
  <c r="R261" i="14"/>
  <c r="R267" i="14"/>
  <c r="P269" i="14"/>
  <c r="P280" i="14"/>
  <c r="R281" i="14"/>
  <c r="R282" i="14"/>
  <c r="P284" i="14"/>
  <c r="R285" i="14"/>
  <c r="R286" i="14"/>
  <c r="P288" i="14"/>
  <c r="R289" i="14"/>
  <c r="R290" i="14"/>
  <c r="P292" i="14"/>
  <c r="R293" i="14"/>
  <c r="R294" i="14"/>
  <c r="P296" i="14"/>
  <c r="R297" i="14"/>
  <c r="R298" i="14"/>
  <c r="P300" i="14"/>
  <c r="R301" i="14"/>
  <c r="R302" i="14"/>
  <c r="P304" i="14"/>
  <c r="F5" i="15"/>
  <c r="S5" i="15" s="1"/>
  <c r="T132" i="16"/>
  <c r="T137" i="16"/>
  <c r="T118" i="16"/>
  <c r="T150" i="16"/>
  <c r="T95" i="16"/>
  <c r="T117" i="16"/>
  <c r="T108" i="16"/>
  <c r="T152" i="16"/>
  <c r="T153" i="16"/>
  <c r="T116" i="16"/>
  <c r="T149" i="16"/>
  <c r="T102" i="16"/>
  <c r="T124" i="16"/>
  <c r="T135" i="16"/>
  <c r="T91" i="16"/>
  <c r="T103" i="16"/>
  <c r="T123" i="16"/>
  <c r="T142" i="16"/>
  <c r="T119" i="16"/>
  <c r="T90" i="16"/>
  <c r="T97" i="16"/>
  <c r="T115" i="16"/>
  <c r="T112" i="16"/>
  <c r="T121" i="16"/>
  <c r="T89" i="16"/>
  <c r="T111" i="16"/>
  <c r="T113" i="16"/>
  <c r="T101" i="16"/>
  <c r="L5" i="15"/>
  <c r="L10" i="15"/>
  <c r="L9" i="15"/>
  <c r="L12" i="15"/>
  <c r="L13" i="15"/>
  <c r="L8" i="15"/>
  <c r="L6" i="15"/>
  <c r="L7" i="15"/>
  <c r="F8" i="15"/>
  <c r="S8" i="15" s="1"/>
  <c r="H3" i="15"/>
  <c r="I3" i="15"/>
  <c r="I16" i="15"/>
  <c r="H16" i="15"/>
  <c r="H2" i="15"/>
  <c r="I2" i="15"/>
  <c r="F7" i="15"/>
  <c r="F11" i="15"/>
  <c r="T11" i="15" s="1"/>
  <c r="F6" i="15"/>
  <c r="T6" i="15" s="1"/>
  <c r="F10" i="15"/>
  <c r="F13" i="15"/>
  <c r="S13" i="15" s="1"/>
  <c r="S4" i="15"/>
  <c r="F9" i="15"/>
  <c r="F12" i="15"/>
  <c r="R2" i="14"/>
  <c r="AT2" i="14"/>
  <c r="AX2" i="14"/>
  <c r="Q3" i="14"/>
  <c r="U3" i="14" s="1"/>
  <c r="V3" i="14" s="1"/>
  <c r="AW4" i="14"/>
  <c r="P4" i="14"/>
  <c r="AZ11" i="14"/>
  <c r="AU14" i="14"/>
  <c r="AX10" i="14"/>
  <c r="AX6" i="14"/>
  <c r="Q8" i="14"/>
  <c r="P8" i="14"/>
  <c r="BH5" i="14"/>
  <c r="AW7" i="14"/>
  <c r="AW21" i="14"/>
  <c r="AW25" i="14"/>
  <c r="AX34" i="14"/>
  <c r="AY2" i="14"/>
  <c r="AT4" i="14"/>
  <c r="AX4" i="14"/>
  <c r="P5" i="14"/>
  <c r="AX14" i="14"/>
  <c r="BC14" i="14" s="1"/>
  <c r="BG14" i="14"/>
  <c r="AY10" i="14"/>
  <c r="AU10" i="14"/>
  <c r="AW10" i="14"/>
  <c r="AZ10" i="14"/>
  <c r="BH10" i="14"/>
  <c r="R7" i="14"/>
  <c r="U7" i="14" s="1"/>
  <c r="AX15" i="14"/>
  <c r="AX22" i="14"/>
  <c r="AX26" i="14"/>
  <c r="BG134" i="14"/>
  <c r="BG143" i="14"/>
  <c r="BG114" i="14"/>
  <c r="AX137" i="14"/>
  <c r="AX134" i="14"/>
  <c r="AT134" i="14"/>
  <c r="AX143" i="14"/>
  <c r="AT143" i="14"/>
  <c r="AX99" i="14"/>
  <c r="AT99" i="14"/>
  <c r="BG137" i="14"/>
  <c r="BG138" i="14"/>
  <c r="AW134" i="14"/>
  <c r="AX109" i="14"/>
  <c r="AT109" i="14"/>
  <c r="BG139" i="14"/>
  <c r="AX114" i="14"/>
  <c r="AX118" i="14"/>
  <c r="AX119" i="14"/>
  <c r="AW80" i="14"/>
  <c r="AW114" i="14"/>
  <c r="AX95" i="14"/>
  <c r="BG69" i="14"/>
  <c r="BG77" i="14"/>
  <c r="BG94" i="14"/>
  <c r="BG84" i="14"/>
  <c r="BG85" i="14"/>
  <c r="BG91" i="14"/>
  <c r="BG132" i="14"/>
  <c r="AW143" i="14"/>
  <c r="AT118" i="14"/>
  <c r="AT114" i="14"/>
  <c r="AT129" i="14"/>
  <c r="AW144" i="14"/>
  <c r="AW95" i="14"/>
  <c r="AX69" i="14"/>
  <c r="AT69" i="14"/>
  <c r="BG148" i="14"/>
  <c r="AX77" i="14"/>
  <c r="AT77" i="14"/>
  <c r="BG113" i="14"/>
  <c r="AX94" i="14"/>
  <c r="AT94" i="14"/>
  <c r="BG128" i="14"/>
  <c r="AX129" i="14"/>
  <c r="BG144" i="14"/>
  <c r="AX148" i="14"/>
  <c r="BG103" i="14"/>
  <c r="AW84" i="14"/>
  <c r="AX93" i="14"/>
  <c r="AW85" i="14"/>
  <c r="AX89" i="14"/>
  <c r="AW91" i="14"/>
  <c r="AX90" i="14"/>
  <c r="AW132" i="14"/>
  <c r="AX76" i="14"/>
  <c r="BG75" i="14"/>
  <c r="BG74" i="14"/>
  <c r="AW74" i="14"/>
  <c r="AW112" i="14"/>
  <c r="AW69" i="14"/>
  <c r="AT148" i="14"/>
  <c r="AX113" i="14"/>
  <c r="BG142" i="14"/>
  <c r="AT84" i="14"/>
  <c r="AT85" i="14"/>
  <c r="AT91" i="14"/>
  <c r="AW99" i="14"/>
  <c r="BG73" i="14"/>
  <c r="AW130" i="14"/>
  <c r="AW77" i="14"/>
  <c r="AT113" i="14"/>
  <c r="AX128" i="14"/>
  <c r="BG122" i="14"/>
  <c r="AT93" i="14"/>
  <c r="BG88" i="14"/>
  <c r="AT89" i="14"/>
  <c r="BG87" i="14"/>
  <c r="AT90" i="14"/>
  <c r="BG146" i="14"/>
  <c r="AT132" i="14"/>
  <c r="AX70" i="14"/>
  <c r="AT74" i="14"/>
  <c r="BG112" i="14"/>
  <c r="BG100" i="14"/>
  <c r="BG121" i="14"/>
  <c r="BG152" i="14"/>
  <c r="AT119" i="14"/>
  <c r="BG93" i="14"/>
  <c r="BG89" i="14"/>
  <c r="BG90" i="14"/>
  <c r="AT112" i="14"/>
  <c r="AW100" i="14"/>
  <c r="AX96" i="14"/>
  <c r="AW121" i="14"/>
  <c r="AX151" i="14"/>
  <c r="AW152" i="14"/>
  <c r="AX157" i="14"/>
  <c r="BG155" i="14"/>
  <c r="AW155" i="14"/>
  <c r="AX154" i="14"/>
  <c r="AX84" i="14"/>
  <c r="AX85" i="14"/>
  <c r="AX91" i="14"/>
  <c r="AX132" i="14"/>
  <c r="AT76" i="14"/>
  <c r="AX74" i="14"/>
  <c r="AW94" i="14"/>
  <c r="AT128" i="14"/>
  <c r="AW75" i="14"/>
  <c r="AT96" i="14"/>
  <c r="AT151" i="14"/>
  <c r="AT155" i="14"/>
  <c r="AW70" i="14"/>
  <c r="AW71" i="14"/>
  <c r="AX112" i="14"/>
  <c r="BG141" i="14"/>
  <c r="AX100" i="14"/>
  <c r="BG96" i="14"/>
  <c r="AX121" i="14"/>
  <c r="BG151" i="14"/>
  <c r="AX152" i="14"/>
  <c r="AT157" i="14"/>
  <c r="AW110" i="14"/>
  <c r="AT100" i="14"/>
  <c r="AW150" i="14"/>
  <c r="AW111" i="14"/>
  <c r="AX105" i="14"/>
  <c r="AT105" i="14"/>
  <c r="BG104" i="14"/>
  <c r="AW107" i="14"/>
  <c r="AX136" i="14"/>
  <c r="AT136" i="14"/>
  <c r="BG140" i="14"/>
  <c r="AW79" i="14"/>
  <c r="AT121" i="14"/>
  <c r="AX155" i="14"/>
  <c r="BG154" i="14"/>
  <c r="AT110" i="14"/>
  <c r="AW105" i="14"/>
  <c r="AX104" i="14"/>
  <c r="AT104" i="14"/>
  <c r="AW136" i="14"/>
  <c r="AX140" i="14"/>
  <c r="AT140" i="14"/>
  <c r="AW82" i="14"/>
  <c r="AX78" i="14"/>
  <c r="AT152" i="14"/>
  <c r="BG157" i="14"/>
  <c r="AW149" i="14"/>
  <c r="AT154" i="14"/>
  <c r="AW104" i="14"/>
  <c r="AW140" i="14"/>
  <c r="AW78" i="14"/>
  <c r="AT82" i="14"/>
  <c r="AT65" i="14"/>
  <c r="AX60" i="14"/>
  <c r="AT60" i="14"/>
  <c r="AX59" i="14"/>
  <c r="AT59" i="14"/>
  <c r="AX50" i="14"/>
  <c r="AT50" i="14"/>
  <c r="AX49" i="14"/>
  <c r="AT49" i="14"/>
  <c r="AX120" i="14"/>
  <c r="AT120" i="14"/>
  <c r="BG83" i="14"/>
  <c r="AW66" i="14"/>
  <c r="AX64" i="14"/>
  <c r="AT64" i="14"/>
  <c r="AW65" i="14"/>
  <c r="AX57" i="14"/>
  <c r="AT57" i="14"/>
  <c r="AW60" i="14"/>
  <c r="AX58" i="14"/>
  <c r="AT58" i="14"/>
  <c r="AW59" i="14"/>
  <c r="AX52" i="14"/>
  <c r="AT52" i="14"/>
  <c r="AW50" i="14"/>
  <c r="AX48" i="14"/>
  <c r="AT48" i="14"/>
  <c r="AW49" i="14"/>
  <c r="AX82" i="14"/>
  <c r="BG78" i="14"/>
  <c r="AT78" i="14"/>
  <c r="AW120" i="14"/>
  <c r="AW64" i="14"/>
  <c r="AW57" i="14"/>
  <c r="AW58" i="14"/>
  <c r="AW52" i="14"/>
  <c r="AW48" i="14"/>
  <c r="AW45" i="14"/>
  <c r="AW41" i="14"/>
  <c r="AT41" i="14"/>
  <c r="AT9" i="14"/>
  <c r="AX44" i="14"/>
  <c r="BG41" i="14"/>
  <c r="AX36" i="14"/>
  <c r="AW33" i="14"/>
  <c r="AW26" i="14"/>
  <c r="AW35" i="14"/>
  <c r="AW22" i="14"/>
  <c r="AW19" i="14"/>
  <c r="AW15" i="14"/>
  <c r="AW9" i="14"/>
  <c r="AW6" i="14"/>
  <c r="AX45" i="14"/>
  <c r="AW44" i="14"/>
  <c r="AX41" i="14"/>
  <c r="AT45" i="14"/>
  <c r="AT44" i="14"/>
  <c r="AW34" i="14"/>
  <c r="AW30" i="14"/>
  <c r="AX29" i="14"/>
  <c r="AT29" i="14"/>
  <c r="AW28" i="14"/>
  <c r="AX25" i="14"/>
  <c r="AT25" i="14"/>
  <c r="AW23" i="14"/>
  <c r="AX32" i="14"/>
  <c r="AT32" i="14"/>
  <c r="AW20" i="14"/>
  <c r="AX21" i="14"/>
  <c r="AT21" i="14"/>
  <c r="AW16" i="14"/>
  <c r="AX17" i="14"/>
  <c r="AT17" i="14"/>
  <c r="AW8" i="14"/>
  <c r="AX7" i="14"/>
  <c r="AT7" i="14"/>
  <c r="BG9" i="14"/>
  <c r="AW5" i="14"/>
  <c r="AX3" i="14"/>
  <c r="AT3" i="14"/>
  <c r="AU2" i="14"/>
  <c r="BG2" i="14"/>
  <c r="AY134" i="14"/>
  <c r="AU134" i="14"/>
  <c r="AY143" i="14"/>
  <c r="AU143" i="14"/>
  <c r="AY99" i="14"/>
  <c r="AU99" i="14"/>
  <c r="AY114" i="14"/>
  <c r="AU114" i="14"/>
  <c r="AY109" i="14"/>
  <c r="AU109" i="14"/>
  <c r="AY118" i="14"/>
  <c r="AU118" i="14"/>
  <c r="AY138" i="14"/>
  <c r="AU138" i="14"/>
  <c r="AY139" i="14"/>
  <c r="AU139" i="14"/>
  <c r="AU125" i="14"/>
  <c r="AY119" i="14"/>
  <c r="AY144" i="14"/>
  <c r="AY69" i="14"/>
  <c r="AU69" i="14"/>
  <c r="AY77" i="14"/>
  <c r="AU77" i="14"/>
  <c r="AY94" i="14"/>
  <c r="AU94" i="14"/>
  <c r="AY84" i="14"/>
  <c r="AU84" i="14"/>
  <c r="AY85" i="14"/>
  <c r="AU85" i="14"/>
  <c r="AY91" i="14"/>
  <c r="AU91" i="14"/>
  <c r="AY132" i="14"/>
  <c r="AU119" i="14"/>
  <c r="AY129" i="14"/>
  <c r="AY148" i="14"/>
  <c r="AU148" i="14"/>
  <c r="AY113" i="14"/>
  <c r="AU113" i="14"/>
  <c r="AY128" i="14"/>
  <c r="AU128" i="14"/>
  <c r="AU142" i="14"/>
  <c r="AY122" i="14"/>
  <c r="AU88" i="14"/>
  <c r="AU87" i="14"/>
  <c r="AU146" i="14"/>
  <c r="AU93" i="14"/>
  <c r="AU89" i="14"/>
  <c r="AU90" i="14"/>
  <c r="AU132" i="14"/>
  <c r="AU74" i="14"/>
  <c r="AY125" i="14"/>
  <c r="AY103" i="14"/>
  <c r="BH97" i="14"/>
  <c r="AY88" i="14"/>
  <c r="AY87" i="14"/>
  <c r="AY146" i="14"/>
  <c r="AY75" i="14"/>
  <c r="AY74" i="14"/>
  <c r="AY112" i="14"/>
  <c r="AU112" i="14"/>
  <c r="AY100" i="14"/>
  <c r="AU100" i="14"/>
  <c r="AY121" i="14"/>
  <c r="AU121" i="14"/>
  <c r="AY152" i="14"/>
  <c r="AU152" i="14"/>
  <c r="AY73" i="14"/>
  <c r="AU103" i="14"/>
  <c r="AY142" i="14"/>
  <c r="AY76" i="14"/>
  <c r="BH75" i="14"/>
  <c r="BH157" i="14"/>
  <c r="BI157" i="14" s="1"/>
  <c r="BH154" i="14"/>
  <c r="BI154" i="14" s="1"/>
  <c r="BH116" i="14"/>
  <c r="AY93" i="14"/>
  <c r="BH92" i="14"/>
  <c r="AY89" i="14"/>
  <c r="BH86" i="14"/>
  <c r="AY90" i="14"/>
  <c r="BH101" i="14"/>
  <c r="BH70" i="14"/>
  <c r="AZ116" i="14"/>
  <c r="AZ92" i="14"/>
  <c r="AZ86" i="14"/>
  <c r="AZ101" i="14"/>
  <c r="AU141" i="14"/>
  <c r="AY155" i="14"/>
  <c r="AY96" i="14"/>
  <c r="AY151" i="14"/>
  <c r="AU96" i="14"/>
  <c r="AU151" i="14"/>
  <c r="BH156" i="14"/>
  <c r="AY154" i="14"/>
  <c r="AY104" i="14"/>
  <c r="AU104" i="14"/>
  <c r="AY140" i="14"/>
  <c r="AU140" i="14"/>
  <c r="AY141" i="14"/>
  <c r="AZ156" i="14"/>
  <c r="AY157" i="14"/>
  <c r="AZ149" i="14"/>
  <c r="BH110" i="14"/>
  <c r="BH149" i="14"/>
  <c r="AU155" i="14"/>
  <c r="AZ110" i="14"/>
  <c r="AY78" i="14"/>
  <c r="AY120" i="14"/>
  <c r="AU120" i="14"/>
  <c r="AY64" i="14"/>
  <c r="AU64" i="14"/>
  <c r="AY57" i="14"/>
  <c r="AU57" i="14"/>
  <c r="AY58" i="14"/>
  <c r="AU58" i="14"/>
  <c r="AY52" i="14"/>
  <c r="AU52" i="14"/>
  <c r="AY48" i="14"/>
  <c r="AU48" i="14"/>
  <c r="AY45" i="14"/>
  <c r="AU45" i="14"/>
  <c r="AU78" i="14"/>
  <c r="AY83" i="14"/>
  <c r="AU83" i="14"/>
  <c r="AY63" i="14"/>
  <c r="AU63" i="14"/>
  <c r="AY61" i="14"/>
  <c r="AU61" i="14"/>
  <c r="AY55" i="14"/>
  <c r="AU55" i="14"/>
  <c r="AY53" i="14"/>
  <c r="AU53" i="14"/>
  <c r="AY47" i="14"/>
  <c r="AU47" i="14"/>
  <c r="AY40" i="14"/>
  <c r="AU40" i="14"/>
  <c r="AY41" i="14"/>
  <c r="AY30" i="14"/>
  <c r="AU30" i="14"/>
  <c r="AY28" i="14"/>
  <c r="AU28" i="14"/>
  <c r="AY23" i="14"/>
  <c r="AU23" i="14"/>
  <c r="AY20" i="14"/>
  <c r="AU20" i="14"/>
  <c r="AY16" i="14"/>
  <c r="AU16" i="14"/>
  <c r="AY8" i="14"/>
  <c r="AU8" i="14"/>
  <c r="AY5" i="14"/>
  <c r="AU5" i="14"/>
  <c r="AU41" i="14"/>
  <c r="AY33" i="14"/>
  <c r="AU33" i="14"/>
  <c r="AY26" i="14"/>
  <c r="AU26" i="14"/>
  <c r="AY35" i="14"/>
  <c r="AU35" i="14"/>
  <c r="AY22" i="14"/>
  <c r="AU22" i="14"/>
  <c r="AY19" i="14"/>
  <c r="AU19" i="14"/>
  <c r="AY15" i="14"/>
  <c r="AU15" i="14"/>
  <c r="AY9" i="14"/>
  <c r="AU9" i="14"/>
  <c r="AZ2" i="14"/>
  <c r="AU4" i="14"/>
  <c r="AY4" i="14"/>
  <c r="AT11" i="14"/>
  <c r="Q5" i="14"/>
  <c r="AW14" i="14"/>
  <c r="AT10" i="14"/>
  <c r="R8" i="14"/>
  <c r="AW3" i="14"/>
  <c r="BG12" i="14"/>
  <c r="U15" i="14"/>
  <c r="W15" i="14" s="1"/>
  <c r="AW17" i="14"/>
  <c r="U23" i="14"/>
  <c r="W23" i="14" s="1"/>
  <c r="AW32" i="14"/>
  <c r="U31" i="14"/>
  <c r="W31" i="14" s="1"/>
  <c r="AW29" i="14"/>
  <c r="AZ4" i="14"/>
  <c r="AU11" i="14"/>
  <c r="AY11" i="14"/>
  <c r="BG11" i="14"/>
  <c r="AT14" i="14"/>
  <c r="AY14" i="14"/>
  <c r="AU6" i="14"/>
  <c r="AX9" i="14"/>
  <c r="U13" i="14"/>
  <c r="W13" i="14" s="1"/>
  <c r="AX19" i="14"/>
  <c r="U21" i="14"/>
  <c r="W21" i="14" s="1"/>
  <c r="AX35" i="14"/>
  <c r="U29" i="14"/>
  <c r="W29" i="14" s="1"/>
  <c r="AX33" i="14"/>
  <c r="AW38" i="14"/>
  <c r="AW39" i="14"/>
  <c r="AZ12" i="14"/>
  <c r="R12" i="14"/>
  <c r="U12" i="14" s="1"/>
  <c r="AZ13" i="14"/>
  <c r="BH13" i="14"/>
  <c r="R16" i="14"/>
  <c r="U16" i="14" s="1"/>
  <c r="AZ18" i="14"/>
  <c r="R20" i="14"/>
  <c r="U20" i="14" s="1"/>
  <c r="AZ24" i="14"/>
  <c r="R24" i="14"/>
  <c r="U24" i="14" s="1"/>
  <c r="AZ27" i="14"/>
  <c r="R28" i="14"/>
  <c r="U28" i="14" s="1"/>
  <c r="AZ37" i="14"/>
  <c r="R32" i="14"/>
  <c r="U32" i="14" s="1"/>
  <c r="AZ31" i="14"/>
  <c r="R36" i="14"/>
  <c r="U36" i="14" s="1"/>
  <c r="AW42" i="14"/>
  <c r="AX42" i="14"/>
  <c r="AT42" i="14"/>
  <c r="AZ42" i="14"/>
  <c r="AX54" i="14"/>
  <c r="AW61" i="14"/>
  <c r="AY123" i="14"/>
  <c r="P7" i="14"/>
  <c r="AZ6" i="14"/>
  <c r="BH6" i="14"/>
  <c r="AU3" i="14"/>
  <c r="AY3" i="14"/>
  <c r="AT5" i="14"/>
  <c r="AX5" i="14"/>
  <c r="Q10" i="14"/>
  <c r="U10" i="14" s="1"/>
  <c r="V10" i="14" s="1"/>
  <c r="AW12" i="14"/>
  <c r="P11" i="14"/>
  <c r="AZ9" i="14"/>
  <c r="AU7" i="14"/>
  <c r="AY7" i="14"/>
  <c r="BG7" i="14"/>
  <c r="AT8" i="14"/>
  <c r="AX8" i="14"/>
  <c r="Q14" i="14"/>
  <c r="AW13" i="14"/>
  <c r="P15" i="14"/>
  <c r="AZ15" i="14"/>
  <c r="AU17" i="14"/>
  <c r="AY17" i="14"/>
  <c r="R17" i="14"/>
  <c r="U17" i="14" s="1"/>
  <c r="AT16" i="14"/>
  <c r="AX16" i="14"/>
  <c r="Q18" i="14"/>
  <c r="AW18" i="14"/>
  <c r="P19" i="14"/>
  <c r="AZ19" i="14"/>
  <c r="AU21" i="14"/>
  <c r="AY21" i="14"/>
  <c r="AT20" i="14"/>
  <c r="AX20" i="14"/>
  <c r="Q22" i="14"/>
  <c r="U22" i="14" s="1"/>
  <c r="V22" i="14" s="1"/>
  <c r="AW24" i="14"/>
  <c r="P23" i="14"/>
  <c r="AZ22" i="14"/>
  <c r="AU32" i="14"/>
  <c r="AY32" i="14"/>
  <c r="AT23" i="14"/>
  <c r="AX23" i="14"/>
  <c r="Q26" i="14"/>
  <c r="U26" i="14" s="1"/>
  <c r="V26" i="14" s="1"/>
  <c r="AW27" i="14"/>
  <c r="P27" i="14"/>
  <c r="AZ35" i="14"/>
  <c r="AU25" i="14"/>
  <c r="AY25" i="14"/>
  <c r="BG25" i="14"/>
  <c r="AT28" i="14"/>
  <c r="AX28" i="14"/>
  <c r="Q30" i="14"/>
  <c r="U30" i="14" s="1"/>
  <c r="V30" i="14" s="1"/>
  <c r="AW37" i="14"/>
  <c r="P31" i="14"/>
  <c r="AZ26" i="14"/>
  <c r="AU29" i="14"/>
  <c r="AY29" i="14"/>
  <c r="AT30" i="14"/>
  <c r="AX30" i="14"/>
  <c r="Q34" i="14"/>
  <c r="U34" i="14" s="1"/>
  <c r="V34" i="14" s="1"/>
  <c r="AW31" i="14"/>
  <c r="P35" i="14"/>
  <c r="AZ33" i="14"/>
  <c r="Q37" i="14"/>
  <c r="U37" i="14" s="1"/>
  <c r="V37" i="14" s="1"/>
  <c r="AW36" i="14"/>
  <c r="P38" i="14"/>
  <c r="AU42" i="14"/>
  <c r="R41" i="14"/>
  <c r="U41" i="14" s="1"/>
  <c r="AX51" i="14"/>
  <c r="U54" i="14"/>
  <c r="V54" i="14" s="1"/>
  <c r="AW55" i="14"/>
  <c r="U66" i="14"/>
  <c r="W66" i="14" s="1"/>
  <c r="AX67" i="14"/>
  <c r="AZ3" i="14"/>
  <c r="BH3" i="14"/>
  <c r="AT12" i="14"/>
  <c r="AX12" i="14"/>
  <c r="P12" i="14"/>
  <c r="AZ7" i="14"/>
  <c r="AT13" i="14"/>
  <c r="AX13" i="14"/>
  <c r="P16" i="14"/>
  <c r="AZ17" i="14"/>
  <c r="AT18" i="14"/>
  <c r="AX18" i="14"/>
  <c r="BC18" i="14" s="1"/>
  <c r="P20" i="14"/>
  <c r="AZ21" i="14"/>
  <c r="AT24" i="14"/>
  <c r="AX24" i="14"/>
  <c r="P24" i="14"/>
  <c r="AZ32" i="14"/>
  <c r="AT27" i="14"/>
  <c r="AX27" i="14"/>
  <c r="BC27" i="14" s="1"/>
  <c r="P28" i="14"/>
  <c r="AZ25" i="14"/>
  <c r="AT37" i="14"/>
  <c r="AX37" i="14"/>
  <c r="P32" i="14"/>
  <c r="AZ29" i="14"/>
  <c r="AT31" i="14"/>
  <c r="AX31" i="14"/>
  <c r="BC31" i="14" s="1"/>
  <c r="P36" i="14"/>
  <c r="AZ34" i="14"/>
  <c r="AT34" i="14"/>
  <c r="AY34" i="14"/>
  <c r="AX38" i="14"/>
  <c r="AT38" i="14"/>
  <c r="AY38" i="14"/>
  <c r="AU38" i="14"/>
  <c r="AZ38" i="14"/>
  <c r="BH38" i="14"/>
  <c r="AX39" i="14"/>
  <c r="AT39" i="14"/>
  <c r="AY39" i="14"/>
  <c r="AU39" i="14"/>
  <c r="AZ39" i="14"/>
  <c r="AX46" i="14"/>
  <c r="AW53" i="14"/>
  <c r="U53" i="14"/>
  <c r="V53" i="14" s="1"/>
  <c r="AX62" i="14"/>
  <c r="AW83" i="14"/>
  <c r="BG126" i="14"/>
  <c r="BG81" i="14"/>
  <c r="AT6" i="14"/>
  <c r="AZ5" i="14"/>
  <c r="AU12" i="14"/>
  <c r="AY12" i="14"/>
  <c r="AZ8" i="14"/>
  <c r="AU13" i="14"/>
  <c r="AY13" i="14"/>
  <c r="AT15" i="14"/>
  <c r="AZ16" i="14"/>
  <c r="AU18" i="14"/>
  <c r="AY18" i="14"/>
  <c r="AT19" i="14"/>
  <c r="AZ20" i="14"/>
  <c r="AU24" i="14"/>
  <c r="AY24" i="14"/>
  <c r="AT22" i="14"/>
  <c r="AZ23" i="14"/>
  <c r="AU27" i="14"/>
  <c r="AY27" i="14"/>
  <c r="AT35" i="14"/>
  <c r="AZ28" i="14"/>
  <c r="AU37" i="14"/>
  <c r="AY37" i="14"/>
  <c r="AT26" i="14"/>
  <c r="AZ30" i="14"/>
  <c r="AU31" i="14"/>
  <c r="AY31" i="14"/>
  <c r="AT33" i="14"/>
  <c r="AU34" i="14"/>
  <c r="AY36" i="14"/>
  <c r="AU36" i="14"/>
  <c r="AT36" i="14"/>
  <c r="AZ36" i="14"/>
  <c r="R38" i="14"/>
  <c r="U38" i="14" s="1"/>
  <c r="AY42" i="14"/>
  <c r="P40" i="14"/>
  <c r="Q40" i="14"/>
  <c r="U40" i="14" s="1"/>
  <c r="AW40" i="14"/>
  <c r="BA40" i="14" s="1"/>
  <c r="P44" i="14"/>
  <c r="Q44" i="14"/>
  <c r="U44" i="14" s="1"/>
  <c r="AW47" i="14"/>
  <c r="AX56" i="14"/>
  <c r="AW63" i="14"/>
  <c r="BH120" i="14"/>
  <c r="R39" i="14"/>
  <c r="AZ44" i="14"/>
  <c r="R43" i="14"/>
  <c r="U43" i="14" s="1"/>
  <c r="AT40" i="14"/>
  <c r="AX40" i="14"/>
  <c r="P45" i="14"/>
  <c r="AZ49" i="14"/>
  <c r="AU46" i="14"/>
  <c r="AY46" i="14"/>
  <c r="R47" i="14"/>
  <c r="U47" i="14" s="1"/>
  <c r="AT47" i="14"/>
  <c r="AX47" i="14"/>
  <c r="Q48" i="14"/>
  <c r="P49" i="14"/>
  <c r="AZ50" i="14"/>
  <c r="AU51" i="14"/>
  <c r="AY51" i="14"/>
  <c r="R51" i="14"/>
  <c r="U51" i="14" s="1"/>
  <c r="AT53" i="14"/>
  <c r="AX53" i="14"/>
  <c r="Q52" i="14"/>
  <c r="P53" i="14"/>
  <c r="AZ59" i="14"/>
  <c r="AU54" i="14"/>
  <c r="AY54" i="14"/>
  <c r="R55" i="14"/>
  <c r="U55" i="14" s="1"/>
  <c r="AT55" i="14"/>
  <c r="AX55" i="14"/>
  <c r="Q56" i="14"/>
  <c r="P57" i="14"/>
  <c r="AZ60" i="14"/>
  <c r="AU56" i="14"/>
  <c r="AY56" i="14"/>
  <c r="R59" i="14"/>
  <c r="U59" i="14" s="1"/>
  <c r="AT61" i="14"/>
  <c r="AX61" i="14"/>
  <c r="Q60" i="14"/>
  <c r="P61" i="14"/>
  <c r="AZ65" i="14"/>
  <c r="AU62" i="14"/>
  <c r="AY62" i="14"/>
  <c r="R63" i="14"/>
  <c r="U63" i="14" s="1"/>
  <c r="AT63" i="14"/>
  <c r="AX63" i="14"/>
  <c r="Q64" i="14"/>
  <c r="AZ66" i="14"/>
  <c r="AU67" i="14"/>
  <c r="AY67" i="14"/>
  <c r="R67" i="14"/>
  <c r="U67" i="14" s="1"/>
  <c r="AT83" i="14"/>
  <c r="AX83" i="14"/>
  <c r="Q68" i="14"/>
  <c r="AZ126" i="14"/>
  <c r="BH126" i="14"/>
  <c r="AU123" i="14"/>
  <c r="Q71" i="14"/>
  <c r="AY81" i="14"/>
  <c r="P73" i="14"/>
  <c r="Q73" i="14"/>
  <c r="BG82" i="14"/>
  <c r="AX79" i="14"/>
  <c r="AW108" i="14"/>
  <c r="AY102" i="14"/>
  <c r="AZ46" i="14"/>
  <c r="R48" i="14"/>
  <c r="AZ51" i="14"/>
  <c r="R52" i="14"/>
  <c r="AZ54" i="14"/>
  <c r="R56" i="14"/>
  <c r="AZ56" i="14"/>
  <c r="R60" i="14"/>
  <c r="AZ62" i="14"/>
  <c r="R64" i="14"/>
  <c r="AZ67" i="14"/>
  <c r="R68" i="14"/>
  <c r="AW126" i="14"/>
  <c r="BG123" i="14"/>
  <c r="AZ123" i="14"/>
  <c r="R71" i="14"/>
  <c r="AX98" i="14"/>
  <c r="AT98" i="14"/>
  <c r="BG98" i="14"/>
  <c r="AY98" i="14"/>
  <c r="AU98" i="14"/>
  <c r="AW81" i="14"/>
  <c r="AX81" i="14"/>
  <c r="AT81" i="14"/>
  <c r="AZ81" i="14"/>
  <c r="BH81" i="14"/>
  <c r="AW43" i="14"/>
  <c r="BH104" i="14"/>
  <c r="AX111" i="14"/>
  <c r="AZ40" i="14"/>
  <c r="AW46" i="14"/>
  <c r="AZ47" i="14"/>
  <c r="AW51" i="14"/>
  <c r="AZ53" i="14"/>
  <c r="AW54" i="14"/>
  <c r="AZ55" i="14"/>
  <c r="AW56" i="14"/>
  <c r="AZ61" i="14"/>
  <c r="AX65" i="14"/>
  <c r="AW62" i="14"/>
  <c r="AZ63" i="14"/>
  <c r="AT66" i="14"/>
  <c r="AX66" i="14"/>
  <c r="AW67" i="14"/>
  <c r="P67" i="14"/>
  <c r="AZ83" i="14"/>
  <c r="BH83" i="14"/>
  <c r="BG120" i="14"/>
  <c r="AT126" i="14"/>
  <c r="AX126" i="14"/>
  <c r="AW123" i="14"/>
  <c r="BA123" i="14" s="1"/>
  <c r="AW98" i="14"/>
  <c r="AU81" i="14"/>
  <c r="R73" i="14"/>
  <c r="Q74" i="14"/>
  <c r="U74" i="14" s="1"/>
  <c r="V74" i="14" s="1"/>
  <c r="P74" i="14"/>
  <c r="BH140" i="14"/>
  <c r="BI140" i="14" s="1"/>
  <c r="AX107" i="14"/>
  <c r="BG105" i="14"/>
  <c r="AZ41" i="14"/>
  <c r="AU44" i="14"/>
  <c r="AY44" i="14"/>
  <c r="AZ45" i="14"/>
  <c r="AU49" i="14"/>
  <c r="AY49" i="14"/>
  <c r="AT46" i="14"/>
  <c r="AZ48" i="14"/>
  <c r="AU50" i="14"/>
  <c r="AY50" i="14"/>
  <c r="AT51" i="14"/>
  <c r="AZ52" i="14"/>
  <c r="AU59" i="14"/>
  <c r="AY59" i="14"/>
  <c r="AT54" i="14"/>
  <c r="AZ58" i="14"/>
  <c r="AU60" i="14"/>
  <c r="AY60" i="14"/>
  <c r="AT56" i="14"/>
  <c r="AZ57" i="14"/>
  <c r="AU65" i="14"/>
  <c r="AY65" i="14"/>
  <c r="AT62" i="14"/>
  <c r="AZ64" i="14"/>
  <c r="AU66" i="14"/>
  <c r="AY66" i="14"/>
  <c r="AT67" i="14"/>
  <c r="AZ120" i="14"/>
  <c r="AU126" i="14"/>
  <c r="AY126" i="14"/>
  <c r="AT123" i="14"/>
  <c r="AX123" i="14"/>
  <c r="BH123" i="14"/>
  <c r="AZ98" i="14"/>
  <c r="BH98" i="14"/>
  <c r="Q72" i="14"/>
  <c r="BH78" i="14"/>
  <c r="BG136" i="14"/>
  <c r="AW106" i="14"/>
  <c r="AZ153" i="14"/>
  <c r="R72" i="14"/>
  <c r="AZ82" i="14"/>
  <c r="BH82" i="14"/>
  <c r="AU79" i="14"/>
  <c r="AY79" i="14"/>
  <c r="BG79" i="14"/>
  <c r="R76" i="14"/>
  <c r="U76" i="14" s="1"/>
  <c r="AT43" i="14"/>
  <c r="AX43" i="14"/>
  <c r="Q77" i="14"/>
  <c r="P78" i="14"/>
  <c r="AZ136" i="14"/>
  <c r="BH136" i="14"/>
  <c r="AU107" i="14"/>
  <c r="AY107" i="14"/>
  <c r="BG107" i="14"/>
  <c r="R80" i="14"/>
  <c r="U80" i="14" s="1"/>
  <c r="AT108" i="14"/>
  <c r="AX108" i="14"/>
  <c r="Q81" i="14"/>
  <c r="P82" i="14"/>
  <c r="AZ105" i="14"/>
  <c r="BH105" i="14"/>
  <c r="AU111" i="14"/>
  <c r="AY111" i="14"/>
  <c r="BG111" i="14"/>
  <c r="R84" i="14"/>
  <c r="AT106" i="14"/>
  <c r="AX106" i="14"/>
  <c r="Q85" i="14"/>
  <c r="AX102" i="14"/>
  <c r="BH102" i="14"/>
  <c r="P89" i="14"/>
  <c r="R89" i="14"/>
  <c r="U89" i="14" s="1"/>
  <c r="W94" i="14"/>
  <c r="AX131" i="14"/>
  <c r="AT131" i="14"/>
  <c r="AW131" i="14"/>
  <c r="AU131" i="14"/>
  <c r="BG131" i="14"/>
  <c r="AY131" i="14"/>
  <c r="AX141" i="14"/>
  <c r="BH68" i="14"/>
  <c r="AZ79" i="14"/>
  <c r="BH79" i="14"/>
  <c r="AU43" i="14"/>
  <c r="AY43" i="14"/>
  <c r="BG43" i="14"/>
  <c r="R77" i="14"/>
  <c r="Q78" i="14"/>
  <c r="AZ107" i="14"/>
  <c r="BH107" i="14"/>
  <c r="AU108" i="14"/>
  <c r="AY108" i="14"/>
  <c r="BG108" i="14"/>
  <c r="R81" i="14"/>
  <c r="Q82" i="14"/>
  <c r="U82" i="14" s="1"/>
  <c r="V82" i="14" s="1"/>
  <c r="AZ111" i="14"/>
  <c r="BH111" i="14"/>
  <c r="AU106" i="14"/>
  <c r="AY106" i="14"/>
  <c r="BG106" i="14"/>
  <c r="R85" i="14"/>
  <c r="AT102" i="14"/>
  <c r="P86" i="14"/>
  <c r="AX150" i="14"/>
  <c r="AT150" i="14"/>
  <c r="AY150" i="14"/>
  <c r="AU150" i="14"/>
  <c r="BH152" i="14"/>
  <c r="AZ43" i="14"/>
  <c r="AZ108" i="14"/>
  <c r="BH108" i="14"/>
  <c r="AZ106" i="14"/>
  <c r="BH106" i="14"/>
  <c r="AW102" i="14"/>
  <c r="AU102" i="14"/>
  <c r="AZ102" i="14"/>
  <c r="AX153" i="14"/>
  <c r="AT153" i="14"/>
  <c r="BG153" i="14"/>
  <c r="AY153" i="14"/>
  <c r="AU153" i="14"/>
  <c r="BH150" i="14"/>
  <c r="AZ131" i="14"/>
  <c r="Q105" i="14"/>
  <c r="P105" i="14"/>
  <c r="R105" i="14"/>
  <c r="AZ78" i="14"/>
  <c r="AU82" i="14"/>
  <c r="AY82" i="14"/>
  <c r="AT79" i="14"/>
  <c r="AZ140" i="14"/>
  <c r="AU136" i="14"/>
  <c r="AY136" i="14"/>
  <c r="AT107" i="14"/>
  <c r="AZ104" i="14"/>
  <c r="AU105" i="14"/>
  <c r="AY105" i="14"/>
  <c r="AT111" i="14"/>
  <c r="BG102" i="14"/>
  <c r="Q86" i="14"/>
  <c r="U86" i="14" s="1"/>
  <c r="W86" i="14" s="1"/>
  <c r="AW153" i="14"/>
  <c r="BH153" i="14"/>
  <c r="BG149" i="14"/>
  <c r="AY149" i="14"/>
  <c r="AU149" i="14"/>
  <c r="AX149" i="14"/>
  <c r="AT149" i="14"/>
  <c r="AZ150" i="14"/>
  <c r="R92" i="14"/>
  <c r="P93" i="14"/>
  <c r="R93" i="14"/>
  <c r="U93" i="14" s="1"/>
  <c r="AX156" i="14"/>
  <c r="AT156" i="14"/>
  <c r="AW156" i="14"/>
  <c r="AU156" i="14"/>
  <c r="BG156" i="14"/>
  <c r="AY156" i="14"/>
  <c r="BH131" i="14"/>
  <c r="BI131" i="14" s="1"/>
  <c r="BG147" i="14"/>
  <c r="AY147" i="14"/>
  <c r="AU147" i="14"/>
  <c r="AX147" i="14"/>
  <c r="AT147" i="14"/>
  <c r="AZ147" i="14"/>
  <c r="BH147" i="14"/>
  <c r="AW151" i="14"/>
  <c r="BH121" i="14"/>
  <c r="BG127" i="14"/>
  <c r="AY127" i="14"/>
  <c r="AU127" i="14"/>
  <c r="AX127" i="14"/>
  <c r="AT127" i="14"/>
  <c r="AZ127" i="14"/>
  <c r="AW96" i="14"/>
  <c r="BH100" i="14"/>
  <c r="BG145" i="14"/>
  <c r="AY145" i="14"/>
  <c r="AU145" i="14"/>
  <c r="AX145" i="14"/>
  <c r="AT145" i="14"/>
  <c r="AZ145" i="14"/>
  <c r="BH145" i="14"/>
  <c r="BH112" i="14"/>
  <c r="BH71" i="14"/>
  <c r="AW90" i="14"/>
  <c r="P116" i="14"/>
  <c r="R116" i="14"/>
  <c r="Q116" i="14"/>
  <c r="BH91" i="14"/>
  <c r="AW89" i="14"/>
  <c r="P120" i="14"/>
  <c r="R120" i="14"/>
  <c r="Q120" i="14"/>
  <c r="BH85" i="14"/>
  <c r="AW93" i="14"/>
  <c r="P124" i="14"/>
  <c r="R124" i="14"/>
  <c r="Q124" i="14"/>
  <c r="BH84" i="14"/>
  <c r="BH94" i="14"/>
  <c r="BG110" i="14"/>
  <c r="AY110" i="14"/>
  <c r="AU110" i="14"/>
  <c r="AX110" i="14"/>
  <c r="BC110" i="14" s="1"/>
  <c r="Q88" i="14"/>
  <c r="U88" i="14" s="1"/>
  <c r="V88" i="14" s="1"/>
  <c r="AW154" i="14"/>
  <c r="AU154" i="14"/>
  <c r="AZ154" i="14"/>
  <c r="BH155" i="14"/>
  <c r="Q92" i="14"/>
  <c r="AW157" i="14"/>
  <c r="AU157" i="14"/>
  <c r="AZ157" i="14"/>
  <c r="Q96" i="14"/>
  <c r="U96" i="14" s="1"/>
  <c r="P96" i="14"/>
  <c r="Q100" i="14"/>
  <c r="P100" i="14"/>
  <c r="BG115" i="14"/>
  <c r="AY115" i="14"/>
  <c r="AU115" i="14"/>
  <c r="AX115" i="14"/>
  <c r="AT115" i="14"/>
  <c r="AW115" i="14"/>
  <c r="BA115" i="14" s="1"/>
  <c r="AZ115" i="14"/>
  <c r="R104" i="14"/>
  <c r="Q130" i="14"/>
  <c r="P130" i="14"/>
  <c r="BG68" i="14"/>
  <c r="AY68" i="14"/>
  <c r="AU68" i="14"/>
  <c r="AX68" i="14"/>
  <c r="AT68" i="14"/>
  <c r="AW68" i="14"/>
  <c r="AZ68" i="14"/>
  <c r="P112" i="14"/>
  <c r="R112" i="14"/>
  <c r="Q112" i="14"/>
  <c r="U112" i="14" s="1"/>
  <c r="W112" i="14" s="1"/>
  <c r="AW147" i="14"/>
  <c r="R97" i="14"/>
  <c r="U97" i="14" s="1"/>
  <c r="AW127" i="14"/>
  <c r="R100" i="14"/>
  <c r="R101" i="14"/>
  <c r="U101" i="14" s="1"/>
  <c r="AW145" i="14"/>
  <c r="BH115" i="14"/>
  <c r="BG101" i="14"/>
  <c r="AY101" i="14"/>
  <c r="AU101" i="14"/>
  <c r="AX101" i="14"/>
  <c r="BC101" i="14" s="1"/>
  <c r="AT101" i="14"/>
  <c r="AW101" i="14"/>
  <c r="BA101" i="14" s="1"/>
  <c r="BG86" i="14"/>
  <c r="AY86" i="14"/>
  <c r="AU86" i="14"/>
  <c r="AX86" i="14"/>
  <c r="AT86" i="14"/>
  <c r="AW86" i="14"/>
  <c r="BG92" i="14"/>
  <c r="AY92" i="14"/>
  <c r="AU92" i="14"/>
  <c r="AX92" i="14"/>
  <c r="AT92" i="14"/>
  <c r="AW92" i="14"/>
  <c r="BG116" i="14"/>
  <c r="AY116" i="14"/>
  <c r="AU116" i="14"/>
  <c r="AX116" i="14"/>
  <c r="AT116" i="14"/>
  <c r="AW116" i="14"/>
  <c r="AX142" i="14"/>
  <c r="Q131" i="14"/>
  <c r="P131" i="14"/>
  <c r="BG133" i="14"/>
  <c r="AY133" i="14"/>
  <c r="AU133" i="14"/>
  <c r="AX133" i="14"/>
  <c r="AT133" i="14"/>
  <c r="AW133" i="14"/>
  <c r="AZ133" i="14"/>
  <c r="AX125" i="14"/>
  <c r="AY117" i="14"/>
  <c r="AU117" i="14"/>
  <c r="AX117" i="14"/>
  <c r="AT117" i="14"/>
  <c r="AW117" i="14"/>
  <c r="AZ117" i="14"/>
  <c r="AX138" i="14"/>
  <c r="W158" i="14"/>
  <c r="AZ151" i="14"/>
  <c r="BH151" i="14"/>
  <c r="AZ96" i="14"/>
  <c r="BH96" i="14"/>
  <c r="P104" i="14"/>
  <c r="AZ141" i="14"/>
  <c r="BH141" i="14"/>
  <c r="BI141" i="14" s="1"/>
  <c r="AT71" i="14"/>
  <c r="AX71" i="14"/>
  <c r="P108" i="14"/>
  <c r="BH74" i="14"/>
  <c r="AW76" i="14"/>
  <c r="AU76" i="14"/>
  <c r="AZ76" i="14"/>
  <c r="BH132" i="14"/>
  <c r="BI132" i="14" s="1"/>
  <c r="U114" i="14"/>
  <c r="W114" i="14" s="1"/>
  <c r="Q115" i="14"/>
  <c r="P115" i="14"/>
  <c r="U118" i="14"/>
  <c r="W118" i="14" s="1"/>
  <c r="Q119" i="14"/>
  <c r="P119" i="14"/>
  <c r="U122" i="14"/>
  <c r="W122" i="14" s="1"/>
  <c r="Q123" i="14"/>
  <c r="P123" i="14"/>
  <c r="AW128" i="14"/>
  <c r="BH77" i="14"/>
  <c r="Q134" i="14"/>
  <c r="U134" i="14" s="1"/>
  <c r="W134" i="14" s="1"/>
  <c r="P134" i="14"/>
  <c r="AX103" i="14"/>
  <c r="Q135" i="14"/>
  <c r="P135" i="14"/>
  <c r="AY72" i="14"/>
  <c r="AU72" i="14"/>
  <c r="AX72" i="14"/>
  <c r="AT72" i="14"/>
  <c r="AW72" i="14"/>
  <c r="AZ72" i="14"/>
  <c r="Q148" i="14"/>
  <c r="P148" i="14"/>
  <c r="AZ155" i="14"/>
  <c r="AZ152" i="14"/>
  <c r="AZ121" i="14"/>
  <c r="AZ100" i="14"/>
  <c r="Q104" i="14"/>
  <c r="AW141" i="14"/>
  <c r="AZ112" i="14"/>
  <c r="AU71" i="14"/>
  <c r="AY71" i="14"/>
  <c r="BG71" i="14"/>
  <c r="Q108" i="14"/>
  <c r="BG70" i="14"/>
  <c r="AY70" i="14"/>
  <c r="AU70" i="14"/>
  <c r="AT70" i="14"/>
  <c r="AZ70" i="14"/>
  <c r="R110" i="14"/>
  <c r="U110" i="14" s="1"/>
  <c r="AX75" i="14"/>
  <c r="AT75" i="14"/>
  <c r="AU75" i="14"/>
  <c r="AZ75" i="14"/>
  <c r="BG76" i="14"/>
  <c r="P114" i="14"/>
  <c r="AX146" i="14"/>
  <c r="AT146" i="14"/>
  <c r="AW146" i="14"/>
  <c r="AZ146" i="14"/>
  <c r="BH146" i="14"/>
  <c r="P118" i="14"/>
  <c r="AX87" i="14"/>
  <c r="AT87" i="14"/>
  <c r="AW87" i="14"/>
  <c r="AZ87" i="14"/>
  <c r="BH87" i="14"/>
  <c r="BI87" i="14" s="1"/>
  <c r="P122" i="14"/>
  <c r="AX88" i="14"/>
  <c r="AT88" i="14"/>
  <c r="AW88" i="14"/>
  <c r="BA88" i="14" s="1"/>
  <c r="AZ88" i="14"/>
  <c r="BH88" i="14"/>
  <c r="P126" i="14"/>
  <c r="AX122" i="14"/>
  <c r="AT122" i="14"/>
  <c r="AW122" i="14"/>
  <c r="BH122" i="14"/>
  <c r="AZ122" i="14"/>
  <c r="AU122" i="14"/>
  <c r="R131" i="14"/>
  <c r="AW113" i="14"/>
  <c r="BH133" i="14"/>
  <c r="BH69" i="14"/>
  <c r="BI69" i="14" s="1"/>
  <c r="U137" i="14"/>
  <c r="V137" i="14" s="1"/>
  <c r="Q138" i="14"/>
  <c r="U138" i="14" s="1"/>
  <c r="W138" i="14" s="1"/>
  <c r="P138" i="14"/>
  <c r="Q144" i="14"/>
  <c r="P144" i="14"/>
  <c r="Q145" i="14"/>
  <c r="P145" i="14"/>
  <c r="R145" i="14"/>
  <c r="Q149" i="14"/>
  <c r="P149" i="14"/>
  <c r="R149" i="14"/>
  <c r="AT141" i="14"/>
  <c r="AZ71" i="14"/>
  <c r="BH76" i="14"/>
  <c r="R115" i="14"/>
  <c r="R119" i="14"/>
  <c r="R123" i="14"/>
  <c r="Q127" i="14"/>
  <c r="U127" i="14" s="1"/>
  <c r="P127" i="14"/>
  <c r="BG97" i="14"/>
  <c r="AY97" i="14"/>
  <c r="AU97" i="14"/>
  <c r="AX97" i="14"/>
  <c r="AT97" i="14"/>
  <c r="AW97" i="14"/>
  <c r="BA97" i="14" s="1"/>
  <c r="AZ97" i="14"/>
  <c r="R130" i="14"/>
  <c r="R135" i="14"/>
  <c r="AW148" i="14"/>
  <c r="BH72" i="14"/>
  <c r="Q140" i="14"/>
  <c r="P140" i="14"/>
  <c r="R128" i="14"/>
  <c r="U128" i="14" s="1"/>
  <c r="AZ142" i="14"/>
  <c r="BH142" i="14"/>
  <c r="R132" i="14"/>
  <c r="U132" i="14" s="1"/>
  <c r="AZ103" i="14"/>
  <c r="BH103" i="14"/>
  <c r="R136" i="14"/>
  <c r="BH130" i="14"/>
  <c r="AZ130" i="14"/>
  <c r="AX130" i="14"/>
  <c r="AX73" i="14"/>
  <c r="AT73" i="14"/>
  <c r="AW73" i="14"/>
  <c r="AZ73" i="14"/>
  <c r="AX139" i="14"/>
  <c r="AZ90" i="14"/>
  <c r="BH90" i="14"/>
  <c r="AZ89" i="14"/>
  <c r="BH89" i="14"/>
  <c r="AZ93" i="14"/>
  <c r="BH93" i="14"/>
  <c r="AZ128" i="14"/>
  <c r="BH128" i="14"/>
  <c r="BI128" i="14" s="1"/>
  <c r="AW142" i="14"/>
  <c r="AZ113" i="14"/>
  <c r="BH113" i="14"/>
  <c r="AW103" i="14"/>
  <c r="AZ148" i="14"/>
  <c r="BH148" i="14"/>
  <c r="AT130" i="14"/>
  <c r="AY130" i="14"/>
  <c r="U141" i="14"/>
  <c r="AW129" i="14"/>
  <c r="AU129" i="14"/>
  <c r="AZ129" i="14"/>
  <c r="AU73" i="14"/>
  <c r="AW118" i="14"/>
  <c r="AW109" i="14"/>
  <c r="BA109" i="14" s="1"/>
  <c r="AZ74" i="14"/>
  <c r="AZ132" i="14"/>
  <c r="AZ91" i="14"/>
  <c r="AZ85" i="14"/>
  <c r="AZ84" i="14"/>
  <c r="AZ94" i="14"/>
  <c r="AT142" i="14"/>
  <c r="AZ77" i="14"/>
  <c r="AT103" i="14"/>
  <c r="AZ69" i="14"/>
  <c r="AU130" i="14"/>
  <c r="AY95" i="14"/>
  <c r="AU95" i="14"/>
  <c r="AT95" i="14"/>
  <c r="AZ95" i="14"/>
  <c r="R140" i="14"/>
  <c r="AX144" i="14"/>
  <c r="AT144" i="14"/>
  <c r="AU144" i="14"/>
  <c r="AZ144" i="14"/>
  <c r="Q142" i="14"/>
  <c r="BG80" i="14"/>
  <c r="AY80" i="14"/>
  <c r="AU80" i="14"/>
  <c r="AX80" i="14"/>
  <c r="AT80" i="14"/>
  <c r="AZ80" i="14"/>
  <c r="R144" i="14"/>
  <c r="AW119" i="14"/>
  <c r="BG135" i="14"/>
  <c r="AY135" i="14"/>
  <c r="AU135" i="14"/>
  <c r="AX135" i="14"/>
  <c r="AT135" i="14"/>
  <c r="AW135" i="14"/>
  <c r="BA135" i="14" s="1"/>
  <c r="AZ135" i="14"/>
  <c r="R148" i="14"/>
  <c r="R153" i="14"/>
  <c r="AZ124" i="14"/>
  <c r="R157" i="14"/>
  <c r="U157" i="14" s="1"/>
  <c r="Q165" i="14"/>
  <c r="P165" i="14"/>
  <c r="Q173" i="14"/>
  <c r="P173" i="14"/>
  <c r="Q181" i="14"/>
  <c r="P181" i="14"/>
  <c r="Q189" i="14"/>
  <c r="P189" i="14"/>
  <c r="R146" i="14"/>
  <c r="AZ125" i="14"/>
  <c r="R150" i="14"/>
  <c r="U150" i="14" s="1"/>
  <c r="P152" i="14"/>
  <c r="AZ139" i="14"/>
  <c r="R154" i="14"/>
  <c r="U154" i="14" s="1"/>
  <c r="AW124" i="14"/>
  <c r="P156" i="14"/>
  <c r="AZ138" i="14"/>
  <c r="P161" i="14"/>
  <c r="Q167" i="14"/>
  <c r="U167" i="14" s="1"/>
  <c r="W167" i="14" s="1"/>
  <c r="P167" i="14"/>
  <c r="Q175" i="14"/>
  <c r="P175" i="14"/>
  <c r="Q183" i="14"/>
  <c r="U183" i="14" s="1"/>
  <c r="W183" i="14" s="1"/>
  <c r="P183" i="14"/>
  <c r="Q191" i="14"/>
  <c r="U191" i="14" s="1"/>
  <c r="W191" i="14" s="1"/>
  <c r="P191" i="14"/>
  <c r="Q195" i="14"/>
  <c r="R195" i="14"/>
  <c r="P195" i="14"/>
  <c r="Q199" i="14"/>
  <c r="R199" i="14"/>
  <c r="P199" i="14"/>
  <c r="AZ119" i="14"/>
  <c r="AW125" i="14"/>
  <c r="AZ118" i="14"/>
  <c r="AW139" i="14"/>
  <c r="P153" i="14"/>
  <c r="AZ109" i="14"/>
  <c r="AT124" i="14"/>
  <c r="AX124" i="14"/>
  <c r="AW138" i="14"/>
  <c r="P157" i="14"/>
  <c r="AW137" i="14"/>
  <c r="AT137" i="14"/>
  <c r="AY137" i="14"/>
  <c r="U163" i="14"/>
  <c r="W163" i="14" s="1"/>
  <c r="Q169" i="14"/>
  <c r="U169" i="14" s="1"/>
  <c r="W169" i="14" s="1"/>
  <c r="P169" i="14"/>
  <c r="Q177" i="14"/>
  <c r="U177" i="14" s="1"/>
  <c r="W177" i="14" s="1"/>
  <c r="P177" i="14"/>
  <c r="Q185" i="14"/>
  <c r="U185" i="14" s="1"/>
  <c r="W185" i="14" s="1"/>
  <c r="P185" i="14"/>
  <c r="AZ114" i="14"/>
  <c r="AZ99" i="14"/>
  <c r="AT125" i="14"/>
  <c r="AZ143" i="14"/>
  <c r="AT139" i="14"/>
  <c r="AZ134" i="14"/>
  <c r="AU124" i="14"/>
  <c r="AY124" i="14"/>
  <c r="AT138" i="14"/>
  <c r="AU137" i="14"/>
  <c r="AZ137" i="14"/>
  <c r="Q160" i="14"/>
  <c r="U160" i="14" s="1"/>
  <c r="R161" i="14"/>
  <c r="U161" i="14" s="1"/>
  <c r="P163" i="14"/>
  <c r="R165" i="14"/>
  <c r="Q171" i="14"/>
  <c r="P171" i="14"/>
  <c r="R173" i="14"/>
  <c r="Q179" i="14"/>
  <c r="U179" i="14" s="1"/>
  <c r="W179" i="14" s="1"/>
  <c r="P179" i="14"/>
  <c r="R181" i="14"/>
  <c r="Q187" i="14"/>
  <c r="P187" i="14"/>
  <c r="R189" i="14"/>
  <c r="U215" i="14"/>
  <c r="V215" i="14" s="1"/>
  <c r="U219" i="14"/>
  <c r="V219" i="14" s="1"/>
  <c r="Q226" i="14"/>
  <c r="P226" i="14"/>
  <c r="Q234" i="14"/>
  <c r="P234" i="14"/>
  <c r="Q242" i="14"/>
  <c r="P242" i="14"/>
  <c r="Q247" i="14"/>
  <c r="P247" i="14"/>
  <c r="R164" i="14"/>
  <c r="R166" i="14"/>
  <c r="U166" i="14" s="1"/>
  <c r="R168" i="14"/>
  <c r="R170" i="14"/>
  <c r="U170" i="14" s="1"/>
  <c r="R172" i="14"/>
  <c r="U172" i="14" s="1"/>
  <c r="R174" i="14"/>
  <c r="U174" i="14" s="1"/>
  <c r="R176" i="14"/>
  <c r="R178" i="14"/>
  <c r="R180" i="14"/>
  <c r="R182" i="14"/>
  <c r="U182" i="14" s="1"/>
  <c r="R184" i="14"/>
  <c r="U184" i="14" s="1"/>
  <c r="R186" i="14"/>
  <c r="U186" i="14" s="1"/>
  <c r="R188" i="14"/>
  <c r="U188" i="14" s="1"/>
  <c r="R190" i="14"/>
  <c r="U190" i="14" s="1"/>
  <c r="U192" i="14"/>
  <c r="V192" i="14" s="1"/>
  <c r="U196" i="14"/>
  <c r="V196" i="14" s="1"/>
  <c r="U212" i="14"/>
  <c r="V212" i="14" s="1"/>
  <c r="U220" i="14"/>
  <c r="V220" i="14" s="1"/>
  <c r="Q228" i="14"/>
  <c r="P228" i="14"/>
  <c r="Q236" i="14"/>
  <c r="P236" i="14"/>
  <c r="Q244" i="14"/>
  <c r="P244" i="14"/>
  <c r="U197" i="14"/>
  <c r="V197" i="14" s="1"/>
  <c r="P203" i="14"/>
  <c r="U205" i="14"/>
  <c r="V205" i="14" s="1"/>
  <c r="P207" i="14"/>
  <c r="P211" i="14"/>
  <c r="U213" i="14"/>
  <c r="V213" i="14" s="1"/>
  <c r="P215" i="14"/>
  <c r="P219" i="14"/>
  <c r="P223" i="14"/>
  <c r="R226" i="14"/>
  <c r="Q230" i="14"/>
  <c r="U230" i="14" s="1"/>
  <c r="V230" i="14" s="1"/>
  <c r="P230" i="14"/>
  <c r="R234" i="14"/>
  <c r="Q238" i="14"/>
  <c r="U238" i="14" s="1"/>
  <c r="V238" i="14" s="1"/>
  <c r="P238" i="14"/>
  <c r="R242" i="14"/>
  <c r="Q246" i="14"/>
  <c r="U246" i="14" s="1"/>
  <c r="W246" i="14" s="1"/>
  <c r="P246" i="14"/>
  <c r="R247" i="14"/>
  <c r="Q248" i="14"/>
  <c r="P248" i="14"/>
  <c r="R248" i="14"/>
  <c r="Q252" i="14"/>
  <c r="P252" i="14"/>
  <c r="R252" i="14"/>
  <c r="Q256" i="14"/>
  <c r="P256" i="14"/>
  <c r="R256" i="14"/>
  <c r="P192" i="14"/>
  <c r="U194" i="14"/>
  <c r="V194" i="14" s="1"/>
  <c r="P196" i="14"/>
  <c r="W197" i="14"/>
  <c r="U198" i="14"/>
  <c r="V198" i="14" s="1"/>
  <c r="P200" i="14"/>
  <c r="R203" i="14"/>
  <c r="U203" i="14" s="1"/>
  <c r="V203" i="14" s="1"/>
  <c r="P204" i="14"/>
  <c r="U206" i="14"/>
  <c r="V206" i="14" s="1"/>
  <c r="R207" i="14"/>
  <c r="U207" i="14" s="1"/>
  <c r="V207" i="14" s="1"/>
  <c r="P208" i="14"/>
  <c r="R211" i="14"/>
  <c r="U211" i="14" s="1"/>
  <c r="V211" i="14" s="1"/>
  <c r="P212" i="14"/>
  <c r="R215" i="14"/>
  <c r="P216" i="14"/>
  <c r="U218" i="14"/>
  <c r="V218" i="14" s="1"/>
  <c r="R219" i="14"/>
  <c r="P220" i="14"/>
  <c r="R223" i="14"/>
  <c r="U223" i="14" s="1"/>
  <c r="V223" i="14" s="1"/>
  <c r="Q224" i="14"/>
  <c r="U224" i="14" s="1"/>
  <c r="V224" i="14" s="1"/>
  <c r="P224" i="14"/>
  <c r="R228" i="14"/>
  <c r="Q232" i="14"/>
  <c r="U232" i="14" s="1"/>
  <c r="V232" i="14" s="1"/>
  <c r="P232" i="14"/>
  <c r="R236" i="14"/>
  <c r="Q240" i="14"/>
  <c r="U240" i="14" s="1"/>
  <c r="V240" i="14" s="1"/>
  <c r="P240" i="14"/>
  <c r="R244" i="14"/>
  <c r="Q225" i="14"/>
  <c r="U225" i="14" s="1"/>
  <c r="V225" i="14" s="1"/>
  <c r="Q227" i="14"/>
  <c r="U227" i="14" s="1"/>
  <c r="V227" i="14" s="1"/>
  <c r="Q229" i="14"/>
  <c r="U229" i="14" s="1"/>
  <c r="V229" i="14" s="1"/>
  <c r="Q231" i="14"/>
  <c r="U231" i="14" s="1"/>
  <c r="V231" i="14" s="1"/>
  <c r="Q233" i="14"/>
  <c r="Q235" i="14"/>
  <c r="Q237" i="14"/>
  <c r="U237" i="14" s="1"/>
  <c r="V237" i="14" s="1"/>
  <c r="Q239" i="14"/>
  <c r="U239" i="14" s="1"/>
  <c r="V239" i="14" s="1"/>
  <c r="Q241" i="14"/>
  <c r="U241" i="14" s="1"/>
  <c r="V241" i="14" s="1"/>
  <c r="Q243" i="14"/>
  <c r="U243" i="14" s="1"/>
  <c r="V243" i="14" s="1"/>
  <c r="Q245" i="14"/>
  <c r="U245" i="14" s="1"/>
  <c r="V245" i="14" s="1"/>
  <c r="U259" i="14"/>
  <c r="V259" i="14" s="1"/>
  <c r="Q260" i="14"/>
  <c r="P260" i="14"/>
  <c r="U263" i="14"/>
  <c r="V263" i="14" s="1"/>
  <c r="Q264" i="14"/>
  <c r="P264" i="14"/>
  <c r="U267" i="14"/>
  <c r="V267" i="14" s="1"/>
  <c r="Q268" i="14"/>
  <c r="P268" i="14"/>
  <c r="R273" i="14"/>
  <c r="P273" i="14"/>
  <c r="Q250" i="14"/>
  <c r="U250" i="14" s="1"/>
  <c r="W250" i="14" s="1"/>
  <c r="P250" i="14"/>
  <c r="Q254" i="14"/>
  <c r="U254" i="14" s="1"/>
  <c r="W254" i="14" s="1"/>
  <c r="P254" i="14"/>
  <c r="W274" i="14"/>
  <c r="Q258" i="14"/>
  <c r="U258" i="14" s="1"/>
  <c r="P258" i="14"/>
  <c r="R260" i="14"/>
  <c r="U261" i="14"/>
  <c r="V261" i="14" s="1"/>
  <c r="Q262" i="14"/>
  <c r="U262" i="14" s="1"/>
  <c r="P262" i="14"/>
  <c r="R264" i="14"/>
  <c r="Q266" i="14"/>
  <c r="U266" i="14" s="1"/>
  <c r="P266" i="14"/>
  <c r="R268" i="14"/>
  <c r="U269" i="14"/>
  <c r="V269" i="14" s="1"/>
  <c r="Q270" i="14"/>
  <c r="P270" i="14"/>
  <c r="U275" i="14"/>
  <c r="Q273" i="14"/>
  <c r="U298" i="14"/>
  <c r="V298" i="14" s="1"/>
  <c r="P277" i="14"/>
  <c r="P279" i="14"/>
  <c r="P281" i="14"/>
  <c r="P283" i="14"/>
  <c r="P285" i="14"/>
  <c r="P287" i="14"/>
  <c r="P289" i="14"/>
  <c r="P291" i="14"/>
  <c r="P293" i="14"/>
  <c r="P295" i="14"/>
  <c r="P297" i="14"/>
  <c r="P299" i="14"/>
  <c r="P301" i="14"/>
  <c r="P303" i="14"/>
  <c r="Q277" i="14"/>
  <c r="Q279" i="14"/>
  <c r="U279" i="14" s="1"/>
  <c r="W279" i="14" s="1"/>
  <c r="Q281" i="14"/>
  <c r="Q283" i="14"/>
  <c r="U283" i="14" s="1"/>
  <c r="W283" i="14" s="1"/>
  <c r="Q285" i="14"/>
  <c r="Q287" i="14"/>
  <c r="U287" i="14" s="1"/>
  <c r="W287" i="14" s="1"/>
  <c r="Q289" i="14"/>
  <c r="U289" i="14" s="1"/>
  <c r="W289" i="14" s="1"/>
  <c r="Q291" i="14"/>
  <c r="U291" i="14" s="1"/>
  <c r="W291" i="14" s="1"/>
  <c r="Q293" i="14"/>
  <c r="U293" i="14" s="1"/>
  <c r="W293" i="14" s="1"/>
  <c r="Q295" i="14"/>
  <c r="U295" i="14" s="1"/>
  <c r="W295" i="14" s="1"/>
  <c r="Q297" i="14"/>
  <c r="Q299" i="14"/>
  <c r="U299" i="14" s="1"/>
  <c r="W299" i="14" s="1"/>
  <c r="Q301" i="14"/>
  <c r="Q303" i="14"/>
  <c r="U303" i="14" s="1"/>
  <c r="W303" i="14" s="1"/>
  <c r="N121" i="10"/>
  <c r="O121" i="10"/>
  <c r="N122" i="10"/>
  <c r="O122" i="10"/>
  <c r="N123" i="10"/>
  <c r="O123" i="10"/>
  <c r="N124" i="10"/>
  <c r="O124" i="10"/>
  <c r="N125" i="10"/>
  <c r="O125" i="10"/>
  <c r="N126" i="10"/>
  <c r="O126" i="10"/>
  <c r="N127" i="10"/>
  <c r="O127" i="10"/>
  <c r="N128" i="10"/>
  <c r="O128" i="10"/>
  <c r="N129" i="10"/>
  <c r="O129" i="10"/>
  <c r="N130" i="10"/>
  <c r="O130" i="10"/>
  <c r="N131" i="10"/>
  <c r="O131" i="10"/>
  <c r="N132" i="10"/>
  <c r="O132" i="10"/>
  <c r="N133" i="10"/>
  <c r="O133" i="10"/>
  <c r="N134" i="10"/>
  <c r="O134" i="10"/>
  <c r="N135" i="10"/>
  <c r="O135" i="10"/>
  <c r="N136" i="10"/>
  <c r="O136" i="10"/>
  <c r="N137" i="10"/>
  <c r="O137" i="10"/>
  <c r="N138" i="10"/>
  <c r="O138" i="10"/>
  <c r="N139" i="10"/>
  <c r="O139" i="10"/>
  <c r="N140" i="10"/>
  <c r="O140" i="10"/>
  <c r="N141" i="10"/>
  <c r="O141" i="10"/>
  <c r="N142" i="10"/>
  <c r="O142" i="10"/>
  <c r="N143" i="10"/>
  <c r="O143" i="10"/>
  <c r="N144" i="10"/>
  <c r="O144" i="10"/>
  <c r="N145" i="10"/>
  <c r="O145" i="10"/>
  <c r="N146" i="10"/>
  <c r="O146" i="10"/>
  <c r="N147" i="10"/>
  <c r="O147" i="10"/>
  <c r="N148" i="10"/>
  <c r="O148" i="10"/>
  <c r="N149" i="10"/>
  <c r="O149" i="10"/>
  <c r="N150" i="10"/>
  <c r="O150" i="10"/>
  <c r="N151" i="10"/>
  <c r="O151" i="10"/>
  <c r="N152" i="10"/>
  <c r="O152" i="10"/>
  <c r="N153" i="10"/>
  <c r="O153" i="10"/>
  <c r="N154" i="10"/>
  <c r="O154" i="10"/>
  <c r="N155" i="10"/>
  <c r="O155" i="10"/>
  <c r="N156" i="10"/>
  <c r="O156" i="10"/>
  <c r="N157" i="10"/>
  <c r="O157" i="10"/>
  <c r="N158" i="10"/>
  <c r="O158" i="10"/>
  <c r="N159" i="10"/>
  <c r="O159" i="10"/>
  <c r="N160" i="10"/>
  <c r="O160" i="10"/>
  <c r="N161" i="10"/>
  <c r="O161" i="10"/>
  <c r="N162" i="10"/>
  <c r="O162" i="10"/>
  <c r="N163" i="10"/>
  <c r="O163" i="10"/>
  <c r="N164" i="10"/>
  <c r="O164" i="10"/>
  <c r="N165" i="10"/>
  <c r="O165" i="10"/>
  <c r="N166" i="10"/>
  <c r="O166" i="10"/>
  <c r="N167" i="10"/>
  <c r="O167" i="10"/>
  <c r="N168" i="10"/>
  <c r="O168" i="10"/>
  <c r="N169" i="10"/>
  <c r="O169" i="10"/>
  <c r="N170" i="10"/>
  <c r="O170" i="10"/>
  <c r="N171" i="10"/>
  <c r="O171" i="10"/>
  <c r="N172" i="10"/>
  <c r="O172" i="10"/>
  <c r="N173" i="10"/>
  <c r="O173" i="10"/>
  <c r="N174" i="10"/>
  <c r="O174" i="10"/>
  <c r="N175" i="10"/>
  <c r="O175" i="10"/>
  <c r="N176" i="10"/>
  <c r="O176" i="10"/>
  <c r="N177" i="10"/>
  <c r="O177" i="10"/>
  <c r="N178" i="10"/>
  <c r="O178" i="10"/>
  <c r="N179" i="10"/>
  <c r="O179" i="10"/>
  <c r="N180" i="10"/>
  <c r="O180" i="10"/>
  <c r="N181" i="10"/>
  <c r="O181" i="10"/>
  <c r="N182" i="10"/>
  <c r="O182" i="10"/>
  <c r="N183" i="10"/>
  <c r="O183" i="10"/>
  <c r="N184" i="10"/>
  <c r="O184" i="10"/>
  <c r="N185" i="10"/>
  <c r="O185" i="10"/>
  <c r="N186" i="10"/>
  <c r="O186" i="10"/>
  <c r="N187" i="10"/>
  <c r="O187" i="10"/>
  <c r="N188" i="10"/>
  <c r="O188" i="10"/>
  <c r="N189" i="10"/>
  <c r="O189" i="10"/>
  <c r="N190" i="10"/>
  <c r="O190" i="10"/>
  <c r="N191" i="10"/>
  <c r="O191" i="10"/>
  <c r="N192" i="10"/>
  <c r="O192" i="10"/>
  <c r="N193" i="10"/>
  <c r="O193" i="10"/>
  <c r="N194" i="10"/>
  <c r="O194" i="10"/>
  <c r="N195" i="10"/>
  <c r="O195" i="10"/>
  <c r="N196" i="10"/>
  <c r="O196" i="10"/>
  <c r="N197" i="10"/>
  <c r="O197" i="10"/>
  <c r="N198" i="10"/>
  <c r="O198" i="10"/>
  <c r="N199" i="10"/>
  <c r="O199" i="10"/>
  <c r="N200" i="10"/>
  <c r="O200" i="10"/>
  <c r="N201" i="10"/>
  <c r="O201" i="10"/>
  <c r="N202" i="10"/>
  <c r="O202" i="10"/>
  <c r="N203" i="10"/>
  <c r="O203" i="10"/>
  <c r="N204" i="10"/>
  <c r="O204" i="10"/>
  <c r="N205" i="10"/>
  <c r="O205" i="10"/>
  <c r="N206" i="10"/>
  <c r="O206" i="10"/>
  <c r="N207" i="10"/>
  <c r="O207" i="10"/>
  <c r="N208" i="10"/>
  <c r="O208" i="10"/>
  <c r="N209" i="10"/>
  <c r="O209" i="10"/>
  <c r="N210" i="10"/>
  <c r="O210" i="10"/>
  <c r="N211" i="10"/>
  <c r="O211" i="10"/>
  <c r="N212" i="10"/>
  <c r="O212" i="10"/>
  <c r="N213" i="10"/>
  <c r="O213" i="10"/>
  <c r="N214" i="10"/>
  <c r="O214" i="10"/>
  <c r="N215" i="10"/>
  <c r="O215" i="10"/>
  <c r="N216" i="10"/>
  <c r="O216" i="10"/>
  <c r="N217" i="10"/>
  <c r="O217" i="10"/>
  <c r="N218" i="10"/>
  <c r="O218" i="10"/>
  <c r="N219" i="10"/>
  <c r="O219" i="10"/>
  <c r="N220" i="10"/>
  <c r="O220" i="10"/>
  <c r="N221" i="10"/>
  <c r="O221" i="10"/>
  <c r="N222" i="10"/>
  <c r="O222" i="10"/>
  <c r="N223" i="10"/>
  <c r="O223" i="10"/>
  <c r="N224" i="10"/>
  <c r="O224" i="10"/>
  <c r="N225" i="10"/>
  <c r="O225" i="10"/>
  <c r="N226" i="10"/>
  <c r="O226" i="10"/>
  <c r="N227" i="10"/>
  <c r="O227" i="10"/>
  <c r="N228" i="10"/>
  <c r="O228" i="10"/>
  <c r="N229" i="10"/>
  <c r="O229" i="10"/>
  <c r="N230" i="10"/>
  <c r="O230" i="10"/>
  <c r="N231" i="10"/>
  <c r="O231" i="10"/>
  <c r="N232" i="10"/>
  <c r="O232" i="10"/>
  <c r="N233" i="10"/>
  <c r="O233" i="10"/>
  <c r="N234" i="10"/>
  <c r="O234" i="10"/>
  <c r="N235" i="10"/>
  <c r="O235" i="10"/>
  <c r="N236" i="10"/>
  <c r="O236" i="10"/>
  <c r="N237" i="10"/>
  <c r="O237" i="10"/>
  <c r="N238" i="10"/>
  <c r="O238" i="10"/>
  <c r="N239" i="10"/>
  <c r="O239" i="10"/>
  <c r="N240" i="10"/>
  <c r="O240" i="10"/>
  <c r="N241" i="10"/>
  <c r="O241" i="10"/>
  <c r="N242" i="10"/>
  <c r="O242" i="10"/>
  <c r="N243" i="10"/>
  <c r="O243" i="10"/>
  <c r="N244" i="10"/>
  <c r="O244" i="10"/>
  <c r="N245" i="10"/>
  <c r="O245" i="10"/>
  <c r="N246" i="10"/>
  <c r="O246" i="10"/>
  <c r="N247" i="10"/>
  <c r="O247" i="10"/>
  <c r="N248" i="10"/>
  <c r="O248" i="10"/>
  <c r="N249" i="10"/>
  <c r="O249" i="10"/>
  <c r="N250" i="10"/>
  <c r="O250" i="10"/>
  <c r="N251" i="10"/>
  <c r="O251" i="10"/>
  <c r="N252" i="10"/>
  <c r="O252" i="10"/>
  <c r="N253" i="10"/>
  <c r="O253" i="10"/>
  <c r="N254" i="10"/>
  <c r="O254" i="10"/>
  <c r="N255" i="10"/>
  <c r="O255" i="10"/>
  <c r="N256" i="10"/>
  <c r="O256" i="10"/>
  <c r="N257" i="10"/>
  <c r="O257" i="10"/>
  <c r="N258" i="10"/>
  <c r="O258" i="10"/>
  <c r="N259" i="10"/>
  <c r="O259" i="10"/>
  <c r="N260" i="10"/>
  <c r="O260" i="10"/>
  <c r="N261" i="10"/>
  <c r="O261" i="10"/>
  <c r="N262" i="10"/>
  <c r="O262" i="10"/>
  <c r="N263" i="10"/>
  <c r="O263" i="10"/>
  <c r="N264" i="10"/>
  <c r="O264" i="10"/>
  <c r="N265" i="10"/>
  <c r="O265" i="10"/>
  <c r="N266" i="10"/>
  <c r="O266" i="10"/>
  <c r="N267" i="10"/>
  <c r="O267" i="10"/>
  <c r="N268" i="10"/>
  <c r="O268" i="10"/>
  <c r="N269" i="10"/>
  <c r="O269" i="10"/>
  <c r="N270" i="10"/>
  <c r="O270" i="10"/>
  <c r="N271" i="10"/>
  <c r="O271" i="10"/>
  <c r="N272" i="10"/>
  <c r="O272" i="10"/>
  <c r="N273" i="10"/>
  <c r="O273" i="10"/>
  <c r="N274" i="10"/>
  <c r="O274" i="10"/>
  <c r="N275" i="10"/>
  <c r="O275" i="10"/>
  <c r="N276" i="10"/>
  <c r="O276" i="10"/>
  <c r="N277" i="10"/>
  <c r="O277" i="10"/>
  <c r="N278" i="10"/>
  <c r="O278" i="10"/>
  <c r="N279" i="10"/>
  <c r="O279" i="10"/>
  <c r="N280" i="10"/>
  <c r="O280" i="10"/>
  <c r="N281" i="10"/>
  <c r="O281" i="10"/>
  <c r="N282" i="10"/>
  <c r="O282" i="10"/>
  <c r="N283" i="10"/>
  <c r="O283" i="10"/>
  <c r="N284" i="10"/>
  <c r="O284" i="10"/>
  <c r="N285" i="10"/>
  <c r="O285" i="10"/>
  <c r="N286" i="10"/>
  <c r="O286" i="10"/>
  <c r="N287" i="10"/>
  <c r="O287" i="10"/>
  <c r="N288" i="10"/>
  <c r="O288" i="10"/>
  <c r="N289" i="10"/>
  <c r="O289" i="10"/>
  <c r="N290" i="10"/>
  <c r="O290" i="10"/>
  <c r="N291" i="10"/>
  <c r="O291" i="10"/>
  <c r="N292" i="10"/>
  <c r="O292" i="10"/>
  <c r="N293" i="10"/>
  <c r="O293" i="10"/>
  <c r="N294" i="10"/>
  <c r="O294" i="10"/>
  <c r="N295" i="10"/>
  <c r="O295" i="10"/>
  <c r="Q295" i="10" s="1"/>
  <c r="N296" i="10"/>
  <c r="O296" i="10"/>
  <c r="N297" i="10"/>
  <c r="O297" i="10"/>
  <c r="N298" i="10"/>
  <c r="O298" i="10"/>
  <c r="N299" i="10"/>
  <c r="O299" i="10"/>
  <c r="N300" i="10"/>
  <c r="O300" i="10"/>
  <c r="N301" i="10"/>
  <c r="O301" i="10"/>
  <c r="N302" i="10"/>
  <c r="O302" i="10"/>
  <c r="N303" i="10"/>
  <c r="O303" i="10"/>
  <c r="N304" i="10"/>
  <c r="O304" i="10"/>
  <c r="N305" i="10"/>
  <c r="O305" i="10"/>
  <c r="S121" i="10"/>
  <c r="S122" i="10"/>
  <c r="S123" i="10"/>
  <c r="S124" i="10"/>
  <c r="S125" i="10"/>
  <c r="S126" i="10"/>
  <c r="S127" i="10"/>
  <c r="S128" i="10"/>
  <c r="S129" i="10"/>
  <c r="S130" i="10"/>
  <c r="S131" i="10"/>
  <c r="S132" i="10"/>
  <c r="S133" i="10"/>
  <c r="S134" i="10"/>
  <c r="S135" i="10"/>
  <c r="S136" i="10"/>
  <c r="S137" i="10"/>
  <c r="S138" i="10"/>
  <c r="S139" i="10"/>
  <c r="S140" i="10"/>
  <c r="S141" i="10"/>
  <c r="S142" i="10"/>
  <c r="S143" i="10"/>
  <c r="S144" i="10"/>
  <c r="S145" i="10"/>
  <c r="S146" i="10"/>
  <c r="S147" i="10"/>
  <c r="S148" i="10"/>
  <c r="S149" i="10"/>
  <c r="S150" i="10"/>
  <c r="S151" i="10"/>
  <c r="S152" i="10"/>
  <c r="S153" i="10"/>
  <c r="S154" i="10"/>
  <c r="S155" i="10"/>
  <c r="S156" i="10"/>
  <c r="S157" i="10"/>
  <c r="S158" i="10"/>
  <c r="S159" i="10"/>
  <c r="S160" i="10"/>
  <c r="S161" i="10"/>
  <c r="S162" i="10"/>
  <c r="S163" i="10"/>
  <c r="S164" i="10"/>
  <c r="S165" i="10"/>
  <c r="S166" i="10"/>
  <c r="S167" i="10"/>
  <c r="S168" i="10"/>
  <c r="S169" i="10"/>
  <c r="S170" i="10"/>
  <c r="S171" i="10"/>
  <c r="S172" i="10"/>
  <c r="S173" i="10"/>
  <c r="S174" i="10"/>
  <c r="S175" i="10"/>
  <c r="S176" i="10"/>
  <c r="S177" i="10"/>
  <c r="S178" i="10"/>
  <c r="S179" i="10"/>
  <c r="S180" i="10"/>
  <c r="S181" i="10"/>
  <c r="S182" i="10"/>
  <c r="S183" i="10"/>
  <c r="S184" i="10"/>
  <c r="S185" i="10"/>
  <c r="S186" i="10"/>
  <c r="S187" i="10"/>
  <c r="S188" i="10"/>
  <c r="S189" i="10"/>
  <c r="S190" i="10"/>
  <c r="S191" i="10"/>
  <c r="S192" i="10"/>
  <c r="S193" i="10"/>
  <c r="S194" i="10"/>
  <c r="S195" i="10"/>
  <c r="S196" i="10"/>
  <c r="S197" i="10"/>
  <c r="S198" i="10"/>
  <c r="S199" i="10"/>
  <c r="S200" i="10"/>
  <c r="S201" i="10"/>
  <c r="S202" i="10"/>
  <c r="S203" i="10"/>
  <c r="S204" i="10"/>
  <c r="S205" i="10"/>
  <c r="S206" i="10"/>
  <c r="S207" i="10"/>
  <c r="S208" i="10"/>
  <c r="S209" i="10"/>
  <c r="S210" i="10"/>
  <c r="S211" i="10"/>
  <c r="S212" i="10"/>
  <c r="S213" i="10"/>
  <c r="S214" i="10"/>
  <c r="S215" i="10"/>
  <c r="S216" i="10"/>
  <c r="S217" i="10"/>
  <c r="S218" i="10"/>
  <c r="S219" i="10"/>
  <c r="S220" i="10"/>
  <c r="S221" i="10"/>
  <c r="S222" i="10"/>
  <c r="S223" i="10"/>
  <c r="S224" i="10"/>
  <c r="S225" i="10"/>
  <c r="S226" i="10"/>
  <c r="S227" i="10"/>
  <c r="S228" i="10"/>
  <c r="S229" i="10"/>
  <c r="S230" i="10"/>
  <c r="S231" i="10"/>
  <c r="S232" i="10"/>
  <c r="S233" i="10"/>
  <c r="S234" i="10"/>
  <c r="S235" i="10"/>
  <c r="S236" i="10"/>
  <c r="S237" i="10"/>
  <c r="S238" i="10"/>
  <c r="S239" i="10"/>
  <c r="S240" i="10"/>
  <c r="S241" i="10"/>
  <c r="S242" i="10"/>
  <c r="S243" i="10"/>
  <c r="S244" i="10"/>
  <c r="S245" i="10"/>
  <c r="S246" i="10"/>
  <c r="S247" i="10"/>
  <c r="S248" i="10"/>
  <c r="S249" i="10"/>
  <c r="S250" i="10"/>
  <c r="S251" i="10"/>
  <c r="S252" i="10"/>
  <c r="S253" i="10"/>
  <c r="S254" i="10"/>
  <c r="S255" i="10"/>
  <c r="S256" i="10"/>
  <c r="S257" i="10"/>
  <c r="S258" i="10"/>
  <c r="S259" i="10"/>
  <c r="S260" i="10"/>
  <c r="S261" i="10"/>
  <c r="S262" i="10"/>
  <c r="S263" i="10"/>
  <c r="S264" i="10"/>
  <c r="S265" i="10"/>
  <c r="S266" i="10"/>
  <c r="S267" i="10"/>
  <c r="S268" i="10"/>
  <c r="S269" i="10"/>
  <c r="S270" i="10"/>
  <c r="S271" i="10"/>
  <c r="S272" i="10"/>
  <c r="S273" i="10"/>
  <c r="S274" i="10"/>
  <c r="S275" i="10"/>
  <c r="S276" i="10"/>
  <c r="S277" i="10"/>
  <c r="S278" i="10"/>
  <c r="S279" i="10"/>
  <c r="S280" i="10"/>
  <c r="S281" i="10"/>
  <c r="S282" i="10"/>
  <c r="S283" i="10"/>
  <c r="S284" i="10"/>
  <c r="S285" i="10"/>
  <c r="S286" i="10"/>
  <c r="S287" i="10"/>
  <c r="S288" i="10"/>
  <c r="S289" i="10"/>
  <c r="S290" i="10"/>
  <c r="S291" i="10"/>
  <c r="S292" i="10"/>
  <c r="S293" i="10"/>
  <c r="S294" i="10"/>
  <c r="S295" i="10"/>
  <c r="S296" i="10"/>
  <c r="S297" i="10"/>
  <c r="S298" i="10"/>
  <c r="S299" i="10"/>
  <c r="S300" i="10"/>
  <c r="S301" i="10"/>
  <c r="S302" i="10"/>
  <c r="S303" i="10"/>
  <c r="S304" i="10"/>
  <c r="S305" i="10"/>
  <c r="T121" i="10"/>
  <c r="T122" i="10"/>
  <c r="T123" i="10"/>
  <c r="T124" i="10"/>
  <c r="T125" i="10"/>
  <c r="T126" i="10"/>
  <c r="T127" i="10"/>
  <c r="T128" i="10"/>
  <c r="T129" i="10"/>
  <c r="T130" i="10"/>
  <c r="T131" i="10"/>
  <c r="T132" i="10"/>
  <c r="T133" i="10"/>
  <c r="T134" i="10"/>
  <c r="T135" i="10"/>
  <c r="T136" i="10"/>
  <c r="T137" i="10"/>
  <c r="T138" i="10"/>
  <c r="T139" i="10"/>
  <c r="T140" i="10"/>
  <c r="T141" i="10"/>
  <c r="T142" i="10"/>
  <c r="T143" i="10"/>
  <c r="T144" i="10"/>
  <c r="T145" i="10"/>
  <c r="T146" i="10"/>
  <c r="T147" i="10"/>
  <c r="T148" i="10"/>
  <c r="T149" i="10"/>
  <c r="T150" i="10"/>
  <c r="T151" i="10"/>
  <c r="T152" i="10"/>
  <c r="T153" i="10"/>
  <c r="T154" i="10"/>
  <c r="T155" i="10"/>
  <c r="T156" i="10"/>
  <c r="T157" i="10"/>
  <c r="T158" i="10"/>
  <c r="T159" i="10"/>
  <c r="T160" i="10"/>
  <c r="T161" i="10"/>
  <c r="T162" i="10"/>
  <c r="T163" i="10"/>
  <c r="T164" i="10"/>
  <c r="T165" i="10"/>
  <c r="T166" i="10"/>
  <c r="T167" i="10"/>
  <c r="T168" i="10"/>
  <c r="T169" i="10"/>
  <c r="T170" i="10"/>
  <c r="T171" i="10"/>
  <c r="T172" i="10"/>
  <c r="T173" i="10"/>
  <c r="T174" i="10"/>
  <c r="T175" i="10"/>
  <c r="T176" i="10"/>
  <c r="T177" i="10"/>
  <c r="T178" i="10"/>
  <c r="T179" i="10"/>
  <c r="T180" i="10"/>
  <c r="T181" i="10"/>
  <c r="T182" i="10"/>
  <c r="T183" i="10"/>
  <c r="T184" i="10"/>
  <c r="T185" i="10"/>
  <c r="T186" i="10"/>
  <c r="T187" i="10"/>
  <c r="T188" i="10"/>
  <c r="T189" i="10"/>
  <c r="T190" i="10"/>
  <c r="T191" i="10"/>
  <c r="T192" i="10"/>
  <c r="T193" i="10"/>
  <c r="T194" i="10"/>
  <c r="T195" i="10"/>
  <c r="T196" i="10"/>
  <c r="T197" i="10"/>
  <c r="T198" i="10"/>
  <c r="T199" i="10"/>
  <c r="T200" i="10"/>
  <c r="T201" i="10"/>
  <c r="T202" i="10"/>
  <c r="T203" i="10"/>
  <c r="T204" i="10"/>
  <c r="T205" i="10"/>
  <c r="T206" i="10"/>
  <c r="T207" i="10"/>
  <c r="T208" i="10"/>
  <c r="T209" i="10"/>
  <c r="T210" i="10"/>
  <c r="T211" i="10"/>
  <c r="T212" i="10"/>
  <c r="T213" i="10"/>
  <c r="T214" i="10"/>
  <c r="T215" i="10"/>
  <c r="T216" i="10"/>
  <c r="T217" i="10"/>
  <c r="T218" i="10"/>
  <c r="T219" i="10"/>
  <c r="T220" i="10"/>
  <c r="T221" i="10"/>
  <c r="T222" i="10"/>
  <c r="T223" i="10"/>
  <c r="T224" i="10"/>
  <c r="T225" i="10"/>
  <c r="T226" i="10"/>
  <c r="T227" i="10"/>
  <c r="T228" i="10"/>
  <c r="T229" i="10"/>
  <c r="T230" i="10"/>
  <c r="T231" i="10"/>
  <c r="T232" i="10"/>
  <c r="T233" i="10"/>
  <c r="T234" i="10"/>
  <c r="T235" i="10"/>
  <c r="T236" i="10"/>
  <c r="T237" i="10"/>
  <c r="T238" i="10"/>
  <c r="T239" i="10"/>
  <c r="T240" i="10"/>
  <c r="T241" i="10"/>
  <c r="T242" i="10"/>
  <c r="T243" i="10"/>
  <c r="T244" i="10"/>
  <c r="T245" i="10"/>
  <c r="T246" i="10"/>
  <c r="T247" i="10"/>
  <c r="T248" i="10"/>
  <c r="T249" i="10"/>
  <c r="T250" i="10"/>
  <c r="T251" i="10"/>
  <c r="T252" i="10"/>
  <c r="T253" i="10"/>
  <c r="T254" i="10"/>
  <c r="T255" i="10"/>
  <c r="T256" i="10"/>
  <c r="T257" i="10"/>
  <c r="T258" i="10"/>
  <c r="T259" i="10"/>
  <c r="T260" i="10"/>
  <c r="T261" i="10"/>
  <c r="T262" i="10"/>
  <c r="T263" i="10"/>
  <c r="T264" i="10"/>
  <c r="T265" i="10"/>
  <c r="T266" i="10"/>
  <c r="T267" i="10"/>
  <c r="T268" i="10"/>
  <c r="T269" i="10"/>
  <c r="T270" i="10"/>
  <c r="T271" i="10"/>
  <c r="T272" i="10"/>
  <c r="T273" i="10"/>
  <c r="T274" i="10"/>
  <c r="T275" i="10"/>
  <c r="T276" i="10"/>
  <c r="T277" i="10"/>
  <c r="T278" i="10"/>
  <c r="T279" i="10"/>
  <c r="T280" i="10"/>
  <c r="T281" i="10"/>
  <c r="T282" i="10"/>
  <c r="T283" i="10"/>
  <c r="T284" i="10"/>
  <c r="T285" i="10"/>
  <c r="T286" i="10"/>
  <c r="T287" i="10"/>
  <c r="T288" i="10"/>
  <c r="T289" i="10"/>
  <c r="T290" i="10"/>
  <c r="T291" i="10"/>
  <c r="T292" i="10"/>
  <c r="T293" i="10"/>
  <c r="T294" i="10"/>
  <c r="T295" i="10"/>
  <c r="T296" i="10"/>
  <c r="T297" i="10"/>
  <c r="T298" i="10"/>
  <c r="T299" i="10"/>
  <c r="T300" i="10"/>
  <c r="T301" i="10"/>
  <c r="T302" i="10"/>
  <c r="T303" i="10"/>
  <c r="T304" i="10"/>
  <c r="T305" i="10"/>
  <c r="AN81" i="10"/>
  <c r="AN93" i="10"/>
  <c r="AN118" i="10"/>
  <c r="AN33" i="10"/>
  <c r="AN45" i="10"/>
  <c r="AN142" i="10"/>
  <c r="AN69" i="10"/>
  <c r="AN21" i="10"/>
  <c r="AN130" i="10"/>
  <c r="AN57" i="10"/>
  <c r="AN154" i="10"/>
  <c r="AN9" i="10"/>
  <c r="AN105" i="10"/>
  <c r="AN106" i="10"/>
  <c r="AN100" i="10"/>
  <c r="AN101" i="10"/>
  <c r="AN108" i="10"/>
  <c r="AN103" i="10"/>
  <c r="AN99" i="10"/>
  <c r="AN107" i="10"/>
  <c r="AN102" i="10"/>
  <c r="AN109" i="10"/>
  <c r="AN98" i="10"/>
  <c r="AN104" i="10"/>
  <c r="T2" i="10"/>
  <c r="T3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T90" i="10"/>
  <c r="T91" i="10"/>
  <c r="T92" i="10"/>
  <c r="T93" i="10"/>
  <c r="T94" i="10"/>
  <c r="T95" i="10"/>
  <c r="T96" i="10"/>
  <c r="T97" i="10"/>
  <c r="T98" i="10"/>
  <c r="T99" i="10"/>
  <c r="T100" i="10"/>
  <c r="T101" i="10"/>
  <c r="T102" i="10"/>
  <c r="T103" i="10"/>
  <c r="T104" i="10"/>
  <c r="T105" i="10"/>
  <c r="T106" i="10"/>
  <c r="T107" i="10"/>
  <c r="T108" i="10"/>
  <c r="T109" i="10"/>
  <c r="T110" i="10"/>
  <c r="T111" i="10"/>
  <c r="T112" i="10"/>
  <c r="T113" i="10"/>
  <c r="T114" i="10"/>
  <c r="T115" i="10"/>
  <c r="T116" i="10"/>
  <c r="T117" i="10"/>
  <c r="T118" i="10"/>
  <c r="T119" i="10"/>
  <c r="T120" i="10"/>
  <c r="S2" i="10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90" i="10"/>
  <c r="S91" i="10"/>
  <c r="S92" i="10"/>
  <c r="S93" i="10"/>
  <c r="S94" i="10"/>
  <c r="S95" i="10"/>
  <c r="S96" i="10"/>
  <c r="S97" i="10"/>
  <c r="S98" i="10"/>
  <c r="S99" i="10"/>
  <c r="S100" i="10"/>
  <c r="S101" i="10"/>
  <c r="S102" i="10"/>
  <c r="S103" i="10"/>
  <c r="S104" i="10"/>
  <c r="S105" i="10"/>
  <c r="S106" i="10"/>
  <c r="S107" i="10"/>
  <c r="S108" i="10"/>
  <c r="S109" i="10"/>
  <c r="S110" i="10"/>
  <c r="S111" i="10"/>
  <c r="S112" i="10"/>
  <c r="S113" i="10"/>
  <c r="S114" i="10"/>
  <c r="S115" i="10"/>
  <c r="S116" i="10"/>
  <c r="S117" i="10"/>
  <c r="S118" i="10"/>
  <c r="S119" i="10"/>
  <c r="S120" i="10"/>
  <c r="AN82" i="10"/>
  <c r="AN76" i="10"/>
  <c r="AN77" i="10"/>
  <c r="AN84" i="10"/>
  <c r="AN79" i="10"/>
  <c r="AN75" i="10"/>
  <c r="AN83" i="10"/>
  <c r="AN78" i="10"/>
  <c r="AN92" i="10"/>
  <c r="AN94" i="10"/>
  <c r="AN88" i="10"/>
  <c r="AN89" i="10"/>
  <c r="AN96" i="10"/>
  <c r="AN91" i="10"/>
  <c r="AN87" i="10"/>
  <c r="AN95" i="10"/>
  <c r="AN90" i="10"/>
  <c r="AN116" i="10"/>
  <c r="AN117" i="10"/>
  <c r="AN112" i="10"/>
  <c r="AN113" i="10"/>
  <c r="AN120" i="10"/>
  <c r="AN115" i="10"/>
  <c r="AN111" i="10"/>
  <c r="AN119" i="10"/>
  <c r="AN114" i="10"/>
  <c r="AN31" i="10"/>
  <c r="AN32" i="10"/>
  <c r="AN34" i="10"/>
  <c r="AN28" i="10"/>
  <c r="AN36" i="10"/>
  <c r="AN30" i="10"/>
  <c r="AN27" i="10"/>
  <c r="AN35" i="10"/>
  <c r="AN29" i="10"/>
  <c r="AN43" i="10"/>
  <c r="AN44" i="10"/>
  <c r="AN46" i="10"/>
  <c r="AN40" i="10"/>
  <c r="AN48" i="10"/>
  <c r="AN42" i="10"/>
  <c r="AN39" i="10"/>
  <c r="AN47" i="10"/>
  <c r="AN41" i="10"/>
  <c r="AN140" i="10"/>
  <c r="AN141" i="10"/>
  <c r="AN143" i="10"/>
  <c r="AN136" i="10"/>
  <c r="AN137" i="10"/>
  <c r="AN139" i="10"/>
  <c r="AN135" i="10"/>
  <c r="AN144" i="10"/>
  <c r="AN138" i="10"/>
  <c r="AN67" i="10"/>
  <c r="AN68" i="10"/>
  <c r="AN70" i="10"/>
  <c r="AN64" i="10"/>
  <c r="AN65" i="10"/>
  <c r="AN72" i="10"/>
  <c r="AN71" i="10"/>
  <c r="AN66" i="10"/>
  <c r="AN19" i="10"/>
  <c r="AN20" i="10"/>
  <c r="AN22" i="10"/>
  <c r="AN15" i="10"/>
  <c r="AN16" i="10"/>
  <c r="AN24" i="10"/>
  <c r="AN18" i="10"/>
  <c r="AN23" i="10"/>
  <c r="AN17" i="10"/>
  <c r="AN128" i="10"/>
  <c r="AN129" i="10"/>
  <c r="AN131" i="10"/>
  <c r="AN124" i="10"/>
  <c r="AN125" i="10"/>
  <c r="AN132" i="10"/>
  <c r="AN127" i="10"/>
  <c r="AN123" i="10"/>
  <c r="AN126" i="10"/>
  <c r="AN55" i="10"/>
  <c r="AN56" i="10"/>
  <c r="AN58" i="10"/>
  <c r="AN52" i="10"/>
  <c r="AN53" i="10"/>
  <c r="AN60" i="10"/>
  <c r="AN54" i="10"/>
  <c r="AN51" i="10"/>
  <c r="AN59" i="10"/>
  <c r="AN152" i="10"/>
  <c r="AN153" i="10"/>
  <c r="AN155" i="10"/>
  <c r="AN148" i="10"/>
  <c r="AN149" i="10"/>
  <c r="AN157" i="10"/>
  <c r="AN151" i="10"/>
  <c r="AN147" i="10"/>
  <c r="AN156" i="10"/>
  <c r="AN150" i="10"/>
  <c r="AN85" i="10"/>
  <c r="AN97" i="10"/>
  <c r="AN121" i="10"/>
  <c r="AN37" i="10"/>
  <c r="AN49" i="10"/>
  <c r="AN145" i="10"/>
  <c r="AN73" i="10"/>
  <c r="AN25" i="10"/>
  <c r="AN133" i="10"/>
  <c r="AN61" i="10"/>
  <c r="AN7" i="10"/>
  <c r="AN8" i="10"/>
  <c r="AN10" i="10"/>
  <c r="AN3" i="10"/>
  <c r="AN4" i="10"/>
  <c r="AN12" i="10"/>
  <c r="AN6" i="10"/>
  <c r="AN2" i="10"/>
  <c r="AN11" i="10"/>
  <c r="AN5" i="10"/>
  <c r="AN13" i="10"/>
  <c r="AN74" i="10"/>
  <c r="AN86" i="10"/>
  <c r="AN110" i="10"/>
  <c r="AN26" i="10"/>
  <c r="AN38" i="10"/>
  <c r="AN134" i="10"/>
  <c r="AN62" i="10"/>
  <c r="AN14" i="10"/>
  <c r="AN122" i="10"/>
  <c r="AN50" i="10"/>
  <c r="AN146" i="10"/>
  <c r="AN80" i="10"/>
  <c r="N15" i="19" l="1"/>
  <c r="Y15" i="19"/>
  <c r="U15" i="19"/>
  <c r="T15" i="19"/>
  <c r="S15" i="19"/>
  <c r="Z15" i="19"/>
  <c r="R15" i="19"/>
  <c r="Q15" i="19"/>
  <c r="O15" i="19"/>
  <c r="P15" i="19"/>
  <c r="V15" i="19"/>
  <c r="W15" i="19"/>
  <c r="X15" i="19"/>
  <c r="M16" i="19"/>
  <c r="V122" i="14"/>
  <c r="Q129" i="10"/>
  <c r="R125" i="10"/>
  <c r="U145" i="14"/>
  <c r="BA92" i="14"/>
  <c r="R160" i="10"/>
  <c r="U105" i="14"/>
  <c r="U87" i="14"/>
  <c r="U282" i="14"/>
  <c r="U111" i="14"/>
  <c r="U95" i="14"/>
  <c r="W95" i="14" s="1"/>
  <c r="Q304" i="10"/>
  <c r="R244" i="10"/>
  <c r="U35" i="14"/>
  <c r="U210" i="14"/>
  <c r="V210" i="14" s="1"/>
  <c r="G5" i="15"/>
  <c r="G13" i="15"/>
  <c r="G6" i="15"/>
  <c r="G14" i="15"/>
  <c r="G9" i="15"/>
  <c r="G7" i="15"/>
  <c r="G4" i="15"/>
  <c r="H4" i="15" s="1"/>
  <c r="G8" i="15"/>
  <c r="G17" i="15"/>
  <c r="G10" i="15"/>
  <c r="H10" i="15" s="1"/>
  <c r="G11" i="15"/>
  <c r="G12" i="15"/>
  <c r="Q296" i="10"/>
  <c r="U214" i="14"/>
  <c r="V214" i="14" s="1"/>
  <c r="R246" i="10"/>
  <c r="R202" i="10"/>
  <c r="Q264" i="10"/>
  <c r="R130" i="10"/>
  <c r="AY63" i="10"/>
  <c r="AP63" i="10" s="1"/>
  <c r="BC63" i="10"/>
  <c r="BL63" i="10"/>
  <c r="BD63" i="10"/>
  <c r="BA63" i="10"/>
  <c r="BB63" i="10"/>
  <c r="AX63" i="10"/>
  <c r="BK63" i="10"/>
  <c r="BI148" i="14"/>
  <c r="BA113" i="14"/>
  <c r="BI122" i="14"/>
  <c r="BI84" i="14"/>
  <c r="BI121" i="14"/>
  <c r="BI104" i="14"/>
  <c r="BA142" i="14"/>
  <c r="BI74" i="14"/>
  <c r="BA154" i="14"/>
  <c r="BA89" i="14"/>
  <c r="BA151" i="14"/>
  <c r="BC149" i="14"/>
  <c r="BA138" i="14"/>
  <c r="BI89" i="14"/>
  <c r="BA128" i="14"/>
  <c r="BA6" i="14"/>
  <c r="BC11" i="14"/>
  <c r="W143" i="14"/>
  <c r="BA148" i="14"/>
  <c r="BI94" i="14"/>
  <c r="W230" i="14"/>
  <c r="BA118" i="14"/>
  <c r="BA73" i="14"/>
  <c r="BI103" i="14"/>
  <c r="BI88" i="14"/>
  <c r="BA87" i="14"/>
  <c r="W224" i="14"/>
  <c r="BA125" i="14"/>
  <c r="V134" i="14"/>
  <c r="BI77" i="14"/>
  <c r="W137" i="14"/>
  <c r="BA93" i="14"/>
  <c r="BI112" i="14"/>
  <c r="BA11" i="14"/>
  <c r="W205" i="14"/>
  <c r="BA139" i="14"/>
  <c r="BI142" i="14"/>
  <c r="BI91" i="14"/>
  <c r="BA90" i="14"/>
  <c r="BC153" i="14"/>
  <c r="BI81" i="14"/>
  <c r="W259" i="14"/>
  <c r="V138" i="14"/>
  <c r="BI146" i="14"/>
  <c r="BC92" i="14"/>
  <c r="BE92" i="14" s="1"/>
  <c r="BC156" i="14"/>
  <c r="BA2" i="14"/>
  <c r="K6" i="15"/>
  <c r="K8" i="15"/>
  <c r="K13" i="15"/>
  <c r="K14" i="15"/>
  <c r="K11" i="15"/>
  <c r="K4" i="15"/>
  <c r="K12" i="15"/>
  <c r="K7" i="15"/>
  <c r="K9" i="15"/>
  <c r="P9" i="15" s="1"/>
  <c r="K10" i="15"/>
  <c r="K5" i="15"/>
  <c r="N5" i="15" s="1"/>
  <c r="BA67" i="14"/>
  <c r="BA102" i="14"/>
  <c r="BA127" i="14"/>
  <c r="U116" i="14"/>
  <c r="BA56" i="14"/>
  <c r="BA51" i="14"/>
  <c r="U290" i="14"/>
  <c r="V290" i="14" s="1"/>
  <c r="U202" i="14"/>
  <c r="V202" i="14" s="1"/>
  <c r="U83" i="14"/>
  <c r="W83" i="14" s="1"/>
  <c r="BC65" i="14"/>
  <c r="BI126" i="14"/>
  <c r="V58" i="14"/>
  <c r="W58" i="14"/>
  <c r="U233" i="14"/>
  <c r="V233" i="14" s="1"/>
  <c r="U168" i="14"/>
  <c r="V168" i="14" s="1"/>
  <c r="U108" i="14"/>
  <c r="W108" i="14" s="1"/>
  <c r="BA47" i="14"/>
  <c r="BC13" i="14"/>
  <c r="U265" i="14"/>
  <c r="V265" i="14" s="1"/>
  <c r="BI113" i="14"/>
  <c r="V117" i="14"/>
  <c r="W196" i="14"/>
  <c r="BC123" i="14"/>
  <c r="BE123" i="14" s="1"/>
  <c r="BA55" i="14"/>
  <c r="U79" i="14"/>
  <c r="V79" i="14" s="1"/>
  <c r="V304" i="14"/>
  <c r="W304" i="14"/>
  <c r="V257" i="14"/>
  <c r="W257" i="14"/>
  <c r="W87" i="14"/>
  <c r="V87" i="14"/>
  <c r="V129" i="14"/>
  <c r="W129" i="14"/>
  <c r="V125" i="14"/>
  <c r="W125" i="14"/>
  <c r="V42" i="14"/>
  <c r="W42" i="14"/>
  <c r="V102" i="14"/>
  <c r="W102" i="14"/>
  <c r="V75" i="14"/>
  <c r="W75" i="14"/>
  <c r="V45" i="14"/>
  <c r="W45" i="14"/>
  <c r="V151" i="14"/>
  <c r="W151" i="14"/>
  <c r="V121" i="14"/>
  <c r="W121" i="14"/>
  <c r="V57" i="14"/>
  <c r="W57" i="14"/>
  <c r="W103" i="14"/>
  <c r="V103" i="14"/>
  <c r="V65" i="14"/>
  <c r="W65" i="14"/>
  <c r="U270" i="14"/>
  <c r="U171" i="14"/>
  <c r="W171" i="14" s="1"/>
  <c r="BI133" i="14"/>
  <c r="BI151" i="14"/>
  <c r="BA157" i="14"/>
  <c r="BI100" i="14"/>
  <c r="U78" i="14"/>
  <c r="V78" i="14" s="1"/>
  <c r="BI82" i="14"/>
  <c r="BI78" i="14"/>
  <c r="BA63" i="14"/>
  <c r="U18" i="14"/>
  <c r="V18" i="14" s="1"/>
  <c r="V31" i="14"/>
  <c r="BI75" i="14"/>
  <c r="U216" i="14"/>
  <c r="V216" i="14" s="1"/>
  <c r="U200" i="14"/>
  <c r="V200" i="14" s="1"/>
  <c r="U99" i="14"/>
  <c r="W99" i="14" s="1"/>
  <c r="U69" i="14"/>
  <c r="V69" i="14" s="1"/>
  <c r="U62" i="14"/>
  <c r="V62" i="14" s="1"/>
  <c r="U46" i="14"/>
  <c r="V46" i="14" s="1"/>
  <c r="U221" i="14"/>
  <c r="V221" i="14" s="1"/>
  <c r="U294" i="14"/>
  <c r="V294" i="14" s="1"/>
  <c r="U204" i="14"/>
  <c r="V204" i="14" s="1"/>
  <c r="U285" i="14"/>
  <c r="W285" i="14" s="1"/>
  <c r="U180" i="14"/>
  <c r="W180" i="14" s="1"/>
  <c r="BA146" i="14"/>
  <c r="W272" i="14"/>
  <c r="W243" i="14"/>
  <c r="W212" i="14"/>
  <c r="U228" i="14"/>
  <c r="V228" i="14" s="1"/>
  <c r="U178" i="14"/>
  <c r="W178" i="14" s="1"/>
  <c r="V283" i="14"/>
  <c r="U187" i="14"/>
  <c r="W187" i="14" s="1"/>
  <c r="V177" i="14"/>
  <c r="V162" i="14"/>
  <c r="V118" i="14"/>
  <c r="U104" i="14"/>
  <c r="W104" i="14" s="1"/>
  <c r="BC86" i="14"/>
  <c r="BA145" i="14"/>
  <c r="U124" i="14"/>
  <c r="BA96" i="14"/>
  <c r="BC126" i="14"/>
  <c r="U5" i="14"/>
  <c r="V5" i="14" s="1"/>
  <c r="U209" i="14"/>
  <c r="U302" i="14"/>
  <c r="V302" i="14" s="1"/>
  <c r="U193" i="14"/>
  <c r="V193" i="14" s="1"/>
  <c r="U106" i="14"/>
  <c r="U6" i="14"/>
  <c r="W6" i="14" s="1"/>
  <c r="W241" i="14"/>
  <c r="W225" i="14"/>
  <c r="U301" i="14"/>
  <c r="W301" i="14" s="1"/>
  <c r="U277" i="14"/>
  <c r="W277" i="14" s="1"/>
  <c r="W298" i="14"/>
  <c r="BI93" i="14"/>
  <c r="W271" i="14"/>
  <c r="U235" i="14"/>
  <c r="V235" i="14" s="1"/>
  <c r="U176" i="14"/>
  <c r="W176" i="14" s="1"/>
  <c r="U153" i="14"/>
  <c r="W153" i="14" s="1"/>
  <c r="BA103" i="14"/>
  <c r="BA147" i="14"/>
  <c r="BI136" i="14"/>
  <c r="W74" i="14"/>
  <c r="W61" i="14"/>
  <c r="W49" i="14"/>
  <c r="U286" i="14"/>
  <c r="V286" i="14" s="1"/>
  <c r="U139" i="14"/>
  <c r="U249" i="14"/>
  <c r="W19" i="14"/>
  <c r="V19" i="14"/>
  <c r="V282" i="14"/>
  <c r="W282" i="14"/>
  <c r="W159" i="14"/>
  <c r="V159" i="14"/>
  <c r="V296" i="14"/>
  <c r="W296" i="14"/>
  <c r="V288" i="14"/>
  <c r="W288" i="14"/>
  <c r="V280" i="14"/>
  <c r="W280" i="14"/>
  <c r="W4" i="14"/>
  <c r="V4" i="14"/>
  <c r="V201" i="14"/>
  <c r="W201" i="14"/>
  <c r="V253" i="14"/>
  <c r="W253" i="14"/>
  <c r="W152" i="14"/>
  <c r="V152" i="14"/>
  <c r="V113" i="14"/>
  <c r="W113" i="14"/>
  <c r="W35" i="14"/>
  <c r="V35" i="14"/>
  <c r="W156" i="14"/>
  <c r="V156" i="14"/>
  <c r="V300" i="14"/>
  <c r="W300" i="14"/>
  <c r="V292" i="14"/>
  <c r="W292" i="14"/>
  <c r="V284" i="14"/>
  <c r="W284" i="14"/>
  <c r="V209" i="14"/>
  <c r="W209" i="14"/>
  <c r="W27" i="14"/>
  <c r="V27" i="14"/>
  <c r="V6" i="14"/>
  <c r="BA119" i="14"/>
  <c r="U142" i="14"/>
  <c r="V142" i="14" s="1"/>
  <c r="BA129" i="14"/>
  <c r="BI90" i="14"/>
  <c r="U136" i="14"/>
  <c r="V126" i="14"/>
  <c r="W109" i="14"/>
  <c r="BA122" i="14"/>
  <c r="BA76" i="14"/>
  <c r="BC116" i="14"/>
  <c r="BI98" i="14"/>
  <c r="U39" i="14"/>
  <c r="V39" i="14" s="1"/>
  <c r="V66" i="14"/>
  <c r="BA53" i="14"/>
  <c r="U14" i="14"/>
  <c r="V14" i="14" s="1"/>
  <c r="V11" i="14"/>
  <c r="U251" i="14"/>
  <c r="U50" i="14"/>
  <c r="U133" i="14"/>
  <c r="U90" i="14"/>
  <c r="U25" i="14"/>
  <c r="H6" i="15"/>
  <c r="I14" i="15"/>
  <c r="H8" i="15"/>
  <c r="H13" i="15"/>
  <c r="I7" i="15"/>
  <c r="H12" i="15"/>
  <c r="H9" i="15"/>
  <c r="I11" i="15"/>
  <c r="W269" i="14"/>
  <c r="W229" i="14"/>
  <c r="U297" i="14"/>
  <c r="W297" i="14" s="1"/>
  <c r="U281" i="14"/>
  <c r="W281" i="14" s="1"/>
  <c r="U273" i="14"/>
  <c r="V273" i="14" s="1"/>
  <c r="W267" i="14"/>
  <c r="W208" i="14"/>
  <c r="V250" i="14"/>
  <c r="U236" i="14"/>
  <c r="V236" i="14" s="1"/>
  <c r="U164" i="14"/>
  <c r="W164" i="14" s="1"/>
  <c r="W237" i="14"/>
  <c r="V183" i="14"/>
  <c r="U175" i="14"/>
  <c r="U146" i="14"/>
  <c r="W146" i="14" s="1"/>
  <c r="U149" i="14"/>
  <c r="V149" i="14" s="1"/>
  <c r="BI85" i="14"/>
  <c r="BA62" i="14"/>
  <c r="U68" i="14"/>
  <c r="W68" i="14" s="1"/>
  <c r="W54" i="14"/>
  <c r="BA83" i="14"/>
  <c r="V15" i="14"/>
  <c r="BE11" i="14"/>
  <c r="U2" i="14"/>
  <c r="V2" i="14" s="1"/>
  <c r="T8" i="15"/>
  <c r="W278" i="14"/>
  <c r="U147" i="14"/>
  <c r="U255" i="14"/>
  <c r="U107" i="14"/>
  <c r="U70" i="14"/>
  <c r="W217" i="14"/>
  <c r="V293" i="14"/>
  <c r="W263" i="14"/>
  <c r="U268" i="14"/>
  <c r="U248" i="14"/>
  <c r="V299" i="14"/>
  <c r="W245" i="14"/>
  <c r="V191" i="14"/>
  <c r="W194" i="14"/>
  <c r="BC97" i="14"/>
  <c r="BE97" i="14" s="1"/>
  <c r="V114" i="14"/>
  <c r="V95" i="14"/>
  <c r="BI108" i="14"/>
  <c r="U84" i="14"/>
  <c r="V84" i="14" s="1"/>
  <c r="BI105" i="14"/>
  <c r="BI123" i="14"/>
  <c r="BI83" i="14"/>
  <c r="BC66" i="14"/>
  <c r="BA54" i="14"/>
  <c r="BA46" i="14"/>
  <c r="BC37" i="14"/>
  <c r="BC24" i="14"/>
  <c r="BC12" i="14"/>
  <c r="BA61" i="14"/>
  <c r="V23" i="14"/>
  <c r="I8" i="15"/>
  <c r="T5" i="15"/>
  <c r="U155" i="14"/>
  <c r="U276" i="14"/>
  <c r="U91" i="14"/>
  <c r="U33" i="14"/>
  <c r="U9" i="14"/>
  <c r="R262" i="10"/>
  <c r="Q305" i="10"/>
  <c r="U305" i="10" s="1"/>
  <c r="Q241" i="10"/>
  <c r="Q219" i="10"/>
  <c r="R173" i="10"/>
  <c r="Q165" i="10"/>
  <c r="R161" i="10"/>
  <c r="Q141" i="10"/>
  <c r="Q133" i="10"/>
  <c r="Q260" i="10"/>
  <c r="R294" i="10"/>
  <c r="Q290" i="10"/>
  <c r="R304" i="10"/>
  <c r="Q273" i="10"/>
  <c r="Q263" i="10"/>
  <c r="R241" i="10"/>
  <c r="R229" i="10"/>
  <c r="R227" i="10"/>
  <c r="R225" i="10"/>
  <c r="R223" i="10"/>
  <c r="Q209" i="10"/>
  <c r="Q157" i="10"/>
  <c r="Q145" i="10"/>
  <c r="Q130" i="10"/>
  <c r="U130" i="10" s="1"/>
  <c r="R305" i="10"/>
  <c r="R280" i="10"/>
  <c r="Q274" i="10"/>
  <c r="Q230" i="10"/>
  <c r="R228" i="10"/>
  <c r="R194" i="10"/>
  <c r="R162" i="10"/>
  <c r="R152" i="10"/>
  <c r="R138" i="10"/>
  <c r="R136" i="10"/>
  <c r="R301" i="10"/>
  <c r="R247" i="10"/>
  <c r="R245" i="10"/>
  <c r="R188" i="10"/>
  <c r="R176" i="10"/>
  <c r="R166" i="10"/>
  <c r="R150" i="10"/>
  <c r="Q134" i="10"/>
  <c r="R129" i="10"/>
  <c r="U129" i="10" s="1"/>
  <c r="Q237" i="10"/>
  <c r="R213" i="10"/>
  <c r="Q210" i="10"/>
  <c r="Q177" i="10"/>
  <c r="R256" i="10"/>
  <c r="Q252" i="10"/>
  <c r="R226" i="10"/>
  <c r="R224" i="10"/>
  <c r="R144" i="10"/>
  <c r="R128" i="10"/>
  <c r="R300" i="10"/>
  <c r="Q292" i="10"/>
  <c r="Q279" i="10"/>
  <c r="Q236" i="10"/>
  <c r="R184" i="10"/>
  <c r="Q173" i="10"/>
  <c r="Q166" i="10"/>
  <c r="R141" i="10"/>
  <c r="R295" i="10"/>
  <c r="U295" i="10" s="1"/>
  <c r="R288" i="10"/>
  <c r="R274" i="10"/>
  <c r="Q268" i="10"/>
  <c r="R258" i="10"/>
  <c r="R243" i="10"/>
  <c r="Q229" i="10"/>
  <c r="R210" i="10"/>
  <c r="Q207" i="10"/>
  <c r="Q203" i="10"/>
  <c r="Q198" i="10"/>
  <c r="Q186" i="10"/>
  <c r="R182" i="10"/>
  <c r="R170" i="10"/>
  <c r="R168" i="10"/>
  <c r="Q154" i="10"/>
  <c r="R134" i="10"/>
  <c r="R263" i="10"/>
  <c r="U263" i="10" s="1"/>
  <c r="V263" i="10" s="1"/>
  <c r="R261" i="10"/>
  <c r="Q257" i="10"/>
  <c r="Q248" i="10"/>
  <c r="Q208" i="10"/>
  <c r="R206" i="10"/>
  <c r="R198" i="10"/>
  <c r="R197" i="10"/>
  <c r="R195" i="10"/>
  <c r="Q192" i="10"/>
  <c r="R186" i="10"/>
  <c r="Q185" i="10"/>
  <c r="Q178" i="10"/>
  <c r="Q174" i="10"/>
  <c r="Q158" i="10"/>
  <c r="R154" i="10"/>
  <c r="Q153" i="10"/>
  <c r="Q142" i="10"/>
  <c r="Q122" i="10"/>
  <c r="Q301" i="10"/>
  <c r="Q300" i="10"/>
  <c r="R296" i="10"/>
  <c r="Q293" i="10"/>
  <c r="R291" i="10"/>
  <c r="R285" i="10"/>
  <c r="Q283" i="10"/>
  <c r="R275" i="10"/>
  <c r="R257" i="10"/>
  <c r="R248" i="10"/>
  <c r="Q247" i="10"/>
  <c r="U247" i="10" s="1"/>
  <c r="V247" i="10" s="1"/>
  <c r="Q245" i="10"/>
  <c r="Q244" i="10"/>
  <c r="U244" i="10" s="1"/>
  <c r="W244" i="10" s="1"/>
  <c r="R242" i="10"/>
  <c r="R239" i="10"/>
  <c r="R218" i="10"/>
  <c r="R214" i="10"/>
  <c r="R211" i="10"/>
  <c r="R174" i="10"/>
  <c r="Q162" i="10"/>
  <c r="Q161" i="10"/>
  <c r="R142" i="10"/>
  <c r="Q126" i="10"/>
  <c r="R122" i="10"/>
  <c r="Q121" i="10"/>
  <c r="BC73" i="14"/>
  <c r="BE73" i="14" s="1"/>
  <c r="BC146" i="14"/>
  <c r="BC133" i="14"/>
  <c r="BC68" i="14"/>
  <c r="BI76" i="14"/>
  <c r="BC39" i="14"/>
  <c r="BC135" i="14"/>
  <c r="BE135" i="14" s="1"/>
  <c r="BE101" i="14"/>
  <c r="BI106" i="14"/>
  <c r="BC106" i="14"/>
  <c r="BC72" i="14"/>
  <c r="BC38" i="14"/>
  <c r="BC122" i="14"/>
  <c r="BC108" i="14"/>
  <c r="BI96" i="14"/>
  <c r="BA141" i="14"/>
  <c r="BI155" i="14"/>
  <c r="BI152" i="14"/>
  <c r="BI153" i="14"/>
  <c r="R303" i="10"/>
  <c r="R293" i="10"/>
  <c r="U293" i="10" s="1"/>
  <c r="Q289" i="10"/>
  <c r="Q284" i="10"/>
  <c r="Q280" i="10"/>
  <c r="U280" i="10" s="1"/>
  <c r="W280" i="10" s="1"/>
  <c r="R279" i="10"/>
  <c r="R278" i="10"/>
  <c r="Q277" i="10"/>
  <c r="R276" i="10"/>
  <c r="R273" i="10"/>
  <c r="U273" i="10" s="1"/>
  <c r="R269" i="10"/>
  <c r="R264" i="10"/>
  <c r="R252" i="10"/>
  <c r="Q251" i="10"/>
  <c r="R237" i="10"/>
  <c r="R230" i="10"/>
  <c r="Q224" i="10"/>
  <c r="R219" i="10"/>
  <c r="Q214" i="10"/>
  <c r="Q213" i="10"/>
  <c r="U213" i="10" s="1"/>
  <c r="V213" i="10" s="1"/>
  <c r="R212" i="10"/>
  <c r="R207" i="10"/>
  <c r="U207" i="10" s="1"/>
  <c r="Q194" i="10"/>
  <c r="R193" i="10"/>
  <c r="R192" i="10"/>
  <c r="Q191" i="10"/>
  <c r="R190" i="10"/>
  <c r="Q182" i="10"/>
  <c r="R181" i="10"/>
  <c r="R178" i="10"/>
  <c r="Q170" i="10"/>
  <c r="R169" i="10"/>
  <c r="R158" i="10"/>
  <c r="U158" i="10" s="1"/>
  <c r="Q150" i="10"/>
  <c r="R149" i="10"/>
  <c r="R146" i="10"/>
  <c r="Q138" i="10"/>
  <c r="R137" i="10"/>
  <c r="R126" i="10"/>
  <c r="R290" i="10"/>
  <c r="U290" i="10" s="1"/>
  <c r="W290" i="10" s="1"/>
  <c r="R284" i="10"/>
  <c r="Q276" i="10"/>
  <c r="Q261" i="10"/>
  <c r="R260" i="10"/>
  <c r="R259" i="10"/>
  <c r="Q227" i="10"/>
  <c r="Q223" i="10"/>
  <c r="Q193" i="10"/>
  <c r="Q190" i="10"/>
  <c r="Q181" i="10"/>
  <c r="R177" i="10"/>
  <c r="Q169" i="10"/>
  <c r="R157" i="10"/>
  <c r="U157" i="10" s="1"/>
  <c r="V157" i="10" s="1"/>
  <c r="Q149" i="10"/>
  <c r="U149" i="10" s="1"/>
  <c r="V149" i="10" s="1"/>
  <c r="Q146" i="10"/>
  <c r="R145" i="10"/>
  <c r="Q137" i="10"/>
  <c r="Q302" i="10"/>
  <c r="R292" i="10"/>
  <c r="R289" i="10"/>
  <c r="R277" i="10"/>
  <c r="R268" i="10"/>
  <c r="Q267" i="10"/>
  <c r="Q258" i="10"/>
  <c r="R253" i="10"/>
  <c r="Q242" i="10"/>
  <c r="R236" i="10"/>
  <c r="U236" i="10" s="1"/>
  <c r="Q233" i="10"/>
  <c r="Q226" i="10"/>
  <c r="Q225" i="10"/>
  <c r="R209" i="10"/>
  <c r="U209" i="10" s="1"/>
  <c r="V209" i="10" s="1"/>
  <c r="R208" i="10"/>
  <c r="R203" i="10"/>
  <c r="Q197" i="10"/>
  <c r="U197" i="10" s="1"/>
  <c r="R196" i="10"/>
  <c r="R191" i="10"/>
  <c r="R185" i="10"/>
  <c r="R165" i="10"/>
  <c r="U165" i="10" s="1"/>
  <c r="R153" i="10"/>
  <c r="R133" i="10"/>
  <c r="Q125" i="10"/>
  <c r="U125" i="10" s="1"/>
  <c r="V125" i="10" s="1"/>
  <c r="R121" i="10"/>
  <c r="Q5" i="15"/>
  <c r="S11" i="15"/>
  <c r="H7" i="15"/>
  <c r="S7" i="15"/>
  <c r="T12" i="15"/>
  <c r="I10" i="15"/>
  <c r="T13" i="15"/>
  <c r="T9" i="15"/>
  <c r="T7" i="15"/>
  <c r="T10" i="15"/>
  <c r="S12" i="15"/>
  <c r="T4" i="15"/>
  <c r="H11" i="15"/>
  <c r="S9" i="15"/>
  <c r="S10" i="15"/>
  <c r="S6" i="15"/>
  <c r="W161" i="14"/>
  <c r="V161" i="14"/>
  <c r="W101" i="14"/>
  <c r="V101" i="14"/>
  <c r="W63" i="14"/>
  <c r="V63" i="14"/>
  <c r="W59" i="14"/>
  <c r="V59" i="14"/>
  <c r="W55" i="14"/>
  <c r="V55" i="14"/>
  <c r="W51" i="14"/>
  <c r="V51" i="14"/>
  <c r="W47" i="14"/>
  <c r="V47" i="14"/>
  <c r="V32" i="14"/>
  <c r="W32" i="14"/>
  <c r="V24" i="14"/>
  <c r="W24" i="14"/>
  <c r="V16" i="14"/>
  <c r="W16" i="14"/>
  <c r="W128" i="14"/>
  <c r="V128" i="14"/>
  <c r="V80" i="14"/>
  <c r="W80" i="14"/>
  <c r="W67" i="14"/>
  <c r="V67" i="14"/>
  <c r="W38" i="14"/>
  <c r="V38" i="14"/>
  <c r="W184" i="14"/>
  <c r="V184" i="14"/>
  <c r="W168" i="14"/>
  <c r="W157" i="14"/>
  <c r="V157" i="14"/>
  <c r="V110" i="14"/>
  <c r="W110" i="14"/>
  <c r="V36" i="14"/>
  <c r="W36" i="14"/>
  <c r="V28" i="14"/>
  <c r="W28" i="14"/>
  <c r="V20" i="14"/>
  <c r="W20" i="14"/>
  <c r="W7" i="14"/>
  <c r="V7" i="14"/>
  <c r="W2" i="14"/>
  <c r="W190" i="14"/>
  <c r="V190" i="14"/>
  <c r="W182" i="14"/>
  <c r="V182" i="14"/>
  <c r="W154" i="14"/>
  <c r="V154" i="14"/>
  <c r="W89" i="14"/>
  <c r="V89" i="14"/>
  <c r="W84" i="14"/>
  <c r="W76" i="14"/>
  <c r="V76" i="14"/>
  <c r="W43" i="14"/>
  <c r="V43" i="14"/>
  <c r="V41" i="14"/>
  <c r="W41" i="14"/>
  <c r="W17" i="14"/>
  <c r="V17" i="14"/>
  <c r="V12" i="14"/>
  <c r="W12" i="14"/>
  <c r="V297" i="14"/>
  <c r="V281" i="14"/>
  <c r="W258" i="14"/>
  <c r="V258" i="14"/>
  <c r="W261" i="14"/>
  <c r="U244" i="14"/>
  <c r="AK137" i="14"/>
  <c r="AV137" i="14"/>
  <c r="AV124" i="14"/>
  <c r="U173" i="14"/>
  <c r="V163" i="14"/>
  <c r="AK103" i="14"/>
  <c r="AV103" i="14"/>
  <c r="U140" i="14"/>
  <c r="W145" i="14"/>
  <c r="V145" i="14"/>
  <c r="AK122" i="14"/>
  <c r="AV122" i="14"/>
  <c r="AV75" i="14"/>
  <c r="AK75" i="14"/>
  <c r="BC103" i="14"/>
  <c r="BE103" i="14" s="1"/>
  <c r="U119" i="14"/>
  <c r="BC142" i="14"/>
  <c r="BE142" i="14" s="1"/>
  <c r="AL92" i="14"/>
  <c r="AV101" i="14"/>
  <c r="AK101" i="14"/>
  <c r="W97" i="14"/>
  <c r="V97" i="14"/>
  <c r="AL115" i="14"/>
  <c r="W96" i="14"/>
  <c r="V96" i="14"/>
  <c r="W116" i="14"/>
  <c r="V116" i="14"/>
  <c r="V112" i="14"/>
  <c r="BI71" i="14"/>
  <c r="AL145" i="14"/>
  <c r="AK127" i="14"/>
  <c r="AV127" i="14"/>
  <c r="AL147" i="14"/>
  <c r="AL156" i="14"/>
  <c r="AK156" i="14"/>
  <c r="AV156" i="14"/>
  <c r="AV149" i="14"/>
  <c r="AK149" i="14"/>
  <c r="AL149" i="14"/>
  <c r="AL136" i="14"/>
  <c r="AV79" i="14"/>
  <c r="AK79" i="14"/>
  <c r="AL150" i="14"/>
  <c r="AK102" i="14"/>
  <c r="AV102" i="14"/>
  <c r="BA131" i="14"/>
  <c r="BC43" i="14"/>
  <c r="V86" i="14"/>
  <c r="AK123" i="14"/>
  <c r="AV123" i="14"/>
  <c r="AV54" i="14"/>
  <c r="W78" i="14"/>
  <c r="BC98" i="14"/>
  <c r="W88" i="14"/>
  <c r="BC79" i="14"/>
  <c r="AK83" i="14"/>
  <c r="AV83" i="14"/>
  <c r="W40" i="14"/>
  <c r="V40" i="14"/>
  <c r="AV35" i="14"/>
  <c r="AL13" i="14"/>
  <c r="AV37" i="14"/>
  <c r="AV13" i="14"/>
  <c r="W46" i="14"/>
  <c r="BA36" i="14"/>
  <c r="BA27" i="14"/>
  <c r="BE27" i="14" s="1"/>
  <c r="AV23" i="14"/>
  <c r="BC20" i="14"/>
  <c r="BA13" i="14"/>
  <c r="AV8" i="14"/>
  <c r="BC5" i="14"/>
  <c r="W53" i="14"/>
  <c r="BA39" i="14"/>
  <c r="BC35" i="14"/>
  <c r="AV10" i="14"/>
  <c r="AL83" i="14"/>
  <c r="BI149" i="14"/>
  <c r="AL104" i="14"/>
  <c r="AL151" i="14"/>
  <c r="AL90" i="14"/>
  <c r="AL87" i="14"/>
  <c r="AL128" i="14"/>
  <c r="AL148" i="14"/>
  <c r="AL91" i="14"/>
  <c r="AL84" i="14"/>
  <c r="AL77" i="14"/>
  <c r="BA5" i="14"/>
  <c r="BA8" i="14"/>
  <c r="BA16" i="14"/>
  <c r="BA20" i="14"/>
  <c r="BA23" i="14"/>
  <c r="BA28" i="14"/>
  <c r="BA30" i="14"/>
  <c r="AV44" i="14"/>
  <c r="BA9" i="14"/>
  <c r="BA19" i="14"/>
  <c r="BA35" i="14"/>
  <c r="BA33" i="14"/>
  <c r="AK9" i="14"/>
  <c r="AV9" i="14"/>
  <c r="BA48" i="14"/>
  <c r="BA64" i="14"/>
  <c r="BC82" i="14"/>
  <c r="BC48" i="14"/>
  <c r="BC52" i="14"/>
  <c r="BC58" i="14"/>
  <c r="BC57" i="14"/>
  <c r="BC64" i="14"/>
  <c r="BC120" i="14"/>
  <c r="AV59" i="14"/>
  <c r="BC60" i="14"/>
  <c r="AK82" i="14"/>
  <c r="AV82" i="14"/>
  <c r="AK154" i="14"/>
  <c r="AV154" i="14"/>
  <c r="BC78" i="14"/>
  <c r="BA136" i="14"/>
  <c r="AK110" i="14"/>
  <c r="AV110" i="14"/>
  <c r="BA79" i="14"/>
  <c r="BA107" i="14"/>
  <c r="BA111" i="14"/>
  <c r="AK157" i="14"/>
  <c r="AV157" i="14"/>
  <c r="BA71" i="14"/>
  <c r="AK96" i="14"/>
  <c r="AV96" i="14"/>
  <c r="BC74" i="14"/>
  <c r="BC85" i="14"/>
  <c r="BA121" i="14"/>
  <c r="AV74" i="14"/>
  <c r="AK74" i="14"/>
  <c r="AK90" i="14"/>
  <c r="AV90" i="14"/>
  <c r="AK93" i="14"/>
  <c r="AV93" i="14"/>
  <c r="BA77" i="14"/>
  <c r="AV91" i="14"/>
  <c r="AK91" i="14"/>
  <c r="BC113" i="14"/>
  <c r="BA74" i="14"/>
  <c r="BA132" i="14"/>
  <c r="BA85" i="14"/>
  <c r="BC148" i="14"/>
  <c r="BE148" i="14" s="1"/>
  <c r="AV77" i="14"/>
  <c r="AK77" i="14"/>
  <c r="BC69" i="14"/>
  <c r="AV114" i="14"/>
  <c r="AK114" i="14"/>
  <c r="BA80" i="14"/>
  <c r="BC114" i="14"/>
  <c r="BC109" i="14"/>
  <c r="BE109" i="14" s="1"/>
  <c r="AV99" i="14"/>
  <c r="BC143" i="14"/>
  <c r="BC137" i="14"/>
  <c r="W10" i="14"/>
  <c r="BA25" i="14"/>
  <c r="V21" i="14"/>
  <c r="BC6" i="14"/>
  <c r="BA4" i="14"/>
  <c r="AV2" i="14"/>
  <c r="AK2" i="14"/>
  <c r="W3" i="14"/>
  <c r="W270" i="14"/>
  <c r="V270" i="14"/>
  <c r="W213" i="14"/>
  <c r="W248" i="14"/>
  <c r="V248" i="14"/>
  <c r="V246" i="14"/>
  <c r="W239" i="14"/>
  <c r="W231" i="14"/>
  <c r="W223" i="14"/>
  <c r="W215" i="14"/>
  <c r="W207" i="14"/>
  <c r="W174" i="14"/>
  <c r="V174" i="14"/>
  <c r="W166" i="14"/>
  <c r="V166" i="14"/>
  <c r="V295" i="14"/>
  <c r="V279" i="14"/>
  <c r="W222" i="14"/>
  <c r="W214" i="14"/>
  <c r="W206" i="14"/>
  <c r="U195" i="14"/>
  <c r="U181" i="14"/>
  <c r="V171" i="14"/>
  <c r="AK144" i="14"/>
  <c r="AV144" i="14"/>
  <c r="AK142" i="14"/>
  <c r="AV142" i="14"/>
  <c r="AV130" i="14"/>
  <c r="AL97" i="14"/>
  <c r="W127" i="14"/>
  <c r="V127" i="14"/>
  <c r="AK141" i="14"/>
  <c r="AV141" i="14"/>
  <c r="W149" i="14"/>
  <c r="AK88" i="14"/>
  <c r="AV88" i="14"/>
  <c r="BE146" i="14"/>
  <c r="AL75" i="14"/>
  <c r="BC75" i="14"/>
  <c r="AV70" i="14"/>
  <c r="AK70" i="14"/>
  <c r="AL71" i="14"/>
  <c r="AV72" i="14"/>
  <c r="U123" i="14"/>
  <c r="BC138" i="14"/>
  <c r="AV117" i="14"/>
  <c r="AK133" i="14"/>
  <c r="AV133" i="14"/>
  <c r="AV116" i="14"/>
  <c r="AK116" i="14"/>
  <c r="BA86" i="14"/>
  <c r="AL86" i="14"/>
  <c r="BA68" i="14"/>
  <c r="BE68" i="14" s="1"/>
  <c r="AL68" i="14"/>
  <c r="U100" i="14"/>
  <c r="AL110" i="14"/>
  <c r="BC127" i="14"/>
  <c r="BE127" i="14" s="1"/>
  <c r="BA153" i="14"/>
  <c r="AL105" i="14"/>
  <c r="AK107" i="14"/>
  <c r="AV107" i="14"/>
  <c r="W105" i="14"/>
  <c r="V105" i="14"/>
  <c r="AV150" i="14"/>
  <c r="AL106" i="14"/>
  <c r="AL108" i="14"/>
  <c r="BI68" i="14"/>
  <c r="BI102" i="14"/>
  <c r="AK106" i="14"/>
  <c r="AV106" i="14"/>
  <c r="AK108" i="14"/>
  <c r="AV108" i="14"/>
  <c r="AK43" i="14"/>
  <c r="AV43" i="14"/>
  <c r="BA106" i="14"/>
  <c r="AV56" i="14"/>
  <c r="BA98" i="14"/>
  <c r="AK126" i="14"/>
  <c r="AV126" i="14"/>
  <c r="BC111" i="14"/>
  <c r="BA43" i="14"/>
  <c r="BE43" i="14" s="1"/>
  <c r="BA81" i="14"/>
  <c r="U71" i="14"/>
  <c r="U64" i="14"/>
  <c r="U60" i="14"/>
  <c r="U56" i="14"/>
  <c r="U52" i="14"/>
  <c r="U48" i="14"/>
  <c r="BC40" i="14"/>
  <c r="BE40" i="14" s="1"/>
  <c r="AV26" i="14"/>
  <c r="AV15" i="14"/>
  <c r="AV6" i="14"/>
  <c r="BC62" i="14"/>
  <c r="BE62" i="14" s="1"/>
  <c r="AV31" i="14"/>
  <c r="AV18" i="14"/>
  <c r="W69" i="14"/>
  <c r="W62" i="14"/>
  <c r="BC51" i="14"/>
  <c r="BC30" i="14"/>
  <c r="BA24" i="14"/>
  <c r="AV20" i="14"/>
  <c r="BC16" i="14"/>
  <c r="BA12" i="14"/>
  <c r="AV5" i="14"/>
  <c r="AL3" i="14"/>
  <c r="BA42" i="14"/>
  <c r="BA38" i="14"/>
  <c r="W30" i="14"/>
  <c r="BC19" i="14"/>
  <c r="BA32" i="14"/>
  <c r="BA3" i="14"/>
  <c r="AL5" i="14"/>
  <c r="BI110" i="14"/>
  <c r="AL96" i="14"/>
  <c r="AL141" i="14"/>
  <c r="BI86" i="14"/>
  <c r="BI116" i="14"/>
  <c r="AL152" i="14"/>
  <c r="AL100" i="14"/>
  <c r="AL89" i="14"/>
  <c r="AL88" i="14"/>
  <c r="AV45" i="14"/>
  <c r="BC45" i="14"/>
  <c r="BC36" i="14"/>
  <c r="AV41" i="14"/>
  <c r="AK41" i="14"/>
  <c r="BA52" i="14"/>
  <c r="BA120" i="14"/>
  <c r="BA49" i="14"/>
  <c r="BA50" i="14"/>
  <c r="BA59" i="14"/>
  <c r="BA60" i="14"/>
  <c r="BA65" i="14"/>
  <c r="BA66" i="14"/>
  <c r="AV50" i="14"/>
  <c r="BC59" i="14"/>
  <c r="BA78" i="14"/>
  <c r="BE78" i="14" s="1"/>
  <c r="BA149" i="14"/>
  <c r="BA82" i="14"/>
  <c r="AV104" i="14"/>
  <c r="AK104" i="14"/>
  <c r="BA150" i="14"/>
  <c r="BC152" i="14"/>
  <c r="BC100" i="14"/>
  <c r="BA70" i="14"/>
  <c r="BA75" i="14"/>
  <c r="AK76" i="14"/>
  <c r="AV76" i="14"/>
  <c r="BC84" i="14"/>
  <c r="BC157" i="14"/>
  <c r="BC96" i="14"/>
  <c r="BC70" i="14"/>
  <c r="BA130" i="14"/>
  <c r="AV85" i="14"/>
  <c r="AK85" i="14"/>
  <c r="AK148" i="14"/>
  <c r="AV148" i="14"/>
  <c r="BC90" i="14"/>
  <c r="BE90" i="14" s="1"/>
  <c r="BC93" i="14"/>
  <c r="AV94" i="14"/>
  <c r="AK94" i="14"/>
  <c r="BC77" i="14"/>
  <c r="BA95" i="14"/>
  <c r="AV118" i="14"/>
  <c r="BC119" i="14"/>
  <c r="BE119" i="14" s="1"/>
  <c r="BA134" i="14"/>
  <c r="BC99" i="14"/>
  <c r="BC26" i="14"/>
  <c r="BC22" i="14"/>
  <c r="BA10" i="14"/>
  <c r="BC4" i="14"/>
  <c r="BA21" i="14"/>
  <c r="V13" i="14"/>
  <c r="V289" i="14"/>
  <c r="W275" i="14"/>
  <c r="V275" i="14"/>
  <c r="W290" i="14"/>
  <c r="W266" i="14"/>
  <c r="V266" i="14"/>
  <c r="W268" i="14"/>
  <c r="V268" i="14"/>
  <c r="U264" i="14"/>
  <c r="U260" i="14"/>
  <c r="W240" i="14"/>
  <c r="U252" i="14"/>
  <c r="W200" i="14"/>
  <c r="W192" i="14"/>
  <c r="W188" i="14"/>
  <c r="V188" i="14"/>
  <c r="W172" i="14"/>
  <c r="V172" i="14"/>
  <c r="V291" i="14"/>
  <c r="AK139" i="14"/>
  <c r="AV139" i="14"/>
  <c r="U199" i="14"/>
  <c r="W150" i="14"/>
  <c r="V150" i="14"/>
  <c r="U189" i="14"/>
  <c r="V179" i="14"/>
  <c r="AV80" i="14"/>
  <c r="AK80" i="14"/>
  <c r="BC144" i="14"/>
  <c r="AV95" i="14"/>
  <c r="BC130" i="14"/>
  <c r="W136" i="14"/>
  <c r="V136" i="14"/>
  <c r="W132" i="14"/>
  <c r="V132" i="14"/>
  <c r="U144" i="14"/>
  <c r="AL122" i="14"/>
  <c r="BC88" i="14"/>
  <c r="AK87" i="14"/>
  <c r="AV87" i="14"/>
  <c r="U148" i="14"/>
  <c r="BC71" i="14"/>
  <c r="BC117" i="14"/>
  <c r="BC125" i="14"/>
  <c r="AV92" i="14"/>
  <c r="AK92" i="14"/>
  <c r="AL101" i="14"/>
  <c r="U130" i="14"/>
  <c r="AK115" i="14"/>
  <c r="AV115" i="14"/>
  <c r="AL154" i="14"/>
  <c r="W124" i="14"/>
  <c r="V124" i="14"/>
  <c r="V108" i="14"/>
  <c r="AK145" i="14"/>
  <c r="AV145" i="14"/>
  <c r="AK147" i="14"/>
  <c r="AV147" i="14"/>
  <c r="BA156" i="14"/>
  <c r="BE156" i="14" s="1"/>
  <c r="W93" i="14"/>
  <c r="V93" i="14"/>
  <c r="AK111" i="14"/>
  <c r="AV111" i="14"/>
  <c r="AL153" i="14"/>
  <c r="AL102" i="14"/>
  <c r="BC150" i="14"/>
  <c r="BI111" i="14"/>
  <c r="BI107" i="14"/>
  <c r="BI79" i="14"/>
  <c r="BC141" i="14"/>
  <c r="AL131" i="14"/>
  <c r="AK131" i="14"/>
  <c r="AV131" i="14"/>
  <c r="BC102" i="14"/>
  <c r="BE102" i="14" s="1"/>
  <c r="AL111" i="14"/>
  <c r="AL107" i="14"/>
  <c r="AL79" i="14"/>
  <c r="AV62" i="14"/>
  <c r="AV46" i="14"/>
  <c r="W82" i="14"/>
  <c r="AK81" i="14"/>
  <c r="AV81" i="14"/>
  <c r="BA126" i="14"/>
  <c r="BE126" i="14" s="1"/>
  <c r="U73" i="14"/>
  <c r="AL123" i="14"/>
  <c r="BC63" i="14"/>
  <c r="BC61" i="14"/>
  <c r="BC55" i="14"/>
  <c r="BE55" i="14" s="1"/>
  <c r="BC53" i="14"/>
  <c r="BC47" i="14"/>
  <c r="AV40" i="14"/>
  <c r="BC56" i="14"/>
  <c r="AV33" i="14"/>
  <c r="AV19" i="14"/>
  <c r="AV34" i="14"/>
  <c r="AV24" i="14"/>
  <c r="BC67" i="14"/>
  <c r="BE67" i="14" s="1"/>
  <c r="BA31" i="14"/>
  <c r="BE31" i="14" s="1"/>
  <c r="AV30" i="14"/>
  <c r="BC28" i="14"/>
  <c r="BA18" i="14"/>
  <c r="BE18" i="14" s="1"/>
  <c r="AV16" i="14"/>
  <c r="AV42" i="14"/>
  <c r="W22" i="14"/>
  <c r="BC9" i="14"/>
  <c r="AK14" i="14"/>
  <c r="AV14" i="14"/>
  <c r="AK11" i="14"/>
  <c r="AV11" i="14"/>
  <c r="AL78" i="14"/>
  <c r="AL140" i="14"/>
  <c r="BI70" i="14"/>
  <c r="BI97" i="14"/>
  <c r="AL74" i="14"/>
  <c r="AL93" i="14"/>
  <c r="AL113" i="14"/>
  <c r="AL85" i="14"/>
  <c r="AL94" i="14"/>
  <c r="AL69" i="14"/>
  <c r="AV3" i="14"/>
  <c r="AK7" i="14"/>
  <c r="AV7" i="14"/>
  <c r="AV17" i="14"/>
  <c r="AV21" i="14"/>
  <c r="AV32" i="14"/>
  <c r="AK25" i="14"/>
  <c r="AV25" i="14"/>
  <c r="AV29" i="14"/>
  <c r="BA34" i="14"/>
  <c r="BC41" i="14"/>
  <c r="BA15" i="14"/>
  <c r="BA22" i="14"/>
  <c r="BA26" i="14"/>
  <c r="BA41" i="14"/>
  <c r="BA58" i="14"/>
  <c r="AV78" i="14"/>
  <c r="AK78" i="14"/>
  <c r="AV49" i="14"/>
  <c r="BC50" i="14"/>
  <c r="AV65" i="14"/>
  <c r="BA140" i="14"/>
  <c r="AV140" i="14"/>
  <c r="AK140" i="14"/>
  <c r="BC104" i="14"/>
  <c r="BC155" i="14"/>
  <c r="AK136" i="14"/>
  <c r="AV136" i="14"/>
  <c r="AK105" i="14"/>
  <c r="AV105" i="14"/>
  <c r="AV100" i="14"/>
  <c r="AK100" i="14"/>
  <c r="AV155" i="14"/>
  <c r="AK155" i="14"/>
  <c r="AK128" i="14"/>
  <c r="AV128" i="14"/>
  <c r="BC132" i="14"/>
  <c r="BC154" i="14"/>
  <c r="BE154" i="14" s="1"/>
  <c r="BA152" i="14"/>
  <c r="BA100" i="14"/>
  <c r="AV132" i="14"/>
  <c r="AK132" i="14"/>
  <c r="AK89" i="14"/>
  <c r="AV89" i="14"/>
  <c r="BC128" i="14"/>
  <c r="BE128" i="14" s="1"/>
  <c r="AV84" i="14"/>
  <c r="AK84" i="14"/>
  <c r="BA69" i="14"/>
  <c r="BA91" i="14"/>
  <c r="BA84" i="14"/>
  <c r="BC94" i="14"/>
  <c r="BA144" i="14"/>
  <c r="BA143" i="14"/>
  <c r="BE143" i="14" s="1"/>
  <c r="BC95" i="14"/>
  <c r="AV134" i="14"/>
  <c r="AK134" i="14"/>
  <c r="BC15" i="14"/>
  <c r="AL10" i="14"/>
  <c r="AV4" i="14"/>
  <c r="BA7" i="14"/>
  <c r="BC10" i="14"/>
  <c r="W5" i="14"/>
  <c r="V301" i="14"/>
  <c r="V285" i="14"/>
  <c r="W302" i="14"/>
  <c r="W262" i="14"/>
  <c r="V262" i="14"/>
  <c r="W232" i="14"/>
  <c r="W227" i="14"/>
  <c r="U256" i="14"/>
  <c r="W238" i="14"/>
  <c r="W233" i="14"/>
  <c r="W220" i="14"/>
  <c r="V254" i="14"/>
  <c r="W219" i="14"/>
  <c r="W211" i="14"/>
  <c r="W203" i="14"/>
  <c r="W186" i="14"/>
  <c r="V186" i="14"/>
  <c r="W170" i="14"/>
  <c r="V170" i="14"/>
  <c r="V303" i="14"/>
  <c r="V287" i="14"/>
  <c r="U247" i="14"/>
  <c r="U242" i="14"/>
  <c r="U234" i="14"/>
  <c r="U226" i="14"/>
  <c r="W218" i="14"/>
  <c r="W210" i="14"/>
  <c r="W202" i="14"/>
  <c r="V185" i="14"/>
  <c r="V169" i="14"/>
  <c r="W160" i="14"/>
  <c r="V160" i="14"/>
  <c r="AK138" i="14"/>
  <c r="AV138" i="14"/>
  <c r="AV125" i="14"/>
  <c r="V167" i="14"/>
  <c r="BA137" i="14"/>
  <c r="BC124" i="14"/>
  <c r="BA124" i="14"/>
  <c r="W198" i="14"/>
  <c r="U165" i="14"/>
  <c r="AK135" i="14"/>
  <c r="AV135" i="14"/>
  <c r="BC80" i="14"/>
  <c r="W142" i="14"/>
  <c r="AL130" i="14"/>
  <c r="W141" i="14"/>
  <c r="V141" i="14"/>
  <c r="BC139" i="14"/>
  <c r="AK73" i="14"/>
  <c r="AV73" i="14"/>
  <c r="AK97" i="14"/>
  <c r="AV97" i="14"/>
  <c r="BE113" i="14"/>
  <c r="BE88" i="14"/>
  <c r="BC87" i="14"/>
  <c r="BE87" i="14" s="1"/>
  <c r="AK146" i="14"/>
  <c r="AV146" i="14"/>
  <c r="AL70" i="14"/>
  <c r="BA72" i="14"/>
  <c r="AL72" i="14"/>
  <c r="U135" i="14"/>
  <c r="U115" i="14"/>
  <c r="AL76" i="14"/>
  <c r="V111" i="14"/>
  <c r="W111" i="14"/>
  <c r="AV71" i="14"/>
  <c r="AK71" i="14"/>
  <c r="BA117" i="14"/>
  <c r="BA133" i="14"/>
  <c r="AL133" i="14"/>
  <c r="U131" i="14"/>
  <c r="BA116" i="14"/>
  <c r="AL116" i="14"/>
  <c r="AV86" i="14"/>
  <c r="AK86" i="14"/>
  <c r="BI115" i="14"/>
  <c r="AK68" i="14"/>
  <c r="AV68" i="14"/>
  <c r="BC115" i="14"/>
  <c r="BE115" i="14" s="1"/>
  <c r="AL157" i="14"/>
  <c r="U92" i="14"/>
  <c r="U120" i="14"/>
  <c r="BI145" i="14"/>
  <c r="BC145" i="14"/>
  <c r="BI147" i="14"/>
  <c r="BC147" i="14"/>
  <c r="AL82" i="14"/>
  <c r="AV153" i="14"/>
  <c r="AK153" i="14"/>
  <c r="BC131" i="14"/>
  <c r="U85" i="14"/>
  <c r="U81" i="14"/>
  <c r="U77" i="14"/>
  <c r="U72" i="14"/>
  <c r="AL126" i="14"/>
  <c r="AV67" i="14"/>
  <c r="AV51" i="14"/>
  <c r="BC107" i="14"/>
  <c r="AL81" i="14"/>
  <c r="AV66" i="14"/>
  <c r="BC81" i="14"/>
  <c r="AL98" i="14"/>
  <c r="AK98" i="14"/>
  <c r="AV98" i="14"/>
  <c r="BA108" i="14"/>
  <c r="BC83" i="14"/>
  <c r="BE83" i="14" s="1"/>
  <c r="AV63" i="14"/>
  <c r="AV61" i="14"/>
  <c r="AV55" i="14"/>
  <c r="AV53" i="14"/>
  <c r="AV47" i="14"/>
  <c r="BI120" i="14"/>
  <c r="W44" i="14"/>
  <c r="V44" i="14"/>
  <c r="AV36" i="14"/>
  <c r="AV22" i="14"/>
  <c r="BC46" i="14"/>
  <c r="BE46" i="14" s="1"/>
  <c r="AV39" i="14"/>
  <c r="AL38" i="14"/>
  <c r="AV38" i="14"/>
  <c r="AV27" i="14"/>
  <c r="AK12" i="14"/>
  <c r="AV12" i="14"/>
  <c r="BA37" i="14"/>
  <c r="BE37" i="14" s="1"/>
  <c r="AV28" i="14"/>
  <c r="BC23" i="14"/>
  <c r="BC8" i="14"/>
  <c r="BC54" i="14"/>
  <c r="BC42" i="14"/>
  <c r="W37" i="14"/>
  <c r="BC33" i="14"/>
  <c r="AL6" i="14"/>
  <c r="BA29" i="14"/>
  <c r="BA17" i="14"/>
  <c r="BA14" i="14"/>
  <c r="BE14" i="14" s="1"/>
  <c r="AL120" i="14"/>
  <c r="AL155" i="14"/>
  <c r="BI156" i="14"/>
  <c r="BI101" i="14"/>
  <c r="BI92" i="14"/>
  <c r="AL103" i="14"/>
  <c r="AL121" i="14"/>
  <c r="AL112" i="14"/>
  <c r="AL132" i="14"/>
  <c r="AL146" i="14"/>
  <c r="AL142" i="14"/>
  <c r="BC3" i="14"/>
  <c r="BC7" i="14"/>
  <c r="BC17" i="14"/>
  <c r="BC21" i="14"/>
  <c r="BC32" i="14"/>
  <c r="BC25" i="14"/>
  <c r="BC29" i="14"/>
  <c r="BA44" i="14"/>
  <c r="BC44" i="14"/>
  <c r="BA45" i="14"/>
  <c r="BA57" i="14"/>
  <c r="AV48" i="14"/>
  <c r="AV52" i="14"/>
  <c r="AV58" i="14"/>
  <c r="AV57" i="14"/>
  <c r="AV64" i="14"/>
  <c r="AV120" i="14"/>
  <c r="AK120" i="14"/>
  <c r="BC49" i="14"/>
  <c r="AV60" i="14"/>
  <c r="BA104" i="14"/>
  <c r="AV152" i="14"/>
  <c r="AK152" i="14"/>
  <c r="BC140" i="14"/>
  <c r="BA105" i="14"/>
  <c r="AV121" i="14"/>
  <c r="AK121" i="14"/>
  <c r="BC136" i="14"/>
  <c r="BC105" i="14"/>
  <c r="BA110" i="14"/>
  <c r="BE110" i="14" s="1"/>
  <c r="BC121" i="14"/>
  <c r="BC112" i="14"/>
  <c r="AK151" i="14"/>
  <c r="AV151" i="14"/>
  <c r="BA94" i="14"/>
  <c r="BC91" i="14"/>
  <c r="BA155" i="14"/>
  <c r="BC151" i="14"/>
  <c r="BE151" i="14" s="1"/>
  <c r="AK112" i="14"/>
  <c r="AV112" i="14"/>
  <c r="AV119" i="14"/>
  <c r="AK113" i="14"/>
  <c r="AV113" i="14"/>
  <c r="BA99" i="14"/>
  <c r="BE99" i="14" s="1"/>
  <c r="BA112" i="14"/>
  <c r="BC76" i="14"/>
  <c r="BE76" i="14" s="1"/>
  <c r="BC89" i="14"/>
  <c r="BE89" i="14" s="1"/>
  <c r="BC129" i="14"/>
  <c r="BE129" i="14" s="1"/>
  <c r="AV69" i="14"/>
  <c r="AK69" i="14"/>
  <c r="AV129" i="14"/>
  <c r="BA114" i="14"/>
  <c r="BC118" i="14"/>
  <c r="BE118" i="14" s="1"/>
  <c r="AV109" i="14"/>
  <c r="AV143" i="14"/>
  <c r="AK143" i="14"/>
  <c r="BC134" i="14"/>
  <c r="W34" i="14"/>
  <c r="W26" i="14"/>
  <c r="W18" i="14"/>
  <c r="BC34" i="14"/>
  <c r="V29" i="14"/>
  <c r="U8" i="14"/>
  <c r="BC2" i="14"/>
  <c r="BE2" i="14" s="1"/>
  <c r="Q205" i="10"/>
  <c r="R205" i="10"/>
  <c r="Q189" i="10"/>
  <c r="R189" i="10"/>
  <c r="Q156" i="10"/>
  <c r="R156" i="10"/>
  <c r="Q124" i="10"/>
  <c r="R124" i="10"/>
  <c r="R302" i="10"/>
  <c r="Q299" i="10"/>
  <c r="Q287" i="10"/>
  <c r="R287" i="10"/>
  <c r="Q272" i="10"/>
  <c r="Q270" i="10"/>
  <c r="R270" i="10"/>
  <c r="Q255" i="10"/>
  <c r="R255" i="10"/>
  <c r="Q235" i="10"/>
  <c r="R235" i="10"/>
  <c r="R297" i="10"/>
  <c r="Q297" i="10"/>
  <c r="R265" i="10"/>
  <c r="Q265" i="10"/>
  <c r="Q220" i="10"/>
  <c r="R220" i="10"/>
  <c r="R298" i="10"/>
  <c r="R281" i="10"/>
  <c r="Q281" i="10"/>
  <c r="R249" i="10"/>
  <c r="Q249" i="10"/>
  <c r="Q240" i="10"/>
  <c r="R240" i="10"/>
  <c r="R238" i="10"/>
  <c r="Q303" i="10"/>
  <c r="Q222" i="10"/>
  <c r="R222" i="10"/>
  <c r="R299" i="10"/>
  <c r="Q298" i="10"/>
  <c r="Q288" i="10"/>
  <c r="U288" i="10" s="1"/>
  <c r="W288" i="10" s="1"/>
  <c r="Q286" i="10"/>
  <c r="R286" i="10"/>
  <c r="R272" i="10"/>
  <c r="Q271" i="10"/>
  <c r="R271" i="10"/>
  <c r="Q256" i="10"/>
  <c r="Q254" i="10"/>
  <c r="R254" i="10"/>
  <c r="Q291" i="10"/>
  <c r="Q285" i="10"/>
  <c r="Q282" i="10"/>
  <c r="Q275" i="10"/>
  <c r="U275" i="10" s="1"/>
  <c r="V275" i="10" s="1"/>
  <c r="Q269" i="10"/>
  <c r="U269" i="10" s="1"/>
  <c r="Q266" i="10"/>
  <c r="Q259" i="10"/>
  <c r="Q253" i="10"/>
  <c r="Q250" i="10"/>
  <c r="Q243" i="10"/>
  <c r="Q238" i="10"/>
  <c r="R234" i="10"/>
  <c r="R199" i="10"/>
  <c r="Q199" i="10"/>
  <c r="Q164" i="10"/>
  <c r="R164" i="10"/>
  <c r="Q132" i="10"/>
  <c r="R132" i="10"/>
  <c r="V244" i="10"/>
  <c r="Q294" i="10"/>
  <c r="U294" i="10" s="1"/>
  <c r="V294" i="10" s="1"/>
  <c r="R283" i="10"/>
  <c r="R282" i="10"/>
  <c r="Q278" i="10"/>
  <c r="U278" i="10" s="1"/>
  <c r="V278" i="10" s="1"/>
  <c r="R267" i="10"/>
  <c r="R266" i="10"/>
  <c r="Q262" i="10"/>
  <c r="U262" i="10" s="1"/>
  <c r="V262" i="10" s="1"/>
  <c r="R251" i="10"/>
  <c r="R250" i="10"/>
  <c r="Q246" i="10"/>
  <c r="Q234" i="10"/>
  <c r="Q221" i="10"/>
  <c r="R221" i="10"/>
  <c r="Q206" i="10"/>
  <c r="Q204" i="10"/>
  <c r="R204" i="10"/>
  <c r="Q172" i="10"/>
  <c r="R172" i="10"/>
  <c r="Q140" i="10"/>
  <c r="R140" i="10"/>
  <c r="Q239" i="10"/>
  <c r="R231" i="10"/>
  <c r="Q231" i="10"/>
  <c r="R215" i="10"/>
  <c r="Q215" i="10"/>
  <c r="Q180" i="10"/>
  <c r="R180" i="10"/>
  <c r="Q148" i="10"/>
  <c r="R148" i="10"/>
  <c r="Q232" i="10"/>
  <c r="Q216" i="10"/>
  <c r="Q200" i="10"/>
  <c r="Q187" i="10"/>
  <c r="R187" i="10"/>
  <c r="Q179" i="10"/>
  <c r="R179" i="10"/>
  <c r="Q171" i="10"/>
  <c r="R171" i="10"/>
  <c r="Q163" i="10"/>
  <c r="R163" i="10"/>
  <c r="Q155" i="10"/>
  <c r="R155" i="10"/>
  <c r="Q147" i="10"/>
  <c r="R147" i="10"/>
  <c r="Q139" i="10"/>
  <c r="R139" i="10"/>
  <c r="Q131" i="10"/>
  <c r="R131" i="10"/>
  <c r="Q123" i="10"/>
  <c r="R123" i="10"/>
  <c r="R233" i="10"/>
  <c r="R232" i="10"/>
  <c r="Q228" i="10"/>
  <c r="Q218" i="10"/>
  <c r="U218" i="10" s="1"/>
  <c r="V218" i="10" s="1"/>
  <c r="R217" i="10"/>
  <c r="R216" i="10"/>
  <c r="Q212" i="10"/>
  <c r="Q202" i="10"/>
  <c r="R201" i="10"/>
  <c r="R200" i="10"/>
  <c r="Q196" i="10"/>
  <c r="Q184" i="10"/>
  <c r="Q176" i="10"/>
  <c r="Q168" i="10"/>
  <c r="U168" i="10" s="1"/>
  <c r="W168" i="10" s="1"/>
  <c r="Q160" i="10"/>
  <c r="U160" i="10" s="1"/>
  <c r="W160" i="10" s="1"/>
  <c r="Q152" i="10"/>
  <c r="Q144" i="10"/>
  <c r="Q136" i="10"/>
  <c r="U136" i="10" s="1"/>
  <c r="W136" i="10" s="1"/>
  <c r="Q128" i="10"/>
  <c r="Q217" i="10"/>
  <c r="Q211" i="10"/>
  <c r="Q201" i="10"/>
  <c r="Q195" i="10"/>
  <c r="Q188" i="10"/>
  <c r="Q183" i="10"/>
  <c r="R183" i="10"/>
  <c r="Q175" i="10"/>
  <c r="R175" i="10"/>
  <c r="Q167" i="10"/>
  <c r="R167" i="10"/>
  <c r="Q159" i="10"/>
  <c r="R159" i="10"/>
  <c r="Q151" i="10"/>
  <c r="R151" i="10"/>
  <c r="Q143" i="10"/>
  <c r="R143" i="10"/>
  <c r="Q135" i="10"/>
  <c r="R135" i="10"/>
  <c r="Q127" i="10"/>
  <c r="R127" i="10"/>
  <c r="BK103" i="10"/>
  <c r="BA108" i="10"/>
  <c r="BD27" i="10"/>
  <c r="BD50" i="10"/>
  <c r="BD86" i="10"/>
  <c r="BD4" i="10"/>
  <c r="BD97" i="10"/>
  <c r="BD59" i="10"/>
  <c r="BD55" i="10"/>
  <c r="BD18" i="10"/>
  <c r="BD64" i="10"/>
  <c r="BD136" i="10"/>
  <c r="BD30" i="10"/>
  <c r="BD115" i="10"/>
  <c r="BD94" i="10"/>
  <c r="BD76" i="10"/>
  <c r="BC109" i="10"/>
  <c r="AY109" i="10"/>
  <c r="AP109" i="10" s="1"/>
  <c r="BL93" i="10"/>
  <c r="BD154" i="10"/>
  <c r="BC93" i="10"/>
  <c r="AY154" i="10"/>
  <c r="AP154" i="10" s="1"/>
  <c r="BD122" i="10"/>
  <c r="BD2" i="10"/>
  <c r="BD61" i="10"/>
  <c r="BD151" i="10"/>
  <c r="BD126" i="10"/>
  <c r="BD24" i="10"/>
  <c r="BD143" i="10"/>
  <c r="BD29" i="10"/>
  <c r="BD114" i="10"/>
  <c r="BD96" i="10"/>
  <c r="BD82" i="10"/>
  <c r="BL98" i="10"/>
  <c r="BL105" i="10"/>
  <c r="BC103" i="10"/>
  <c r="AY103" i="10"/>
  <c r="AP103" i="10" s="1"/>
  <c r="BL130" i="10"/>
  <c r="BC154" i="10"/>
  <c r="BA118" i="10"/>
  <c r="AY57" i="10"/>
  <c r="AX142" i="10"/>
  <c r="AO142" i="10" s="1"/>
  <c r="BK57" i="10"/>
  <c r="BK93" i="10"/>
  <c r="BK108" i="10"/>
  <c r="BD11" i="10"/>
  <c r="BD7" i="10"/>
  <c r="BD147" i="10"/>
  <c r="BD53" i="10"/>
  <c r="BD132" i="10"/>
  <c r="BD22" i="10"/>
  <c r="BD144" i="10"/>
  <c r="BD41" i="10"/>
  <c r="BD43" i="10"/>
  <c r="BD116" i="10"/>
  <c r="BD75" i="10"/>
  <c r="BD70" i="10"/>
  <c r="BD108" i="10"/>
  <c r="BB109" i="10"/>
  <c r="AX109" i="10"/>
  <c r="AO109" i="10" s="1"/>
  <c r="BD81" i="10"/>
  <c r="BB118" i="10"/>
  <c r="AY118" i="10"/>
  <c r="AP118" i="10" s="1"/>
  <c r="BD38" i="10"/>
  <c r="BD3" i="10"/>
  <c r="BD85" i="10"/>
  <c r="BD155" i="10"/>
  <c r="BD52" i="10"/>
  <c r="BD128" i="10"/>
  <c r="BD20" i="10"/>
  <c r="BD135" i="10"/>
  <c r="BD47" i="10"/>
  <c r="BD28" i="10"/>
  <c r="BD90" i="10"/>
  <c r="BD79" i="10"/>
  <c r="BD36" i="10"/>
  <c r="BL103" i="10"/>
  <c r="BD100" i="10"/>
  <c r="BB108" i="10"/>
  <c r="AX108" i="10"/>
  <c r="AO108" i="10" s="1"/>
  <c r="BD57" i="10"/>
  <c r="BB93" i="10"/>
  <c r="AY33" i="10"/>
  <c r="AY21" i="10"/>
  <c r="AP21" i="10" s="1"/>
  <c r="AY9" i="10"/>
  <c r="AP9" i="10" s="1"/>
  <c r="BC118" i="10"/>
  <c r="BC130" i="10"/>
  <c r="BD93" i="10"/>
  <c r="BD69" i="10"/>
  <c r="BL118" i="10"/>
  <c r="BL69" i="10"/>
  <c r="BL154" i="10"/>
  <c r="AY106" i="10"/>
  <c r="AY99" i="10"/>
  <c r="BC106" i="10"/>
  <c r="BC99" i="10"/>
  <c r="BD105" i="10"/>
  <c r="AY81" i="10"/>
  <c r="AP81" i="10" s="1"/>
  <c r="AY45" i="10"/>
  <c r="AP45" i="10" s="1"/>
  <c r="AY130" i="10"/>
  <c r="AP130" i="10" s="1"/>
  <c r="BC45" i="10"/>
  <c r="BC57" i="10"/>
  <c r="BD118" i="10"/>
  <c r="BD130" i="10"/>
  <c r="BL21" i="10"/>
  <c r="BL9" i="10"/>
  <c r="AY100" i="10"/>
  <c r="AP100" i="10" s="1"/>
  <c r="AY102" i="10"/>
  <c r="AP102" i="10" s="1"/>
  <c r="BC100" i="10"/>
  <c r="BC102" i="10"/>
  <c r="BD14" i="10"/>
  <c r="BD26" i="10"/>
  <c r="BD13" i="10"/>
  <c r="BD6" i="10"/>
  <c r="BD10" i="10"/>
  <c r="BD133" i="10"/>
  <c r="BD37" i="10"/>
  <c r="BD150" i="10"/>
  <c r="BD157" i="10"/>
  <c r="BD153" i="10"/>
  <c r="BD54" i="10"/>
  <c r="BD58" i="10"/>
  <c r="BD123" i="10"/>
  <c r="BD124" i="10"/>
  <c r="BD17" i="10"/>
  <c r="BD16" i="10"/>
  <c r="BD19" i="10"/>
  <c r="BD72" i="10"/>
  <c r="BD67" i="10"/>
  <c r="BD139" i="10"/>
  <c r="BD141" i="10"/>
  <c r="BD39" i="10"/>
  <c r="BD46" i="10"/>
  <c r="BD35" i="10"/>
  <c r="BD34" i="10"/>
  <c r="BD119" i="10"/>
  <c r="BD112" i="10"/>
  <c r="BD95" i="10"/>
  <c r="BD89" i="10"/>
  <c r="BD78" i="10"/>
  <c r="BD84" i="10"/>
  <c r="BD80" i="10"/>
  <c r="BD120" i="10"/>
  <c r="AY104" i="10"/>
  <c r="BL109" i="10"/>
  <c r="BD99" i="10"/>
  <c r="BD106" i="10"/>
  <c r="BC108" i="10"/>
  <c r="BB106" i="10"/>
  <c r="BA100" i="10"/>
  <c r="AY108" i="10"/>
  <c r="AX106" i="10"/>
  <c r="BL142" i="10"/>
  <c r="BD142" i="10"/>
  <c r="BC69" i="10"/>
  <c r="BB130" i="10"/>
  <c r="BA57" i="10"/>
  <c r="AY69" i="10"/>
  <c r="AP69" i="10" s="1"/>
  <c r="AX154" i="10"/>
  <c r="AO154" i="10" s="1"/>
  <c r="AX118" i="10"/>
  <c r="BK69" i="10"/>
  <c r="BK109" i="10"/>
  <c r="BD134" i="10"/>
  <c r="BD145" i="10"/>
  <c r="BD148" i="10"/>
  <c r="BD129" i="10"/>
  <c r="BD71" i="10"/>
  <c r="BD48" i="10"/>
  <c r="BD31" i="10"/>
  <c r="BD91" i="10"/>
  <c r="BC104" i="10"/>
  <c r="BD109" i="10"/>
  <c r="BA102" i="10"/>
  <c r="BA45" i="10"/>
  <c r="AX69" i="10"/>
  <c r="AO69" i="10" s="1"/>
  <c r="BK154" i="10"/>
  <c r="BD74" i="10"/>
  <c r="BD49" i="10"/>
  <c r="BD51" i="10"/>
  <c r="BD125" i="10"/>
  <c r="BD68" i="10"/>
  <c r="BD40" i="10"/>
  <c r="BD113" i="10"/>
  <c r="BD92" i="10"/>
  <c r="BB104" i="10"/>
  <c r="BD102" i="10"/>
  <c r="BL81" i="10"/>
  <c r="BC81" i="10"/>
  <c r="AY93" i="10"/>
  <c r="BK100" i="10"/>
  <c r="BK99" i="10"/>
  <c r="BK98" i="10"/>
  <c r="BK33" i="10"/>
  <c r="BK21" i="10"/>
  <c r="BK9" i="10"/>
  <c r="AX33" i="10"/>
  <c r="AO33" i="10" s="1"/>
  <c r="AX21" i="10"/>
  <c r="AO21" i="10" s="1"/>
  <c r="AX9" i="10"/>
  <c r="AO9" i="10" s="1"/>
  <c r="BA81" i="10"/>
  <c r="BA142" i="10"/>
  <c r="BA154" i="10"/>
  <c r="BB45" i="10"/>
  <c r="BB57" i="10"/>
  <c r="AX103" i="10"/>
  <c r="AO103" i="10" s="1"/>
  <c r="BA105" i="10"/>
  <c r="BA103" i="10"/>
  <c r="BA98" i="10"/>
  <c r="BB103" i="10"/>
  <c r="BK107" i="10"/>
  <c r="BK81" i="10"/>
  <c r="BK45" i="10"/>
  <c r="BK130" i="10"/>
  <c r="AX81" i="10"/>
  <c r="AO81" i="10" s="1"/>
  <c r="AX45" i="10"/>
  <c r="AX130" i="10"/>
  <c r="AO130" i="10" s="1"/>
  <c r="BA93" i="10"/>
  <c r="BA69" i="10"/>
  <c r="BB81" i="10"/>
  <c r="BB142" i="10"/>
  <c r="BB154" i="10"/>
  <c r="AX105" i="10"/>
  <c r="AX102" i="10"/>
  <c r="BA106" i="10"/>
  <c r="BA99" i="10"/>
  <c r="BB105" i="10"/>
  <c r="BB102" i="10"/>
  <c r="BD146" i="10"/>
  <c r="BD62" i="10"/>
  <c r="BD110" i="10"/>
  <c r="BD5" i="10"/>
  <c r="BD12" i="10"/>
  <c r="BD8" i="10"/>
  <c r="BD73" i="10"/>
  <c r="BD121" i="10"/>
  <c r="BD156" i="10"/>
  <c r="BD149" i="10"/>
  <c r="BD152" i="10"/>
  <c r="BD60" i="10"/>
  <c r="BD56" i="10"/>
  <c r="BD127" i="10"/>
  <c r="BD131" i="10"/>
  <c r="BD23" i="10"/>
  <c r="BD15" i="10"/>
  <c r="BD66" i="10"/>
  <c r="BD65" i="10"/>
  <c r="BD138" i="10"/>
  <c r="BD137" i="10"/>
  <c r="BD140" i="10"/>
  <c r="BD42" i="10"/>
  <c r="BD44" i="10"/>
  <c r="BD32" i="10"/>
  <c r="BD111" i="10"/>
  <c r="BD117" i="10"/>
  <c r="BD87" i="10"/>
  <c r="BD88" i="10"/>
  <c r="BD83" i="10"/>
  <c r="BD77" i="10"/>
  <c r="BD25" i="10"/>
  <c r="BL102" i="10"/>
  <c r="BL100" i="10"/>
  <c r="BD98" i="10"/>
  <c r="BD103" i="10"/>
  <c r="BC98" i="10"/>
  <c r="BC105" i="10"/>
  <c r="BA109" i="10"/>
  <c r="AY98" i="10"/>
  <c r="AP98" i="10" s="1"/>
  <c r="AY105" i="10"/>
  <c r="AP105" i="10" s="1"/>
  <c r="BL45" i="10"/>
  <c r="BD45" i="10"/>
  <c r="BC142" i="10"/>
  <c r="BB69" i="10"/>
  <c r="BA130" i="10"/>
  <c r="AY142" i="10"/>
  <c r="AX57" i="10"/>
  <c r="AO57" i="10" s="1"/>
  <c r="AX93" i="10"/>
  <c r="AO93" i="10" s="1"/>
  <c r="BK142" i="10"/>
  <c r="BK102" i="10"/>
  <c r="AY107" i="10"/>
  <c r="AP107" i="10" s="1"/>
  <c r="AY101" i="10"/>
  <c r="BA9" i="10"/>
  <c r="BA21" i="10"/>
  <c r="BA33" i="10"/>
  <c r="BD9" i="10"/>
  <c r="BD21" i="10"/>
  <c r="BD33" i="10"/>
  <c r="BC9" i="10"/>
  <c r="BC21" i="10"/>
  <c r="BC33" i="10"/>
  <c r="BB9" i="10"/>
  <c r="BB21" i="10"/>
  <c r="BB33" i="10"/>
  <c r="BD107" i="10"/>
  <c r="BD101" i="10"/>
  <c r="BL107" i="10"/>
  <c r="BA107" i="10"/>
  <c r="BA101" i="10"/>
  <c r="BB107" i="10"/>
  <c r="BB101" i="10"/>
  <c r="AX107" i="10"/>
  <c r="AO107" i="10" s="1"/>
  <c r="AX101" i="10"/>
  <c r="BD104" i="10"/>
  <c r="AX104" i="10"/>
  <c r="BC107" i="10"/>
  <c r="BC101" i="10"/>
  <c r="BB98" i="10"/>
  <c r="BB99" i="10"/>
  <c r="BB100" i="10"/>
  <c r="AX98" i="10"/>
  <c r="AO98" i="10" s="1"/>
  <c r="AX99" i="10"/>
  <c r="AO99" i="10" s="1"/>
  <c r="AX100" i="10"/>
  <c r="AO100" i="10" s="1"/>
  <c r="BA104" i="10"/>
  <c r="BA80" i="10"/>
  <c r="BA14" i="10"/>
  <c r="BA26" i="10"/>
  <c r="BA13" i="10"/>
  <c r="BA6" i="10"/>
  <c r="BA10" i="10"/>
  <c r="BA133" i="10"/>
  <c r="BA49" i="10"/>
  <c r="BA85" i="10"/>
  <c r="BA151" i="10"/>
  <c r="BA155" i="10"/>
  <c r="BA51" i="10"/>
  <c r="BA52" i="10"/>
  <c r="BA126" i="10"/>
  <c r="BA125" i="10"/>
  <c r="BA128" i="10"/>
  <c r="BA146" i="10"/>
  <c r="BA62" i="10"/>
  <c r="BA110" i="10"/>
  <c r="BA5" i="10"/>
  <c r="BA12" i="10"/>
  <c r="BA8" i="10"/>
  <c r="BA25" i="10"/>
  <c r="BA37" i="10"/>
  <c r="BA150" i="10"/>
  <c r="BA157" i="10"/>
  <c r="BA153" i="10"/>
  <c r="BA54" i="10"/>
  <c r="BA58" i="10"/>
  <c r="BA123" i="10"/>
  <c r="BL50" i="10"/>
  <c r="BC50" i="10"/>
  <c r="BB50" i="10"/>
  <c r="BL134" i="10"/>
  <c r="BC134" i="10"/>
  <c r="BB134" i="10"/>
  <c r="BC86" i="10"/>
  <c r="BB86" i="10"/>
  <c r="BC11" i="10"/>
  <c r="BB11" i="10"/>
  <c r="BC4" i="10"/>
  <c r="BB4" i="10"/>
  <c r="BC7" i="10"/>
  <c r="BB7" i="10"/>
  <c r="BC73" i="10"/>
  <c r="BB73" i="10"/>
  <c r="BC121" i="10"/>
  <c r="BB121" i="10"/>
  <c r="BC156" i="10"/>
  <c r="BB156" i="10"/>
  <c r="BC149" i="10"/>
  <c r="BB149" i="10"/>
  <c r="BC152" i="10"/>
  <c r="BB152" i="10"/>
  <c r="BC60" i="10"/>
  <c r="BB60" i="10"/>
  <c r="BC56" i="10"/>
  <c r="BB56" i="10"/>
  <c r="BC127" i="10"/>
  <c r="BB127" i="10"/>
  <c r="BC131" i="10"/>
  <c r="BA131" i="10"/>
  <c r="BB131" i="10"/>
  <c r="BC23" i="10"/>
  <c r="BA23" i="10"/>
  <c r="BB23" i="10"/>
  <c r="BC15" i="10"/>
  <c r="BA15" i="10"/>
  <c r="BB15" i="10"/>
  <c r="BC66" i="10"/>
  <c r="BA66" i="10"/>
  <c r="BB66" i="10"/>
  <c r="BC65" i="10"/>
  <c r="BA65" i="10"/>
  <c r="BB65" i="10"/>
  <c r="BC67" i="10"/>
  <c r="BA67" i="10"/>
  <c r="BB67" i="10"/>
  <c r="BC139" i="10"/>
  <c r="BA139" i="10"/>
  <c r="BB139" i="10"/>
  <c r="BC141" i="10"/>
  <c r="BA141" i="10"/>
  <c r="BB141" i="10"/>
  <c r="BC39" i="10"/>
  <c r="BA39" i="10"/>
  <c r="BB39" i="10"/>
  <c r="BC46" i="10"/>
  <c r="BA46" i="10"/>
  <c r="BB46" i="10"/>
  <c r="BC35" i="10"/>
  <c r="BA35" i="10"/>
  <c r="BB35" i="10"/>
  <c r="BC28" i="10"/>
  <c r="BA28" i="10"/>
  <c r="BB28" i="10"/>
  <c r="BC114" i="10"/>
  <c r="BA114" i="10"/>
  <c r="BB114" i="10"/>
  <c r="BC120" i="10"/>
  <c r="BA120" i="10"/>
  <c r="BB120" i="10"/>
  <c r="BC116" i="10"/>
  <c r="BA116" i="10"/>
  <c r="BB116" i="10"/>
  <c r="BC91" i="10"/>
  <c r="BA91" i="10"/>
  <c r="BB91" i="10"/>
  <c r="BC94" i="10"/>
  <c r="BA94" i="10"/>
  <c r="BB94" i="10"/>
  <c r="BG94" i="10" s="1"/>
  <c r="BC75" i="10"/>
  <c r="BA75" i="10"/>
  <c r="BB75" i="10"/>
  <c r="BC76" i="10"/>
  <c r="BA76" i="10"/>
  <c r="BB76" i="10"/>
  <c r="BC122" i="10"/>
  <c r="BB122" i="10"/>
  <c r="BC38" i="10"/>
  <c r="BB38" i="10"/>
  <c r="BC74" i="10"/>
  <c r="BB74" i="10"/>
  <c r="BC2" i="10"/>
  <c r="BB2" i="10"/>
  <c r="BC3" i="10"/>
  <c r="BB3" i="10"/>
  <c r="BC61" i="10"/>
  <c r="BB61" i="10"/>
  <c r="BC145" i="10"/>
  <c r="BB145" i="10"/>
  <c r="BC97" i="10"/>
  <c r="BB97" i="10"/>
  <c r="BC147" i="10"/>
  <c r="BB147" i="10"/>
  <c r="BC148" i="10"/>
  <c r="BB148" i="10"/>
  <c r="BC59" i="10"/>
  <c r="BB59" i="10"/>
  <c r="BC53" i="10"/>
  <c r="BB53" i="10"/>
  <c r="BC55" i="10"/>
  <c r="BB55" i="10"/>
  <c r="BC132" i="10"/>
  <c r="BB132" i="10"/>
  <c r="BC129" i="10"/>
  <c r="BA129" i="10"/>
  <c r="BB129" i="10"/>
  <c r="BC18" i="10"/>
  <c r="BA18" i="10"/>
  <c r="BB18" i="10"/>
  <c r="BC22" i="10"/>
  <c r="BA22" i="10"/>
  <c r="BB22" i="10"/>
  <c r="BC71" i="10"/>
  <c r="BA71" i="10"/>
  <c r="BB71" i="10"/>
  <c r="BG71" i="10" s="1"/>
  <c r="BC64" i="10"/>
  <c r="BA64" i="10"/>
  <c r="BB64" i="10"/>
  <c r="BC138" i="10"/>
  <c r="BA138" i="10"/>
  <c r="BB138" i="10"/>
  <c r="BC137" i="10"/>
  <c r="BA137" i="10"/>
  <c r="BB137" i="10"/>
  <c r="BC140" i="10"/>
  <c r="BA140" i="10"/>
  <c r="BB140" i="10"/>
  <c r="BC42" i="10"/>
  <c r="BA42" i="10"/>
  <c r="BB42" i="10"/>
  <c r="BC44" i="10"/>
  <c r="BA44" i="10"/>
  <c r="BB44" i="10"/>
  <c r="BC27" i="10"/>
  <c r="BA27" i="10"/>
  <c r="BB27" i="10"/>
  <c r="BC34" i="10"/>
  <c r="BA34" i="10"/>
  <c r="BB34" i="10"/>
  <c r="BG34" i="10" s="1"/>
  <c r="BC119" i="10"/>
  <c r="BA119" i="10"/>
  <c r="BB119" i="10"/>
  <c r="BC113" i="10"/>
  <c r="BA113" i="10"/>
  <c r="BB113" i="10"/>
  <c r="BC90" i="10"/>
  <c r="BA90" i="10"/>
  <c r="BB90" i="10"/>
  <c r="BC96" i="10"/>
  <c r="BA96" i="10"/>
  <c r="BB96" i="10"/>
  <c r="BC92" i="10"/>
  <c r="BA92" i="10"/>
  <c r="BB92" i="10"/>
  <c r="BC79" i="10"/>
  <c r="BA79" i="10"/>
  <c r="BB79" i="10"/>
  <c r="BC82" i="10"/>
  <c r="BA82" i="10"/>
  <c r="BB82" i="10"/>
  <c r="BB80" i="10"/>
  <c r="BC80" i="10"/>
  <c r="BB14" i="10"/>
  <c r="BC14" i="10"/>
  <c r="BB26" i="10"/>
  <c r="BC26" i="10"/>
  <c r="BB13" i="10"/>
  <c r="BC13" i="10"/>
  <c r="BB6" i="10"/>
  <c r="BC6" i="10"/>
  <c r="BB10" i="10"/>
  <c r="BC10" i="10"/>
  <c r="BB133" i="10"/>
  <c r="BC133" i="10"/>
  <c r="BB49" i="10"/>
  <c r="BC49" i="10"/>
  <c r="BB85" i="10"/>
  <c r="BC85" i="10"/>
  <c r="BB151" i="10"/>
  <c r="BC151" i="10"/>
  <c r="BB155" i="10"/>
  <c r="BC155" i="10"/>
  <c r="BB51" i="10"/>
  <c r="BC51" i="10"/>
  <c r="BB52" i="10"/>
  <c r="BC52" i="10"/>
  <c r="BB126" i="10"/>
  <c r="BC126" i="10"/>
  <c r="BB125" i="10"/>
  <c r="BC125" i="10"/>
  <c r="BB128" i="10"/>
  <c r="BC128" i="10"/>
  <c r="BB24" i="10"/>
  <c r="BC24" i="10"/>
  <c r="BB20" i="10"/>
  <c r="BC20" i="10"/>
  <c r="BB70" i="10"/>
  <c r="BC70" i="10"/>
  <c r="BA70" i="10"/>
  <c r="BB144" i="10"/>
  <c r="BC144" i="10"/>
  <c r="BA144" i="10"/>
  <c r="BB136" i="10"/>
  <c r="BC136" i="10"/>
  <c r="BA136" i="10"/>
  <c r="BB41" i="10"/>
  <c r="BC41" i="10"/>
  <c r="BA41" i="10"/>
  <c r="BB48" i="10"/>
  <c r="BC48" i="10"/>
  <c r="BA48" i="10"/>
  <c r="BB43" i="10"/>
  <c r="BC43" i="10"/>
  <c r="BA43" i="10"/>
  <c r="BB30" i="10"/>
  <c r="BC30" i="10"/>
  <c r="BA30" i="10"/>
  <c r="BB32" i="10"/>
  <c r="BC32" i="10"/>
  <c r="BA32" i="10"/>
  <c r="BB111" i="10"/>
  <c r="BC111" i="10"/>
  <c r="BA111" i="10"/>
  <c r="BB112" i="10"/>
  <c r="BC112" i="10"/>
  <c r="BA112" i="10"/>
  <c r="BB95" i="10"/>
  <c r="BC95" i="10"/>
  <c r="BA95" i="10"/>
  <c r="BB89" i="10"/>
  <c r="BC89" i="10"/>
  <c r="BA89" i="10"/>
  <c r="BB78" i="10"/>
  <c r="BC78" i="10"/>
  <c r="BA78" i="10"/>
  <c r="BB84" i="10"/>
  <c r="BC84" i="10"/>
  <c r="BA84" i="10"/>
  <c r="BA50" i="10"/>
  <c r="BA134" i="10"/>
  <c r="BA86" i="10"/>
  <c r="BA11" i="10"/>
  <c r="BA4" i="10"/>
  <c r="BA7" i="10"/>
  <c r="BA73" i="10"/>
  <c r="BA121" i="10"/>
  <c r="BA156" i="10"/>
  <c r="BA149" i="10"/>
  <c r="BA152" i="10"/>
  <c r="BA60" i="10"/>
  <c r="BA56" i="10"/>
  <c r="BA127" i="10"/>
  <c r="BA24" i="10"/>
  <c r="BC146" i="10"/>
  <c r="BB146" i="10"/>
  <c r="BC62" i="10"/>
  <c r="BB62" i="10"/>
  <c r="BC110" i="10"/>
  <c r="BB110" i="10"/>
  <c r="BC5" i="10"/>
  <c r="BB5" i="10"/>
  <c r="BC12" i="10"/>
  <c r="BB12" i="10"/>
  <c r="BC8" i="10"/>
  <c r="BB8" i="10"/>
  <c r="BC25" i="10"/>
  <c r="BB25" i="10"/>
  <c r="BC37" i="10"/>
  <c r="BB37" i="10"/>
  <c r="BC150" i="10"/>
  <c r="BB150" i="10"/>
  <c r="BC157" i="10"/>
  <c r="BB157" i="10"/>
  <c r="BC153" i="10"/>
  <c r="BB153" i="10"/>
  <c r="BC54" i="10"/>
  <c r="BB54" i="10"/>
  <c r="BC58" i="10"/>
  <c r="BB58" i="10"/>
  <c r="BC123" i="10"/>
  <c r="BB123" i="10"/>
  <c r="BC124" i="10"/>
  <c r="BA124" i="10"/>
  <c r="BB124" i="10"/>
  <c r="BC17" i="10"/>
  <c r="BA17" i="10"/>
  <c r="BB17" i="10"/>
  <c r="BC16" i="10"/>
  <c r="BA16" i="10"/>
  <c r="BB16" i="10"/>
  <c r="BC19" i="10"/>
  <c r="BA19" i="10"/>
  <c r="BB19" i="10"/>
  <c r="BC72" i="10"/>
  <c r="BA72" i="10"/>
  <c r="BB72" i="10"/>
  <c r="BC68" i="10"/>
  <c r="BA68" i="10"/>
  <c r="BB68" i="10"/>
  <c r="BC135" i="10"/>
  <c r="BA135" i="10"/>
  <c r="BB135" i="10"/>
  <c r="BC143" i="10"/>
  <c r="BA143" i="10"/>
  <c r="BB143" i="10"/>
  <c r="BC47" i="10"/>
  <c r="BA47" i="10"/>
  <c r="BB47" i="10"/>
  <c r="BC40" i="10"/>
  <c r="BA40" i="10"/>
  <c r="BB40" i="10"/>
  <c r="BC29" i="10"/>
  <c r="BA29" i="10"/>
  <c r="BB29" i="10"/>
  <c r="BC36" i="10"/>
  <c r="BA36" i="10"/>
  <c r="BB36" i="10"/>
  <c r="BC31" i="10"/>
  <c r="BA31" i="10"/>
  <c r="BB31" i="10"/>
  <c r="BC115" i="10"/>
  <c r="BA115" i="10"/>
  <c r="BB115" i="10"/>
  <c r="BC117" i="10"/>
  <c r="BA117" i="10"/>
  <c r="BB117" i="10"/>
  <c r="BC87" i="10"/>
  <c r="BA87" i="10"/>
  <c r="BB87" i="10"/>
  <c r="BC88" i="10"/>
  <c r="BA88" i="10"/>
  <c r="BB88" i="10"/>
  <c r="BC83" i="10"/>
  <c r="BA83" i="10"/>
  <c r="BB83" i="10"/>
  <c r="BC77" i="10"/>
  <c r="BA77" i="10"/>
  <c r="BB77" i="10"/>
  <c r="BA122" i="10"/>
  <c r="BA38" i="10"/>
  <c r="BA74" i="10"/>
  <c r="BA2" i="10"/>
  <c r="BA3" i="10"/>
  <c r="BA61" i="10"/>
  <c r="BA145" i="10"/>
  <c r="BA97" i="10"/>
  <c r="BA147" i="10"/>
  <c r="BA148" i="10"/>
  <c r="BA59" i="10"/>
  <c r="BA53" i="10"/>
  <c r="BA55" i="10"/>
  <c r="BA132" i="10"/>
  <c r="BA20" i="10"/>
  <c r="BK149" i="10"/>
  <c r="BK127" i="10"/>
  <c r="BK66" i="10"/>
  <c r="BK139" i="10"/>
  <c r="BK156" i="10"/>
  <c r="BL85" i="10"/>
  <c r="BL155" i="10"/>
  <c r="BL52" i="10"/>
  <c r="BK95" i="10"/>
  <c r="BL49" i="10"/>
  <c r="BL151" i="10"/>
  <c r="BL51" i="10"/>
  <c r="BL126" i="10"/>
  <c r="BL20" i="10"/>
  <c r="BK50" i="10"/>
  <c r="BK73" i="10"/>
  <c r="BK152" i="10"/>
  <c r="BK131" i="10"/>
  <c r="BK11" i="10"/>
  <c r="BK121" i="10"/>
  <c r="BK60" i="10"/>
  <c r="BK23" i="10"/>
  <c r="BL146" i="10"/>
  <c r="BK122" i="10"/>
  <c r="BK74" i="10"/>
  <c r="BK2" i="10"/>
  <c r="BK3" i="10"/>
  <c r="BK61" i="10"/>
  <c r="BK145" i="10"/>
  <c r="BK97" i="10"/>
  <c r="BK147" i="10"/>
  <c r="BK148" i="10"/>
  <c r="BK59" i="10"/>
  <c r="BK132" i="10"/>
  <c r="BK129" i="10"/>
  <c r="BK18" i="10"/>
  <c r="BK71" i="10"/>
  <c r="BK83" i="10"/>
  <c r="BL86" i="10"/>
  <c r="BL4" i="10"/>
  <c r="BL73" i="10"/>
  <c r="BL156" i="10"/>
  <c r="BL152" i="10"/>
  <c r="BL60" i="10"/>
  <c r="BL131" i="10"/>
  <c r="BL23" i="10"/>
  <c r="BL15" i="10"/>
  <c r="BK14" i="10"/>
  <c r="BK13" i="10"/>
  <c r="BK6" i="10"/>
  <c r="BK133" i="10"/>
  <c r="BK49" i="10"/>
  <c r="BK85" i="10"/>
  <c r="BK151" i="10"/>
  <c r="BK155" i="10"/>
  <c r="BK126" i="10"/>
  <c r="BK125" i="10"/>
  <c r="BK128" i="10"/>
  <c r="BK20" i="10"/>
  <c r="BK144" i="10"/>
  <c r="BK41" i="10"/>
  <c r="BL11" i="10"/>
  <c r="BL7" i="10"/>
  <c r="BL121" i="10"/>
  <c r="BL149" i="10"/>
  <c r="BL122" i="10"/>
  <c r="BL2" i="10"/>
  <c r="BL61" i="10"/>
  <c r="BL145" i="10"/>
  <c r="BL97" i="10"/>
  <c r="BL147" i="10"/>
  <c r="BL148" i="10"/>
  <c r="BL59" i="10"/>
  <c r="BL55" i="10"/>
  <c r="BL132" i="10"/>
  <c r="BK146" i="10"/>
  <c r="BK5" i="10"/>
  <c r="BK8" i="10"/>
  <c r="BK25" i="10"/>
  <c r="BK37" i="10"/>
  <c r="BK150" i="10"/>
  <c r="BK157" i="10"/>
  <c r="BK153" i="10"/>
  <c r="BK54" i="10"/>
  <c r="BK123" i="10"/>
  <c r="BK124" i="10"/>
  <c r="BK17" i="10"/>
  <c r="BL95" i="10"/>
  <c r="BL5" i="10"/>
  <c r="BL119" i="10"/>
  <c r="BL17" i="10"/>
  <c r="BL153" i="10"/>
  <c r="BL37" i="10"/>
  <c r="BL13" i="10"/>
  <c r="BL83" i="10"/>
  <c r="BL157" i="10"/>
  <c r="BL133" i="10"/>
  <c r="BL54" i="10"/>
  <c r="BL150" i="10"/>
  <c r="BL6" i="10"/>
  <c r="BL14" i="10"/>
  <c r="AX8" i="10"/>
  <c r="AO8" i="10" s="1"/>
  <c r="AX62" i="10"/>
  <c r="AO62" i="10" s="1"/>
  <c r="AY110" i="10"/>
  <c r="AP110" i="10" s="1"/>
  <c r="AY6" i="10"/>
  <c r="AP6" i="10" s="1"/>
  <c r="AX6" i="10"/>
  <c r="AO6" i="10" s="1"/>
  <c r="AY49" i="10"/>
  <c r="AP49" i="10" s="1"/>
  <c r="AX49" i="10"/>
  <c r="AO49" i="10" s="1"/>
  <c r="AY155" i="10"/>
  <c r="AP155" i="10" s="1"/>
  <c r="AX155" i="10"/>
  <c r="AO155" i="10" s="1"/>
  <c r="AY126" i="10"/>
  <c r="AP126" i="10" s="1"/>
  <c r="AX126" i="10"/>
  <c r="AO126" i="10" s="1"/>
  <c r="AX150" i="10"/>
  <c r="AO150" i="10" s="1"/>
  <c r="AX16" i="10"/>
  <c r="AX29" i="10"/>
  <c r="AY5" i="10"/>
  <c r="AP5" i="10" s="1"/>
  <c r="AY17" i="10"/>
  <c r="AP17" i="10" s="1"/>
  <c r="AY16" i="10"/>
  <c r="AY19" i="10"/>
  <c r="AY72" i="10"/>
  <c r="AP72" i="10" s="1"/>
  <c r="AY68" i="10"/>
  <c r="AP68" i="10" s="1"/>
  <c r="AY135" i="10"/>
  <c r="AY143" i="10"/>
  <c r="AY47" i="10"/>
  <c r="AP47" i="10" s="1"/>
  <c r="AY40" i="10"/>
  <c r="AY29" i="10"/>
  <c r="AY36" i="10"/>
  <c r="AY31" i="10"/>
  <c r="AY115" i="10"/>
  <c r="AP115" i="10" s="1"/>
  <c r="AY117" i="10"/>
  <c r="AY87" i="10"/>
  <c r="AP87" i="10" s="1"/>
  <c r="AY88" i="10"/>
  <c r="AP88" i="10" s="1"/>
  <c r="AY83" i="10"/>
  <c r="AP83" i="10" s="1"/>
  <c r="AY77" i="10"/>
  <c r="AX157" i="10"/>
  <c r="AO157" i="10" s="1"/>
  <c r="AX123" i="10"/>
  <c r="AO123" i="10" s="1"/>
  <c r="AX19" i="10"/>
  <c r="AO19" i="10" s="1"/>
  <c r="AX143" i="10"/>
  <c r="AX36" i="10"/>
  <c r="AO36" i="10" s="1"/>
  <c r="AX87" i="10"/>
  <c r="AY146" i="10"/>
  <c r="AP146" i="10" s="1"/>
  <c r="AY12" i="10"/>
  <c r="AP12" i="10" s="1"/>
  <c r="AY150" i="10"/>
  <c r="AP150" i="10" s="1"/>
  <c r="AY58" i="10"/>
  <c r="AY80" i="10"/>
  <c r="AX80" i="10"/>
  <c r="AO80" i="10" s="1"/>
  <c r="AY133" i="10"/>
  <c r="AP133" i="10" s="1"/>
  <c r="AX133" i="10"/>
  <c r="AO133" i="10" s="1"/>
  <c r="AY85" i="10"/>
  <c r="AP85" i="10" s="1"/>
  <c r="AX85" i="10"/>
  <c r="AO85" i="10" s="1"/>
  <c r="AY51" i="10"/>
  <c r="AP51" i="10" s="1"/>
  <c r="AX51" i="10"/>
  <c r="AY125" i="10"/>
  <c r="AP125" i="10" s="1"/>
  <c r="AX125" i="10"/>
  <c r="AO125" i="10" s="1"/>
  <c r="AX13" i="10"/>
  <c r="AO13" i="10" s="1"/>
  <c r="AX26" i="10"/>
  <c r="AX14" i="10"/>
  <c r="AO14" i="10" s="1"/>
  <c r="AX74" i="10"/>
  <c r="AO74" i="10" s="1"/>
  <c r="AX38" i="10"/>
  <c r="AX122" i="10"/>
  <c r="AO122" i="10" s="1"/>
  <c r="AX86" i="10"/>
  <c r="AO86" i="10" s="1"/>
  <c r="AX134" i="10"/>
  <c r="AO134" i="10" s="1"/>
  <c r="AX50" i="10"/>
  <c r="AO50" i="10" s="1"/>
  <c r="AX146" i="10"/>
  <c r="AO146" i="10" s="1"/>
  <c r="AX12" i="10"/>
  <c r="AO12" i="10" s="1"/>
  <c r="AX58" i="10"/>
  <c r="AX135" i="10"/>
  <c r="AO135" i="10" s="1"/>
  <c r="AX117" i="10"/>
  <c r="AX77" i="10"/>
  <c r="AY37" i="10"/>
  <c r="AP37" i="10" s="1"/>
  <c r="AY54" i="10"/>
  <c r="AP54" i="10" s="1"/>
  <c r="AY11" i="10"/>
  <c r="AP11" i="10" s="1"/>
  <c r="AX11" i="10"/>
  <c r="AO11" i="10" s="1"/>
  <c r="AY4" i="10"/>
  <c r="AP4" i="10" s="1"/>
  <c r="AX4" i="10"/>
  <c r="AY7" i="10"/>
  <c r="AX7" i="10"/>
  <c r="AO7" i="10" s="1"/>
  <c r="AY73" i="10"/>
  <c r="AP73" i="10" s="1"/>
  <c r="AX73" i="10"/>
  <c r="AO73" i="10" s="1"/>
  <c r="AY121" i="10"/>
  <c r="AP121" i="10" s="1"/>
  <c r="AX121" i="10"/>
  <c r="AO121" i="10" s="1"/>
  <c r="AY156" i="10"/>
  <c r="AP156" i="10" s="1"/>
  <c r="AX156" i="10"/>
  <c r="AO156" i="10" s="1"/>
  <c r="AY149" i="10"/>
  <c r="AP149" i="10" s="1"/>
  <c r="AX149" i="10"/>
  <c r="AO149" i="10" s="1"/>
  <c r="AY152" i="10"/>
  <c r="AP152" i="10" s="1"/>
  <c r="AX152" i="10"/>
  <c r="AO152" i="10" s="1"/>
  <c r="AY60" i="10"/>
  <c r="AP60" i="10" s="1"/>
  <c r="AX60" i="10"/>
  <c r="AO60" i="10" s="1"/>
  <c r="AY56" i="10"/>
  <c r="AX56" i="10"/>
  <c r="AY127" i="10"/>
  <c r="AP127" i="10" s="1"/>
  <c r="AX127" i="10"/>
  <c r="AO127" i="10" s="1"/>
  <c r="AY131" i="10"/>
  <c r="AP131" i="10" s="1"/>
  <c r="AX131" i="10"/>
  <c r="AO131" i="10" s="1"/>
  <c r="AY23" i="10"/>
  <c r="AP23" i="10" s="1"/>
  <c r="AX23" i="10"/>
  <c r="AO23" i="10" s="1"/>
  <c r="AY15" i="10"/>
  <c r="AP15" i="10" s="1"/>
  <c r="AX15" i="10"/>
  <c r="AO15" i="10" s="1"/>
  <c r="AY66" i="10"/>
  <c r="AP66" i="10" s="1"/>
  <c r="AX66" i="10"/>
  <c r="AO66" i="10" s="1"/>
  <c r="AY65" i="10"/>
  <c r="AX65" i="10"/>
  <c r="AY67" i="10"/>
  <c r="AP67" i="10" s="1"/>
  <c r="AX67" i="10"/>
  <c r="AO67" i="10" s="1"/>
  <c r="AY139" i="10"/>
  <c r="AP139" i="10" s="1"/>
  <c r="AX139" i="10"/>
  <c r="AO139" i="10" s="1"/>
  <c r="AY141" i="10"/>
  <c r="AP141" i="10" s="1"/>
  <c r="AX141" i="10"/>
  <c r="AO141" i="10" s="1"/>
  <c r="AY39" i="10"/>
  <c r="AX39" i="10"/>
  <c r="AY46" i="10"/>
  <c r="AX46" i="10"/>
  <c r="AY35" i="10"/>
  <c r="AP35" i="10" s="1"/>
  <c r="AX35" i="10"/>
  <c r="AO35" i="10" s="1"/>
  <c r="AY28" i="10"/>
  <c r="AX28" i="10"/>
  <c r="AY114" i="10"/>
  <c r="AX114" i="10"/>
  <c r="AX120" i="10"/>
  <c r="AX116" i="10"/>
  <c r="AX91" i="10"/>
  <c r="AO91" i="10" s="1"/>
  <c r="AX94" i="10"/>
  <c r="AX75" i="10"/>
  <c r="AX76" i="10"/>
  <c r="AO76" i="10" s="1"/>
  <c r="AX110" i="10"/>
  <c r="AX25" i="10"/>
  <c r="AO25" i="10" s="1"/>
  <c r="AX153" i="10"/>
  <c r="AO153" i="10" s="1"/>
  <c r="AX124" i="10"/>
  <c r="AO124" i="10" s="1"/>
  <c r="AX72" i="10"/>
  <c r="AO72" i="10" s="1"/>
  <c r="AX47" i="10"/>
  <c r="AO47" i="10" s="1"/>
  <c r="AX31" i="10"/>
  <c r="AX88" i="10"/>
  <c r="AY62" i="10"/>
  <c r="AP62" i="10" s="1"/>
  <c r="AY8" i="10"/>
  <c r="AY157" i="10"/>
  <c r="AP157" i="10" s="1"/>
  <c r="AY123" i="10"/>
  <c r="AP123" i="10" s="1"/>
  <c r="AY10" i="10"/>
  <c r="AP10" i="10" s="1"/>
  <c r="AX10" i="10"/>
  <c r="AY151" i="10"/>
  <c r="AP151" i="10" s="1"/>
  <c r="AX151" i="10"/>
  <c r="AO151" i="10" s="1"/>
  <c r="AY52" i="10"/>
  <c r="AP52" i="10" s="1"/>
  <c r="AX52" i="10"/>
  <c r="AY2" i="10"/>
  <c r="AP2" i="10" s="1"/>
  <c r="AX2" i="10"/>
  <c r="AO2" i="10" s="1"/>
  <c r="AY3" i="10"/>
  <c r="AX3" i="10"/>
  <c r="AY61" i="10"/>
  <c r="AP61" i="10" s="1"/>
  <c r="AX61" i="10"/>
  <c r="AO61" i="10" s="1"/>
  <c r="AY145" i="10"/>
  <c r="AP145" i="10" s="1"/>
  <c r="AX145" i="10"/>
  <c r="AO145" i="10" s="1"/>
  <c r="AY97" i="10"/>
  <c r="AP97" i="10" s="1"/>
  <c r="AX97" i="10"/>
  <c r="AO97" i="10" s="1"/>
  <c r="AY147" i="10"/>
  <c r="AP147" i="10" s="1"/>
  <c r="AX147" i="10"/>
  <c r="AO147" i="10" s="1"/>
  <c r="AY148" i="10"/>
  <c r="AP148" i="10" s="1"/>
  <c r="AX148" i="10"/>
  <c r="AO148" i="10" s="1"/>
  <c r="AY59" i="10"/>
  <c r="AP59" i="10" s="1"/>
  <c r="AX59" i="10"/>
  <c r="AO59" i="10" s="1"/>
  <c r="AY53" i="10"/>
  <c r="AX53" i="10"/>
  <c r="AY55" i="10"/>
  <c r="AP55" i="10" s="1"/>
  <c r="AX55" i="10"/>
  <c r="AY132" i="10"/>
  <c r="AP132" i="10" s="1"/>
  <c r="AX132" i="10"/>
  <c r="AO132" i="10" s="1"/>
  <c r="AY129" i="10"/>
  <c r="AP129" i="10" s="1"/>
  <c r="AX129" i="10"/>
  <c r="AO129" i="10" s="1"/>
  <c r="AY18" i="10"/>
  <c r="AP18" i="10" s="1"/>
  <c r="AX18" i="10"/>
  <c r="AO18" i="10" s="1"/>
  <c r="AY22" i="10"/>
  <c r="AP22" i="10" s="1"/>
  <c r="AX22" i="10"/>
  <c r="AY71" i="10"/>
  <c r="AP71" i="10" s="1"/>
  <c r="AX71" i="10"/>
  <c r="AO71" i="10" s="1"/>
  <c r="AY64" i="10"/>
  <c r="AP64" i="10" s="1"/>
  <c r="AX64" i="10"/>
  <c r="AY138" i="10"/>
  <c r="AX138" i="10"/>
  <c r="AY137" i="10"/>
  <c r="AX137" i="10"/>
  <c r="AY140" i="10"/>
  <c r="AP140" i="10" s="1"/>
  <c r="AX140" i="10"/>
  <c r="AO140" i="10" s="1"/>
  <c r="AY42" i="10"/>
  <c r="AP42" i="10" s="1"/>
  <c r="AX42" i="10"/>
  <c r="AY44" i="10"/>
  <c r="AX44" i="10"/>
  <c r="AY27" i="10"/>
  <c r="AX27" i="10"/>
  <c r="AO27" i="10" s="1"/>
  <c r="AY34" i="10"/>
  <c r="AX34" i="10"/>
  <c r="AY119" i="10"/>
  <c r="AP119" i="10" s="1"/>
  <c r="AX119" i="10"/>
  <c r="AO119" i="10" s="1"/>
  <c r="AY113" i="10"/>
  <c r="AX113" i="10"/>
  <c r="AY90" i="10"/>
  <c r="AX90" i="10"/>
  <c r="AY96" i="10"/>
  <c r="AX96" i="10"/>
  <c r="AO96" i="10" s="1"/>
  <c r="AY92" i="10"/>
  <c r="AX92" i="10"/>
  <c r="AY79" i="10"/>
  <c r="AX79" i="10"/>
  <c r="AY82" i="10"/>
  <c r="AX82" i="10"/>
  <c r="AY13" i="10"/>
  <c r="AP13" i="10" s="1"/>
  <c r="AX5" i="10"/>
  <c r="AO5" i="10" s="1"/>
  <c r="AX37" i="10"/>
  <c r="AO37" i="10" s="1"/>
  <c r="AX54" i="10"/>
  <c r="AO54" i="10" s="1"/>
  <c r="AX17" i="10"/>
  <c r="AX68" i="10"/>
  <c r="AO68" i="10" s="1"/>
  <c r="AX40" i="10"/>
  <c r="AX115" i="10"/>
  <c r="AO115" i="10" s="1"/>
  <c r="AX83" i="10"/>
  <c r="AO83" i="10" s="1"/>
  <c r="AY25" i="10"/>
  <c r="AP25" i="10" s="1"/>
  <c r="AY153" i="10"/>
  <c r="AP153" i="10" s="1"/>
  <c r="AY124" i="10"/>
  <c r="AP124" i="10" s="1"/>
  <c r="AY24" i="10"/>
  <c r="AY20" i="10"/>
  <c r="AP20" i="10" s="1"/>
  <c r="AY70" i="10"/>
  <c r="AY144" i="10"/>
  <c r="AP144" i="10" s="1"/>
  <c r="AY136" i="10"/>
  <c r="AY41" i="10"/>
  <c r="AY48" i="10"/>
  <c r="AY43" i="10"/>
  <c r="AY30" i="10"/>
  <c r="AP30" i="10" s="1"/>
  <c r="AY32" i="10"/>
  <c r="AY111" i="10"/>
  <c r="AY112" i="10"/>
  <c r="AP112" i="10" s="1"/>
  <c r="AY95" i="10"/>
  <c r="AP95" i="10" s="1"/>
  <c r="AY89" i="10"/>
  <c r="AY78" i="10"/>
  <c r="AY84" i="10"/>
  <c r="AY50" i="10"/>
  <c r="AP50" i="10" s="1"/>
  <c r="AY134" i="10"/>
  <c r="AP134" i="10" s="1"/>
  <c r="AY86" i="10"/>
  <c r="AY122" i="10"/>
  <c r="AP122" i="10" s="1"/>
  <c r="AY38" i="10"/>
  <c r="AP38" i="10" s="1"/>
  <c r="AY74" i="10"/>
  <c r="AY120" i="10"/>
  <c r="AY116" i="10"/>
  <c r="AY91" i="10"/>
  <c r="AP91" i="10" s="1"/>
  <c r="AY94" i="10"/>
  <c r="AY75" i="10"/>
  <c r="AY76" i="10"/>
  <c r="AX128" i="10"/>
  <c r="AO128" i="10" s="1"/>
  <c r="AX24" i="10"/>
  <c r="AO24" i="10" s="1"/>
  <c r="AX20" i="10"/>
  <c r="AO20" i="10" s="1"/>
  <c r="AX70" i="10"/>
  <c r="AO70" i="10" s="1"/>
  <c r="AX144" i="10"/>
  <c r="AO144" i="10" s="1"/>
  <c r="AX136" i="10"/>
  <c r="AO136" i="10" s="1"/>
  <c r="AX41" i="10"/>
  <c r="AX48" i="10"/>
  <c r="AX43" i="10"/>
  <c r="AX30" i="10"/>
  <c r="AO30" i="10" s="1"/>
  <c r="AX32" i="10"/>
  <c r="AX111" i="10"/>
  <c r="AX112" i="10"/>
  <c r="AX95" i="10"/>
  <c r="AO95" i="10" s="1"/>
  <c r="AX89" i="10"/>
  <c r="AX78" i="10"/>
  <c r="AX84" i="10"/>
  <c r="AY14" i="10"/>
  <c r="AP14" i="10" s="1"/>
  <c r="AY26" i="10"/>
  <c r="AP26" i="10" s="1"/>
  <c r="AY128" i="10"/>
  <c r="AP128" i="10" s="1"/>
  <c r="L11" i="11"/>
  <c r="L9" i="11"/>
  <c r="L4" i="11"/>
  <c r="L7" i="11"/>
  <c r="E3" i="11"/>
  <c r="D3" i="11"/>
  <c r="C3" i="11"/>
  <c r="B3" i="11"/>
  <c r="E2" i="11"/>
  <c r="D2" i="11"/>
  <c r="C2" i="11"/>
  <c r="B2" i="11"/>
  <c r="O120" i="10"/>
  <c r="N120" i="10"/>
  <c r="O119" i="10"/>
  <c r="N119" i="10"/>
  <c r="O118" i="10"/>
  <c r="P118" i="10" s="1"/>
  <c r="N118" i="10"/>
  <c r="O117" i="10"/>
  <c r="N117" i="10"/>
  <c r="P117" i="10" s="1"/>
  <c r="O116" i="10"/>
  <c r="P116" i="10" s="1"/>
  <c r="N116" i="10"/>
  <c r="O115" i="10"/>
  <c r="N115" i="10"/>
  <c r="O114" i="10"/>
  <c r="P114" i="10" s="1"/>
  <c r="N114" i="10"/>
  <c r="O113" i="10"/>
  <c r="N113" i="10"/>
  <c r="O112" i="10"/>
  <c r="N112" i="10"/>
  <c r="O111" i="10"/>
  <c r="N111" i="10"/>
  <c r="O110" i="10"/>
  <c r="N110" i="10"/>
  <c r="O109" i="10"/>
  <c r="N109" i="10"/>
  <c r="P109" i="10" s="1"/>
  <c r="O108" i="10"/>
  <c r="P108" i="10" s="1"/>
  <c r="N108" i="10"/>
  <c r="O107" i="10"/>
  <c r="P107" i="10" s="1"/>
  <c r="O106" i="10"/>
  <c r="P106" i="10" s="1"/>
  <c r="O105" i="10"/>
  <c r="P105" i="10" s="1"/>
  <c r="O104" i="10"/>
  <c r="P104" i="10" s="1"/>
  <c r="O103" i="10"/>
  <c r="P103" i="10" s="1"/>
  <c r="O102" i="10"/>
  <c r="N102" i="10"/>
  <c r="O101" i="10"/>
  <c r="N101" i="10"/>
  <c r="AF4" i="10" s="1"/>
  <c r="O100" i="10"/>
  <c r="P100" i="10" s="1"/>
  <c r="O99" i="10"/>
  <c r="P99" i="10" s="1"/>
  <c r="N99" i="10"/>
  <c r="O98" i="10"/>
  <c r="N98" i="10"/>
  <c r="O97" i="10"/>
  <c r="P97" i="10" s="1"/>
  <c r="N97" i="10"/>
  <c r="O96" i="10"/>
  <c r="N96" i="10"/>
  <c r="O95" i="10"/>
  <c r="P95" i="10" s="1"/>
  <c r="O94" i="10"/>
  <c r="N94" i="10"/>
  <c r="O93" i="10"/>
  <c r="P93" i="10" s="1"/>
  <c r="O92" i="10"/>
  <c r="P92" i="10" s="1"/>
  <c r="N92" i="10"/>
  <c r="O91" i="10"/>
  <c r="N91" i="10"/>
  <c r="O90" i="10"/>
  <c r="P90" i="10" s="1"/>
  <c r="N90" i="10"/>
  <c r="O89" i="10"/>
  <c r="N89" i="10"/>
  <c r="O88" i="10"/>
  <c r="P88" i="10" s="1"/>
  <c r="N88" i="10"/>
  <c r="O87" i="10"/>
  <c r="P87" i="10" s="1"/>
  <c r="O86" i="10"/>
  <c r="N86" i="10"/>
  <c r="O85" i="10"/>
  <c r="N85" i="10"/>
  <c r="O84" i="10"/>
  <c r="N84" i="10"/>
  <c r="O83" i="10"/>
  <c r="N83" i="10"/>
  <c r="O82" i="10"/>
  <c r="N82" i="10"/>
  <c r="O81" i="10"/>
  <c r="N81" i="10"/>
  <c r="O80" i="10"/>
  <c r="N80" i="10"/>
  <c r="O79" i="10"/>
  <c r="P79" i="10" s="1"/>
  <c r="O78" i="10"/>
  <c r="N78" i="10"/>
  <c r="O77" i="10"/>
  <c r="P77" i="10" s="1"/>
  <c r="N77" i="10"/>
  <c r="O76" i="10"/>
  <c r="N76" i="10"/>
  <c r="O75" i="10"/>
  <c r="N75" i="10"/>
  <c r="O74" i="10"/>
  <c r="N74" i="10"/>
  <c r="O73" i="10"/>
  <c r="N73" i="10"/>
  <c r="O72" i="10"/>
  <c r="P72" i="10" s="1"/>
  <c r="O71" i="10"/>
  <c r="N71" i="10"/>
  <c r="O70" i="10"/>
  <c r="N70" i="10"/>
  <c r="O69" i="10"/>
  <c r="N69" i="10"/>
  <c r="O68" i="10"/>
  <c r="N68" i="10"/>
  <c r="O67" i="10"/>
  <c r="N67" i="10"/>
  <c r="O66" i="10"/>
  <c r="N66" i="10"/>
  <c r="O65" i="10"/>
  <c r="N65" i="10"/>
  <c r="O64" i="10"/>
  <c r="P64" i="10" s="1"/>
  <c r="O62" i="10"/>
  <c r="N62" i="10"/>
  <c r="O61" i="10"/>
  <c r="N61" i="10"/>
  <c r="O60" i="10"/>
  <c r="N60" i="10"/>
  <c r="O59" i="10"/>
  <c r="N59" i="10"/>
  <c r="O58" i="10"/>
  <c r="N58" i="10"/>
  <c r="O57" i="10"/>
  <c r="N57" i="10"/>
  <c r="O56" i="10"/>
  <c r="N56" i="10"/>
  <c r="O55" i="10"/>
  <c r="N55" i="10"/>
  <c r="O54" i="10"/>
  <c r="N54" i="10"/>
  <c r="O53" i="10"/>
  <c r="N53" i="10"/>
  <c r="O52" i="10"/>
  <c r="N52" i="10"/>
  <c r="O51" i="10"/>
  <c r="N51" i="10"/>
  <c r="O50" i="10"/>
  <c r="N50" i="10"/>
  <c r="O49" i="10"/>
  <c r="N49" i="10"/>
  <c r="O48" i="10"/>
  <c r="N48" i="10"/>
  <c r="V290" i="10" l="1"/>
  <c r="N4" i="11"/>
  <c r="P4" i="11"/>
  <c r="N16" i="19"/>
  <c r="Y16" i="19"/>
  <c r="U16" i="19"/>
  <c r="V16" i="19"/>
  <c r="Q16" i="19"/>
  <c r="S16" i="19"/>
  <c r="Z16" i="19"/>
  <c r="X16" i="19"/>
  <c r="O16" i="19"/>
  <c r="T16" i="19"/>
  <c r="W16" i="19"/>
  <c r="R16" i="19"/>
  <c r="P16" i="19"/>
  <c r="M17" i="19"/>
  <c r="P10" i="11"/>
  <c r="T10" i="11" s="1"/>
  <c r="P11" i="11"/>
  <c r="T11" i="11" s="1"/>
  <c r="P7" i="11"/>
  <c r="T7" i="11" s="1"/>
  <c r="P5" i="11"/>
  <c r="T5" i="11" s="1"/>
  <c r="P6" i="11"/>
  <c r="T6" i="11" s="1"/>
  <c r="P8" i="11"/>
  <c r="T8" i="11" s="1"/>
  <c r="P9" i="11"/>
  <c r="T9" i="11" s="1"/>
  <c r="P14" i="11"/>
  <c r="T14" i="11" s="1"/>
  <c r="P13" i="11"/>
  <c r="T13" i="11" s="1"/>
  <c r="N5" i="11"/>
  <c r="S5" i="11" s="1"/>
  <c r="N6" i="11"/>
  <c r="S6" i="11" s="1"/>
  <c r="N11" i="11"/>
  <c r="S11" i="11" s="1"/>
  <c r="N9" i="11"/>
  <c r="S9" i="11" s="1"/>
  <c r="N10" i="11"/>
  <c r="S10" i="11" s="1"/>
  <c r="N8" i="11"/>
  <c r="S8" i="11" s="1"/>
  <c r="N13" i="11"/>
  <c r="S13" i="11" s="1"/>
  <c r="N14" i="11"/>
  <c r="S14" i="11" s="1"/>
  <c r="N7" i="11"/>
  <c r="S7" i="11" s="1"/>
  <c r="U211" i="10"/>
  <c r="V211" i="10" s="1"/>
  <c r="U285" i="10"/>
  <c r="U302" i="10"/>
  <c r="W302" i="10" s="1"/>
  <c r="U145" i="10"/>
  <c r="V145" i="10" s="1"/>
  <c r="U260" i="10"/>
  <c r="U264" i="10"/>
  <c r="U162" i="10"/>
  <c r="W162" i="10" s="1"/>
  <c r="U304" i="10"/>
  <c r="W304" i="10" s="1"/>
  <c r="P80" i="10"/>
  <c r="P82" i="10"/>
  <c r="P84" i="10"/>
  <c r="P86" i="10"/>
  <c r="P102" i="10"/>
  <c r="U203" i="10"/>
  <c r="U137" i="10"/>
  <c r="W137" i="10" s="1"/>
  <c r="U161" i="10"/>
  <c r="V161" i="10" s="1"/>
  <c r="P50" i="10"/>
  <c r="P54" i="10"/>
  <c r="P58" i="10"/>
  <c r="P62" i="10"/>
  <c r="P76" i="10"/>
  <c r="P78" i="10"/>
  <c r="P89" i="10"/>
  <c r="P91" i="10"/>
  <c r="P96" i="10"/>
  <c r="P98" i="10"/>
  <c r="P113" i="10"/>
  <c r="P115" i="10"/>
  <c r="P81" i="10"/>
  <c r="P83" i="10"/>
  <c r="P85" i="10"/>
  <c r="P94" i="10"/>
  <c r="P101" i="10"/>
  <c r="U188" i="10"/>
  <c r="W188" i="10" s="1"/>
  <c r="U184" i="10"/>
  <c r="W184" i="10" s="1"/>
  <c r="U202" i="10"/>
  <c r="V202" i="10" s="1"/>
  <c r="U292" i="10"/>
  <c r="U177" i="10"/>
  <c r="U194" i="10"/>
  <c r="V194" i="10" s="1"/>
  <c r="U296" i="10"/>
  <c r="W296" i="10" s="1"/>
  <c r="P119" i="10"/>
  <c r="Q119" i="10"/>
  <c r="BG100" i="10"/>
  <c r="P111" i="10"/>
  <c r="P112" i="10"/>
  <c r="P110" i="10"/>
  <c r="AI4" i="10"/>
  <c r="AH4" i="10"/>
  <c r="V305" i="10"/>
  <c r="W305" i="10"/>
  <c r="BE86" i="14"/>
  <c r="V176" i="14"/>
  <c r="U301" i="10"/>
  <c r="V301" i="10" s="1"/>
  <c r="H17" i="15"/>
  <c r="I17" i="15"/>
  <c r="U243" i="10"/>
  <c r="V243" i="10" s="1"/>
  <c r="U242" i="10"/>
  <c r="V242" i="10" s="1"/>
  <c r="V83" i="14"/>
  <c r="BE13" i="14"/>
  <c r="U208" i="10"/>
  <c r="W208" i="10" s="1"/>
  <c r="U258" i="10"/>
  <c r="V258" i="10" s="1"/>
  <c r="U224" i="10"/>
  <c r="W286" i="14"/>
  <c r="W294" i="14"/>
  <c r="U134" i="10"/>
  <c r="V99" i="14"/>
  <c r="U246" i="10"/>
  <c r="V246" i="10" s="1"/>
  <c r="U256" i="10"/>
  <c r="W256" i="10" s="1"/>
  <c r="BE157" i="14"/>
  <c r="U225" i="10"/>
  <c r="V225" i="10" s="1"/>
  <c r="U227" i="10"/>
  <c r="V227" i="10" s="1"/>
  <c r="BE61" i="14"/>
  <c r="BE138" i="14"/>
  <c r="W39" i="14"/>
  <c r="U185" i="10"/>
  <c r="V185" i="10" s="1"/>
  <c r="U166" i="10"/>
  <c r="W166" i="10" s="1"/>
  <c r="W193" i="14"/>
  <c r="W228" i="14"/>
  <c r="BE39" i="14"/>
  <c r="P51" i="10"/>
  <c r="P55" i="10"/>
  <c r="P59" i="10"/>
  <c r="P73" i="10"/>
  <c r="U241" i="10"/>
  <c r="P65" i="10"/>
  <c r="P70" i="10"/>
  <c r="P53" i="10"/>
  <c r="P57" i="10"/>
  <c r="P61" i="10"/>
  <c r="P75" i="10"/>
  <c r="P67" i="10"/>
  <c r="P71" i="10"/>
  <c r="U146" i="10"/>
  <c r="W146" i="10" s="1"/>
  <c r="P52" i="10"/>
  <c r="P56" i="10"/>
  <c r="P60" i="10"/>
  <c r="P74" i="10"/>
  <c r="P68" i="10"/>
  <c r="P69" i="10"/>
  <c r="P66" i="10"/>
  <c r="BE60" i="10"/>
  <c r="BE11" i="10"/>
  <c r="BM63" i="10"/>
  <c r="BG63" i="10"/>
  <c r="BE63" i="10"/>
  <c r="AO63" i="10"/>
  <c r="AZ63" i="10"/>
  <c r="BE59" i="10"/>
  <c r="BE74" i="10"/>
  <c r="BE145" i="10"/>
  <c r="BE20" i="10"/>
  <c r="BE50" i="10"/>
  <c r="BE121" i="10"/>
  <c r="BG14" i="10"/>
  <c r="BG10" i="10"/>
  <c r="P49" i="10"/>
  <c r="P48" i="10"/>
  <c r="BE94" i="14"/>
  <c r="BE149" i="14"/>
  <c r="BE51" i="14"/>
  <c r="BF51" i="14" s="1"/>
  <c r="BE6" i="14"/>
  <c r="BE65" i="14"/>
  <c r="W242" i="10"/>
  <c r="BG2" i="10"/>
  <c r="BG116" i="10"/>
  <c r="BE122" i="14"/>
  <c r="BE56" i="14"/>
  <c r="BE24" i="14"/>
  <c r="BF24" i="14" s="1"/>
  <c r="V153" i="14"/>
  <c r="P5" i="15"/>
  <c r="BE145" i="14"/>
  <c r="BE139" i="14"/>
  <c r="BF139" i="14" s="1"/>
  <c r="V178" i="14"/>
  <c r="W204" i="14"/>
  <c r="BE125" i="14"/>
  <c r="W216" i="14"/>
  <c r="BE93" i="14"/>
  <c r="W265" i="14"/>
  <c r="BE155" i="14"/>
  <c r="BE72" i="14"/>
  <c r="BF72" i="14" s="1"/>
  <c r="BE63" i="14"/>
  <c r="BF63" i="14" s="1"/>
  <c r="W236" i="14"/>
  <c r="W273" i="14"/>
  <c r="BE66" i="14"/>
  <c r="BF66" i="14" s="1"/>
  <c r="BE153" i="14"/>
  <c r="M5" i="15"/>
  <c r="I12" i="15"/>
  <c r="BE58" i="14"/>
  <c r="BF58" i="14" s="1"/>
  <c r="BE85" i="14"/>
  <c r="BE137" i="14"/>
  <c r="BE69" i="14"/>
  <c r="BE100" i="14"/>
  <c r="BE38" i="14"/>
  <c r="BF38" i="14" s="1"/>
  <c r="I4" i="15"/>
  <c r="BE47" i="14"/>
  <c r="I13" i="15"/>
  <c r="I9" i="15"/>
  <c r="BE114" i="14"/>
  <c r="BF114" i="14" s="1"/>
  <c r="BE26" i="14"/>
  <c r="BE141" i="14"/>
  <c r="W79" i="14"/>
  <c r="BE116" i="14"/>
  <c r="BE117" i="14"/>
  <c r="V187" i="14"/>
  <c r="V180" i="14"/>
  <c r="V146" i="14"/>
  <c r="W221" i="14"/>
  <c r="V249" i="14"/>
  <c r="W249" i="14"/>
  <c r="BE96" i="14"/>
  <c r="V277" i="14"/>
  <c r="V139" i="14"/>
  <c r="W139" i="14"/>
  <c r="V106" i="14"/>
  <c r="W106" i="14"/>
  <c r="BE44" i="14"/>
  <c r="BF44" i="14" s="1"/>
  <c r="BE147" i="14"/>
  <c r="BE84" i="14"/>
  <c r="BE53" i="14"/>
  <c r="V68" i="14"/>
  <c r="V104" i="14"/>
  <c r="W235" i="14"/>
  <c r="V147" i="14"/>
  <c r="W147" i="14"/>
  <c r="AP134" i="14"/>
  <c r="AS134" i="14" s="1"/>
  <c r="BE57" i="14"/>
  <c r="BF57" i="14" s="1"/>
  <c r="V164" i="14"/>
  <c r="BE64" i="14"/>
  <c r="BF64" i="14" s="1"/>
  <c r="BE20" i="14"/>
  <c r="BF20" i="14" s="1"/>
  <c r="I6" i="15"/>
  <c r="V91" i="14"/>
  <c r="W91" i="14"/>
  <c r="W70" i="14"/>
  <c r="V70" i="14"/>
  <c r="W175" i="14"/>
  <c r="V175" i="14"/>
  <c r="I5" i="15"/>
  <c r="H5" i="15"/>
  <c r="W25" i="14"/>
  <c r="V25" i="14"/>
  <c r="V251" i="14"/>
  <c r="W251" i="14"/>
  <c r="V50" i="14"/>
  <c r="W50" i="14"/>
  <c r="BE108" i="14"/>
  <c r="V276" i="14"/>
  <c r="W276" i="14"/>
  <c r="W107" i="14"/>
  <c r="V107" i="14"/>
  <c r="V90" i="14"/>
  <c r="W90" i="14"/>
  <c r="W33" i="14"/>
  <c r="V33" i="14"/>
  <c r="W14" i="14"/>
  <c r="BE54" i="14"/>
  <c r="BE133" i="14"/>
  <c r="BE82" i="14"/>
  <c r="BE12" i="14"/>
  <c r="BE106" i="14"/>
  <c r="BE79" i="14"/>
  <c r="W9" i="14"/>
  <c r="V9" i="14"/>
  <c r="V155" i="14"/>
  <c r="W155" i="14"/>
  <c r="V255" i="14"/>
  <c r="W255" i="14"/>
  <c r="V133" i="14"/>
  <c r="W133" i="14"/>
  <c r="H14" i="15"/>
  <c r="U144" i="10"/>
  <c r="W144" i="10" s="1"/>
  <c r="U261" i="10"/>
  <c r="V261" i="10" s="1"/>
  <c r="U230" i="10"/>
  <c r="W230" i="10" s="1"/>
  <c r="U152" i="10"/>
  <c r="W152" i="10" s="1"/>
  <c r="V280" i="10"/>
  <c r="U237" i="10"/>
  <c r="V237" i="10" s="1"/>
  <c r="BG144" i="10"/>
  <c r="BG20" i="10"/>
  <c r="BG96" i="10"/>
  <c r="BG61" i="10"/>
  <c r="U212" i="10"/>
  <c r="W212" i="10" s="1"/>
  <c r="U303" i="10"/>
  <c r="U219" i="10"/>
  <c r="V219" i="10" s="1"/>
  <c r="U279" i="10"/>
  <c r="V279" i="10" s="1"/>
  <c r="U141" i="10"/>
  <c r="V141" i="10" s="1"/>
  <c r="V304" i="10"/>
  <c r="U283" i="10"/>
  <c r="V283" i="10" s="1"/>
  <c r="W209" i="10"/>
  <c r="U121" i="10"/>
  <c r="V121" i="10" s="1"/>
  <c r="U268" i="10"/>
  <c r="W268" i="10" s="1"/>
  <c r="U229" i="10"/>
  <c r="V229" i="10" s="1"/>
  <c r="P3" i="10"/>
  <c r="P5" i="10"/>
  <c r="P7" i="10"/>
  <c r="P9" i="10"/>
  <c r="P11" i="10"/>
  <c r="P13" i="10"/>
  <c r="P15" i="10"/>
  <c r="P17" i="10"/>
  <c r="P19" i="10"/>
  <c r="P21" i="10"/>
  <c r="P23" i="10"/>
  <c r="P25" i="10"/>
  <c r="P27" i="10"/>
  <c r="W262" i="10"/>
  <c r="U128" i="10"/>
  <c r="W128" i="10" s="1"/>
  <c r="U196" i="10"/>
  <c r="W196" i="10" s="1"/>
  <c r="U228" i="10"/>
  <c r="W228" i="10" s="1"/>
  <c r="U239" i="10"/>
  <c r="V239" i="10" s="1"/>
  <c r="U267" i="10"/>
  <c r="W267" i="10" s="1"/>
  <c r="U150" i="10"/>
  <c r="V150" i="10" s="1"/>
  <c r="U173" i="10"/>
  <c r="W173" i="10" s="1"/>
  <c r="W247" i="10"/>
  <c r="U240" i="10"/>
  <c r="W240" i="10" s="1"/>
  <c r="U133" i="10"/>
  <c r="V133" i="10" s="1"/>
  <c r="U169" i="10"/>
  <c r="V169" i="10" s="1"/>
  <c r="U193" i="10"/>
  <c r="V193" i="10" s="1"/>
  <c r="U138" i="10"/>
  <c r="U192" i="10"/>
  <c r="W192" i="10" s="1"/>
  <c r="U252" i="10"/>
  <c r="W252" i="10" s="1"/>
  <c r="U245" i="10"/>
  <c r="V245" i="10" s="1"/>
  <c r="V268" i="10"/>
  <c r="W278" i="10"/>
  <c r="V129" i="10"/>
  <c r="W129" i="10"/>
  <c r="V130" i="10"/>
  <c r="W130" i="10"/>
  <c r="V241" i="10"/>
  <c r="W241" i="10"/>
  <c r="V295" i="10"/>
  <c r="W295" i="10"/>
  <c r="U195" i="10"/>
  <c r="V195" i="10" s="1"/>
  <c r="U164" i="10"/>
  <c r="W164" i="10" s="1"/>
  <c r="U259" i="10"/>
  <c r="U153" i="10"/>
  <c r="W153" i="10" s="1"/>
  <c r="U210" i="10"/>
  <c r="W210" i="10" s="1"/>
  <c r="BE99" i="10"/>
  <c r="U251" i="10"/>
  <c r="V251" i="10" s="1"/>
  <c r="V208" i="10"/>
  <c r="U223" i="10"/>
  <c r="V223" i="10" s="1"/>
  <c r="U182" i="10"/>
  <c r="U274" i="10"/>
  <c r="P2" i="10"/>
  <c r="P4" i="10"/>
  <c r="P6" i="10"/>
  <c r="P8" i="10"/>
  <c r="P10" i="10"/>
  <c r="P12" i="10"/>
  <c r="P14" i="10"/>
  <c r="P16" i="10"/>
  <c r="P18" i="10"/>
  <c r="P20" i="10"/>
  <c r="P22" i="10"/>
  <c r="P24" i="10"/>
  <c r="P26" i="10"/>
  <c r="W218" i="10"/>
  <c r="U176" i="10"/>
  <c r="W176" i="10" s="1"/>
  <c r="U233" i="10"/>
  <c r="W275" i="10"/>
  <c r="U226" i="10"/>
  <c r="U181" i="10"/>
  <c r="V181" i="10" s="1"/>
  <c r="U276" i="10"/>
  <c r="W276" i="10" s="1"/>
  <c r="U126" i="10"/>
  <c r="V126" i="10" s="1"/>
  <c r="U214" i="10"/>
  <c r="U300" i="10"/>
  <c r="BG27" i="10"/>
  <c r="BG97" i="10"/>
  <c r="BG105" i="10"/>
  <c r="BG64" i="10"/>
  <c r="U248" i="10"/>
  <c r="W248" i="10" s="1"/>
  <c r="U255" i="10"/>
  <c r="U220" i="10"/>
  <c r="U297" i="10"/>
  <c r="V297" i="10" s="1"/>
  <c r="BE33" i="10"/>
  <c r="W260" i="10"/>
  <c r="V260" i="10"/>
  <c r="V134" i="10"/>
  <c r="W134" i="10"/>
  <c r="W294" i="10"/>
  <c r="W194" i="10"/>
  <c r="U151" i="10"/>
  <c r="V151" i="10" s="1"/>
  <c r="U183" i="10"/>
  <c r="V183" i="10" s="1"/>
  <c r="U147" i="10"/>
  <c r="V147" i="10" s="1"/>
  <c r="U179" i="10"/>
  <c r="V179" i="10" s="1"/>
  <c r="U215" i="10"/>
  <c r="V215" i="10" s="1"/>
  <c r="U172" i="10"/>
  <c r="W172" i="10" s="1"/>
  <c r="U204" i="10"/>
  <c r="W204" i="10" s="1"/>
  <c r="U221" i="10"/>
  <c r="V221" i="10" s="1"/>
  <c r="U222" i="10"/>
  <c r="V222" i="10" s="1"/>
  <c r="U190" i="10"/>
  <c r="U178" i="10"/>
  <c r="W178" i="10" s="1"/>
  <c r="U191" i="10"/>
  <c r="V191" i="10" s="1"/>
  <c r="W149" i="10"/>
  <c r="U122" i="10"/>
  <c r="U142" i="10"/>
  <c r="U257" i="10"/>
  <c r="U154" i="10"/>
  <c r="U198" i="10"/>
  <c r="BG36" i="10"/>
  <c r="BG8" i="10"/>
  <c r="BG62" i="10"/>
  <c r="BG78" i="10"/>
  <c r="BG111" i="10"/>
  <c r="U206" i="10"/>
  <c r="V206" i="10" s="1"/>
  <c r="W261" i="10"/>
  <c r="V188" i="10"/>
  <c r="W263" i="10"/>
  <c r="U253" i="10"/>
  <c r="W253" i="10" s="1"/>
  <c r="U291" i="10"/>
  <c r="V291" i="10" s="1"/>
  <c r="U235" i="10"/>
  <c r="V235" i="10" s="1"/>
  <c r="U156" i="10"/>
  <c r="U170" i="10"/>
  <c r="U174" i="10"/>
  <c r="U186" i="10"/>
  <c r="BE17" i="14"/>
  <c r="BF17" i="14" s="1"/>
  <c r="BE41" i="14"/>
  <c r="BF41" i="14" s="1"/>
  <c r="BE140" i="14"/>
  <c r="BE81" i="14"/>
  <c r="BE8" i="14"/>
  <c r="BE112" i="14"/>
  <c r="BE7" i="14"/>
  <c r="BF7" i="14" s="1"/>
  <c r="BE95" i="14"/>
  <c r="BE132" i="14"/>
  <c r="BE33" i="14"/>
  <c r="BF33" i="14" s="1"/>
  <c r="BE136" i="14"/>
  <c r="BE48" i="14"/>
  <c r="BF48" i="14" s="1"/>
  <c r="BE131" i="14"/>
  <c r="BG102" i="10"/>
  <c r="BG109" i="10"/>
  <c r="BG29" i="10"/>
  <c r="BG3" i="10"/>
  <c r="BG122" i="10"/>
  <c r="BG89" i="10"/>
  <c r="BG32" i="10"/>
  <c r="BG125" i="10"/>
  <c r="BG59" i="10"/>
  <c r="BG147" i="10"/>
  <c r="BE103" i="10"/>
  <c r="BG106" i="10"/>
  <c r="BG19" i="10"/>
  <c r="BG123" i="10"/>
  <c r="BG157" i="10"/>
  <c r="BG75" i="10"/>
  <c r="BG120" i="10"/>
  <c r="AZ108" i="10"/>
  <c r="BG154" i="10"/>
  <c r="BG141" i="10"/>
  <c r="BG134" i="10"/>
  <c r="BE104" i="10"/>
  <c r="BG52" i="10"/>
  <c r="BG133" i="10"/>
  <c r="BG26" i="10"/>
  <c r="BG74" i="10"/>
  <c r="BG39" i="10"/>
  <c r="BE109" i="10"/>
  <c r="BG47" i="10"/>
  <c r="BG72" i="10"/>
  <c r="BG124" i="10"/>
  <c r="BG140" i="10"/>
  <c r="BG38" i="10"/>
  <c r="BE55" i="10"/>
  <c r="BE147" i="10"/>
  <c r="BE3" i="10"/>
  <c r="BE122" i="10"/>
  <c r="BG83" i="10"/>
  <c r="BG68" i="10"/>
  <c r="BG153" i="10"/>
  <c r="BG119" i="10"/>
  <c r="BG66" i="10"/>
  <c r="BG127" i="10"/>
  <c r="BG149" i="10"/>
  <c r="BG31" i="10"/>
  <c r="BG84" i="10"/>
  <c r="BG112" i="10"/>
  <c r="BG128" i="10"/>
  <c r="BG49" i="10"/>
  <c r="BG13" i="10"/>
  <c r="BG148" i="10"/>
  <c r="BG40" i="10"/>
  <c r="BG17" i="10"/>
  <c r="BG28" i="10"/>
  <c r="BG57" i="10"/>
  <c r="BG103" i="10"/>
  <c r="BE102" i="10"/>
  <c r="BM100" i="10"/>
  <c r="BG135" i="10"/>
  <c r="BG16" i="10"/>
  <c r="BG41" i="10"/>
  <c r="BG155" i="10"/>
  <c r="BG6" i="10"/>
  <c r="BG80" i="10"/>
  <c r="BG79" i="10"/>
  <c r="BG44" i="10"/>
  <c r="BG138" i="10"/>
  <c r="BG18" i="10"/>
  <c r="BG99" i="10"/>
  <c r="AZ103" i="10"/>
  <c r="AQ103" i="10" s="1"/>
  <c r="BG87" i="10"/>
  <c r="BG143" i="10"/>
  <c r="BG5" i="10"/>
  <c r="BG70" i="10"/>
  <c r="BG82" i="10"/>
  <c r="BG23" i="10"/>
  <c r="BG4" i="10"/>
  <c r="AZ109" i="10"/>
  <c r="BN109" i="10" s="1"/>
  <c r="BG51" i="10"/>
  <c r="BG151" i="10"/>
  <c r="BG53" i="10"/>
  <c r="BE93" i="10"/>
  <c r="BE108" i="10"/>
  <c r="BG115" i="10"/>
  <c r="BG25" i="10"/>
  <c r="BG60" i="10"/>
  <c r="BG121" i="10"/>
  <c r="BE106" i="10"/>
  <c r="BG142" i="10"/>
  <c r="V177" i="10"/>
  <c r="W177" i="10"/>
  <c r="V302" i="10"/>
  <c r="V153" i="10"/>
  <c r="W236" i="10"/>
  <c r="V236" i="10"/>
  <c r="V273" i="10"/>
  <c r="W273" i="10"/>
  <c r="V203" i="10"/>
  <c r="W203" i="10"/>
  <c r="V158" i="10"/>
  <c r="W158" i="10"/>
  <c r="V178" i="10"/>
  <c r="V207" i="10"/>
  <c r="W207" i="10"/>
  <c r="W264" i="10"/>
  <c r="V264" i="10"/>
  <c r="W292" i="10"/>
  <c r="V292" i="10"/>
  <c r="V252" i="10"/>
  <c r="V165" i="10"/>
  <c r="W165" i="10"/>
  <c r="V293" i="10"/>
  <c r="W293" i="10"/>
  <c r="W125" i="10"/>
  <c r="BG137" i="10"/>
  <c r="BG56" i="10"/>
  <c r="BG156" i="10"/>
  <c r="BG104" i="10"/>
  <c r="AZ102" i="10"/>
  <c r="BG81" i="10"/>
  <c r="BM9" i="10"/>
  <c r="U143" i="10"/>
  <c r="V143" i="10" s="1"/>
  <c r="U175" i="10"/>
  <c r="V175" i="10" s="1"/>
  <c r="U217" i="10"/>
  <c r="V217" i="10" s="1"/>
  <c r="U139" i="10"/>
  <c r="V139" i="10" s="1"/>
  <c r="U171" i="10"/>
  <c r="V171" i="10" s="1"/>
  <c r="U140" i="10"/>
  <c r="W140" i="10" s="1"/>
  <c r="U132" i="10"/>
  <c r="W132" i="10" s="1"/>
  <c r="U298" i="10"/>
  <c r="V298" i="10" s="1"/>
  <c r="U277" i="10"/>
  <c r="U284" i="10"/>
  <c r="AZ104" i="10"/>
  <c r="AO104" i="10"/>
  <c r="BG88" i="10"/>
  <c r="BG43" i="10"/>
  <c r="BG126" i="10"/>
  <c r="BG132" i="10"/>
  <c r="BG76" i="10"/>
  <c r="BG35" i="10"/>
  <c r="BG139" i="10"/>
  <c r="BG15" i="10"/>
  <c r="BG50" i="10"/>
  <c r="BE130" i="10"/>
  <c r="BE69" i="10"/>
  <c r="W246" i="10"/>
  <c r="BG130" i="10"/>
  <c r="BM103" i="10"/>
  <c r="V204" i="10"/>
  <c r="V288" i="10"/>
  <c r="V137" i="10"/>
  <c r="U289" i="10"/>
  <c r="W157" i="10"/>
  <c r="W181" i="10"/>
  <c r="BG58" i="10"/>
  <c r="BG150" i="10"/>
  <c r="BG12" i="10"/>
  <c r="BG146" i="10"/>
  <c r="BG95" i="10"/>
  <c r="BG136" i="10"/>
  <c r="BG92" i="10"/>
  <c r="BG129" i="10"/>
  <c r="BG91" i="10"/>
  <c r="BG11" i="10"/>
  <c r="V256" i="10"/>
  <c r="V197" i="10"/>
  <c r="W197" i="10"/>
  <c r="W213" i="10"/>
  <c r="O5" i="15"/>
  <c r="R5" i="15"/>
  <c r="N9" i="15"/>
  <c r="O9" i="15" s="1"/>
  <c r="P6" i="15"/>
  <c r="N6" i="15"/>
  <c r="N8" i="15"/>
  <c r="P8" i="15"/>
  <c r="P13" i="15"/>
  <c r="N13" i="15"/>
  <c r="Q6" i="15"/>
  <c r="M6" i="15"/>
  <c r="Q7" i="15"/>
  <c r="M7" i="15"/>
  <c r="P10" i="15"/>
  <c r="N10" i="15"/>
  <c r="Q12" i="15"/>
  <c r="M12" i="15"/>
  <c r="Q13" i="15"/>
  <c r="M13" i="15"/>
  <c r="Q4" i="15"/>
  <c r="M4" i="15"/>
  <c r="Q8" i="15"/>
  <c r="M8" i="15"/>
  <c r="Q9" i="15"/>
  <c r="M9" i="15"/>
  <c r="Q10" i="15"/>
  <c r="M10" i="15"/>
  <c r="N12" i="15"/>
  <c r="P12" i="15"/>
  <c r="P7" i="15"/>
  <c r="N7" i="15"/>
  <c r="N4" i="15"/>
  <c r="P4" i="15"/>
  <c r="BD112" i="14"/>
  <c r="AM112" i="14"/>
  <c r="BJ112" i="14"/>
  <c r="BF112" i="14"/>
  <c r="BB112" i="14"/>
  <c r="BD121" i="14"/>
  <c r="AM121" i="14"/>
  <c r="BF121" i="14"/>
  <c r="BJ121" i="14"/>
  <c r="BB121" i="14"/>
  <c r="BD47" i="14"/>
  <c r="BF47" i="14"/>
  <c r="BB47" i="14"/>
  <c r="BJ98" i="14"/>
  <c r="BF98" i="14"/>
  <c r="BB98" i="14"/>
  <c r="AM98" i="14"/>
  <c r="BD98" i="14"/>
  <c r="AM86" i="14"/>
  <c r="BJ86" i="14"/>
  <c r="BF86" i="14"/>
  <c r="BB86" i="14"/>
  <c r="BD86" i="14"/>
  <c r="BE91" i="14"/>
  <c r="BD17" i="14"/>
  <c r="BB17" i="14"/>
  <c r="BF11" i="14"/>
  <c r="BB11" i="14"/>
  <c r="BD11" i="14"/>
  <c r="BF14" i="14"/>
  <c r="BB14" i="14"/>
  <c r="BD14" i="14"/>
  <c r="BB42" i="14"/>
  <c r="BD42" i="14"/>
  <c r="BB24" i="14"/>
  <c r="BD24" i="14"/>
  <c r="BB19" i="14"/>
  <c r="BD19" i="14"/>
  <c r="BJ81" i="14"/>
  <c r="BF81" i="14"/>
  <c r="BB81" i="14"/>
  <c r="BD81" i="14"/>
  <c r="AM81" i="14"/>
  <c r="BF46" i="14"/>
  <c r="BB46" i="14"/>
  <c r="BD46" i="14"/>
  <c r="BJ131" i="14"/>
  <c r="BF131" i="14"/>
  <c r="BB131" i="14"/>
  <c r="AM131" i="14"/>
  <c r="BD131" i="14"/>
  <c r="AM147" i="14"/>
  <c r="BJ147" i="14"/>
  <c r="BF147" i="14"/>
  <c r="BB147" i="14"/>
  <c r="BD147" i="14"/>
  <c r="AM115" i="14"/>
  <c r="BJ115" i="14"/>
  <c r="BF115" i="14"/>
  <c r="BB115" i="14"/>
  <c r="BD115" i="14"/>
  <c r="V199" i="14"/>
  <c r="W199" i="14"/>
  <c r="W260" i="14"/>
  <c r="V260" i="14"/>
  <c r="BD94" i="14"/>
  <c r="AM94" i="14"/>
  <c r="BJ94" i="14"/>
  <c r="BF94" i="14"/>
  <c r="BB94" i="14"/>
  <c r="BD148" i="14"/>
  <c r="AM148" i="14"/>
  <c r="BJ148" i="14"/>
  <c r="BF148" i="14"/>
  <c r="BB148" i="14"/>
  <c r="BD85" i="14"/>
  <c r="AM85" i="14"/>
  <c r="BJ85" i="14"/>
  <c r="BB85" i="14"/>
  <c r="BF85" i="14"/>
  <c r="BD104" i="14"/>
  <c r="AM104" i="14"/>
  <c r="BJ104" i="14"/>
  <c r="BF104" i="14"/>
  <c r="BB104" i="14"/>
  <c r="BE50" i="14"/>
  <c r="BF31" i="14"/>
  <c r="BB31" i="14"/>
  <c r="BD31" i="14"/>
  <c r="BF26" i="14"/>
  <c r="BB26" i="14"/>
  <c r="BD26" i="14"/>
  <c r="W48" i="14"/>
  <c r="V48" i="14"/>
  <c r="W64" i="14"/>
  <c r="V64" i="14"/>
  <c r="AM126" i="14"/>
  <c r="BJ126" i="14"/>
  <c r="BF126" i="14"/>
  <c r="BB126" i="14"/>
  <c r="BD126" i="14"/>
  <c r="BD108" i="14"/>
  <c r="AM108" i="14"/>
  <c r="BJ108" i="14"/>
  <c r="BF108" i="14"/>
  <c r="BB108" i="14"/>
  <c r="BJ107" i="14"/>
  <c r="BF107" i="14"/>
  <c r="BB107" i="14"/>
  <c r="BD107" i="14"/>
  <c r="AM107" i="14"/>
  <c r="AM116" i="14"/>
  <c r="BJ116" i="14"/>
  <c r="BF116" i="14"/>
  <c r="BB116" i="14"/>
  <c r="BD116" i="14"/>
  <c r="AM70" i="14"/>
  <c r="BF70" i="14"/>
  <c r="BJ70" i="14"/>
  <c r="BD70" i="14"/>
  <c r="BB70" i="14"/>
  <c r="BJ141" i="14"/>
  <c r="BF141" i="14"/>
  <c r="BB141" i="14"/>
  <c r="BD141" i="14"/>
  <c r="AM141" i="14"/>
  <c r="V195" i="14"/>
  <c r="W195" i="14"/>
  <c r="BD2" i="14"/>
  <c r="BF2" i="14"/>
  <c r="BB2" i="14"/>
  <c r="BD93" i="14"/>
  <c r="BF93" i="14"/>
  <c r="AM93" i="14"/>
  <c r="BJ93" i="14"/>
  <c r="BB93" i="14"/>
  <c r="BE121" i="14"/>
  <c r="BD96" i="14"/>
  <c r="BF96" i="14"/>
  <c r="BJ96" i="14"/>
  <c r="BB96" i="14"/>
  <c r="AM96" i="14"/>
  <c r="BE28" i="14"/>
  <c r="BF28" i="14" s="1"/>
  <c r="BD23" i="14"/>
  <c r="BB23" i="14"/>
  <c r="BB35" i="14"/>
  <c r="BD35" i="14"/>
  <c r="BD83" i="14"/>
  <c r="AM83" i="14"/>
  <c r="BJ83" i="14"/>
  <c r="BF83" i="14"/>
  <c r="BB83" i="14"/>
  <c r="BB123" i="14"/>
  <c r="BF123" i="14"/>
  <c r="BJ123" i="14"/>
  <c r="BD123" i="14"/>
  <c r="AM123" i="14"/>
  <c r="BJ79" i="14"/>
  <c r="BF79" i="14"/>
  <c r="BB79" i="14"/>
  <c r="BD79" i="14"/>
  <c r="AM79" i="14"/>
  <c r="BJ156" i="14"/>
  <c r="BF156" i="14"/>
  <c r="BB156" i="14"/>
  <c r="AM156" i="14"/>
  <c r="BD156" i="14"/>
  <c r="BJ103" i="14"/>
  <c r="BF103" i="14"/>
  <c r="BB103" i="14"/>
  <c r="BD103" i="14"/>
  <c r="AM103" i="14"/>
  <c r="W173" i="14"/>
  <c r="V173" i="14"/>
  <c r="AP130" i="14"/>
  <c r="AM130" i="14" s="1"/>
  <c r="AP76" i="14"/>
  <c r="AS76" i="14" s="1"/>
  <c r="AP116" i="14"/>
  <c r="AS116" i="14" s="1"/>
  <c r="AP51" i="14"/>
  <c r="AS51" i="14" s="1"/>
  <c r="AP55" i="14"/>
  <c r="AM55" i="14" s="1"/>
  <c r="AP27" i="14"/>
  <c r="AS27" i="14" s="1"/>
  <c r="AP80" i="14"/>
  <c r="AM80" i="14" s="1"/>
  <c r="AP115" i="14"/>
  <c r="AS115" i="14" s="1"/>
  <c r="AP131" i="14"/>
  <c r="AS131" i="14" s="1"/>
  <c r="AP83" i="14"/>
  <c r="AS83" i="14" s="1"/>
  <c r="AP13" i="14"/>
  <c r="AM13" i="14" s="1"/>
  <c r="AP137" i="14"/>
  <c r="AS137" i="14" s="1"/>
  <c r="AP97" i="14"/>
  <c r="AS97" i="14" s="1"/>
  <c r="AP68" i="14"/>
  <c r="AS68" i="14" s="1"/>
  <c r="AP108" i="14"/>
  <c r="AS108" i="14" s="1"/>
  <c r="AP98" i="14"/>
  <c r="AS98" i="14" s="1"/>
  <c r="AP39" i="14"/>
  <c r="AM39" i="14" s="1"/>
  <c r="AP20" i="14"/>
  <c r="AS20" i="14" s="1"/>
  <c r="AP75" i="14"/>
  <c r="AS75" i="14" s="1"/>
  <c r="AP156" i="14"/>
  <c r="AS156" i="14" s="1"/>
  <c r="AP62" i="14"/>
  <c r="AS62" i="14" s="1"/>
  <c r="AP19" i="14"/>
  <c r="AS19" i="14" s="1"/>
  <c r="AP11" i="14"/>
  <c r="AM11" i="14" s="1"/>
  <c r="AP10" i="14"/>
  <c r="AM10" i="14" s="1"/>
  <c r="AP7" i="14"/>
  <c r="AM7" i="14" s="1"/>
  <c r="AP25" i="14"/>
  <c r="AM25" i="14" s="1"/>
  <c r="AP44" i="14"/>
  <c r="AM44" i="14" s="1"/>
  <c r="AP52" i="14"/>
  <c r="AM52" i="14" s="1"/>
  <c r="AP120" i="14"/>
  <c r="AS120" i="14" s="1"/>
  <c r="AP60" i="14"/>
  <c r="AM60" i="14" s="1"/>
  <c r="AP140" i="14"/>
  <c r="AS140" i="14" s="1"/>
  <c r="AP155" i="14"/>
  <c r="AS155" i="14" s="1"/>
  <c r="AP121" i="14"/>
  <c r="AS121" i="14" s="1"/>
  <c r="AP84" i="14"/>
  <c r="AS84" i="14" s="1"/>
  <c r="AP148" i="14"/>
  <c r="AS148" i="14" s="1"/>
  <c r="AP70" i="14"/>
  <c r="AS70" i="14" s="1"/>
  <c r="AP128" i="14"/>
  <c r="AS128" i="14" s="1"/>
  <c r="AP69" i="14"/>
  <c r="AP99" i="14"/>
  <c r="AM99" i="14" s="1"/>
  <c r="BD48" i="14"/>
  <c r="BB48" i="14"/>
  <c r="W77" i="14"/>
  <c r="V77" i="14"/>
  <c r="V226" i="14"/>
  <c r="W226" i="14"/>
  <c r="W256" i="14"/>
  <c r="V256" i="14"/>
  <c r="BD95" i="14"/>
  <c r="BB95" i="14"/>
  <c r="BF95" i="14"/>
  <c r="BD119" i="14"/>
  <c r="BF119" i="14"/>
  <c r="BB119" i="14"/>
  <c r="BE105" i="14"/>
  <c r="BD152" i="14"/>
  <c r="AM152" i="14"/>
  <c r="BF152" i="14"/>
  <c r="BJ152" i="14"/>
  <c r="BB152" i="14"/>
  <c r="BD120" i="14"/>
  <c r="AM120" i="14"/>
  <c r="BJ120" i="14"/>
  <c r="BF120" i="14"/>
  <c r="BB120" i="14"/>
  <c r="BD52" i="14"/>
  <c r="BB52" i="14"/>
  <c r="BE29" i="14"/>
  <c r="BF29" i="14" s="1"/>
  <c r="BD28" i="14"/>
  <c r="BB28" i="14"/>
  <c r="BB38" i="14"/>
  <c r="BD38" i="14"/>
  <c r="BB22" i="14"/>
  <c r="BD22" i="14"/>
  <c r="BD61" i="14"/>
  <c r="BF61" i="14"/>
  <c r="BB61" i="14"/>
  <c r="W81" i="14"/>
  <c r="V81" i="14"/>
  <c r="W131" i="14"/>
  <c r="V131" i="14"/>
  <c r="BF73" i="14"/>
  <c r="BB73" i="14"/>
  <c r="BD73" i="14"/>
  <c r="V234" i="14"/>
  <c r="W234" i="14"/>
  <c r="BE144" i="14"/>
  <c r="BF144" i="14" s="1"/>
  <c r="BE152" i="14"/>
  <c r="BD128" i="14"/>
  <c r="AM128" i="14"/>
  <c r="BF128" i="14"/>
  <c r="BB128" i="14"/>
  <c r="BJ128" i="14"/>
  <c r="BD155" i="14"/>
  <c r="BB155" i="14"/>
  <c r="BJ155" i="14"/>
  <c r="AM155" i="14"/>
  <c r="BF155" i="14"/>
  <c r="AM105" i="14"/>
  <c r="BJ105" i="14"/>
  <c r="BF105" i="14"/>
  <c r="BB105" i="14"/>
  <c r="BD105" i="14"/>
  <c r="BF65" i="14"/>
  <c r="BB65" i="14"/>
  <c r="BD65" i="14"/>
  <c r="BD21" i="14"/>
  <c r="BB21" i="14"/>
  <c r="BD30" i="14"/>
  <c r="BB30" i="14"/>
  <c r="BD34" i="14"/>
  <c r="BB34" i="14"/>
  <c r="BB33" i="14"/>
  <c r="BD33" i="14"/>
  <c r="W73" i="14"/>
  <c r="V73" i="14"/>
  <c r="BF62" i="14"/>
  <c r="BB62" i="14"/>
  <c r="BD62" i="14"/>
  <c r="W148" i="14"/>
  <c r="V148" i="14"/>
  <c r="W144" i="14"/>
  <c r="V144" i="14"/>
  <c r="W189" i="14"/>
  <c r="V189" i="14"/>
  <c r="W252" i="14"/>
  <c r="V252" i="14"/>
  <c r="W264" i="14"/>
  <c r="V264" i="14"/>
  <c r="BE21" i="14"/>
  <c r="BF21" i="14" s="1"/>
  <c r="BE130" i="14"/>
  <c r="BF130" i="14" s="1"/>
  <c r="BE75" i="14"/>
  <c r="BE150" i="14"/>
  <c r="BF150" i="14" s="1"/>
  <c r="BF50" i="14"/>
  <c r="BB50" i="14"/>
  <c r="BD50" i="14"/>
  <c r="BE49" i="14"/>
  <c r="BE3" i="14"/>
  <c r="BE42" i="14"/>
  <c r="BF42" i="14" s="1"/>
  <c r="BD20" i="14"/>
  <c r="BB20" i="14"/>
  <c r="BF18" i="14"/>
  <c r="BB18" i="14"/>
  <c r="BD18" i="14"/>
  <c r="W52" i="14"/>
  <c r="V52" i="14"/>
  <c r="BD43" i="14"/>
  <c r="BF43" i="14"/>
  <c r="BB43" i="14"/>
  <c r="BF117" i="14"/>
  <c r="BB117" i="14"/>
  <c r="BD117" i="14"/>
  <c r="W123" i="14"/>
  <c r="V123" i="14"/>
  <c r="BB144" i="14"/>
  <c r="BD144" i="14"/>
  <c r="BE4" i="14"/>
  <c r="BF4" i="14" s="1"/>
  <c r="BE25" i="14"/>
  <c r="BF25" i="14" s="1"/>
  <c r="BD114" i="14"/>
  <c r="BB114" i="14"/>
  <c r="BD77" i="14"/>
  <c r="AM77" i="14"/>
  <c r="BJ77" i="14"/>
  <c r="BF77" i="14"/>
  <c r="BB77" i="14"/>
  <c r="BE74" i="14"/>
  <c r="BD91" i="14"/>
  <c r="AM91" i="14"/>
  <c r="BJ91" i="14"/>
  <c r="BB91" i="14"/>
  <c r="BF91" i="14"/>
  <c r="BD110" i="14"/>
  <c r="BJ110" i="14"/>
  <c r="BB110" i="14"/>
  <c r="AM110" i="14"/>
  <c r="BF110" i="14"/>
  <c r="AM82" i="14"/>
  <c r="BD82" i="14"/>
  <c r="BJ82" i="14"/>
  <c r="BF82" i="14"/>
  <c r="BB82" i="14"/>
  <c r="BB59" i="14"/>
  <c r="BD59" i="14"/>
  <c r="BE35" i="14"/>
  <c r="BF35" i="14" s="1"/>
  <c r="BD44" i="14"/>
  <c r="BB44" i="14"/>
  <c r="BE23" i="14"/>
  <c r="BF23" i="14" s="1"/>
  <c r="BE5" i="14"/>
  <c r="BF5" i="14" s="1"/>
  <c r="AS10" i="14"/>
  <c r="BD10" i="14"/>
  <c r="BB10" i="14"/>
  <c r="BD8" i="14"/>
  <c r="BF8" i="14"/>
  <c r="BB8" i="14"/>
  <c r="BF37" i="14"/>
  <c r="BB37" i="14"/>
  <c r="BD37" i="14"/>
  <c r="AM101" i="14"/>
  <c r="BJ101" i="14"/>
  <c r="BF101" i="14"/>
  <c r="BB101" i="14"/>
  <c r="BD101" i="14"/>
  <c r="BB124" i="14"/>
  <c r="BD124" i="14"/>
  <c r="BF137" i="14"/>
  <c r="BD137" i="14"/>
  <c r="BB137" i="14"/>
  <c r="AP138" i="14"/>
  <c r="AS138" i="14" s="1"/>
  <c r="AP129" i="14"/>
  <c r="AS129" i="14" s="1"/>
  <c r="AP71" i="14"/>
  <c r="AS71" i="14" s="1"/>
  <c r="AP157" i="14"/>
  <c r="AS157" i="14" s="1"/>
  <c r="AP66" i="14"/>
  <c r="AM66" i="14" s="1"/>
  <c r="AP53" i="14"/>
  <c r="AM53" i="14" s="1"/>
  <c r="AP12" i="14"/>
  <c r="AS12" i="14" s="1"/>
  <c r="AP103" i="14"/>
  <c r="AS103" i="14" s="1"/>
  <c r="AP145" i="14"/>
  <c r="AS145" i="14" s="1"/>
  <c r="AP123" i="14"/>
  <c r="AS123" i="14" s="1"/>
  <c r="AP34" i="14"/>
  <c r="AS34" i="14" s="1"/>
  <c r="AP23" i="14"/>
  <c r="AM23" i="14" s="1"/>
  <c r="AP135" i="14"/>
  <c r="AS135" i="14" s="1"/>
  <c r="AP141" i="14"/>
  <c r="AS141" i="14" s="1"/>
  <c r="AP107" i="14"/>
  <c r="AS107" i="14" s="1"/>
  <c r="AP43" i="14"/>
  <c r="AS43" i="14" s="1"/>
  <c r="AP26" i="14"/>
  <c r="AM26" i="14" s="1"/>
  <c r="AP38" i="14"/>
  <c r="AM38" i="14" s="1"/>
  <c r="AP5" i="14"/>
  <c r="AM5" i="14" s="1"/>
  <c r="AP101" i="14"/>
  <c r="AS101" i="14" s="1"/>
  <c r="AP149" i="14"/>
  <c r="AS149" i="14" s="1"/>
  <c r="AP46" i="14"/>
  <c r="AS46" i="14" s="1"/>
  <c r="AP24" i="14"/>
  <c r="AS24" i="14" s="1"/>
  <c r="AP4" i="14"/>
  <c r="AS4" i="14" s="1"/>
  <c r="AP17" i="14"/>
  <c r="AM17" i="14" s="1"/>
  <c r="AP29" i="14"/>
  <c r="AM29" i="14" s="1"/>
  <c r="AP9" i="14"/>
  <c r="AS9" i="14" s="1"/>
  <c r="AP58" i="14"/>
  <c r="AS58" i="14" s="1"/>
  <c r="AP49" i="14"/>
  <c r="AM49" i="14" s="1"/>
  <c r="AP65" i="14"/>
  <c r="AM65" i="14" s="1"/>
  <c r="AP104" i="14"/>
  <c r="AS104" i="14" s="1"/>
  <c r="AP110" i="14"/>
  <c r="AS110" i="14" s="1"/>
  <c r="AP100" i="14"/>
  <c r="AS100" i="14" s="1"/>
  <c r="AP151" i="14"/>
  <c r="AS151" i="14" s="1"/>
  <c r="AP95" i="14"/>
  <c r="AS95" i="14" s="1"/>
  <c r="AP90" i="14"/>
  <c r="AS90" i="14" s="1"/>
  <c r="AP118" i="14"/>
  <c r="AS118" i="14" s="1"/>
  <c r="AP119" i="14"/>
  <c r="AM119" i="14" s="1"/>
  <c r="AP143" i="14"/>
  <c r="AM143" i="14" s="1"/>
  <c r="BF125" i="14"/>
  <c r="BB125" i="14"/>
  <c r="BD125" i="14"/>
  <c r="BD100" i="14"/>
  <c r="AM100" i="14"/>
  <c r="BF100" i="14"/>
  <c r="BB100" i="14"/>
  <c r="BJ100" i="14"/>
  <c r="AM136" i="14"/>
  <c r="BJ136" i="14"/>
  <c r="BF136" i="14"/>
  <c r="BB136" i="14"/>
  <c r="BD136" i="14"/>
  <c r="BD29" i="14"/>
  <c r="BB29" i="14"/>
  <c r="BD109" i="14"/>
  <c r="BF109" i="14"/>
  <c r="BB109" i="14"/>
  <c r="BD113" i="14"/>
  <c r="AM113" i="14"/>
  <c r="BB113" i="14"/>
  <c r="BJ113" i="14"/>
  <c r="BF113" i="14"/>
  <c r="BE104" i="14"/>
  <c r="BD58" i="14"/>
  <c r="BB58" i="14"/>
  <c r="BE45" i="14"/>
  <c r="BF45" i="14" s="1"/>
  <c r="BF27" i="14"/>
  <c r="BB27" i="14"/>
  <c r="BD27" i="14"/>
  <c r="BF39" i="14"/>
  <c r="BB39" i="14"/>
  <c r="BD39" i="14"/>
  <c r="BD36" i="14"/>
  <c r="BB36" i="14"/>
  <c r="BD55" i="14"/>
  <c r="BF55" i="14"/>
  <c r="BB55" i="14"/>
  <c r="BB51" i="14"/>
  <c r="BD51" i="14"/>
  <c r="W85" i="14"/>
  <c r="V85" i="14"/>
  <c r="BJ153" i="14"/>
  <c r="BF153" i="14"/>
  <c r="BB153" i="14"/>
  <c r="BD153" i="14"/>
  <c r="AM153" i="14"/>
  <c r="W120" i="14"/>
  <c r="V120" i="14"/>
  <c r="BD71" i="14"/>
  <c r="AM71" i="14"/>
  <c r="BJ71" i="14"/>
  <c r="BF71" i="14"/>
  <c r="BB71" i="14"/>
  <c r="BJ146" i="14"/>
  <c r="BF146" i="14"/>
  <c r="BB146" i="14"/>
  <c r="AM146" i="14"/>
  <c r="BD146" i="14"/>
  <c r="BE124" i="14"/>
  <c r="BF124" i="14" s="1"/>
  <c r="V242" i="14"/>
  <c r="W242" i="14"/>
  <c r="BD134" i="14"/>
  <c r="BB134" i="14"/>
  <c r="BF49" i="14"/>
  <c r="BB49" i="14"/>
  <c r="BD49" i="14"/>
  <c r="BD78" i="14"/>
  <c r="BJ78" i="14"/>
  <c r="BF78" i="14"/>
  <c r="BB78" i="14"/>
  <c r="AM78" i="14"/>
  <c r="BE22" i="14"/>
  <c r="BF22" i="14" s="1"/>
  <c r="BE34" i="14"/>
  <c r="BF34" i="14" s="1"/>
  <c r="BD32" i="14"/>
  <c r="BB32" i="14"/>
  <c r="BD3" i="14"/>
  <c r="BF3" i="14"/>
  <c r="BB3" i="14"/>
  <c r="BD16" i="14"/>
  <c r="BB16" i="14"/>
  <c r="BD40" i="14"/>
  <c r="BF40" i="14"/>
  <c r="BB40" i="14"/>
  <c r="AM145" i="14"/>
  <c r="BJ145" i="14"/>
  <c r="BF145" i="14"/>
  <c r="BB145" i="14"/>
  <c r="BD145" i="14"/>
  <c r="AM92" i="14"/>
  <c r="BJ92" i="14"/>
  <c r="BF92" i="14"/>
  <c r="BB92" i="14"/>
  <c r="BD92" i="14"/>
  <c r="BJ87" i="14"/>
  <c r="BF87" i="14"/>
  <c r="BB87" i="14"/>
  <c r="AM87" i="14"/>
  <c r="BD87" i="14"/>
  <c r="BB80" i="14"/>
  <c r="BD80" i="14"/>
  <c r="BD118" i="14"/>
  <c r="BB118" i="14"/>
  <c r="BF118" i="14"/>
  <c r="BE70" i="14"/>
  <c r="BE60" i="14"/>
  <c r="BF60" i="14" s="1"/>
  <c r="BE120" i="14"/>
  <c r="BD41" i="14"/>
  <c r="BB41" i="14"/>
  <c r="BE32" i="14"/>
  <c r="BF32" i="14" s="1"/>
  <c r="BD5" i="14"/>
  <c r="BB5" i="14"/>
  <c r="BF6" i="14"/>
  <c r="BB6" i="14"/>
  <c r="BD6" i="14"/>
  <c r="W56" i="14"/>
  <c r="V56" i="14"/>
  <c r="AM133" i="14"/>
  <c r="BJ133" i="14"/>
  <c r="BF133" i="14"/>
  <c r="BB133" i="14"/>
  <c r="BD133" i="14"/>
  <c r="BB72" i="14"/>
  <c r="BD72" i="14"/>
  <c r="BJ88" i="14"/>
  <c r="BF88" i="14"/>
  <c r="BB88" i="14"/>
  <c r="AM88" i="14"/>
  <c r="BD88" i="14"/>
  <c r="BJ142" i="14"/>
  <c r="BF142" i="14"/>
  <c r="BB142" i="14"/>
  <c r="BD142" i="14"/>
  <c r="AM142" i="14"/>
  <c r="BE80" i="14"/>
  <c r="BF80" i="14" s="1"/>
  <c r="BE77" i="14"/>
  <c r="BE71" i="14"/>
  <c r="BE111" i="14"/>
  <c r="AM154" i="14"/>
  <c r="BF154" i="14"/>
  <c r="BB154" i="14"/>
  <c r="BJ154" i="14"/>
  <c r="BD154" i="14"/>
  <c r="BB9" i="14"/>
  <c r="BD9" i="14"/>
  <c r="BE19" i="14"/>
  <c r="BF19" i="14" s="1"/>
  <c r="BE36" i="14"/>
  <c r="BF36" i="14" s="1"/>
  <c r="BF13" i="14"/>
  <c r="BB13" i="14"/>
  <c r="AS13" i="14"/>
  <c r="BD13" i="14"/>
  <c r="BB102" i="14"/>
  <c r="BF102" i="14"/>
  <c r="BJ102" i="14"/>
  <c r="BD102" i="14"/>
  <c r="AM102" i="14"/>
  <c r="AM149" i="14"/>
  <c r="BF149" i="14"/>
  <c r="BD149" i="14"/>
  <c r="BB149" i="14"/>
  <c r="BJ149" i="14"/>
  <c r="W119" i="14"/>
  <c r="V119" i="14"/>
  <c r="BJ122" i="14"/>
  <c r="BF122" i="14"/>
  <c r="BB122" i="14"/>
  <c r="BD122" i="14"/>
  <c r="AM122" i="14"/>
  <c r="V140" i="14"/>
  <c r="W140" i="14"/>
  <c r="AP125" i="14"/>
  <c r="AS125" i="14" s="1"/>
  <c r="AP88" i="14"/>
  <c r="AS88" i="14" s="1"/>
  <c r="AP117" i="14"/>
  <c r="AM117" i="14" s="1"/>
  <c r="AP150" i="14"/>
  <c r="AS150" i="14" s="1"/>
  <c r="AP63" i="14"/>
  <c r="AS63" i="14" s="1"/>
  <c r="AP47" i="14"/>
  <c r="AS47" i="14" s="1"/>
  <c r="AP28" i="14"/>
  <c r="AM28" i="14" s="1"/>
  <c r="AP87" i="14"/>
  <c r="AS87" i="14" s="1"/>
  <c r="AP147" i="14"/>
  <c r="AS147" i="14" s="1"/>
  <c r="AP54" i="14"/>
  <c r="AS54" i="14" s="1"/>
  <c r="AP35" i="14"/>
  <c r="AS35" i="14" s="1"/>
  <c r="AP8" i="14"/>
  <c r="AM8" i="14" s="1"/>
  <c r="AP142" i="14"/>
  <c r="AS142" i="14" s="1"/>
  <c r="AP146" i="14"/>
  <c r="AS146" i="14" s="1"/>
  <c r="AP153" i="14"/>
  <c r="AS153" i="14" s="1"/>
  <c r="AP56" i="14"/>
  <c r="AM56" i="14" s="1"/>
  <c r="AP15" i="14"/>
  <c r="AS15" i="14" s="1"/>
  <c r="AP31" i="14"/>
  <c r="AM31" i="14" s="1"/>
  <c r="AP139" i="14"/>
  <c r="AM139" i="14" s="1"/>
  <c r="AP154" i="14"/>
  <c r="AS154" i="14" s="1"/>
  <c r="AP111" i="14"/>
  <c r="AS111" i="14" s="1"/>
  <c r="AP40" i="14"/>
  <c r="AS40" i="14" s="1"/>
  <c r="AP30" i="14"/>
  <c r="AM30" i="14" s="1"/>
  <c r="AP14" i="14"/>
  <c r="AM14" i="14" s="1"/>
  <c r="AP21" i="14"/>
  <c r="AS21" i="14" s="1"/>
  <c r="AP36" i="14"/>
  <c r="AS36" i="14" s="1"/>
  <c r="AP45" i="14"/>
  <c r="AM45" i="14" s="1"/>
  <c r="AP57" i="14"/>
  <c r="AS57" i="14" s="1"/>
  <c r="AP50" i="14"/>
  <c r="AM50" i="14" s="1"/>
  <c r="AP78" i="14"/>
  <c r="AS78" i="14" s="1"/>
  <c r="AP136" i="14"/>
  <c r="AS136" i="14" s="1"/>
  <c r="AP152" i="14"/>
  <c r="AS152" i="14" s="1"/>
  <c r="AP91" i="14"/>
  <c r="AS91" i="14" s="1"/>
  <c r="AP96" i="14"/>
  <c r="AS96" i="14" s="1"/>
  <c r="AP74" i="14"/>
  <c r="AS74" i="14" s="1"/>
  <c r="AP89" i="14"/>
  <c r="AS89" i="14" s="1"/>
  <c r="AP94" i="14"/>
  <c r="AS94" i="14" s="1"/>
  <c r="AP114" i="14"/>
  <c r="AM114" i="14" s="1"/>
  <c r="BD143" i="14"/>
  <c r="BF143" i="14"/>
  <c r="BB143" i="14"/>
  <c r="BD64" i="14"/>
  <c r="BB64" i="14"/>
  <c r="BD63" i="14"/>
  <c r="AM63" i="14"/>
  <c r="BB63" i="14"/>
  <c r="W135" i="14"/>
  <c r="V135" i="14"/>
  <c r="AM97" i="14"/>
  <c r="BJ97" i="14"/>
  <c r="BF97" i="14"/>
  <c r="BB97" i="14"/>
  <c r="BD97" i="14"/>
  <c r="BF135" i="14"/>
  <c r="BB135" i="14"/>
  <c r="BD135" i="14"/>
  <c r="BD84" i="14"/>
  <c r="AM84" i="14"/>
  <c r="BJ84" i="14"/>
  <c r="BB84" i="14"/>
  <c r="BF84" i="14"/>
  <c r="V8" i="14"/>
  <c r="W8" i="14"/>
  <c r="BB129" i="14"/>
  <c r="BF129" i="14"/>
  <c r="BD129" i="14"/>
  <c r="BD69" i="14"/>
  <c r="AM69" i="14"/>
  <c r="BJ69" i="14"/>
  <c r="BF69" i="14"/>
  <c r="BB69" i="14"/>
  <c r="AS69" i="14"/>
  <c r="BD151" i="14"/>
  <c r="BF151" i="14"/>
  <c r="BJ151" i="14"/>
  <c r="BB151" i="14"/>
  <c r="AM151" i="14"/>
  <c r="BB60" i="14"/>
  <c r="BD60" i="14"/>
  <c r="BD57" i="14"/>
  <c r="BB57" i="14"/>
  <c r="BF12" i="14"/>
  <c r="BB12" i="14"/>
  <c r="BD12" i="14"/>
  <c r="BD53" i="14"/>
  <c r="BF53" i="14"/>
  <c r="BB53" i="14"/>
  <c r="BB66" i="14"/>
  <c r="AS66" i="14"/>
  <c r="BD66" i="14"/>
  <c r="BF67" i="14"/>
  <c r="BB67" i="14"/>
  <c r="BD67" i="14"/>
  <c r="W72" i="14"/>
  <c r="V72" i="14"/>
  <c r="V92" i="14"/>
  <c r="W92" i="14"/>
  <c r="AM68" i="14"/>
  <c r="BJ68" i="14"/>
  <c r="BF68" i="14"/>
  <c r="BB68" i="14"/>
  <c r="BD68" i="14"/>
  <c r="W115" i="14"/>
  <c r="V115" i="14"/>
  <c r="W165" i="14"/>
  <c r="V165" i="14"/>
  <c r="BF138" i="14"/>
  <c r="BB138" i="14"/>
  <c r="BD138" i="14"/>
  <c r="V247" i="14"/>
  <c r="W247" i="14"/>
  <c r="BD4" i="14"/>
  <c r="BB4" i="14"/>
  <c r="BD89" i="14"/>
  <c r="BF89" i="14"/>
  <c r="AM89" i="14"/>
  <c r="BJ89" i="14"/>
  <c r="BB89" i="14"/>
  <c r="BD132" i="14"/>
  <c r="BJ132" i="14"/>
  <c r="BB132" i="14"/>
  <c r="BF132" i="14"/>
  <c r="AM132" i="14"/>
  <c r="BD140" i="14"/>
  <c r="AM140" i="14"/>
  <c r="BJ140" i="14"/>
  <c r="BF140" i="14"/>
  <c r="BB140" i="14"/>
  <c r="BE15" i="14"/>
  <c r="BF15" i="14" s="1"/>
  <c r="BD25" i="14"/>
  <c r="BB25" i="14"/>
  <c r="BD7" i="14"/>
  <c r="BB7" i="14"/>
  <c r="BJ111" i="14"/>
  <c r="BF111" i="14"/>
  <c r="BB111" i="14"/>
  <c r="BD111" i="14"/>
  <c r="AM111" i="14"/>
  <c r="W130" i="14"/>
  <c r="V130" i="14"/>
  <c r="BB139" i="14"/>
  <c r="BD139" i="14"/>
  <c r="BE10" i="14"/>
  <c r="BF10" i="14" s="1"/>
  <c r="BE134" i="14"/>
  <c r="BF134" i="14" s="1"/>
  <c r="AM76" i="14"/>
  <c r="BB76" i="14"/>
  <c r="BF76" i="14"/>
  <c r="BJ76" i="14"/>
  <c r="BD76" i="14"/>
  <c r="BE59" i="14"/>
  <c r="BF59" i="14" s="1"/>
  <c r="BE52" i="14"/>
  <c r="BF52" i="14" s="1"/>
  <c r="BD45" i="14"/>
  <c r="BB45" i="14"/>
  <c r="BB15" i="14"/>
  <c r="BD15" i="14"/>
  <c r="W60" i="14"/>
  <c r="V60" i="14"/>
  <c r="W71" i="14"/>
  <c r="V71" i="14"/>
  <c r="BE98" i="14"/>
  <c r="BF56" i="14"/>
  <c r="BB56" i="14"/>
  <c r="BD56" i="14"/>
  <c r="BD106" i="14"/>
  <c r="AM106" i="14"/>
  <c r="BJ106" i="14"/>
  <c r="BF106" i="14"/>
  <c r="BB106" i="14"/>
  <c r="BB150" i="14"/>
  <c r="BD150" i="14"/>
  <c r="AM150" i="14"/>
  <c r="W100" i="14"/>
  <c r="V100" i="14"/>
  <c r="BD130" i="14"/>
  <c r="AS130" i="14"/>
  <c r="BB130" i="14"/>
  <c r="W181" i="14"/>
  <c r="V181" i="14"/>
  <c r="BD99" i="14"/>
  <c r="BF99" i="14"/>
  <c r="BB99" i="14"/>
  <c r="BD90" i="14"/>
  <c r="BF90" i="14"/>
  <c r="AM90" i="14"/>
  <c r="BJ90" i="14"/>
  <c r="BB90" i="14"/>
  <c r="BD74" i="14"/>
  <c r="BB74" i="14"/>
  <c r="BF74" i="14"/>
  <c r="BJ74" i="14"/>
  <c r="AM74" i="14"/>
  <c r="AM157" i="14"/>
  <c r="BF157" i="14"/>
  <c r="BD157" i="14"/>
  <c r="BB157" i="14"/>
  <c r="BJ157" i="14"/>
  <c r="BE107" i="14"/>
  <c r="BE9" i="14"/>
  <c r="BF9" i="14" s="1"/>
  <c r="BE30" i="14"/>
  <c r="BF30" i="14" s="1"/>
  <c r="BE16" i="14"/>
  <c r="BF16" i="14" s="1"/>
  <c r="BF54" i="14"/>
  <c r="BB54" i="14"/>
  <c r="BD54" i="14"/>
  <c r="BF127" i="14"/>
  <c r="BB127" i="14"/>
  <c r="BD127" i="14"/>
  <c r="BJ75" i="14"/>
  <c r="BF75" i="14"/>
  <c r="BB75" i="14"/>
  <c r="BD75" i="14"/>
  <c r="AM75" i="14"/>
  <c r="V244" i="14"/>
  <c r="W244" i="14"/>
  <c r="AP144" i="14"/>
  <c r="AS144" i="14" s="1"/>
  <c r="AP72" i="14"/>
  <c r="AM72" i="14" s="1"/>
  <c r="AP133" i="14"/>
  <c r="AS133" i="14" s="1"/>
  <c r="AP67" i="14"/>
  <c r="AS67" i="14" s="1"/>
  <c r="AP61" i="14"/>
  <c r="AS61" i="14" s="1"/>
  <c r="AP22" i="14"/>
  <c r="AM22" i="14" s="1"/>
  <c r="AP124" i="14"/>
  <c r="AM124" i="14" s="1"/>
  <c r="AP92" i="14"/>
  <c r="AS92" i="14" s="1"/>
  <c r="AP79" i="14"/>
  <c r="AS79" i="14" s="1"/>
  <c r="AP81" i="14"/>
  <c r="AS81" i="14" s="1"/>
  <c r="AP37" i="14"/>
  <c r="AM37" i="14" s="1"/>
  <c r="AP42" i="14"/>
  <c r="AS42" i="14" s="1"/>
  <c r="AP73" i="14"/>
  <c r="AM73" i="14" s="1"/>
  <c r="AP86" i="14"/>
  <c r="AS86" i="14" s="1"/>
  <c r="AP106" i="14"/>
  <c r="AS106" i="14" s="1"/>
  <c r="AP126" i="14"/>
  <c r="AS126" i="14" s="1"/>
  <c r="AP6" i="14"/>
  <c r="AS6" i="14" s="1"/>
  <c r="AP18" i="14"/>
  <c r="AM18" i="14" s="1"/>
  <c r="AP122" i="14"/>
  <c r="AS122" i="14" s="1"/>
  <c r="AP127" i="14"/>
  <c r="AS127" i="14" s="1"/>
  <c r="AP102" i="14"/>
  <c r="AS102" i="14" s="1"/>
  <c r="AP33" i="14"/>
  <c r="AM33" i="14" s="1"/>
  <c r="AP16" i="14"/>
  <c r="AM16" i="14" s="1"/>
  <c r="AP2" i="14"/>
  <c r="AM2" i="14" s="1"/>
  <c r="AP3" i="14"/>
  <c r="AM3" i="14" s="1"/>
  <c r="AP32" i="14"/>
  <c r="AS32" i="14" s="1"/>
  <c r="AP41" i="14"/>
  <c r="AS41" i="14" s="1"/>
  <c r="AP48" i="14"/>
  <c r="AM48" i="14" s="1"/>
  <c r="AP64" i="14"/>
  <c r="AM64" i="14" s="1"/>
  <c r="AP59" i="14"/>
  <c r="AM59" i="14" s="1"/>
  <c r="AP82" i="14"/>
  <c r="AS82" i="14" s="1"/>
  <c r="AP105" i="14"/>
  <c r="AS105" i="14" s="1"/>
  <c r="AP112" i="14"/>
  <c r="AS112" i="14" s="1"/>
  <c r="AP85" i="14"/>
  <c r="AS85" i="14" s="1"/>
  <c r="AP113" i="14"/>
  <c r="AS113" i="14" s="1"/>
  <c r="AP132" i="14"/>
  <c r="AS132" i="14" s="1"/>
  <c r="AP93" i="14"/>
  <c r="AS93" i="14" s="1"/>
  <c r="AP77" i="14"/>
  <c r="AS77" i="14" s="1"/>
  <c r="AP109" i="14"/>
  <c r="AS109" i="14" s="1"/>
  <c r="BM45" i="10"/>
  <c r="W269" i="10"/>
  <c r="V269" i="10"/>
  <c r="U135" i="10"/>
  <c r="U167" i="10"/>
  <c r="U201" i="10"/>
  <c r="U131" i="10"/>
  <c r="U163" i="10"/>
  <c r="U216" i="10"/>
  <c r="U180" i="10"/>
  <c r="U234" i="10"/>
  <c r="V160" i="10"/>
  <c r="W183" i="10"/>
  <c r="W251" i="10"/>
  <c r="U199" i="10"/>
  <c r="U250" i="10"/>
  <c r="V285" i="10"/>
  <c r="W285" i="10"/>
  <c r="U286" i="10"/>
  <c r="U249" i="10"/>
  <c r="U281" i="10"/>
  <c r="U265" i="10"/>
  <c r="U270" i="10"/>
  <c r="U287" i="10"/>
  <c r="U124" i="10"/>
  <c r="V233" i="10"/>
  <c r="W233" i="10"/>
  <c r="U127" i="10"/>
  <c r="U159" i="10"/>
  <c r="U123" i="10"/>
  <c r="U155" i="10"/>
  <c r="U187" i="10"/>
  <c r="U148" i="10"/>
  <c r="U231" i="10"/>
  <c r="V228" i="10"/>
  <c r="W211" i="10"/>
  <c r="U238" i="10"/>
  <c r="U266" i="10"/>
  <c r="U254" i="10"/>
  <c r="U271" i="10"/>
  <c r="U272" i="10"/>
  <c r="U205" i="10"/>
  <c r="U200" i="10"/>
  <c r="U232" i="10"/>
  <c r="V136" i="10"/>
  <c r="V152" i="10"/>
  <c r="V168" i="10"/>
  <c r="V253" i="10"/>
  <c r="U282" i="10"/>
  <c r="U299" i="10"/>
  <c r="U189" i="10"/>
  <c r="BE98" i="10"/>
  <c r="BE81" i="10"/>
  <c r="BM14" i="10"/>
  <c r="BM121" i="10"/>
  <c r="BE21" i="10"/>
  <c r="BM102" i="10"/>
  <c r="BM152" i="10"/>
  <c r="BM109" i="10"/>
  <c r="BE100" i="10"/>
  <c r="BI100" i="10" s="1"/>
  <c r="BG118" i="10"/>
  <c r="BG108" i="10"/>
  <c r="BM81" i="10"/>
  <c r="BE9" i="10"/>
  <c r="BM107" i="10"/>
  <c r="BG45" i="10"/>
  <c r="AZ105" i="10"/>
  <c r="AZ81" i="10"/>
  <c r="BM23" i="10"/>
  <c r="AZ118" i="10"/>
  <c r="AZ106" i="10"/>
  <c r="BG110" i="10"/>
  <c r="BG30" i="10"/>
  <c r="BG42" i="10"/>
  <c r="BG7" i="10"/>
  <c r="AZ93" i="10"/>
  <c r="BM21" i="10"/>
  <c r="AZ69" i="10"/>
  <c r="AZ154" i="10"/>
  <c r="BG69" i="10"/>
  <c r="AZ142" i="10"/>
  <c r="BM130" i="10"/>
  <c r="BM98" i="10"/>
  <c r="BM93" i="10"/>
  <c r="BG77" i="10"/>
  <c r="BG117" i="10"/>
  <c r="BG24" i="10"/>
  <c r="BG85" i="10"/>
  <c r="BG113" i="10"/>
  <c r="BG55" i="10"/>
  <c r="BG145" i="10"/>
  <c r="BE91" i="10"/>
  <c r="BG114" i="10"/>
  <c r="BE28" i="10"/>
  <c r="BE141" i="10"/>
  <c r="BG65" i="10"/>
  <c r="BE66" i="10"/>
  <c r="BG131" i="10"/>
  <c r="BG98" i="10"/>
  <c r="AZ57" i="10"/>
  <c r="AZ130" i="10"/>
  <c r="BE105" i="10"/>
  <c r="BE154" i="10"/>
  <c r="AZ21" i="10"/>
  <c r="BE45" i="10"/>
  <c r="BM154" i="10"/>
  <c r="BG93" i="10"/>
  <c r="BG54" i="10"/>
  <c r="BG37" i="10"/>
  <c r="BG48" i="10"/>
  <c r="BG90" i="10"/>
  <c r="BG22" i="10"/>
  <c r="BG46" i="10"/>
  <c r="BG67" i="10"/>
  <c r="BG152" i="10"/>
  <c r="BG73" i="10"/>
  <c r="BG86" i="10"/>
  <c r="AZ9" i="10"/>
  <c r="AZ45" i="10"/>
  <c r="BE142" i="10"/>
  <c r="AZ33" i="10"/>
  <c r="BE57" i="10"/>
  <c r="BM142" i="10"/>
  <c r="BM69" i="10"/>
  <c r="BE118" i="10"/>
  <c r="BG33" i="10"/>
  <c r="BG21" i="10"/>
  <c r="BG9" i="10"/>
  <c r="BE53" i="10"/>
  <c r="BE97" i="10"/>
  <c r="BE2" i="10"/>
  <c r="BE119" i="10"/>
  <c r="BE42" i="10"/>
  <c r="BE64" i="10"/>
  <c r="BE129" i="10"/>
  <c r="BE24" i="10"/>
  <c r="BG101" i="10"/>
  <c r="BE132" i="10"/>
  <c r="BE148" i="10"/>
  <c r="BE61" i="10"/>
  <c r="BE38" i="10"/>
  <c r="BE87" i="10"/>
  <c r="BE36" i="10"/>
  <c r="BE143" i="10"/>
  <c r="BE19" i="10"/>
  <c r="BE89" i="10"/>
  <c r="BE32" i="10"/>
  <c r="BE41" i="10"/>
  <c r="BE82" i="10"/>
  <c r="BE90" i="10"/>
  <c r="BE27" i="10"/>
  <c r="BE137" i="10"/>
  <c r="BE22" i="10"/>
  <c r="BE75" i="10"/>
  <c r="BE120" i="10"/>
  <c r="BE46" i="10"/>
  <c r="BE67" i="10"/>
  <c r="BE23" i="10"/>
  <c r="BG107" i="10"/>
  <c r="AZ98" i="10"/>
  <c r="BE101" i="10"/>
  <c r="BE127" i="10"/>
  <c r="BE149" i="10"/>
  <c r="BE7" i="10"/>
  <c r="BE134" i="10"/>
  <c r="BE58" i="10"/>
  <c r="BE150" i="10"/>
  <c r="BE12" i="10"/>
  <c r="BE146" i="10"/>
  <c r="BE52" i="10"/>
  <c r="BE85" i="10"/>
  <c r="BE6" i="10"/>
  <c r="BE80" i="10"/>
  <c r="AZ100" i="10"/>
  <c r="AZ101" i="10"/>
  <c r="BE107" i="10"/>
  <c r="AZ99" i="10"/>
  <c r="AZ107" i="10"/>
  <c r="BM20" i="10"/>
  <c r="BM151" i="10"/>
  <c r="BE88" i="10"/>
  <c r="BE31" i="10"/>
  <c r="BE47" i="10"/>
  <c r="BE72" i="10"/>
  <c r="BE124" i="10"/>
  <c r="BE56" i="10"/>
  <c r="BE156" i="10"/>
  <c r="BE4" i="10"/>
  <c r="BE78" i="10"/>
  <c r="BE111" i="10"/>
  <c r="BE48" i="10"/>
  <c r="BE70" i="10"/>
  <c r="BE96" i="10"/>
  <c r="BE34" i="10"/>
  <c r="BI34" i="10" s="1"/>
  <c r="BE140" i="10"/>
  <c r="BE71" i="10"/>
  <c r="BI71" i="10" s="1"/>
  <c r="BE76" i="10"/>
  <c r="BE116" i="10"/>
  <c r="BE35" i="10"/>
  <c r="BE139" i="10"/>
  <c r="BE15" i="10"/>
  <c r="BE54" i="10"/>
  <c r="BE37" i="10"/>
  <c r="BE5" i="10"/>
  <c r="BE128" i="10"/>
  <c r="BE51" i="10"/>
  <c r="BE49" i="10"/>
  <c r="BE13" i="10"/>
  <c r="BE83" i="10"/>
  <c r="BE115" i="10"/>
  <c r="BE40" i="10"/>
  <c r="BE68" i="10"/>
  <c r="BE17" i="10"/>
  <c r="BE84" i="10"/>
  <c r="BE112" i="10"/>
  <c r="BE43" i="10"/>
  <c r="BE144" i="10"/>
  <c r="BE92" i="10"/>
  <c r="BE153" i="10"/>
  <c r="BE25" i="10"/>
  <c r="BE110" i="10"/>
  <c r="BE125" i="10"/>
  <c r="BE155" i="10"/>
  <c r="BE133" i="10"/>
  <c r="BE26" i="10"/>
  <c r="BM156" i="10"/>
  <c r="BE77" i="10"/>
  <c r="BE117" i="10"/>
  <c r="BE29" i="10"/>
  <c r="BE135" i="10"/>
  <c r="BE16" i="10"/>
  <c r="BE152" i="10"/>
  <c r="BE73" i="10"/>
  <c r="BE86" i="10"/>
  <c r="BE95" i="10"/>
  <c r="BE30" i="10"/>
  <c r="BE136" i="10"/>
  <c r="BE79" i="10"/>
  <c r="BE113" i="10"/>
  <c r="BE44" i="10"/>
  <c r="BE138" i="10"/>
  <c r="BE18" i="10"/>
  <c r="BE94" i="10"/>
  <c r="BI94" i="10" s="1"/>
  <c r="BE114" i="10"/>
  <c r="BE39" i="10"/>
  <c r="BE65" i="10"/>
  <c r="BE131" i="10"/>
  <c r="BE123" i="10"/>
  <c r="BE157" i="10"/>
  <c r="BE8" i="10"/>
  <c r="BE62" i="10"/>
  <c r="BE126" i="10"/>
  <c r="BE151" i="10"/>
  <c r="BE10" i="10"/>
  <c r="BE14" i="10"/>
  <c r="BM149" i="10"/>
  <c r="BM50" i="10"/>
  <c r="BM95" i="10"/>
  <c r="BM148" i="10"/>
  <c r="BM61" i="10"/>
  <c r="BM49" i="10"/>
  <c r="BM6" i="10"/>
  <c r="BM126" i="10"/>
  <c r="BM97" i="10"/>
  <c r="BM2" i="10"/>
  <c r="AZ37" i="10"/>
  <c r="AZ68" i="10"/>
  <c r="AZ54" i="10"/>
  <c r="AZ36" i="10"/>
  <c r="AZ31" i="10"/>
  <c r="BM85" i="10"/>
  <c r="BM155" i="10"/>
  <c r="BM83" i="10"/>
  <c r="BM153" i="10"/>
  <c r="BM59" i="10"/>
  <c r="BM13" i="10"/>
  <c r="BM11" i="10"/>
  <c r="AZ8" i="10"/>
  <c r="BM133" i="10"/>
  <c r="BM37" i="10"/>
  <c r="BM131" i="10"/>
  <c r="BM150" i="10"/>
  <c r="BM54" i="10"/>
  <c r="BM157" i="10"/>
  <c r="BM5" i="10"/>
  <c r="BM132" i="10"/>
  <c r="BM73" i="10"/>
  <c r="BM17" i="10"/>
  <c r="BM147" i="10"/>
  <c r="BM122" i="10"/>
  <c r="BM60" i="10"/>
  <c r="BM146" i="10"/>
  <c r="AZ133" i="10"/>
  <c r="AZ126" i="10"/>
  <c r="AZ49" i="10"/>
  <c r="R9" i="10"/>
  <c r="Q11" i="10"/>
  <c r="R15" i="10"/>
  <c r="R19" i="10"/>
  <c r="Q21" i="10"/>
  <c r="AZ78" i="10"/>
  <c r="AZ111" i="10"/>
  <c r="AZ48" i="10"/>
  <c r="AZ70" i="10"/>
  <c r="AZ5" i="10"/>
  <c r="AZ88" i="10"/>
  <c r="AZ19" i="10"/>
  <c r="AZ30" i="10"/>
  <c r="AZ20" i="10"/>
  <c r="AZ115" i="10"/>
  <c r="AZ47" i="10"/>
  <c r="AZ83" i="10"/>
  <c r="AZ17" i="10"/>
  <c r="AZ146" i="10"/>
  <c r="AZ95" i="10"/>
  <c r="AZ136" i="10"/>
  <c r="AZ84" i="10"/>
  <c r="AZ112" i="10"/>
  <c r="AZ43" i="10"/>
  <c r="AZ144" i="10"/>
  <c r="AZ24" i="10"/>
  <c r="AZ40" i="10"/>
  <c r="AZ62" i="10"/>
  <c r="AZ72" i="10"/>
  <c r="AZ110" i="10"/>
  <c r="AZ58" i="10"/>
  <c r="AZ85" i="10"/>
  <c r="AZ143" i="10"/>
  <c r="AZ155" i="10"/>
  <c r="R29" i="10"/>
  <c r="Q37" i="10"/>
  <c r="R41" i="10"/>
  <c r="Q43" i="10"/>
  <c r="R45" i="10"/>
  <c r="Q47" i="10"/>
  <c r="Q51" i="10"/>
  <c r="R59" i="10"/>
  <c r="R61" i="10"/>
  <c r="R69" i="10"/>
  <c r="Q81" i="10"/>
  <c r="R85" i="10"/>
  <c r="Q105" i="10"/>
  <c r="R109" i="10"/>
  <c r="R117" i="10"/>
  <c r="AZ28" i="10"/>
  <c r="AZ141" i="10"/>
  <c r="AZ66" i="10"/>
  <c r="AZ127" i="10"/>
  <c r="AZ149" i="10"/>
  <c r="AZ7" i="10"/>
  <c r="AZ77" i="10"/>
  <c r="AZ12" i="10"/>
  <c r="AZ86" i="10"/>
  <c r="AZ153" i="10"/>
  <c r="AZ75" i="10"/>
  <c r="AZ120" i="10"/>
  <c r="AZ117" i="10"/>
  <c r="AZ16" i="10"/>
  <c r="AZ82" i="10"/>
  <c r="AZ92" i="10"/>
  <c r="AZ90" i="10"/>
  <c r="AZ119" i="10"/>
  <c r="AZ27" i="10"/>
  <c r="AZ42" i="10"/>
  <c r="AZ137" i="10"/>
  <c r="AZ64" i="10"/>
  <c r="AZ22" i="10"/>
  <c r="AZ129" i="10"/>
  <c r="AZ55" i="10"/>
  <c r="AZ59" i="10"/>
  <c r="AZ147" i="10"/>
  <c r="AZ145" i="10"/>
  <c r="AZ3" i="10"/>
  <c r="AZ52" i="10"/>
  <c r="AZ10" i="10"/>
  <c r="AZ114" i="10"/>
  <c r="AZ39" i="10"/>
  <c r="AZ65" i="10"/>
  <c r="AZ131" i="10"/>
  <c r="AZ152" i="10"/>
  <c r="AZ73" i="10"/>
  <c r="AZ135" i="10"/>
  <c r="AZ14" i="10"/>
  <c r="AZ96" i="10"/>
  <c r="AZ34" i="10"/>
  <c r="AZ140" i="10"/>
  <c r="AZ71" i="10"/>
  <c r="AZ132" i="10"/>
  <c r="AZ148" i="10"/>
  <c r="AZ61" i="10"/>
  <c r="AZ151" i="10"/>
  <c r="AZ25" i="10"/>
  <c r="AZ94" i="10"/>
  <c r="AZ122" i="10"/>
  <c r="AZ26" i="10"/>
  <c r="AZ150" i="10"/>
  <c r="AZ128" i="10"/>
  <c r="AZ91" i="10"/>
  <c r="AZ46" i="10"/>
  <c r="AZ67" i="10"/>
  <c r="AZ23" i="10"/>
  <c r="AZ60" i="10"/>
  <c r="AZ121" i="10"/>
  <c r="AZ11" i="10"/>
  <c r="AZ50" i="10"/>
  <c r="AZ38" i="10"/>
  <c r="AZ13" i="10"/>
  <c r="AZ51" i="10"/>
  <c r="AZ87" i="10"/>
  <c r="AZ123" i="10"/>
  <c r="AZ89" i="10"/>
  <c r="AZ32" i="10"/>
  <c r="AZ41" i="10"/>
  <c r="AZ79" i="10"/>
  <c r="AZ113" i="10"/>
  <c r="AZ44" i="10"/>
  <c r="AZ138" i="10"/>
  <c r="AZ18" i="10"/>
  <c r="AZ53" i="10"/>
  <c r="AZ97" i="10"/>
  <c r="AZ2" i="10"/>
  <c r="AZ124" i="10"/>
  <c r="AZ76" i="10"/>
  <c r="AZ116" i="10"/>
  <c r="AZ35" i="10"/>
  <c r="AZ139" i="10"/>
  <c r="AZ15" i="10"/>
  <c r="AZ56" i="10"/>
  <c r="AZ156" i="10"/>
  <c r="AZ4" i="10"/>
  <c r="AZ134" i="10"/>
  <c r="AZ74" i="10"/>
  <c r="AZ125" i="10"/>
  <c r="AZ80" i="10"/>
  <c r="AZ157" i="10"/>
  <c r="AZ29" i="10"/>
  <c r="AZ6" i="10"/>
  <c r="Q30" i="10"/>
  <c r="Q34" i="10"/>
  <c r="R82" i="10"/>
  <c r="R66" i="10"/>
  <c r="R4" i="10"/>
  <c r="R5" i="10"/>
  <c r="Q97" i="10"/>
  <c r="R101" i="10"/>
  <c r="R106" i="10"/>
  <c r="R114" i="10"/>
  <c r="Q39" i="10"/>
  <c r="Q65" i="10"/>
  <c r="Q73" i="10"/>
  <c r="R77" i="10"/>
  <c r="R98" i="10"/>
  <c r="Q113" i="10"/>
  <c r="Q5" i="10"/>
  <c r="Q89" i="10"/>
  <c r="R93" i="10"/>
  <c r="Q23" i="10"/>
  <c r="R38" i="10"/>
  <c r="R70" i="10"/>
  <c r="R86" i="10"/>
  <c r="R102" i="10"/>
  <c r="R118" i="10"/>
  <c r="R46" i="10"/>
  <c r="R50" i="10"/>
  <c r="R74" i="10"/>
  <c r="R90" i="10"/>
  <c r="R22" i="10"/>
  <c r="R26" i="10"/>
  <c r="R62" i="10"/>
  <c r="R78" i="10"/>
  <c r="R94" i="10"/>
  <c r="R110" i="10"/>
  <c r="F3" i="11"/>
  <c r="F2" i="11"/>
  <c r="I2" i="11" s="1"/>
  <c r="R10" i="10"/>
  <c r="R25" i="10"/>
  <c r="Q27" i="10"/>
  <c r="R42" i="10"/>
  <c r="Q14" i="10"/>
  <c r="Q18" i="10"/>
  <c r="R31" i="10"/>
  <c r="R35" i="10"/>
  <c r="Q58" i="10"/>
  <c r="R2" i="10"/>
  <c r="R3" i="10"/>
  <c r="V4" i="11"/>
  <c r="Q54" i="10"/>
  <c r="R54" i="10"/>
  <c r="R6" i="10"/>
  <c r="Q9" i="10"/>
  <c r="Q22" i="10"/>
  <c r="R23" i="10"/>
  <c r="Q25" i="10"/>
  <c r="Q38" i="10"/>
  <c r="R39" i="10"/>
  <c r="Q41" i="10"/>
  <c r="Q4" i="10"/>
  <c r="Q7" i="10"/>
  <c r="Q53" i="10"/>
  <c r="Q57" i="10"/>
  <c r="Q2" i="10"/>
  <c r="R7" i="10"/>
  <c r="Q10" i="10"/>
  <c r="R11" i="10"/>
  <c r="R14" i="10"/>
  <c r="Q15" i="10"/>
  <c r="R18" i="10"/>
  <c r="Q19" i="10"/>
  <c r="Q26" i="10"/>
  <c r="R27" i="10"/>
  <c r="R30" i="10"/>
  <c r="Q31" i="10"/>
  <c r="R34" i="10"/>
  <c r="Q35" i="10"/>
  <c r="R43" i="10"/>
  <c r="R55" i="10"/>
  <c r="Q55" i="10"/>
  <c r="R57" i="10"/>
  <c r="R58" i="10"/>
  <c r="Q59" i="10"/>
  <c r="Q46" i="10"/>
  <c r="R47" i="10"/>
  <c r="Q50" i="10"/>
  <c r="R51" i="10"/>
  <c r="Q62" i="10"/>
  <c r="Q66" i="10"/>
  <c r="R67" i="10"/>
  <c r="R71" i="10"/>
  <c r="R75" i="10"/>
  <c r="R79" i="10"/>
  <c r="R83" i="10"/>
  <c r="R87" i="10"/>
  <c r="R91" i="10"/>
  <c r="R95" i="10"/>
  <c r="R99" i="10"/>
  <c r="R103" i="10"/>
  <c r="R107" i="10"/>
  <c r="R111" i="10"/>
  <c r="R115" i="10"/>
  <c r="R119" i="10"/>
  <c r="Q16" i="10"/>
  <c r="R16" i="10"/>
  <c r="Q32" i="10"/>
  <c r="R32" i="10"/>
  <c r="Q48" i="10"/>
  <c r="R48" i="10"/>
  <c r="R8" i="10"/>
  <c r="Q12" i="10"/>
  <c r="R12" i="10"/>
  <c r="Q17" i="10"/>
  <c r="R21" i="10"/>
  <c r="Q28" i="10"/>
  <c r="R28" i="10"/>
  <c r="Q33" i="10"/>
  <c r="R37" i="10"/>
  <c r="Q44" i="10"/>
  <c r="R44" i="10"/>
  <c r="Q49" i="10"/>
  <c r="R53" i="10"/>
  <c r="Q60" i="10"/>
  <c r="R60" i="10"/>
  <c r="R65" i="10"/>
  <c r="Q68" i="10"/>
  <c r="R68" i="10"/>
  <c r="R73" i="10"/>
  <c r="Q76" i="10"/>
  <c r="R76" i="10"/>
  <c r="R81" i="10"/>
  <c r="Q84" i="10"/>
  <c r="R84" i="10"/>
  <c r="R89" i="10"/>
  <c r="Q92" i="10"/>
  <c r="R92" i="10"/>
  <c r="R97" i="10"/>
  <c r="Q100" i="10"/>
  <c r="R100" i="10"/>
  <c r="R105" i="10"/>
  <c r="Q108" i="10"/>
  <c r="R108" i="10"/>
  <c r="R113" i="10"/>
  <c r="Q116" i="10"/>
  <c r="R116" i="10"/>
  <c r="Q3" i="10"/>
  <c r="Q13" i="10"/>
  <c r="R17" i="10"/>
  <c r="Q24" i="10"/>
  <c r="R24" i="10"/>
  <c r="Q29" i="10"/>
  <c r="R33" i="10"/>
  <c r="Q40" i="10"/>
  <c r="R40" i="10"/>
  <c r="Q45" i="10"/>
  <c r="R49" i="10"/>
  <c r="Q56" i="10"/>
  <c r="R56" i="10"/>
  <c r="Q61" i="10"/>
  <c r="Q69" i="10"/>
  <c r="Q77" i="10"/>
  <c r="Q85" i="10"/>
  <c r="Q93" i="10"/>
  <c r="Q101" i="10"/>
  <c r="Q109" i="10"/>
  <c r="Q117" i="10"/>
  <c r="Q20" i="10"/>
  <c r="R20" i="10"/>
  <c r="Q36" i="10"/>
  <c r="R36" i="10"/>
  <c r="Q52" i="10"/>
  <c r="R52" i="10"/>
  <c r="Q64" i="10"/>
  <c r="R64" i="10"/>
  <c r="Q72" i="10"/>
  <c r="R72" i="10"/>
  <c r="Q80" i="10"/>
  <c r="R80" i="10"/>
  <c r="Q88" i="10"/>
  <c r="R88" i="10"/>
  <c r="Q96" i="10"/>
  <c r="R96" i="10"/>
  <c r="Q104" i="10"/>
  <c r="R104" i="10"/>
  <c r="Q112" i="10"/>
  <c r="R112" i="10"/>
  <c r="Q120" i="10"/>
  <c r="R120" i="10"/>
  <c r="Q6" i="10"/>
  <c r="Q8" i="10"/>
  <c r="Q67" i="10"/>
  <c r="Q70" i="10"/>
  <c r="Q71" i="10"/>
  <c r="Q74" i="10"/>
  <c r="Q75" i="10"/>
  <c r="Q78" i="10"/>
  <c r="Q79" i="10"/>
  <c r="Q82" i="10"/>
  <c r="Q83" i="10"/>
  <c r="Q86" i="10"/>
  <c r="Q87" i="10"/>
  <c r="Q90" i="10"/>
  <c r="Q91" i="10"/>
  <c r="Q94" i="10"/>
  <c r="Q95" i="10"/>
  <c r="Q98" i="10"/>
  <c r="Q99" i="10"/>
  <c r="Q102" i="10"/>
  <c r="Q103" i="10"/>
  <c r="Q106" i="10"/>
  <c r="Q107" i="10"/>
  <c r="Q110" i="10"/>
  <c r="Q111" i="10"/>
  <c r="Q114" i="10"/>
  <c r="Q115" i="10"/>
  <c r="Q118" i="10"/>
  <c r="T4" i="11" l="1"/>
  <c r="T15" i="11" s="1"/>
  <c r="C72" i="13" s="1"/>
  <c r="M4" i="11"/>
  <c r="S4" i="11"/>
  <c r="S15" i="11" s="1"/>
  <c r="F63" i="13" s="1"/>
  <c r="F64" i="13" s="1"/>
  <c r="Y17" i="19"/>
  <c r="N17" i="19"/>
  <c r="U17" i="19"/>
  <c r="S17" i="19"/>
  <c r="O17" i="19"/>
  <c r="Z17" i="19"/>
  <c r="R17" i="19"/>
  <c r="X17" i="19"/>
  <c r="Q17" i="19"/>
  <c r="W17" i="19"/>
  <c r="T17" i="19"/>
  <c r="P17" i="19"/>
  <c r="V17" i="19"/>
  <c r="M18" i="19"/>
  <c r="Q9" i="18"/>
  <c r="V9" i="18" s="1"/>
  <c r="Q5" i="18"/>
  <c r="V5" i="18" s="1"/>
  <c r="Q2" i="18"/>
  <c r="V2" i="18" s="1"/>
  <c r="Q6" i="18"/>
  <c r="V6" i="18" s="1"/>
  <c r="Q8" i="18"/>
  <c r="V8" i="18" s="1"/>
  <c r="Q4" i="18"/>
  <c r="V4" i="18" s="1"/>
  <c r="Q7" i="18"/>
  <c r="V7" i="18" s="1"/>
  <c r="Q11" i="18"/>
  <c r="V11" i="18" s="1"/>
  <c r="Q10" i="18"/>
  <c r="V10" i="18" s="1"/>
  <c r="Q3" i="18"/>
  <c r="V3" i="18" s="1"/>
  <c r="Q12" i="18"/>
  <c r="V12" i="18" s="1"/>
  <c r="V184" i="10"/>
  <c r="W227" i="10"/>
  <c r="W185" i="10"/>
  <c r="V162" i="10"/>
  <c r="U66" i="10"/>
  <c r="W139" i="10"/>
  <c r="V210" i="10"/>
  <c r="V173" i="10"/>
  <c r="M10" i="11"/>
  <c r="M13" i="11"/>
  <c r="M14" i="11"/>
  <c r="M6" i="11"/>
  <c r="O6" i="11" s="1"/>
  <c r="M11" i="11"/>
  <c r="M8" i="11"/>
  <c r="M5" i="11"/>
  <c r="M9" i="11"/>
  <c r="M7" i="11"/>
  <c r="V267" i="10"/>
  <c r="W225" i="10"/>
  <c r="V248" i="10"/>
  <c r="V296" i="10"/>
  <c r="W202" i="10"/>
  <c r="U38" i="10"/>
  <c r="V132" i="10"/>
  <c r="V144" i="10"/>
  <c r="W145" i="10"/>
  <c r="W161" i="10"/>
  <c r="U105" i="10"/>
  <c r="W301" i="10"/>
  <c r="W206" i="10"/>
  <c r="W279" i="10"/>
  <c r="V166" i="10"/>
  <c r="W239" i="10"/>
  <c r="W223" i="10"/>
  <c r="W224" i="10"/>
  <c r="V224" i="10"/>
  <c r="V240" i="10"/>
  <c r="U22" i="10"/>
  <c r="AS99" i="14"/>
  <c r="AS44" i="14"/>
  <c r="W243" i="10"/>
  <c r="W222" i="10"/>
  <c r="W235" i="10"/>
  <c r="AM51" i="14"/>
  <c r="W258" i="10"/>
  <c r="W151" i="10"/>
  <c r="W193" i="10"/>
  <c r="V146" i="10"/>
  <c r="BI74" i="10"/>
  <c r="BI59" i="10"/>
  <c r="V276" i="10"/>
  <c r="W169" i="10"/>
  <c r="W291" i="10"/>
  <c r="W121" i="10"/>
  <c r="W245" i="10"/>
  <c r="W219" i="10"/>
  <c r="BI14" i="10"/>
  <c r="BI11" i="10"/>
  <c r="BI60" i="10"/>
  <c r="BI63" i="10"/>
  <c r="BI145" i="10"/>
  <c r="BI20" i="10"/>
  <c r="BJ63" i="10"/>
  <c r="AQ63" i="10"/>
  <c r="BF63" i="10"/>
  <c r="BN63" i="10"/>
  <c r="BH63" i="10"/>
  <c r="BI50" i="10"/>
  <c r="BI10" i="10"/>
  <c r="BJ10" i="10" s="1"/>
  <c r="BI121" i="10"/>
  <c r="BI2" i="10"/>
  <c r="BI28" i="10"/>
  <c r="BJ28" i="10" s="1"/>
  <c r="BI96" i="10"/>
  <c r="BJ96" i="10" s="1"/>
  <c r="BI116" i="10"/>
  <c r="BJ116" i="10" s="1"/>
  <c r="G5" i="11"/>
  <c r="G12" i="11"/>
  <c r="H12" i="11" s="1"/>
  <c r="G6" i="11"/>
  <c r="G14" i="11"/>
  <c r="G7" i="11"/>
  <c r="G11" i="11"/>
  <c r="G8" i="11"/>
  <c r="G13" i="11"/>
  <c r="G9" i="11"/>
  <c r="G4" i="11"/>
  <c r="AM138" i="14"/>
  <c r="AS80" i="14"/>
  <c r="AM15" i="14"/>
  <c r="W217" i="10"/>
  <c r="W141" i="10"/>
  <c r="V196" i="10"/>
  <c r="W147" i="10"/>
  <c r="BI99" i="10"/>
  <c r="W297" i="10"/>
  <c r="V230" i="10"/>
  <c r="W150" i="10"/>
  <c r="W195" i="10"/>
  <c r="V140" i="10"/>
  <c r="W283" i="10"/>
  <c r="W229" i="10"/>
  <c r="V212" i="10"/>
  <c r="W133" i="10"/>
  <c r="V192" i="10"/>
  <c r="BI144" i="10"/>
  <c r="AS53" i="14"/>
  <c r="AS60" i="14"/>
  <c r="AS29" i="14"/>
  <c r="AM20" i="14"/>
  <c r="AS25" i="14"/>
  <c r="AM129" i="14"/>
  <c r="AS56" i="14"/>
  <c r="AS45" i="14"/>
  <c r="AS139" i="14"/>
  <c r="AS143" i="14"/>
  <c r="AM54" i="14"/>
  <c r="AS7" i="14"/>
  <c r="AM4" i="14"/>
  <c r="AM134" i="14"/>
  <c r="AM58" i="14"/>
  <c r="AS39" i="14"/>
  <c r="AM12" i="14"/>
  <c r="AM57" i="14"/>
  <c r="AM9" i="14"/>
  <c r="AS5" i="14"/>
  <c r="AS55" i="14"/>
  <c r="AM62" i="14"/>
  <c r="AO34" i="14"/>
  <c r="AR34" i="14" s="1"/>
  <c r="AS49" i="14"/>
  <c r="AM27" i="14"/>
  <c r="AO99" i="14"/>
  <c r="AR99" i="14" s="1"/>
  <c r="AM135" i="14"/>
  <c r="AM43" i="14"/>
  <c r="AN39" i="14"/>
  <c r="AQ39" i="14" s="1"/>
  <c r="AN95" i="14"/>
  <c r="AK95" i="14" s="1"/>
  <c r="AM118" i="14"/>
  <c r="BF108" i="10"/>
  <c r="BI8" i="10"/>
  <c r="BJ8" i="10" s="1"/>
  <c r="BI27" i="10"/>
  <c r="BJ27" i="10" s="1"/>
  <c r="BI61" i="10"/>
  <c r="W175" i="10"/>
  <c r="V128" i="10"/>
  <c r="W237" i="10"/>
  <c r="U78" i="10"/>
  <c r="W78" i="10" s="1"/>
  <c r="BI97" i="10"/>
  <c r="W221" i="10"/>
  <c r="W298" i="10"/>
  <c r="V303" i="10"/>
  <c r="W303" i="10"/>
  <c r="U118" i="10"/>
  <c r="W118" i="10" s="1"/>
  <c r="BI62" i="10"/>
  <c r="W179" i="10"/>
  <c r="W126" i="10"/>
  <c r="BI102" i="10"/>
  <c r="BJ102" i="10" s="1"/>
  <c r="V138" i="10"/>
  <c r="W138" i="10"/>
  <c r="U10" i="10"/>
  <c r="V10" i="10" s="1"/>
  <c r="W300" i="10"/>
  <c r="V300" i="10"/>
  <c r="U98" i="10"/>
  <c r="V98" i="10" s="1"/>
  <c r="U82" i="10"/>
  <c r="V82" i="10" s="1"/>
  <c r="U93" i="10"/>
  <c r="W93" i="10" s="1"/>
  <c r="U35" i="10"/>
  <c r="V35" i="10" s="1"/>
  <c r="W143" i="10"/>
  <c r="V176" i="10"/>
  <c r="V172" i="10"/>
  <c r="W214" i="10"/>
  <c r="V214" i="10"/>
  <c r="V226" i="10"/>
  <c r="W226" i="10"/>
  <c r="W182" i="10"/>
  <c r="V182" i="10"/>
  <c r="U21" i="10"/>
  <c r="W21" i="10" s="1"/>
  <c r="W215" i="10"/>
  <c r="W171" i="10"/>
  <c r="W191" i="10"/>
  <c r="V164" i="10"/>
  <c r="V274" i="10"/>
  <c r="W274" i="10"/>
  <c r="V259" i="10"/>
  <c r="W259" i="10"/>
  <c r="BI104" i="10"/>
  <c r="BJ104" i="10" s="1"/>
  <c r="BI111" i="10"/>
  <c r="BJ111" i="10" s="1"/>
  <c r="BI36" i="10"/>
  <c r="BJ36" i="10" s="1"/>
  <c r="BI109" i="10"/>
  <c r="BI105" i="10"/>
  <c r="BJ105" i="10" s="1"/>
  <c r="BI64" i="10"/>
  <c r="BJ64" i="10" s="1"/>
  <c r="BI33" i="10"/>
  <c r="BJ33" i="10" s="1"/>
  <c r="W220" i="10"/>
  <c r="V220" i="10"/>
  <c r="V255" i="10"/>
  <c r="W255" i="10"/>
  <c r="BI78" i="10"/>
  <c r="BJ78" i="10" s="1"/>
  <c r="W170" i="10"/>
  <c r="V170" i="10"/>
  <c r="W142" i="10"/>
  <c r="V142" i="10"/>
  <c r="V186" i="10"/>
  <c r="W186" i="10"/>
  <c r="W156" i="10"/>
  <c r="V156" i="10"/>
  <c r="W198" i="10"/>
  <c r="V198" i="10"/>
  <c r="V122" i="10"/>
  <c r="W122" i="10"/>
  <c r="V174" i="10"/>
  <c r="W174" i="10"/>
  <c r="V154" i="10"/>
  <c r="W154" i="10"/>
  <c r="V257" i="10"/>
  <c r="W257" i="10"/>
  <c r="V190" i="10"/>
  <c r="W190" i="10"/>
  <c r="AM6" i="14"/>
  <c r="AM125" i="14"/>
  <c r="AM24" i="14"/>
  <c r="AM95" i="14"/>
  <c r="AM40" i="14"/>
  <c r="AM127" i="14"/>
  <c r="BI32" i="10"/>
  <c r="BJ32" i="10" s="1"/>
  <c r="BH108" i="10"/>
  <c r="BI123" i="10"/>
  <c r="BI80" i="10"/>
  <c r="BJ80" i="10" s="1"/>
  <c r="BI151" i="10"/>
  <c r="BI29" i="10"/>
  <c r="BJ29" i="10" s="1"/>
  <c r="BI31" i="10"/>
  <c r="BI147" i="10"/>
  <c r="BI157" i="10"/>
  <c r="BI39" i="10"/>
  <c r="BJ39" i="10" s="1"/>
  <c r="BI84" i="10"/>
  <c r="BJ84" i="10" s="1"/>
  <c r="BI124" i="10"/>
  <c r="BI52" i="10"/>
  <c r="BJ52" i="10" s="1"/>
  <c r="BI127" i="10"/>
  <c r="BI68" i="10"/>
  <c r="BI13" i="10"/>
  <c r="BI154" i="10"/>
  <c r="BI3" i="10"/>
  <c r="BI57" i="10"/>
  <c r="BJ57" i="10" s="1"/>
  <c r="BI153" i="10"/>
  <c r="BI112" i="10"/>
  <c r="BI140" i="10"/>
  <c r="BI122" i="10"/>
  <c r="BI103" i="10"/>
  <c r="BI89" i="10"/>
  <c r="BJ89" i="10" s="1"/>
  <c r="BI132" i="10"/>
  <c r="BI47" i="10"/>
  <c r="BI19" i="10"/>
  <c r="BJ19" i="10" s="1"/>
  <c r="BI38" i="10"/>
  <c r="BJ38" i="10" s="1"/>
  <c r="BI92" i="10"/>
  <c r="BJ92" i="10" s="1"/>
  <c r="BI134" i="10"/>
  <c r="BI120" i="10"/>
  <c r="BJ120" i="10" s="1"/>
  <c r="BI119" i="10"/>
  <c r="BI26" i="10"/>
  <c r="BI125" i="10"/>
  <c r="BI75" i="10"/>
  <c r="BJ75" i="10" s="1"/>
  <c r="BI148" i="10"/>
  <c r="BI106" i="10"/>
  <c r="BJ106" i="10" s="1"/>
  <c r="BI133" i="10"/>
  <c r="BI149" i="10"/>
  <c r="BI141" i="10"/>
  <c r="BI17" i="10"/>
  <c r="BJ17" i="10" s="1"/>
  <c r="BI83" i="10"/>
  <c r="BI15" i="10"/>
  <c r="BI12" i="10"/>
  <c r="BI55" i="10"/>
  <c r="BJ55" i="10" s="1"/>
  <c r="BI16" i="10"/>
  <c r="BJ16" i="10" s="1"/>
  <c r="BI72" i="10"/>
  <c r="BI143" i="10"/>
  <c r="BJ143" i="10" s="1"/>
  <c r="BI66" i="10"/>
  <c r="BI18" i="10"/>
  <c r="BI49" i="10"/>
  <c r="BI23" i="10"/>
  <c r="BI135" i="10"/>
  <c r="BJ135" i="10" s="1"/>
  <c r="BI40" i="10"/>
  <c r="BJ40" i="10" s="1"/>
  <c r="BI156" i="10"/>
  <c r="BI45" i="10"/>
  <c r="BJ45" i="10" s="1"/>
  <c r="BI138" i="10"/>
  <c r="BJ138" i="10" s="1"/>
  <c r="BI51" i="10"/>
  <c r="BJ51" i="10" s="1"/>
  <c r="BI82" i="10"/>
  <c r="BJ82" i="10" s="1"/>
  <c r="BI87" i="10"/>
  <c r="BJ87" i="10" s="1"/>
  <c r="BI128" i="10"/>
  <c r="BI6" i="10"/>
  <c r="BI41" i="10"/>
  <c r="BJ41" i="10" s="1"/>
  <c r="BI79" i="10"/>
  <c r="BJ79" i="10" s="1"/>
  <c r="BI113" i="10"/>
  <c r="BJ113" i="10" s="1"/>
  <c r="BI77" i="10"/>
  <c r="BJ77" i="10" s="1"/>
  <c r="BI101" i="10"/>
  <c r="BJ101" i="10" s="1"/>
  <c r="BI81" i="10"/>
  <c r="BI131" i="10"/>
  <c r="BI54" i="10"/>
  <c r="BI56" i="10"/>
  <c r="BJ56" i="10" s="1"/>
  <c r="BH109" i="10"/>
  <c r="BI22" i="10"/>
  <c r="BJ22" i="10" s="1"/>
  <c r="BI9" i="10"/>
  <c r="BI73" i="10"/>
  <c r="BI85" i="10"/>
  <c r="BI7" i="10"/>
  <c r="BI21" i="10"/>
  <c r="BI86" i="10"/>
  <c r="BJ86" i="10" s="1"/>
  <c r="BI69" i="10"/>
  <c r="BF103" i="10"/>
  <c r="AQ109" i="10"/>
  <c r="BI136" i="10"/>
  <c r="BJ136" i="10" s="1"/>
  <c r="BI139" i="10"/>
  <c r="BI150" i="10"/>
  <c r="BI46" i="10"/>
  <c r="BJ46" i="10" s="1"/>
  <c r="BI93" i="10"/>
  <c r="BJ93" i="10" s="1"/>
  <c r="BI126" i="10"/>
  <c r="BI114" i="10"/>
  <c r="BJ114" i="10" s="1"/>
  <c r="BI37" i="10"/>
  <c r="BI42" i="10"/>
  <c r="BI155" i="10"/>
  <c r="BJ103" i="10"/>
  <c r="BI4" i="10"/>
  <c r="BJ4" i="10" s="1"/>
  <c r="BN103" i="10"/>
  <c r="BI44" i="10"/>
  <c r="BJ44" i="10" s="1"/>
  <c r="BI53" i="10"/>
  <c r="BJ53" i="10" s="1"/>
  <c r="BI130" i="10"/>
  <c r="BH103" i="10"/>
  <c r="BI91" i="10"/>
  <c r="BI98" i="10"/>
  <c r="U11" i="10"/>
  <c r="V11" i="10" s="1"/>
  <c r="BI65" i="10"/>
  <c r="BJ65" i="10" s="1"/>
  <c r="BI76" i="10"/>
  <c r="BJ76" i="10" s="1"/>
  <c r="BI146" i="10"/>
  <c r="BI67" i="10"/>
  <c r="BJ109" i="10"/>
  <c r="BI25" i="10"/>
  <c r="BI24" i="10"/>
  <c r="BJ24" i="10" s="1"/>
  <c r="BF109" i="10"/>
  <c r="BI115" i="10"/>
  <c r="BI5" i="10"/>
  <c r="BI70" i="10"/>
  <c r="BJ70" i="10" s="1"/>
  <c r="BI88" i="10"/>
  <c r="BJ88" i="10" s="1"/>
  <c r="BI129" i="10"/>
  <c r="BI142" i="10"/>
  <c r="BH29" i="10"/>
  <c r="BF29" i="10"/>
  <c r="BH116" i="10"/>
  <c r="BF116" i="10"/>
  <c r="BH87" i="10"/>
  <c r="BF87" i="10"/>
  <c r="AQ23" i="10"/>
  <c r="BH23" i="10"/>
  <c r="BJ23" i="10"/>
  <c r="BF23" i="10"/>
  <c r="BN23" i="10"/>
  <c r="AQ148" i="10"/>
  <c r="BH148" i="10"/>
  <c r="BJ148" i="10"/>
  <c r="BF148" i="10"/>
  <c r="BN148" i="10"/>
  <c r="BH39" i="10"/>
  <c r="BF39" i="10"/>
  <c r="BH55" i="10"/>
  <c r="BF55" i="10"/>
  <c r="BH117" i="10"/>
  <c r="BF117" i="10"/>
  <c r="BH28" i="10"/>
  <c r="BF28" i="10"/>
  <c r="BH24" i="10"/>
  <c r="BF24" i="10"/>
  <c r="AQ20" i="10"/>
  <c r="BN20" i="10"/>
  <c r="BH20" i="10"/>
  <c r="BJ20" i="10"/>
  <c r="BF20" i="10"/>
  <c r="BF78" i="10"/>
  <c r="BH78" i="10"/>
  <c r="AQ126" i="10"/>
  <c r="BH126" i="10"/>
  <c r="BJ126" i="10"/>
  <c r="BF126" i="10"/>
  <c r="BN126" i="10"/>
  <c r="AQ37" i="10"/>
  <c r="BN37" i="10"/>
  <c r="BH37" i="10"/>
  <c r="BJ37" i="10"/>
  <c r="BF37" i="10"/>
  <c r="BH105" i="10"/>
  <c r="BF105" i="10"/>
  <c r="V289" i="10"/>
  <c r="W289" i="10"/>
  <c r="AQ157" i="10"/>
  <c r="BN157" i="10"/>
  <c r="BH157" i="10"/>
  <c r="BF157" i="10"/>
  <c r="BJ157" i="10"/>
  <c r="BH134" i="10"/>
  <c r="BJ134" i="10"/>
  <c r="BF134" i="10"/>
  <c r="BH15" i="10"/>
  <c r="BJ15" i="10"/>
  <c r="BF15" i="10"/>
  <c r="BH76" i="10"/>
  <c r="BF76" i="10"/>
  <c r="BH53" i="10"/>
  <c r="BF53" i="10"/>
  <c r="BH113" i="10"/>
  <c r="BF113" i="10"/>
  <c r="BH32" i="10"/>
  <c r="BF32" i="10"/>
  <c r="BH51" i="10"/>
  <c r="BF51" i="10"/>
  <c r="AQ11" i="10"/>
  <c r="BN11" i="10"/>
  <c r="BH11" i="10"/>
  <c r="BF11" i="10"/>
  <c r="BJ11" i="10"/>
  <c r="BH67" i="10"/>
  <c r="BJ67" i="10"/>
  <c r="BF67" i="10"/>
  <c r="AQ150" i="10"/>
  <c r="BN150" i="10"/>
  <c r="BH150" i="10"/>
  <c r="BJ150" i="10"/>
  <c r="BF150" i="10"/>
  <c r="AQ25" i="10"/>
  <c r="BN25" i="10"/>
  <c r="BH25" i="10"/>
  <c r="BJ25" i="10"/>
  <c r="BF25" i="10"/>
  <c r="AQ132" i="10"/>
  <c r="BJ132" i="10"/>
  <c r="BN132" i="10"/>
  <c r="BH132" i="10"/>
  <c r="BF132" i="10"/>
  <c r="BH96" i="10"/>
  <c r="BF96" i="10"/>
  <c r="AQ152" i="10"/>
  <c r="BN152" i="10"/>
  <c r="BH152" i="10"/>
  <c r="BJ152" i="10"/>
  <c r="BF152" i="10"/>
  <c r="BH114" i="10"/>
  <c r="BF114" i="10"/>
  <c r="AQ145" i="10"/>
  <c r="BH145" i="10"/>
  <c r="BJ145" i="10"/>
  <c r="BN145" i="10"/>
  <c r="BF145" i="10"/>
  <c r="BJ129" i="10"/>
  <c r="BF129" i="10"/>
  <c r="BH129" i="10"/>
  <c r="BH42" i="10"/>
  <c r="BF42" i="10"/>
  <c r="BJ42" i="10"/>
  <c r="BF92" i="10"/>
  <c r="BH92" i="10"/>
  <c r="BH120" i="10"/>
  <c r="BF120" i="10"/>
  <c r="BH12" i="10"/>
  <c r="BJ12" i="10"/>
  <c r="BF12" i="10"/>
  <c r="BJ127" i="10"/>
  <c r="BH127" i="10"/>
  <c r="BF127" i="10"/>
  <c r="BH143" i="10"/>
  <c r="BF143" i="10"/>
  <c r="BH72" i="10"/>
  <c r="BJ72" i="10"/>
  <c r="BF72" i="10"/>
  <c r="BF144" i="10"/>
  <c r="BJ144" i="10"/>
  <c r="BH144" i="10"/>
  <c r="BH136" i="10"/>
  <c r="BF136" i="10"/>
  <c r="AQ83" i="10"/>
  <c r="BN83" i="10"/>
  <c r="BH83" i="10"/>
  <c r="BJ83" i="10"/>
  <c r="BF83" i="10"/>
  <c r="BJ30" i="10"/>
  <c r="BH30" i="10"/>
  <c r="BF30" i="10"/>
  <c r="BH70" i="10"/>
  <c r="BF70" i="10"/>
  <c r="AQ133" i="10"/>
  <c r="BN133" i="10"/>
  <c r="BH133" i="10"/>
  <c r="BJ133" i="10"/>
  <c r="BF133" i="10"/>
  <c r="BH36" i="10"/>
  <c r="BF36" i="10"/>
  <c r="BI110" i="10"/>
  <c r="BJ110" i="10" s="1"/>
  <c r="BI35" i="10"/>
  <c r="BI48" i="10"/>
  <c r="BJ48" i="10" s="1"/>
  <c r="BF101" i="10"/>
  <c r="BH101" i="10"/>
  <c r="BI137" i="10"/>
  <c r="BJ137" i="10" s="1"/>
  <c r="BI118" i="10"/>
  <c r="BJ118" i="10" s="1"/>
  <c r="BF33" i="10"/>
  <c r="BH33" i="10"/>
  <c r="AQ69" i="10"/>
  <c r="BN69" i="10"/>
  <c r="BJ69" i="10"/>
  <c r="BF69" i="10"/>
  <c r="BH69" i="10"/>
  <c r="BH106" i="10"/>
  <c r="BF106" i="10"/>
  <c r="W284" i="10"/>
  <c r="V284" i="10"/>
  <c r="BH74" i="10"/>
  <c r="BF74" i="10"/>
  <c r="BJ74" i="10"/>
  <c r="BH44" i="10"/>
  <c r="BF44" i="10"/>
  <c r="AQ50" i="10"/>
  <c r="BJ50" i="10"/>
  <c r="BN50" i="10"/>
  <c r="BH50" i="10"/>
  <c r="BF50" i="10"/>
  <c r="BF128" i="10"/>
  <c r="BJ128" i="10"/>
  <c r="BH128" i="10"/>
  <c r="BH34" i="10"/>
  <c r="BJ34" i="10"/>
  <c r="BF34" i="10"/>
  <c r="BH90" i="10"/>
  <c r="BF90" i="10"/>
  <c r="AQ149" i="10"/>
  <c r="BN149" i="10"/>
  <c r="BH149" i="10"/>
  <c r="BJ149" i="10"/>
  <c r="BF149" i="10"/>
  <c r="BH110" i="10"/>
  <c r="BF110" i="10"/>
  <c r="BH84" i="10"/>
  <c r="BF84" i="10"/>
  <c r="AQ5" i="10"/>
  <c r="BJ5" i="10"/>
  <c r="BN5" i="10"/>
  <c r="BH5" i="10"/>
  <c r="BF5" i="10"/>
  <c r="BH31" i="10"/>
  <c r="BJ31" i="10"/>
  <c r="BF31" i="10"/>
  <c r="AQ154" i="10"/>
  <c r="BN154" i="10"/>
  <c r="BJ154" i="10"/>
  <c r="BF154" i="10"/>
  <c r="BH154" i="10"/>
  <c r="BF102" i="10"/>
  <c r="BN102" i="10"/>
  <c r="BH102" i="10"/>
  <c r="BH80" i="10"/>
  <c r="BF80" i="10"/>
  <c r="BH4" i="10"/>
  <c r="BF4" i="10"/>
  <c r="BJ139" i="10"/>
  <c r="BF139" i="10"/>
  <c r="BH139" i="10"/>
  <c r="BJ124" i="10"/>
  <c r="BF124" i="10"/>
  <c r="BH124" i="10"/>
  <c r="BJ18" i="10"/>
  <c r="BF18" i="10"/>
  <c r="BH18" i="10"/>
  <c r="BH79" i="10"/>
  <c r="BF79" i="10"/>
  <c r="BH89" i="10"/>
  <c r="BF89" i="10"/>
  <c r="AQ13" i="10"/>
  <c r="BH13" i="10"/>
  <c r="BJ13" i="10"/>
  <c r="BF13" i="10"/>
  <c r="BN13" i="10"/>
  <c r="AQ121" i="10"/>
  <c r="BN121" i="10"/>
  <c r="BH121" i="10"/>
  <c r="BJ121" i="10"/>
  <c r="BF121" i="10"/>
  <c r="BH46" i="10"/>
  <c r="BF46" i="10"/>
  <c r="BH26" i="10"/>
  <c r="BJ26" i="10"/>
  <c r="BF26" i="10"/>
  <c r="AQ151" i="10"/>
  <c r="BJ151" i="10"/>
  <c r="BN151" i="10"/>
  <c r="BH151" i="10"/>
  <c r="BF151" i="10"/>
  <c r="BJ71" i="10"/>
  <c r="BF71" i="10"/>
  <c r="BH71" i="10"/>
  <c r="AQ14" i="10"/>
  <c r="BN14" i="10"/>
  <c r="BH14" i="10"/>
  <c r="BJ14" i="10"/>
  <c r="BF14" i="10"/>
  <c r="AQ131" i="10"/>
  <c r="BN131" i="10"/>
  <c r="BH131" i="10"/>
  <c r="BF131" i="10"/>
  <c r="BJ131" i="10"/>
  <c r="BH10" i="10"/>
  <c r="BF10" i="10"/>
  <c r="AQ147" i="10"/>
  <c r="BH147" i="10"/>
  <c r="BJ147" i="10"/>
  <c r="BF147" i="10"/>
  <c r="BN147" i="10"/>
  <c r="BH22" i="10"/>
  <c r="BF22" i="10"/>
  <c r="BH27" i="10"/>
  <c r="BF27" i="10"/>
  <c r="BF82" i="10"/>
  <c r="BH82" i="10"/>
  <c r="BH75" i="10"/>
  <c r="BF75" i="10"/>
  <c r="BH77" i="10"/>
  <c r="BF77" i="10"/>
  <c r="BH66" i="10"/>
  <c r="BJ66" i="10"/>
  <c r="BF66" i="10"/>
  <c r="AQ85" i="10"/>
  <c r="BJ85" i="10"/>
  <c r="BN85" i="10"/>
  <c r="BF85" i="10"/>
  <c r="BH85" i="10"/>
  <c r="BJ62" i="10"/>
  <c r="BH62" i="10"/>
  <c r="BF62" i="10"/>
  <c r="BH43" i="10"/>
  <c r="BF43" i="10"/>
  <c r="AQ95" i="10"/>
  <c r="BJ95" i="10"/>
  <c r="BN95" i="10"/>
  <c r="BH95" i="10"/>
  <c r="BF95" i="10"/>
  <c r="BJ47" i="10"/>
  <c r="BF47" i="10"/>
  <c r="BH47" i="10"/>
  <c r="BH19" i="10"/>
  <c r="BF19" i="10"/>
  <c r="BH48" i="10"/>
  <c r="BF48" i="10"/>
  <c r="AQ54" i="10"/>
  <c r="BN54" i="10"/>
  <c r="BH54" i="10"/>
  <c r="BJ54" i="10"/>
  <c r="BF54" i="10"/>
  <c r="BI95" i="10"/>
  <c r="BI43" i="10"/>
  <c r="BJ43" i="10" s="1"/>
  <c r="AQ100" i="10"/>
  <c r="BJ100" i="10"/>
  <c r="BN100" i="10"/>
  <c r="BH100" i="10"/>
  <c r="BF100" i="10"/>
  <c r="BI58" i="10"/>
  <c r="BJ58" i="10" s="1"/>
  <c r="AQ98" i="10"/>
  <c r="BN98" i="10"/>
  <c r="BF98" i="10"/>
  <c r="BH98" i="10"/>
  <c r="BJ98" i="10"/>
  <c r="AQ130" i="10"/>
  <c r="BJ130" i="10"/>
  <c r="BN130" i="10"/>
  <c r="BH130" i="10"/>
  <c r="BF130" i="10"/>
  <c r="BJ142" i="10"/>
  <c r="BF142" i="10"/>
  <c r="BH142" i="10"/>
  <c r="BN142" i="10"/>
  <c r="BF118" i="10"/>
  <c r="BH118" i="10"/>
  <c r="BH104" i="10"/>
  <c r="BF104" i="10"/>
  <c r="V277" i="10"/>
  <c r="W277" i="10"/>
  <c r="BH56" i="10"/>
  <c r="BF56" i="10"/>
  <c r="AQ97" i="10"/>
  <c r="BH97" i="10"/>
  <c r="BJ97" i="10"/>
  <c r="BF97" i="10"/>
  <c r="BN97" i="10"/>
  <c r="BH41" i="10"/>
  <c r="BF41" i="10"/>
  <c r="BH94" i="10"/>
  <c r="BJ94" i="10"/>
  <c r="BF94" i="10"/>
  <c r="AQ73" i="10"/>
  <c r="BN73" i="10"/>
  <c r="BH73" i="10"/>
  <c r="BJ73" i="10"/>
  <c r="BF73" i="10"/>
  <c r="BH137" i="10"/>
  <c r="BF137" i="10"/>
  <c r="BH86" i="10"/>
  <c r="BF86" i="10"/>
  <c r="AQ155" i="10"/>
  <c r="BJ155" i="10"/>
  <c r="BN155" i="10"/>
  <c r="BH155" i="10"/>
  <c r="BF155" i="10"/>
  <c r="BN17" i="10"/>
  <c r="BH17" i="10"/>
  <c r="BF17" i="10"/>
  <c r="BJ99" i="10"/>
  <c r="BF99" i="10"/>
  <c r="BH99" i="10"/>
  <c r="BN9" i="10"/>
  <c r="BJ9" i="10"/>
  <c r="BF9" i="10"/>
  <c r="BH9" i="10"/>
  <c r="U107" i="10"/>
  <c r="V107" i="10" s="1"/>
  <c r="U91" i="10"/>
  <c r="U75" i="10"/>
  <c r="V75" i="10" s="1"/>
  <c r="AQ6" i="10"/>
  <c r="BH6" i="10"/>
  <c r="BJ6" i="10"/>
  <c r="BF6" i="10"/>
  <c r="BN6" i="10"/>
  <c r="BJ125" i="10"/>
  <c r="BF125" i="10"/>
  <c r="BH125" i="10"/>
  <c r="AQ156" i="10"/>
  <c r="BN156" i="10"/>
  <c r="BH156" i="10"/>
  <c r="BJ156" i="10"/>
  <c r="BF156" i="10"/>
  <c r="BJ35" i="10"/>
  <c r="BF35" i="10"/>
  <c r="BH35" i="10"/>
  <c r="AQ2" i="10"/>
  <c r="BN2" i="10"/>
  <c r="BH2" i="10"/>
  <c r="BJ2" i="10"/>
  <c r="BF2" i="10"/>
  <c r="BH138" i="10"/>
  <c r="BF138" i="10"/>
  <c r="BH123" i="10"/>
  <c r="BJ123" i="10"/>
  <c r="BF123" i="10"/>
  <c r="BH38" i="10"/>
  <c r="BF38" i="10"/>
  <c r="AQ60" i="10"/>
  <c r="BN60" i="10"/>
  <c r="BH60" i="10"/>
  <c r="BJ60" i="10"/>
  <c r="BF60" i="10"/>
  <c r="BJ91" i="10"/>
  <c r="BF91" i="10"/>
  <c r="BH91" i="10"/>
  <c r="AQ122" i="10"/>
  <c r="BN122" i="10"/>
  <c r="BH122" i="10"/>
  <c r="BJ122" i="10"/>
  <c r="BF122" i="10"/>
  <c r="AQ61" i="10"/>
  <c r="BJ61" i="10"/>
  <c r="BN61" i="10"/>
  <c r="BH61" i="10"/>
  <c r="BF61" i="10"/>
  <c r="BJ140" i="10"/>
  <c r="BH140" i="10"/>
  <c r="BF140" i="10"/>
  <c r="BH135" i="10"/>
  <c r="BF135" i="10"/>
  <c r="BH65" i="10"/>
  <c r="BF65" i="10"/>
  <c r="BH52" i="10"/>
  <c r="BF52" i="10"/>
  <c r="AQ59" i="10"/>
  <c r="BH59" i="10"/>
  <c r="BJ59" i="10"/>
  <c r="BN59" i="10"/>
  <c r="BF59" i="10"/>
  <c r="BH64" i="10"/>
  <c r="BF64" i="10"/>
  <c r="BJ119" i="10"/>
  <c r="BF119" i="10"/>
  <c r="BH119" i="10"/>
  <c r="BH16" i="10"/>
  <c r="BF16" i="10"/>
  <c r="AQ153" i="10"/>
  <c r="BN153" i="10"/>
  <c r="BH153" i="10"/>
  <c r="BJ153" i="10"/>
  <c r="BF153" i="10"/>
  <c r="BJ7" i="10"/>
  <c r="BH7" i="10"/>
  <c r="BF7" i="10"/>
  <c r="BH141" i="10"/>
  <c r="BJ141" i="10"/>
  <c r="BF141" i="10"/>
  <c r="BH58" i="10"/>
  <c r="BF58" i="10"/>
  <c r="BH40" i="10"/>
  <c r="BF40" i="10"/>
  <c r="BH112" i="10"/>
  <c r="BJ112" i="10"/>
  <c r="BF112" i="10"/>
  <c r="AQ146" i="10"/>
  <c r="BH146" i="10"/>
  <c r="BJ146" i="10"/>
  <c r="BF146" i="10"/>
  <c r="BN146" i="10"/>
  <c r="BH115" i="10"/>
  <c r="BJ115" i="10"/>
  <c r="BF115" i="10"/>
  <c r="BH88" i="10"/>
  <c r="BF88" i="10"/>
  <c r="BH111" i="10"/>
  <c r="BF111" i="10"/>
  <c r="AQ49" i="10"/>
  <c r="BJ49" i="10"/>
  <c r="BN49" i="10"/>
  <c r="BH49" i="10"/>
  <c r="BF49" i="10"/>
  <c r="BF8" i="10"/>
  <c r="BH8" i="10"/>
  <c r="BJ68" i="10"/>
  <c r="BH68" i="10"/>
  <c r="BF68" i="10"/>
  <c r="AQ107" i="10"/>
  <c r="BJ107" i="10"/>
  <c r="BN107" i="10"/>
  <c r="BH107" i="10"/>
  <c r="BF107" i="10"/>
  <c r="BN45" i="10"/>
  <c r="BH45" i="10"/>
  <c r="BF45" i="10"/>
  <c r="AQ21" i="10"/>
  <c r="BN21" i="10"/>
  <c r="BJ21" i="10"/>
  <c r="BF21" i="10"/>
  <c r="BH21" i="10"/>
  <c r="BF57" i="10"/>
  <c r="BH57" i="10"/>
  <c r="BF93" i="10"/>
  <c r="BH93" i="10"/>
  <c r="BN93" i="10"/>
  <c r="AQ81" i="10"/>
  <c r="BJ81" i="10"/>
  <c r="BN81" i="10"/>
  <c r="BH81" i="10"/>
  <c r="BF81" i="10"/>
  <c r="R9" i="15"/>
  <c r="O4" i="15"/>
  <c r="R4" i="15"/>
  <c r="O12" i="15"/>
  <c r="R12" i="15"/>
  <c r="O6" i="15"/>
  <c r="R6" i="15"/>
  <c r="O7" i="15"/>
  <c r="R7" i="15"/>
  <c r="O10" i="15"/>
  <c r="R10" i="15"/>
  <c r="O13" i="15"/>
  <c r="R13" i="15"/>
  <c r="R8" i="15"/>
  <c r="O8" i="15"/>
  <c r="AN64" i="14"/>
  <c r="AN114" i="14"/>
  <c r="AQ114" i="14" s="1"/>
  <c r="AN150" i="14"/>
  <c r="AN69" i="14"/>
  <c r="AQ69" i="14" s="1"/>
  <c r="AN62" i="14"/>
  <c r="AN130" i="14"/>
  <c r="AN65" i="14"/>
  <c r="AN27" i="14"/>
  <c r="AN146" i="14"/>
  <c r="AQ146" i="14" s="1"/>
  <c r="AN135" i="14"/>
  <c r="AQ135" i="14" s="1"/>
  <c r="AN144" i="14"/>
  <c r="AQ144" i="14" s="1"/>
  <c r="AM109" i="14"/>
  <c r="AO135" i="14"/>
  <c r="AO73" i="14"/>
  <c r="AO86" i="14"/>
  <c r="AR86" i="14" s="1"/>
  <c r="AO102" i="14"/>
  <c r="AR102" i="14" s="1"/>
  <c r="AO81" i="14"/>
  <c r="AR81" i="14" s="1"/>
  <c r="AO3" i="14"/>
  <c r="AR3" i="14" s="1"/>
  <c r="AO10" i="14"/>
  <c r="AR10" i="14" s="1"/>
  <c r="AO122" i="14"/>
  <c r="AR122" i="14" s="1"/>
  <c r="AO101" i="14"/>
  <c r="AR101" i="14" s="1"/>
  <c r="AO63" i="14"/>
  <c r="AO51" i="14"/>
  <c r="AO4" i="14"/>
  <c r="AO90" i="14"/>
  <c r="AR90" i="14" s="1"/>
  <c r="AO70" i="14"/>
  <c r="AR70" i="14" s="1"/>
  <c r="AO116" i="14"/>
  <c r="AR116" i="14" s="1"/>
  <c r="AO53" i="14"/>
  <c r="AO39" i="14"/>
  <c r="AO119" i="14"/>
  <c r="AO148" i="14"/>
  <c r="AR148" i="14" s="1"/>
  <c r="AO92" i="14"/>
  <c r="AR92" i="14" s="1"/>
  <c r="AO43" i="14"/>
  <c r="AO123" i="14"/>
  <c r="AR123" i="14" s="1"/>
  <c r="AO2" i="14"/>
  <c r="AO20" i="14"/>
  <c r="AO44" i="14"/>
  <c r="AO19" i="14"/>
  <c r="AO33" i="14"/>
  <c r="AO48" i="14"/>
  <c r="AO64" i="14"/>
  <c r="AO60" i="14"/>
  <c r="AO79" i="14"/>
  <c r="AR79" i="14" s="1"/>
  <c r="AO82" i="14"/>
  <c r="AR82" i="14" s="1"/>
  <c r="AO107" i="14"/>
  <c r="AR107" i="14" s="1"/>
  <c r="AO71" i="14"/>
  <c r="AR71" i="14" s="1"/>
  <c r="AO69" i="14"/>
  <c r="AR69" i="14" s="1"/>
  <c r="AO112" i="14"/>
  <c r="AR112" i="14" s="1"/>
  <c r="AO77" i="14"/>
  <c r="AR77" i="14" s="1"/>
  <c r="AO143" i="14"/>
  <c r="AS59" i="14"/>
  <c r="AS50" i="14"/>
  <c r="AM21" i="14"/>
  <c r="AS65" i="14"/>
  <c r="AM61" i="14"/>
  <c r="AM35" i="14"/>
  <c r="AS26" i="14"/>
  <c r="AS14" i="14"/>
  <c r="AS17" i="14"/>
  <c r="AN106" i="14"/>
  <c r="AQ106" i="14" s="1"/>
  <c r="AN19" i="14"/>
  <c r="AN68" i="14"/>
  <c r="AQ68" i="14" s="1"/>
  <c r="AN40" i="14"/>
  <c r="AN92" i="14"/>
  <c r="AQ92" i="14" s="1"/>
  <c r="AN35" i="14"/>
  <c r="AN104" i="14"/>
  <c r="AQ104" i="14" s="1"/>
  <c r="AN5" i="14"/>
  <c r="AN12" i="14"/>
  <c r="AQ12" i="14" s="1"/>
  <c r="AN76" i="14"/>
  <c r="AQ76" i="14" s="1"/>
  <c r="AN134" i="14"/>
  <c r="AQ134" i="14" s="1"/>
  <c r="AN132" i="14"/>
  <c r="AQ132" i="14" s="1"/>
  <c r="AN155" i="14"/>
  <c r="AQ155" i="14" s="1"/>
  <c r="AN111" i="14"/>
  <c r="AQ111" i="14" s="1"/>
  <c r="AN48" i="14"/>
  <c r="AN66" i="14"/>
  <c r="AN7" i="14"/>
  <c r="AQ7" i="14" s="1"/>
  <c r="AN6" i="14"/>
  <c r="AN137" i="14"/>
  <c r="AQ137" i="14" s="1"/>
  <c r="AN73" i="14"/>
  <c r="AQ73" i="14" s="1"/>
  <c r="AN103" i="14"/>
  <c r="AQ103" i="14" s="1"/>
  <c r="AN156" i="14"/>
  <c r="AQ156" i="14" s="1"/>
  <c r="AN102" i="14"/>
  <c r="AQ102" i="14" s="1"/>
  <c r="AN120" i="14"/>
  <c r="AQ120" i="14" s="1"/>
  <c r="AN126" i="14"/>
  <c r="AQ126" i="14" s="1"/>
  <c r="AN26" i="14"/>
  <c r="AN85" i="14"/>
  <c r="AQ85" i="14" s="1"/>
  <c r="AN72" i="14"/>
  <c r="AN140" i="14"/>
  <c r="AQ140" i="14" s="1"/>
  <c r="AN83" i="14"/>
  <c r="AQ83" i="14" s="1"/>
  <c r="AN56" i="14"/>
  <c r="AN28" i="14"/>
  <c r="AN15" i="14"/>
  <c r="AN77" i="14"/>
  <c r="AQ77" i="14" s="1"/>
  <c r="AN112" i="14"/>
  <c r="AQ112" i="14" s="1"/>
  <c r="AN96" i="14"/>
  <c r="AQ96" i="14" s="1"/>
  <c r="AN153" i="14"/>
  <c r="AQ153" i="14" s="1"/>
  <c r="AN45" i="14"/>
  <c r="AN60" i="14"/>
  <c r="AN44" i="14"/>
  <c r="AN42" i="14"/>
  <c r="AN9" i="14"/>
  <c r="AQ9" i="14" s="1"/>
  <c r="AN24" i="14"/>
  <c r="AN4" i="14"/>
  <c r="AN36" i="14"/>
  <c r="AN147" i="14"/>
  <c r="AQ147" i="14" s="1"/>
  <c r="AN87" i="14"/>
  <c r="AQ87" i="14" s="1"/>
  <c r="AN97" i="14"/>
  <c r="AQ97" i="14" s="1"/>
  <c r="AN129" i="14"/>
  <c r="AM41" i="14"/>
  <c r="AS3" i="14"/>
  <c r="AM32" i="14"/>
  <c r="AO113" i="14"/>
  <c r="AR113" i="14" s="1"/>
  <c r="AO97" i="14"/>
  <c r="AR97" i="14" s="1"/>
  <c r="AO68" i="14"/>
  <c r="AR68" i="14" s="1"/>
  <c r="AO61" i="14"/>
  <c r="AO36" i="14"/>
  <c r="AO37" i="14"/>
  <c r="AO109" i="14"/>
  <c r="AO141" i="14"/>
  <c r="AR141" i="14" s="1"/>
  <c r="AO157" i="14"/>
  <c r="AR157" i="14" s="1"/>
  <c r="AO47" i="14"/>
  <c r="AO21" i="14"/>
  <c r="AO118" i="14"/>
  <c r="AO130" i="14"/>
  <c r="AR130" i="14" s="1"/>
  <c r="AO72" i="14"/>
  <c r="AR72" i="14" s="1"/>
  <c r="AO145" i="14"/>
  <c r="AR145" i="14" s="1"/>
  <c r="AO46" i="14"/>
  <c r="AO38" i="14"/>
  <c r="AR38" i="14" s="1"/>
  <c r="AO139" i="14"/>
  <c r="AO89" i="14"/>
  <c r="AR89" i="14" s="1"/>
  <c r="AO127" i="14"/>
  <c r="AO131" i="14"/>
  <c r="AR131" i="14" s="1"/>
  <c r="AO56" i="14"/>
  <c r="AO31" i="14"/>
  <c r="AO5" i="14"/>
  <c r="AR5" i="14" s="1"/>
  <c r="AO23" i="14"/>
  <c r="AO6" i="14"/>
  <c r="AR6" i="14" s="1"/>
  <c r="AO22" i="14"/>
  <c r="AO49" i="14"/>
  <c r="AO52" i="14"/>
  <c r="AO120" i="14"/>
  <c r="AR120" i="14" s="1"/>
  <c r="AO65" i="14"/>
  <c r="AO78" i="14"/>
  <c r="AR78" i="14" s="1"/>
  <c r="AO136" i="14"/>
  <c r="AR136" i="14" s="1"/>
  <c r="AO111" i="14"/>
  <c r="AR111" i="14" s="1"/>
  <c r="AO152" i="14"/>
  <c r="AR152" i="14" s="1"/>
  <c r="AO74" i="14"/>
  <c r="AR74" i="14" s="1"/>
  <c r="AO91" i="14"/>
  <c r="AR91" i="14" s="1"/>
  <c r="AO114" i="14"/>
  <c r="AO134" i="14"/>
  <c r="AS124" i="14"/>
  <c r="AS37" i="14"/>
  <c r="AS18" i="14"/>
  <c r="AS33" i="14"/>
  <c r="AS73" i="14"/>
  <c r="AS22" i="14"/>
  <c r="AS31" i="14"/>
  <c r="AM46" i="14"/>
  <c r="AM19" i="14"/>
  <c r="AM42" i="14"/>
  <c r="AM47" i="14"/>
  <c r="AM67" i="14"/>
  <c r="AN94" i="14"/>
  <c r="AQ94" i="14" s="1"/>
  <c r="AN123" i="14"/>
  <c r="AQ123" i="14" s="1"/>
  <c r="AN89" i="14"/>
  <c r="AQ89" i="14" s="1"/>
  <c r="AN17" i="14"/>
  <c r="AN58" i="14"/>
  <c r="AN119" i="14"/>
  <c r="AN57" i="14"/>
  <c r="AN22" i="14"/>
  <c r="AN154" i="14"/>
  <c r="AQ154" i="14" s="1"/>
  <c r="AS64" i="14"/>
  <c r="AN109" i="14"/>
  <c r="AN90" i="14"/>
  <c r="AQ90" i="14" s="1"/>
  <c r="AN101" i="14"/>
  <c r="AQ101" i="14" s="1"/>
  <c r="AN107" i="14"/>
  <c r="AQ107" i="14" s="1"/>
  <c r="AN41" i="14"/>
  <c r="AQ41" i="14" s="1"/>
  <c r="AN20" i="14"/>
  <c r="AN98" i="14"/>
  <c r="AQ98" i="14" s="1"/>
  <c r="AN2" i="14"/>
  <c r="AQ2" i="14" s="1"/>
  <c r="AN138" i="14"/>
  <c r="AQ138" i="14" s="1"/>
  <c r="AN91" i="14"/>
  <c r="AQ91" i="14" s="1"/>
  <c r="AN142" i="14"/>
  <c r="AQ142" i="14" s="1"/>
  <c r="AN149" i="14"/>
  <c r="AQ149" i="14" s="1"/>
  <c r="AN105" i="14"/>
  <c r="AQ105" i="14" s="1"/>
  <c r="AN52" i="14"/>
  <c r="AN23" i="14"/>
  <c r="AN99" i="14"/>
  <c r="AN74" i="14"/>
  <c r="AQ74" i="14" s="1"/>
  <c r="AN152" i="14"/>
  <c r="AQ152" i="14" s="1"/>
  <c r="AN43" i="14"/>
  <c r="AQ43" i="14" s="1"/>
  <c r="AN55" i="14"/>
  <c r="AN54" i="14"/>
  <c r="AN8" i="14"/>
  <c r="AN14" i="14"/>
  <c r="AQ14" i="14" s="1"/>
  <c r="AN84" i="14"/>
  <c r="AQ84" i="14" s="1"/>
  <c r="AN121" i="14"/>
  <c r="AQ121" i="14" s="1"/>
  <c r="AN117" i="14"/>
  <c r="AN108" i="14"/>
  <c r="AQ108" i="14" s="1"/>
  <c r="AN63" i="14"/>
  <c r="AN59" i="14"/>
  <c r="AN30" i="14"/>
  <c r="AN32" i="14"/>
  <c r="AN31" i="14"/>
  <c r="AN18" i="14"/>
  <c r="AN10" i="14"/>
  <c r="AN145" i="14"/>
  <c r="AQ145" i="14" s="1"/>
  <c r="AN115" i="14"/>
  <c r="AQ115" i="14" s="1"/>
  <c r="AN88" i="14"/>
  <c r="AQ88" i="14" s="1"/>
  <c r="AN70" i="14"/>
  <c r="AQ70" i="14" s="1"/>
  <c r="AN80" i="14"/>
  <c r="AQ80" i="14" s="1"/>
  <c r="AS16" i="14"/>
  <c r="AM36" i="14"/>
  <c r="AO125" i="14"/>
  <c r="AO93" i="14"/>
  <c r="AR93" i="14" s="1"/>
  <c r="AO146" i="14"/>
  <c r="AR146" i="14" s="1"/>
  <c r="AO154" i="14"/>
  <c r="AR154" i="14" s="1"/>
  <c r="AO40" i="14"/>
  <c r="AO29" i="14"/>
  <c r="AO42" i="14"/>
  <c r="AO128" i="14"/>
  <c r="AR128" i="14" s="1"/>
  <c r="AO96" i="14"/>
  <c r="AR96" i="14" s="1"/>
  <c r="AO156" i="14"/>
  <c r="AR156" i="14" s="1"/>
  <c r="AO67" i="14"/>
  <c r="AO27" i="14"/>
  <c r="AO137" i="14"/>
  <c r="AO88" i="14"/>
  <c r="AR88" i="14" s="1"/>
  <c r="AO117" i="14"/>
  <c r="AO150" i="14"/>
  <c r="AR150" i="14" s="1"/>
  <c r="AO98" i="14"/>
  <c r="AR98" i="14" s="1"/>
  <c r="AO24" i="14"/>
  <c r="AO144" i="14"/>
  <c r="AO103" i="14"/>
  <c r="AR103" i="14" s="1"/>
  <c r="AO147" i="14"/>
  <c r="AR147" i="14" s="1"/>
  <c r="AO153" i="14"/>
  <c r="AR153" i="14" s="1"/>
  <c r="AO25" i="14"/>
  <c r="AO18" i="14"/>
  <c r="AO8" i="14"/>
  <c r="AO28" i="14"/>
  <c r="AO9" i="14"/>
  <c r="AO35" i="14"/>
  <c r="AO41" i="14"/>
  <c r="AO58" i="14"/>
  <c r="AO50" i="14"/>
  <c r="AO66" i="14"/>
  <c r="AO140" i="14"/>
  <c r="AR140" i="14" s="1"/>
  <c r="AO105" i="14"/>
  <c r="AR105" i="14" s="1"/>
  <c r="AO110" i="14"/>
  <c r="AR110" i="14" s="1"/>
  <c r="AO121" i="14"/>
  <c r="AR121" i="14" s="1"/>
  <c r="AO132" i="14"/>
  <c r="AR132" i="14" s="1"/>
  <c r="AO85" i="14"/>
  <c r="AR85" i="14" s="1"/>
  <c r="AO80" i="14"/>
  <c r="AS8" i="14"/>
  <c r="AS114" i="14"/>
  <c r="AM144" i="14"/>
  <c r="AM34" i="14"/>
  <c r="AS38" i="14"/>
  <c r="AS52" i="14"/>
  <c r="AS119" i="14"/>
  <c r="AS23" i="14"/>
  <c r="AS2" i="14"/>
  <c r="AS11" i="14"/>
  <c r="AN100" i="14"/>
  <c r="AQ100" i="14" s="1"/>
  <c r="AN25" i="14"/>
  <c r="AQ25" i="14" s="1"/>
  <c r="AN124" i="14"/>
  <c r="AN82" i="14"/>
  <c r="AQ82" i="14" s="1"/>
  <c r="AN93" i="14"/>
  <c r="AQ93" i="14" s="1"/>
  <c r="AN46" i="14"/>
  <c r="AN141" i="14"/>
  <c r="AQ141" i="14" s="1"/>
  <c r="AN49" i="14"/>
  <c r="AN139" i="14"/>
  <c r="AQ139" i="14" s="1"/>
  <c r="AN71" i="14"/>
  <c r="AQ71" i="14" s="1"/>
  <c r="AN110" i="14"/>
  <c r="AQ110" i="14" s="1"/>
  <c r="AN79" i="14"/>
  <c r="AQ79" i="14" s="1"/>
  <c r="AN47" i="14"/>
  <c r="AN34" i="14"/>
  <c r="AN33" i="14"/>
  <c r="AN143" i="14"/>
  <c r="AQ143" i="14" s="1"/>
  <c r="AN125" i="14"/>
  <c r="AN148" i="14"/>
  <c r="AQ148" i="14" s="1"/>
  <c r="AN116" i="14"/>
  <c r="AQ116" i="14" s="1"/>
  <c r="AN78" i="14"/>
  <c r="AQ78" i="14" s="1"/>
  <c r="AN136" i="14"/>
  <c r="AQ136" i="14" s="1"/>
  <c r="AN61" i="14"/>
  <c r="AN29" i="14"/>
  <c r="AN118" i="14"/>
  <c r="AN113" i="14"/>
  <c r="AQ113" i="14" s="1"/>
  <c r="AN151" i="14"/>
  <c r="AQ151" i="14" s="1"/>
  <c r="AN81" i="14"/>
  <c r="AQ81" i="14" s="1"/>
  <c r="AN67" i="14"/>
  <c r="AN51" i="14"/>
  <c r="AN21" i="14"/>
  <c r="AN11" i="14"/>
  <c r="AQ11" i="14" s="1"/>
  <c r="AN128" i="14"/>
  <c r="AQ128" i="14" s="1"/>
  <c r="AN133" i="14"/>
  <c r="AQ133" i="14" s="1"/>
  <c r="AN86" i="14"/>
  <c r="AQ86" i="14" s="1"/>
  <c r="AN131" i="14"/>
  <c r="AQ131" i="14" s="1"/>
  <c r="AN53" i="14"/>
  <c r="AN50" i="14"/>
  <c r="AN16" i="14"/>
  <c r="AN3" i="14"/>
  <c r="AN37" i="14"/>
  <c r="AN13" i="14"/>
  <c r="AN38" i="14"/>
  <c r="AN157" i="14"/>
  <c r="AQ157" i="14" s="1"/>
  <c r="AN127" i="14"/>
  <c r="AQ127" i="14" s="1"/>
  <c r="AN122" i="14"/>
  <c r="AQ122" i="14" s="1"/>
  <c r="AN75" i="14"/>
  <c r="AQ75" i="14" s="1"/>
  <c r="AS72" i="14"/>
  <c r="AO124" i="14"/>
  <c r="AO142" i="14"/>
  <c r="AR142" i="14" s="1"/>
  <c r="AO151" i="14"/>
  <c r="AR151" i="14" s="1"/>
  <c r="AO108" i="14"/>
  <c r="AR108" i="14" s="1"/>
  <c r="AO54" i="14"/>
  <c r="AO17" i="14"/>
  <c r="AO14" i="14"/>
  <c r="AO129" i="14"/>
  <c r="AO76" i="14"/>
  <c r="AR76" i="14" s="1"/>
  <c r="AO106" i="14"/>
  <c r="AR106" i="14" s="1"/>
  <c r="AO62" i="14"/>
  <c r="AO13" i="14"/>
  <c r="AR13" i="14" s="1"/>
  <c r="AO138" i="14"/>
  <c r="AO75" i="14"/>
  <c r="AR75" i="14" s="1"/>
  <c r="AO133" i="14"/>
  <c r="AR133" i="14" s="1"/>
  <c r="AO83" i="14"/>
  <c r="AR83" i="14" s="1"/>
  <c r="AO32" i="14"/>
  <c r="AO12" i="14"/>
  <c r="AO95" i="14"/>
  <c r="AO87" i="14"/>
  <c r="AR87" i="14" s="1"/>
  <c r="AO115" i="14"/>
  <c r="AR115" i="14" s="1"/>
  <c r="AO55" i="14"/>
  <c r="AO7" i="14"/>
  <c r="AO11" i="14"/>
  <c r="AO16" i="14"/>
  <c r="AO30" i="14"/>
  <c r="AO15" i="14"/>
  <c r="AO26" i="14"/>
  <c r="AO45" i="14"/>
  <c r="AO57" i="14"/>
  <c r="AO59" i="14"/>
  <c r="AO126" i="14"/>
  <c r="AR126" i="14" s="1"/>
  <c r="AO104" i="14"/>
  <c r="AR104" i="14" s="1"/>
  <c r="AO149" i="14"/>
  <c r="AR149" i="14" s="1"/>
  <c r="AO155" i="14"/>
  <c r="AR155" i="14" s="1"/>
  <c r="AO100" i="14"/>
  <c r="AR100" i="14" s="1"/>
  <c r="AO94" i="14"/>
  <c r="AR94" i="14" s="1"/>
  <c r="AO84" i="14"/>
  <c r="AR84" i="14" s="1"/>
  <c r="AM137" i="14"/>
  <c r="AS117" i="14"/>
  <c r="AS30" i="14"/>
  <c r="AS28" i="14"/>
  <c r="AS48" i="14"/>
  <c r="BJ3" i="10"/>
  <c r="BH3" i="10"/>
  <c r="BF3" i="10"/>
  <c r="AQ9" i="10"/>
  <c r="W148" i="10"/>
  <c r="V148" i="10"/>
  <c r="V286" i="10"/>
  <c r="W286" i="10"/>
  <c r="V299" i="10"/>
  <c r="W299" i="10"/>
  <c r="W205" i="10"/>
  <c r="V205" i="10"/>
  <c r="V266" i="10"/>
  <c r="W266" i="10"/>
  <c r="V187" i="10"/>
  <c r="W187" i="10"/>
  <c r="V127" i="10"/>
  <c r="W127" i="10"/>
  <c r="V265" i="10"/>
  <c r="W265" i="10"/>
  <c r="V234" i="10"/>
  <c r="W234" i="10"/>
  <c r="V131" i="10"/>
  <c r="W131" i="10"/>
  <c r="W200" i="10"/>
  <c r="V200" i="10"/>
  <c r="V159" i="10"/>
  <c r="W159" i="10"/>
  <c r="V135" i="10"/>
  <c r="W135" i="10"/>
  <c r="W282" i="10"/>
  <c r="V282" i="10"/>
  <c r="W272" i="10"/>
  <c r="V272" i="10"/>
  <c r="W238" i="10"/>
  <c r="V238" i="10"/>
  <c r="V155" i="10"/>
  <c r="W155" i="10"/>
  <c r="W124" i="10"/>
  <c r="V124" i="10"/>
  <c r="V281" i="10"/>
  <c r="W281" i="10"/>
  <c r="W180" i="10"/>
  <c r="V180" i="10"/>
  <c r="V201" i="10"/>
  <c r="W201" i="10"/>
  <c r="V189" i="10"/>
  <c r="W189" i="10"/>
  <c r="V254" i="10"/>
  <c r="W254" i="10"/>
  <c r="V270" i="10"/>
  <c r="W270" i="10"/>
  <c r="V199" i="10"/>
  <c r="W199" i="10"/>
  <c r="V163" i="10"/>
  <c r="W163" i="10"/>
  <c r="W232" i="10"/>
  <c r="V232" i="10"/>
  <c r="V271" i="10"/>
  <c r="W271" i="10"/>
  <c r="V231" i="10"/>
  <c r="W231" i="10"/>
  <c r="V123" i="10"/>
  <c r="W123" i="10"/>
  <c r="V287" i="10"/>
  <c r="W287" i="10"/>
  <c r="V249" i="10"/>
  <c r="W249" i="10"/>
  <c r="V250" i="10"/>
  <c r="W250" i="10"/>
  <c r="W216" i="10"/>
  <c r="V216" i="10"/>
  <c r="V167" i="10"/>
  <c r="W167" i="10"/>
  <c r="BI108" i="10"/>
  <c r="BJ108" i="10" s="1"/>
  <c r="U83" i="10"/>
  <c r="W83" i="10" s="1"/>
  <c r="U67" i="10"/>
  <c r="W67" i="10" s="1"/>
  <c r="U19" i="10"/>
  <c r="V19" i="10" s="1"/>
  <c r="BI107" i="10"/>
  <c r="U115" i="10"/>
  <c r="V115" i="10" s="1"/>
  <c r="U99" i="10"/>
  <c r="V99" i="10" s="1"/>
  <c r="BI90" i="10"/>
  <c r="BJ90" i="10" s="1"/>
  <c r="U3" i="10"/>
  <c r="W3" i="10" s="1"/>
  <c r="BI30" i="10"/>
  <c r="BI152" i="10"/>
  <c r="BI117" i="10"/>
  <c r="BJ117" i="10" s="1"/>
  <c r="U77" i="10"/>
  <c r="W77" i="10" s="1"/>
  <c r="U5" i="10"/>
  <c r="V5" i="10" s="1"/>
  <c r="U74" i="10"/>
  <c r="W74" i="10" s="1"/>
  <c r="U110" i="10"/>
  <c r="W110" i="10" s="1"/>
  <c r="U86" i="10"/>
  <c r="V86" i="10" s="1"/>
  <c r="U26" i="10"/>
  <c r="V26" i="10" s="1"/>
  <c r="U96" i="10"/>
  <c r="W96" i="10" s="1"/>
  <c r="U64" i="10"/>
  <c r="U56" i="10"/>
  <c r="V56" i="10" s="1"/>
  <c r="U12" i="10"/>
  <c r="W12" i="10" s="1"/>
  <c r="U13" i="10"/>
  <c r="V13" i="10" s="1"/>
  <c r="U9" i="10"/>
  <c r="V9" i="10" s="1"/>
  <c r="U32" i="10"/>
  <c r="V32" i="10" s="1"/>
  <c r="U102" i="10"/>
  <c r="V102" i="10" s="1"/>
  <c r="U43" i="10"/>
  <c r="V43" i="10" s="1"/>
  <c r="U15" i="10"/>
  <c r="V15" i="10" s="1"/>
  <c r="U94" i="10"/>
  <c r="W94" i="10" s="1"/>
  <c r="U70" i="10"/>
  <c r="W70" i="10" s="1"/>
  <c r="U62" i="10"/>
  <c r="V62" i="10" s="1"/>
  <c r="U55" i="10"/>
  <c r="W55" i="10" s="1"/>
  <c r="U4" i="10"/>
  <c r="W4" i="10" s="1"/>
  <c r="U29" i="10"/>
  <c r="V29" i="10" s="1"/>
  <c r="U31" i="10"/>
  <c r="V31" i="10" s="1"/>
  <c r="U25" i="10"/>
  <c r="V25" i="10" s="1"/>
  <c r="U6" i="10"/>
  <c r="V6" i="10" s="1"/>
  <c r="U101" i="10"/>
  <c r="V101" i="10" s="1"/>
  <c r="U46" i="10"/>
  <c r="W46" i="10" s="1"/>
  <c r="U53" i="10"/>
  <c r="V53" i="10" s="1"/>
  <c r="U58" i="10"/>
  <c r="V58" i="10" s="1"/>
  <c r="U14" i="10"/>
  <c r="W14" i="10" s="1"/>
  <c r="U69" i="10"/>
  <c r="V69" i="10" s="1"/>
  <c r="U33" i="10"/>
  <c r="W33" i="10" s="1"/>
  <c r="V91" i="10"/>
  <c r="W91" i="10"/>
  <c r="V22" i="10"/>
  <c r="W22" i="10"/>
  <c r="U106" i="10"/>
  <c r="U90" i="10"/>
  <c r="U45" i="10"/>
  <c r="U81" i="10"/>
  <c r="V66" i="10"/>
  <c r="W66" i="10"/>
  <c r="U50" i="10"/>
  <c r="W19" i="10"/>
  <c r="V105" i="10"/>
  <c r="W105" i="10"/>
  <c r="U59" i="10"/>
  <c r="W35" i="10"/>
  <c r="W98" i="10"/>
  <c r="W82" i="10"/>
  <c r="U85" i="10"/>
  <c r="U109" i="10"/>
  <c r="U37" i="10"/>
  <c r="U47" i="10"/>
  <c r="V38" i="10"/>
  <c r="W38" i="10"/>
  <c r="U61" i="10"/>
  <c r="U51" i="10"/>
  <c r="U41" i="10"/>
  <c r="U117" i="10"/>
  <c r="U111" i="10"/>
  <c r="U95" i="10"/>
  <c r="U79" i="10"/>
  <c r="U8" i="10"/>
  <c r="U120" i="10"/>
  <c r="U88" i="10"/>
  <c r="U52" i="10"/>
  <c r="U28" i="10"/>
  <c r="U16" i="10"/>
  <c r="U2" i="10"/>
  <c r="U23" i="10"/>
  <c r="U104" i="10"/>
  <c r="U72" i="10"/>
  <c r="U20" i="10"/>
  <c r="U40" i="10"/>
  <c r="U116" i="10"/>
  <c r="U108" i="10"/>
  <c r="U100" i="10"/>
  <c r="U92" i="10"/>
  <c r="U84" i="10"/>
  <c r="U76" i="10"/>
  <c r="U68" i="10"/>
  <c r="U60" i="10"/>
  <c r="U17" i="10"/>
  <c r="U54" i="10"/>
  <c r="U27" i="10"/>
  <c r="U113" i="10"/>
  <c r="U73" i="10"/>
  <c r="U34" i="10"/>
  <c r="U114" i="10"/>
  <c r="U112" i="10"/>
  <c r="U80" i="10"/>
  <c r="U36" i="10"/>
  <c r="U24" i="10"/>
  <c r="U44" i="10"/>
  <c r="U57" i="10"/>
  <c r="U65" i="10"/>
  <c r="U30" i="10"/>
  <c r="U119" i="10"/>
  <c r="U103" i="10"/>
  <c r="U87" i="10"/>
  <c r="U71" i="10"/>
  <c r="U42" i="10"/>
  <c r="U7" i="10"/>
  <c r="U18" i="10"/>
  <c r="U89" i="10"/>
  <c r="U39" i="10"/>
  <c r="U97" i="10"/>
  <c r="U4" i="11"/>
  <c r="C73" i="13" l="1"/>
  <c r="F65" i="13" s="1"/>
  <c r="C63" i="13"/>
  <c r="R4" i="11"/>
  <c r="F72" i="13"/>
  <c r="F73" i="13" s="1"/>
  <c r="Q4" i="11"/>
  <c r="O4" i="11"/>
  <c r="Y18" i="19"/>
  <c r="N18" i="19"/>
  <c r="U18" i="19"/>
  <c r="Z18" i="19"/>
  <c r="P18" i="19"/>
  <c r="X18" i="19"/>
  <c r="Q18" i="19"/>
  <c r="W18" i="19"/>
  <c r="T18" i="19"/>
  <c r="R18" i="19"/>
  <c r="V18" i="19"/>
  <c r="S18" i="19"/>
  <c r="O18" i="19"/>
  <c r="S4" i="18"/>
  <c r="U4" i="18"/>
  <c r="S9" i="18"/>
  <c r="U9" i="18"/>
  <c r="S10" i="18"/>
  <c r="U10" i="18"/>
  <c r="S7" i="18"/>
  <c r="U7" i="18"/>
  <c r="S6" i="18"/>
  <c r="U6" i="18"/>
  <c r="S5" i="18"/>
  <c r="U5" i="18"/>
  <c r="S11" i="18"/>
  <c r="U11" i="18"/>
  <c r="S12" i="18"/>
  <c r="U12" i="18"/>
  <c r="S8" i="18"/>
  <c r="U8" i="18"/>
  <c r="S2" i="18"/>
  <c r="U2" i="18"/>
  <c r="S3" i="18"/>
  <c r="U3" i="18"/>
  <c r="M19" i="19"/>
  <c r="W11" i="10"/>
  <c r="V93" i="10"/>
  <c r="Q13" i="11"/>
  <c r="R13" i="11"/>
  <c r="O5" i="11"/>
  <c r="R5" i="11"/>
  <c r="Q6" i="11"/>
  <c r="R6" i="11"/>
  <c r="O10" i="11"/>
  <c r="R10" i="11"/>
  <c r="O9" i="11"/>
  <c r="R9" i="11"/>
  <c r="O8" i="11"/>
  <c r="R8" i="11"/>
  <c r="O14" i="11"/>
  <c r="R14" i="11"/>
  <c r="O7" i="11"/>
  <c r="R7" i="11"/>
  <c r="O11" i="11"/>
  <c r="R11" i="11"/>
  <c r="Q7" i="11"/>
  <c r="Q11" i="11"/>
  <c r="Q14" i="11"/>
  <c r="Q10" i="11"/>
  <c r="Q8" i="11"/>
  <c r="O13" i="11"/>
  <c r="Q5" i="11"/>
  <c r="Q9" i="11"/>
  <c r="W5" i="10"/>
  <c r="W107" i="10"/>
  <c r="AL34" i="14"/>
  <c r="W99" i="10"/>
  <c r="W10" i="10"/>
  <c r="V21" i="10"/>
  <c r="V110" i="10"/>
  <c r="V64" i="10"/>
  <c r="AT63" i="10"/>
  <c r="AW63" i="10" s="1"/>
  <c r="W64" i="10"/>
  <c r="I4" i="11"/>
  <c r="H4" i="11"/>
  <c r="H9" i="11"/>
  <c r="I9" i="11"/>
  <c r="I7" i="11"/>
  <c r="H7" i="11"/>
  <c r="I10" i="11"/>
  <c r="H13" i="11"/>
  <c r="I13" i="11"/>
  <c r="H14" i="11"/>
  <c r="I14" i="11"/>
  <c r="I5" i="11"/>
  <c r="H5" i="11"/>
  <c r="I11" i="11"/>
  <c r="H11" i="11"/>
  <c r="I8" i="11"/>
  <c r="H8" i="11"/>
  <c r="H6" i="11"/>
  <c r="I6" i="11"/>
  <c r="AK39" i="14"/>
  <c r="V96" i="10"/>
  <c r="V118" i="10"/>
  <c r="V74" i="10"/>
  <c r="V83" i="10"/>
  <c r="AL99" i="14"/>
  <c r="AR43" i="14"/>
  <c r="AL43" i="14"/>
  <c r="AQ95" i="14"/>
  <c r="V78" i="10"/>
  <c r="W102" i="10"/>
  <c r="W13" i="10"/>
  <c r="V77" i="10"/>
  <c r="W56" i="10"/>
  <c r="AR127" i="14"/>
  <c r="AL127" i="14"/>
  <c r="AQ150" i="14"/>
  <c r="AK150" i="14"/>
  <c r="W75" i="10"/>
  <c r="W115" i="10"/>
  <c r="V3" i="10"/>
  <c r="W86" i="10"/>
  <c r="W26" i="10"/>
  <c r="AL15" i="14"/>
  <c r="AR15" i="14"/>
  <c r="AL62" i="14"/>
  <c r="AR62" i="14"/>
  <c r="AL14" i="14"/>
  <c r="AR14" i="14"/>
  <c r="AQ38" i="14"/>
  <c r="AK38" i="14"/>
  <c r="AK16" i="14"/>
  <c r="AQ16" i="14"/>
  <c r="AK21" i="14"/>
  <c r="AQ21" i="14"/>
  <c r="AK61" i="14"/>
  <c r="AQ61" i="14"/>
  <c r="AQ34" i="14"/>
  <c r="AK34" i="14"/>
  <c r="AQ46" i="14"/>
  <c r="AK46" i="14"/>
  <c r="AL80" i="14"/>
  <c r="AR80" i="14"/>
  <c r="AL50" i="14"/>
  <c r="AR50" i="14"/>
  <c r="AR9" i="14"/>
  <c r="AL9" i="14"/>
  <c r="AR25" i="14"/>
  <c r="AL25" i="14"/>
  <c r="AR144" i="14"/>
  <c r="AL144" i="14"/>
  <c r="AL117" i="14"/>
  <c r="AR117" i="14"/>
  <c r="AL67" i="14"/>
  <c r="AR67" i="14"/>
  <c r="AR42" i="14"/>
  <c r="AL42" i="14"/>
  <c r="AQ31" i="14"/>
  <c r="AK31" i="14"/>
  <c r="AQ63" i="14"/>
  <c r="AK63" i="14"/>
  <c r="AK55" i="14"/>
  <c r="AQ55" i="14"/>
  <c r="AQ99" i="14"/>
  <c r="AK99" i="14"/>
  <c r="AQ119" i="14"/>
  <c r="AK119" i="14"/>
  <c r="AR52" i="14"/>
  <c r="AL52" i="14"/>
  <c r="AL23" i="14"/>
  <c r="AR23" i="14"/>
  <c r="AR36" i="14"/>
  <c r="AL36" i="14"/>
  <c r="AK129" i="14"/>
  <c r="AQ129" i="14"/>
  <c r="AQ36" i="14"/>
  <c r="AK36" i="14"/>
  <c r="AK42" i="14"/>
  <c r="AQ42" i="14"/>
  <c r="AQ15" i="14"/>
  <c r="AK15" i="14"/>
  <c r="AL48" i="14"/>
  <c r="AR48" i="14"/>
  <c r="AL20" i="14"/>
  <c r="AR20" i="14"/>
  <c r="AR53" i="14"/>
  <c r="AL53" i="14"/>
  <c r="AR4" i="14"/>
  <c r="AL4" i="14"/>
  <c r="AK27" i="14"/>
  <c r="AQ27" i="14"/>
  <c r="AR95" i="14"/>
  <c r="AL95" i="14"/>
  <c r="AL57" i="14"/>
  <c r="AR57" i="14"/>
  <c r="AR30" i="14"/>
  <c r="AL30" i="14"/>
  <c r="AR55" i="14"/>
  <c r="AL55" i="14"/>
  <c r="AL12" i="14"/>
  <c r="AR12" i="14"/>
  <c r="AR17" i="14"/>
  <c r="AL17" i="14"/>
  <c r="AK13" i="14"/>
  <c r="AQ13" i="14"/>
  <c r="AQ50" i="14"/>
  <c r="AK50" i="14"/>
  <c r="AK51" i="14"/>
  <c r="AQ51" i="14"/>
  <c r="AQ125" i="14"/>
  <c r="AK125" i="14"/>
  <c r="AQ47" i="14"/>
  <c r="AK47" i="14"/>
  <c r="AR58" i="14"/>
  <c r="AL58" i="14"/>
  <c r="AR28" i="14"/>
  <c r="AL28" i="14"/>
  <c r="AL24" i="14"/>
  <c r="AR24" i="14"/>
  <c r="AR29" i="14"/>
  <c r="AL29" i="14"/>
  <c r="AK32" i="14"/>
  <c r="AQ32" i="14"/>
  <c r="AQ23" i="14"/>
  <c r="AK23" i="14"/>
  <c r="AQ58" i="14"/>
  <c r="AK58" i="14"/>
  <c r="AL49" i="14"/>
  <c r="AR49" i="14"/>
  <c r="AL46" i="14"/>
  <c r="AR46" i="14"/>
  <c r="AR118" i="14"/>
  <c r="AL118" i="14"/>
  <c r="AL61" i="14"/>
  <c r="AR61" i="14"/>
  <c r="AQ4" i="14"/>
  <c r="AK4" i="14"/>
  <c r="AQ44" i="14"/>
  <c r="AK44" i="14"/>
  <c r="AK28" i="14"/>
  <c r="AQ28" i="14"/>
  <c r="AK72" i="14"/>
  <c r="AQ72" i="14"/>
  <c r="AK66" i="14"/>
  <c r="AQ66" i="14"/>
  <c r="AQ5" i="14"/>
  <c r="AK5" i="14"/>
  <c r="AK40" i="14"/>
  <c r="AQ40" i="14"/>
  <c r="AL33" i="14"/>
  <c r="AR33" i="14"/>
  <c r="AR2" i="14"/>
  <c r="AL2" i="14"/>
  <c r="AR51" i="14"/>
  <c r="AL51" i="14"/>
  <c r="AQ65" i="14"/>
  <c r="AK65" i="14"/>
  <c r="AR7" i="14"/>
  <c r="AL7" i="14"/>
  <c r="AL45" i="14"/>
  <c r="AR45" i="14"/>
  <c r="AR16" i="14"/>
  <c r="AL16" i="14"/>
  <c r="AR32" i="14"/>
  <c r="AL32" i="14"/>
  <c r="AL138" i="14"/>
  <c r="AR138" i="14"/>
  <c r="AL54" i="14"/>
  <c r="AR54" i="14"/>
  <c r="AL124" i="14"/>
  <c r="AR124" i="14"/>
  <c r="AQ37" i="14"/>
  <c r="AK37" i="14"/>
  <c r="AK53" i="14"/>
  <c r="AQ53" i="14"/>
  <c r="AK67" i="14"/>
  <c r="AQ67" i="14"/>
  <c r="AK118" i="14"/>
  <c r="AQ118" i="14"/>
  <c r="AQ49" i="14"/>
  <c r="AK49" i="14"/>
  <c r="AL41" i="14"/>
  <c r="AR41" i="14"/>
  <c r="AR8" i="14"/>
  <c r="AL8" i="14"/>
  <c r="AR137" i="14"/>
  <c r="AL137" i="14"/>
  <c r="AL40" i="14"/>
  <c r="AR40" i="14"/>
  <c r="AR125" i="14"/>
  <c r="AL125" i="14"/>
  <c r="AQ10" i="14"/>
  <c r="AK10" i="14"/>
  <c r="AK30" i="14"/>
  <c r="AQ30" i="14"/>
  <c r="AQ117" i="14"/>
  <c r="AK117" i="14"/>
  <c r="AK8" i="14"/>
  <c r="AQ8" i="14"/>
  <c r="AK52" i="14"/>
  <c r="AQ52" i="14"/>
  <c r="AK20" i="14"/>
  <c r="AQ20" i="14"/>
  <c r="AK22" i="14"/>
  <c r="AQ22" i="14"/>
  <c r="AQ17" i="14"/>
  <c r="AK17" i="14"/>
  <c r="AR134" i="14"/>
  <c r="AL134" i="14"/>
  <c r="AL65" i="14"/>
  <c r="AR65" i="14"/>
  <c r="AR22" i="14"/>
  <c r="AL22" i="14"/>
  <c r="AL31" i="14"/>
  <c r="AR31" i="14"/>
  <c r="AR21" i="14"/>
  <c r="AL21" i="14"/>
  <c r="AR109" i="14"/>
  <c r="AL109" i="14"/>
  <c r="AQ24" i="14"/>
  <c r="AK24" i="14"/>
  <c r="AQ60" i="14"/>
  <c r="AK60" i="14"/>
  <c r="AQ56" i="14"/>
  <c r="AK56" i="14"/>
  <c r="AQ48" i="14"/>
  <c r="AK48" i="14"/>
  <c r="AR143" i="14"/>
  <c r="AL143" i="14"/>
  <c r="AL60" i="14"/>
  <c r="AR60" i="14"/>
  <c r="AL19" i="14"/>
  <c r="AR19" i="14"/>
  <c r="AR119" i="14"/>
  <c r="AL119" i="14"/>
  <c r="AR63" i="14"/>
  <c r="AL63" i="14"/>
  <c r="AL73" i="14"/>
  <c r="AR73" i="14"/>
  <c r="AK130" i="14"/>
  <c r="AQ130" i="14"/>
  <c r="AL59" i="14"/>
  <c r="AR59" i="14"/>
  <c r="AL26" i="14"/>
  <c r="AR26" i="14"/>
  <c r="AR11" i="14"/>
  <c r="AL11" i="14"/>
  <c r="AR129" i="14"/>
  <c r="AL129" i="14"/>
  <c r="AK3" i="14"/>
  <c r="AQ3" i="14"/>
  <c r="AQ29" i="14"/>
  <c r="AK29" i="14"/>
  <c r="AK33" i="14"/>
  <c r="AQ33" i="14"/>
  <c r="AQ124" i="14"/>
  <c r="AK124" i="14"/>
  <c r="AR66" i="14"/>
  <c r="AL66" i="14"/>
  <c r="AR35" i="14"/>
  <c r="AL35" i="14"/>
  <c r="AL18" i="14"/>
  <c r="AR18" i="14"/>
  <c r="AR27" i="14"/>
  <c r="AL27" i="14"/>
  <c r="AQ18" i="14"/>
  <c r="AK18" i="14"/>
  <c r="AQ59" i="14"/>
  <c r="AK59" i="14"/>
  <c r="AQ54" i="14"/>
  <c r="AK54" i="14"/>
  <c r="AK109" i="14"/>
  <c r="AQ109" i="14"/>
  <c r="AQ57" i="14"/>
  <c r="AK57" i="14"/>
  <c r="AR114" i="14"/>
  <c r="AL114" i="14"/>
  <c r="AR56" i="14"/>
  <c r="AL56" i="14"/>
  <c r="AL139" i="14"/>
  <c r="AR139" i="14"/>
  <c r="AL47" i="14"/>
  <c r="AR47" i="14"/>
  <c r="AL37" i="14"/>
  <c r="AR37" i="14"/>
  <c r="AQ45" i="14"/>
  <c r="AK45" i="14"/>
  <c r="AQ26" i="14"/>
  <c r="AK26" i="14"/>
  <c r="AK6" i="14"/>
  <c r="AQ6" i="14"/>
  <c r="AQ35" i="14"/>
  <c r="AK35" i="14"/>
  <c r="AQ19" i="14"/>
  <c r="AK19" i="14"/>
  <c r="AL64" i="14"/>
  <c r="AR64" i="14"/>
  <c r="AR44" i="14"/>
  <c r="AL44" i="14"/>
  <c r="AL39" i="14"/>
  <c r="AR39" i="14"/>
  <c r="AR135" i="14"/>
  <c r="AL135" i="14"/>
  <c r="AK62" i="14"/>
  <c r="AQ62" i="14"/>
  <c r="AQ64" i="14"/>
  <c r="AK64" i="14"/>
  <c r="V67" i="10"/>
  <c r="AT81" i="10"/>
  <c r="AT45" i="10"/>
  <c r="AQ45" i="10" s="1"/>
  <c r="AT130" i="10"/>
  <c r="AT108" i="10"/>
  <c r="AT9" i="10"/>
  <c r="AT109" i="10"/>
  <c r="AT93" i="10"/>
  <c r="AQ93" i="10" s="1"/>
  <c r="AT142" i="10"/>
  <c r="AQ142" i="10" s="1"/>
  <c r="AT57" i="10"/>
  <c r="AQ57" i="10" s="1"/>
  <c r="AT103" i="10"/>
  <c r="AT104" i="10"/>
  <c r="AT21" i="10"/>
  <c r="AT106" i="10"/>
  <c r="AT118" i="10"/>
  <c r="AQ118" i="10" s="1"/>
  <c r="AT69" i="10"/>
  <c r="AT154" i="10"/>
  <c r="AT105" i="10"/>
  <c r="AQ105" i="10" s="1"/>
  <c r="AT102" i="10"/>
  <c r="AQ102" i="10" s="1"/>
  <c r="AT33" i="10"/>
  <c r="AT100" i="10"/>
  <c r="AT107" i="10"/>
  <c r="AT98" i="10"/>
  <c r="AT101" i="10"/>
  <c r="AT99" i="10"/>
  <c r="W9" i="10"/>
  <c r="W101" i="10"/>
  <c r="V70" i="10"/>
  <c r="V12" i="10"/>
  <c r="W32" i="10"/>
  <c r="W43" i="10"/>
  <c r="W31" i="10"/>
  <c r="W62" i="10"/>
  <c r="W15" i="10"/>
  <c r="W6" i="10"/>
  <c r="W69" i="10"/>
  <c r="W25" i="10"/>
  <c r="W53" i="10"/>
  <c r="V33" i="10"/>
  <c r="V46" i="10"/>
  <c r="V55" i="10"/>
  <c r="V4" i="10"/>
  <c r="V94" i="10"/>
  <c r="W29" i="10"/>
  <c r="V14" i="10"/>
  <c r="W58" i="10"/>
  <c r="V39" i="10"/>
  <c r="W39" i="10"/>
  <c r="V42" i="10"/>
  <c r="W42" i="10"/>
  <c r="V103" i="10"/>
  <c r="W103" i="10"/>
  <c r="V57" i="10"/>
  <c r="W57" i="10"/>
  <c r="W80" i="10"/>
  <c r="V80" i="10"/>
  <c r="V73" i="10"/>
  <c r="W73" i="10"/>
  <c r="W76" i="10"/>
  <c r="V76" i="10"/>
  <c r="V108" i="10"/>
  <c r="W108" i="10"/>
  <c r="W72" i="10"/>
  <c r="V72" i="10"/>
  <c r="V2" i="10"/>
  <c r="W2" i="10"/>
  <c r="V88" i="10"/>
  <c r="W88" i="10"/>
  <c r="V95" i="10"/>
  <c r="W95" i="10"/>
  <c r="W51" i="10"/>
  <c r="V51" i="10"/>
  <c r="V37" i="10"/>
  <c r="W37" i="10"/>
  <c r="V85" i="10"/>
  <c r="W85" i="10"/>
  <c r="V97" i="10"/>
  <c r="W97" i="10"/>
  <c r="V87" i="10"/>
  <c r="W87" i="10"/>
  <c r="W36" i="10"/>
  <c r="V36" i="10"/>
  <c r="V68" i="10"/>
  <c r="W68" i="10"/>
  <c r="W20" i="10"/>
  <c r="V20" i="10"/>
  <c r="V79" i="10"/>
  <c r="W79" i="10"/>
  <c r="V59" i="10"/>
  <c r="W59" i="10"/>
  <c r="V89" i="10"/>
  <c r="W89" i="10"/>
  <c r="V119" i="10"/>
  <c r="W119" i="10"/>
  <c r="V44" i="10"/>
  <c r="W44" i="10"/>
  <c r="W112" i="10"/>
  <c r="V112" i="10"/>
  <c r="V113" i="10"/>
  <c r="W113" i="10"/>
  <c r="W17" i="10"/>
  <c r="V17" i="10"/>
  <c r="W84" i="10"/>
  <c r="V84" i="10"/>
  <c r="W116" i="10"/>
  <c r="V116" i="10"/>
  <c r="W104" i="10"/>
  <c r="V104" i="10"/>
  <c r="W16" i="10"/>
  <c r="V16" i="10"/>
  <c r="W120" i="10"/>
  <c r="V120" i="10"/>
  <c r="V111" i="10"/>
  <c r="W111" i="10"/>
  <c r="V61" i="10"/>
  <c r="W61" i="10"/>
  <c r="V109" i="10"/>
  <c r="W109" i="10"/>
  <c r="V81" i="10"/>
  <c r="W81" i="10"/>
  <c r="V90" i="10"/>
  <c r="W90" i="10"/>
  <c r="V7" i="10"/>
  <c r="W7" i="10"/>
  <c r="V65" i="10"/>
  <c r="W65" i="10"/>
  <c r="V34" i="10"/>
  <c r="W34" i="10"/>
  <c r="V54" i="10"/>
  <c r="W54" i="10"/>
  <c r="W100" i="10"/>
  <c r="V100" i="10"/>
  <c r="W52" i="10"/>
  <c r="V52" i="10"/>
  <c r="V41" i="10"/>
  <c r="W41" i="10"/>
  <c r="V47" i="10"/>
  <c r="W47" i="10"/>
  <c r="V18" i="10"/>
  <c r="W18" i="10"/>
  <c r="V71" i="10"/>
  <c r="W71" i="10"/>
  <c r="W30" i="10"/>
  <c r="V30" i="10"/>
  <c r="V24" i="10"/>
  <c r="W24" i="10"/>
  <c r="V114" i="10"/>
  <c r="W114" i="10"/>
  <c r="V27" i="10"/>
  <c r="W27" i="10"/>
  <c r="W60" i="10"/>
  <c r="V60" i="10"/>
  <c r="V92" i="10"/>
  <c r="W92" i="10"/>
  <c r="W40" i="10"/>
  <c r="V40" i="10"/>
  <c r="V23" i="10"/>
  <c r="W23" i="10"/>
  <c r="V28" i="10"/>
  <c r="W28" i="10"/>
  <c r="W8" i="10"/>
  <c r="V8" i="10"/>
  <c r="V117" i="10"/>
  <c r="W117" i="10"/>
  <c r="V50" i="10"/>
  <c r="W50" i="10"/>
  <c r="V45" i="10"/>
  <c r="W45" i="10"/>
  <c r="V106" i="10"/>
  <c r="W106" i="10"/>
  <c r="AT13" i="10"/>
  <c r="AT26" i="10"/>
  <c r="AT14" i="10"/>
  <c r="AT74" i="10"/>
  <c r="AT38" i="10"/>
  <c r="AT122" i="10"/>
  <c r="AT86" i="10"/>
  <c r="AT134" i="10"/>
  <c r="AT50" i="10"/>
  <c r="AT5" i="10"/>
  <c r="AT110" i="10"/>
  <c r="AT62" i="10"/>
  <c r="AT146" i="10"/>
  <c r="AT155" i="10"/>
  <c r="AT37" i="10"/>
  <c r="AT54" i="10"/>
  <c r="AT85" i="10"/>
  <c r="AT73" i="10"/>
  <c r="AT152" i="10"/>
  <c r="AT131" i="10"/>
  <c r="AT65" i="10"/>
  <c r="AT39" i="10"/>
  <c r="AT114" i="10"/>
  <c r="AT151" i="10"/>
  <c r="AT61" i="10"/>
  <c r="AT148" i="10"/>
  <c r="AT132" i="10"/>
  <c r="AT71" i="10"/>
  <c r="AT140" i="10"/>
  <c r="AT34" i="10"/>
  <c r="AT96" i="10"/>
  <c r="AT128" i="10"/>
  <c r="AT25" i="10"/>
  <c r="AT153" i="10"/>
  <c r="AT124" i="10"/>
  <c r="AT72" i="10"/>
  <c r="AT47" i="10"/>
  <c r="AT31" i="10"/>
  <c r="AT77" i="10"/>
  <c r="AT11" i="10"/>
  <c r="AT60" i="10"/>
  <c r="AT52" i="10"/>
  <c r="AQ52" i="10" s="1"/>
  <c r="AT145" i="10"/>
  <c r="AT42" i="10"/>
  <c r="AT30" i="10"/>
  <c r="AT95" i="10"/>
  <c r="AT49" i="10"/>
  <c r="AT150" i="10"/>
  <c r="AT58" i="10"/>
  <c r="AT17" i="10"/>
  <c r="AQ17" i="10" s="1"/>
  <c r="AT19" i="10"/>
  <c r="AT68" i="10"/>
  <c r="AT143" i="10"/>
  <c r="AT40" i="10"/>
  <c r="AT36" i="10"/>
  <c r="AT115" i="10"/>
  <c r="AT87" i="10"/>
  <c r="AT83" i="10"/>
  <c r="AT133" i="10"/>
  <c r="AT7" i="10"/>
  <c r="AT149" i="10"/>
  <c r="AT127" i="10"/>
  <c r="AT66" i="10"/>
  <c r="AT141" i="10"/>
  <c r="AT28" i="10"/>
  <c r="AT10" i="10"/>
  <c r="AT3" i="10"/>
  <c r="AT147" i="10"/>
  <c r="AT55" i="10"/>
  <c r="AQ55" i="10" s="1"/>
  <c r="AT22" i="10"/>
  <c r="AT137" i="10"/>
  <c r="AT27" i="10"/>
  <c r="AT90" i="10"/>
  <c r="AQ90" i="10" s="1"/>
  <c r="AT82" i="10"/>
  <c r="AT24" i="10"/>
  <c r="AT144" i="10"/>
  <c r="AT41" i="10"/>
  <c r="AQ41" i="10" s="1"/>
  <c r="AT43" i="10"/>
  <c r="AT32" i="10"/>
  <c r="AT112" i="10"/>
  <c r="AT89" i="10"/>
  <c r="AT84" i="10"/>
  <c r="AT120" i="10"/>
  <c r="AT91" i="10"/>
  <c r="AT75" i="10"/>
  <c r="AT126" i="10"/>
  <c r="AT29" i="10"/>
  <c r="AT88" i="10"/>
  <c r="AT23" i="10"/>
  <c r="AT46" i="10"/>
  <c r="AT59" i="10"/>
  <c r="AT129" i="10"/>
  <c r="AT92" i="10"/>
  <c r="AT6" i="10"/>
  <c r="AT12" i="10"/>
  <c r="AT157" i="10"/>
  <c r="AT123" i="10"/>
  <c r="AT80" i="10"/>
  <c r="AT125" i="10"/>
  <c r="AT8" i="10"/>
  <c r="AT4" i="10"/>
  <c r="AT156" i="10"/>
  <c r="AT56" i="10"/>
  <c r="AQ56" i="10" s="1"/>
  <c r="AT15" i="10"/>
  <c r="AT139" i="10"/>
  <c r="AT35" i="10"/>
  <c r="AT2" i="10"/>
  <c r="AT97" i="10"/>
  <c r="AT53" i="10"/>
  <c r="AQ53" i="10" s="1"/>
  <c r="AT18" i="10"/>
  <c r="AT138" i="10"/>
  <c r="AT44" i="10"/>
  <c r="AT113" i="10"/>
  <c r="AT79" i="10"/>
  <c r="AT16" i="10"/>
  <c r="AT135" i="10"/>
  <c r="AT117" i="10"/>
  <c r="AT51" i="10"/>
  <c r="AQ51" i="10" s="1"/>
  <c r="AT121" i="10"/>
  <c r="AT67" i="10"/>
  <c r="AT64" i="10"/>
  <c r="AT119" i="10"/>
  <c r="AT20" i="10"/>
  <c r="AT70" i="10"/>
  <c r="AT136" i="10"/>
  <c r="AT48" i="10"/>
  <c r="AT111" i="10"/>
  <c r="AT78" i="10"/>
  <c r="AT116" i="10"/>
  <c r="AT94" i="10"/>
  <c r="AT76" i="10"/>
  <c r="AR2" i="10" l="1"/>
  <c r="R15" i="11"/>
  <c r="Y19" i="19"/>
  <c r="N19" i="19"/>
  <c r="Q19" i="19"/>
  <c r="W19" i="19"/>
  <c r="Z19" i="19"/>
  <c r="X19" i="19"/>
  <c r="P19" i="19"/>
  <c r="O19" i="19"/>
  <c r="T19" i="19"/>
  <c r="V19" i="19"/>
  <c r="R19" i="19"/>
  <c r="S19" i="19"/>
  <c r="U19" i="19"/>
  <c r="M20" i="19"/>
  <c r="AS63" i="10"/>
  <c r="AV63" i="10" s="1"/>
  <c r="AR63" i="10"/>
  <c r="AU63" i="10" s="1"/>
  <c r="Z6" i="16"/>
  <c r="Z25" i="16"/>
  <c r="Z80" i="16"/>
  <c r="Z95" i="16"/>
  <c r="Z108" i="16"/>
  <c r="Z22" i="16"/>
  <c r="AW51" i="10"/>
  <c r="Z142" i="16"/>
  <c r="AQ79" i="10"/>
  <c r="Z23" i="16"/>
  <c r="AQ18" i="10"/>
  <c r="Z138" i="16"/>
  <c r="AQ35" i="10"/>
  <c r="Z114" i="16"/>
  <c r="AW156" i="10"/>
  <c r="Z155" i="16"/>
  <c r="AQ80" i="10"/>
  <c r="Z125" i="16"/>
  <c r="AW6" i="10"/>
  <c r="Z14" i="16"/>
  <c r="AQ46" i="10"/>
  <c r="Z24" i="16"/>
  <c r="AW126" i="10"/>
  <c r="Z135" i="16"/>
  <c r="AQ84" i="10"/>
  <c r="Z62" i="16"/>
  <c r="AQ43" i="10"/>
  <c r="Z65" i="16"/>
  <c r="AQ24" i="10"/>
  <c r="Z35" i="16"/>
  <c r="AQ137" i="10"/>
  <c r="Z46" i="16"/>
  <c r="AQ3" i="10"/>
  <c r="Z39" i="16"/>
  <c r="AQ66" i="10"/>
  <c r="Z37" i="16"/>
  <c r="AW133" i="10"/>
  <c r="Z11" i="16"/>
  <c r="AQ36" i="10"/>
  <c r="Z18" i="16"/>
  <c r="AQ19" i="10"/>
  <c r="Z61" i="16"/>
  <c r="AW49" i="10"/>
  <c r="Z20" i="16"/>
  <c r="AW145" i="10"/>
  <c r="Z156" i="16"/>
  <c r="AQ77" i="10"/>
  <c r="Z27" i="16"/>
  <c r="AQ124" i="10"/>
  <c r="Z141" i="16"/>
  <c r="AQ96" i="10"/>
  <c r="Z76" i="16"/>
  <c r="AW132" i="10"/>
  <c r="Z130" i="16"/>
  <c r="AQ114" i="10"/>
  <c r="Z29" i="16"/>
  <c r="AW152" i="10"/>
  <c r="Z119" i="16"/>
  <c r="AW37" i="10"/>
  <c r="Z153" i="16"/>
  <c r="AQ110" i="10"/>
  <c r="Z45" i="16"/>
  <c r="AQ86" i="10"/>
  <c r="Z31" i="16"/>
  <c r="AW14" i="10"/>
  <c r="Z16" i="16"/>
  <c r="AW107" i="10"/>
  <c r="Z139" i="16"/>
  <c r="AW105" i="10"/>
  <c r="Z94" i="16"/>
  <c r="AW57" i="10"/>
  <c r="Z110" i="16"/>
  <c r="AW9" i="10"/>
  <c r="Z124" i="16"/>
  <c r="AW81" i="10"/>
  <c r="Z105" i="16"/>
  <c r="AQ94" i="10"/>
  <c r="Z55" i="16"/>
  <c r="AQ116" i="10"/>
  <c r="Z15" i="16"/>
  <c r="AQ136" i="10"/>
  <c r="Z57" i="16"/>
  <c r="AQ64" i="10"/>
  <c r="Z17" i="16"/>
  <c r="AQ117" i="10"/>
  <c r="Z89" i="16"/>
  <c r="AQ113" i="10"/>
  <c r="Z7" i="16"/>
  <c r="AW53" i="10"/>
  <c r="Z101" i="16"/>
  <c r="AQ139" i="10"/>
  <c r="Z134" i="16"/>
  <c r="AQ4" i="10"/>
  <c r="Z52" i="16"/>
  <c r="AQ123" i="10"/>
  <c r="Z36" i="16"/>
  <c r="AQ92" i="10"/>
  <c r="Z129" i="16"/>
  <c r="AW23" i="10"/>
  <c r="Z86" i="16"/>
  <c r="AQ75" i="10"/>
  <c r="Z9" i="16"/>
  <c r="AQ89" i="10"/>
  <c r="Z70" i="16"/>
  <c r="AW41" i="10"/>
  <c r="Z84" i="16"/>
  <c r="AQ82" i="10"/>
  <c r="Z26" i="16"/>
  <c r="AQ22" i="10"/>
  <c r="Z28" i="16"/>
  <c r="AQ10" i="10"/>
  <c r="Z42" i="16"/>
  <c r="AQ127" i="10"/>
  <c r="Z143" i="16"/>
  <c r="AW83" i="10"/>
  <c r="Z81" i="16"/>
  <c r="AQ40" i="10"/>
  <c r="Z63" i="16"/>
  <c r="AW17" i="10"/>
  <c r="Z87" i="16"/>
  <c r="AW95" i="10"/>
  <c r="Z82" i="16"/>
  <c r="AW52" i="10"/>
  <c r="Z100" i="16"/>
  <c r="AQ31" i="10"/>
  <c r="Z50" i="16"/>
  <c r="AW153" i="10"/>
  <c r="Z115" i="16"/>
  <c r="AQ34" i="10"/>
  <c r="Z4" i="16"/>
  <c r="AW148" i="10"/>
  <c r="Z122" i="16"/>
  <c r="AQ39" i="10"/>
  <c r="Z51" i="16"/>
  <c r="AW73" i="10"/>
  <c r="Z152" i="16"/>
  <c r="AW155" i="10"/>
  <c r="Z116" i="16"/>
  <c r="AW5" i="10"/>
  <c r="Z19" i="16"/>
  <c r="AW122" i="10"/>
  <c r="Z123" i="16"/>
  <c r="AQ26" i="10"/>
  <c r="Z71" i="16"/>
  <c r="AW100" i="10"/>
  <c r="Z90" i="16"/>
  <c r="AW154" i="10"/>
  <c r="Z147" i="16"/>
  <c r="AW21" i="10"/>
  <c r="Z137" i="16"/>
  <c r="AW142" i="10"/>
  <c r="Z127" i="16"/>
  <c r="AQ108" i="10"/>
  <c r="Z40" i="16"/>
  <c r="AQ119" i="10"/>
  <c r="Z140" i="16"/>
  <c r="AQ78" i="10"/>
  <c r="Z128" i="16"/>
  <c r="AQ70" i="10"/>
  <c r="Z2" i="16"/>
  <c r="AQ67" i="10"/>
  <c r="Z68" i="16"/>
  <c r="AQ135" i="10"/>
  <c r="Z64" i="16"/>
  <c r="AQ44" i="10"/>
  <c r="Z74" i="16"/>
  <c r="AW97" i="10"/>
  <c r="Z56" i="16"/>
  <c r="AQ15" i="10"/>
  <c r="Z33" i="16"/>
  <c r="AQ8" i="10"/>
  <c r="Z148" i="16"/>
  <c r="AW157" i="10"/>
  <c r="Z113" i="16"/>
  <c r="AQ129" i="10"/>
  <c r="Z145" i="16"/>
  <c r="AQ88" i="10"/>
  <c r="Z77" i="16"/>
  <c r="AQ91" i="10"/>
  <c r="Z133" i="16"/>
  <c r="AQ112" i="10"/>
  <c r="Z53" i="16"/>
  <c r="AQ144" i="10"/>
  <c r="Z150" i="16"/>
  <c r="AW90" i="10"/>
  <c r="Z83" i="16"/>
  <c r="AW55" i="10"/>
  <c r="Z132" i="16"/>
  <c r="AQ28" i="10"/>
  <c r="Z5" i="16"/>
  <c r="AW149" i="10"/>
  <c r="Z117" i="16"/>
  <c r="AQ87" i="10"/>
  <c r="Z72" i="16"/>
  <c r="AQ143" i="10"/>
  <c r="Z54" i="16"/>
  <c r="AQ58" i="10"/>
  <c r="Z120" i="16"/>
  <c r="AQ30" i="10"/>
  <c r="Z78" i="16"/>
  <c r="AW60" i="10"/>
  <c r="Z98" i="16"/>
  <c r="AQ47" i="10"/>
  <c r="Z99" i="16"/>
  <c r="AQ140" i="10"/>
  <c r="Z75" i="16"/>
  <c r="AW61" i="10"/>
  <c r="Z136" i="16"/>
  <c r="AQ65" i="10"/>
  <c r="Z3" i="16"/>
  <c r="AW85" i="10"/>
  <c r="Z151" i="16"/>
  <c r="AW146" i="10"/>
  <c r="Z88" i="16"/>
  <c r="AW50" i="10"/>
  <c r="Z91" i="16"/>
  <c r="AQ38" i="10"/>
  <c r="Z58" i="16"/>
  <c r="AW13" i="10"/>
  <c r="Z126" i="16"/>
  <c r="AW69" i="10"/>
  <c r="Z131" i="16"/>
  <c r="AQ104" i="10"/>
  <c r="Z32" i="16"/>
  <c r="AW93" i="10"/>
  <c r="Z107" i="16"/>
  <c r="AW130" i="10"/>
  <c r="Z109" i="16"/>
  <c r="AQ48" i="10"/>
  <c r="Z48" i="16"/>
  <c r="AQ76" i="10"/>
  <c r="Z10" i="16"/>
  <c r="AQ111" i="10"/>
  <c r="Z12" i="16"/>
  <c r="AW20" i="10"/>
  <c r="Z85" i="16"/>
  <c r="AW121" i="10"/>
  <c r="Z157" i="16"/>
  <c r="AQ138" i="10"/>
  <c r="Z30" i="16"/>
  <c r="AW2" i="10"/>
  <c r="Z8" i="16"/>
  <c r="AW56" i="10"/>
  <c r="Z111" i="16"/>
  <c r="AQ125" i="10"/>
  <c r="Z93" i="16"/>
  <c r="AQ12" i="10"/>
  <c r="Z60" i="16"/>
  <c r="AW59" i="10"/>
  <c r="Z118" i="16"/>
  <c r="AQ29" i="10"/>
  <c r="Z59" i="16"/>
  <c r="AQ120" i="10"/>
  <c r="Z13" i="16"/>
  <c r="AQ32" i="10"/>
  <c r="Z79" i="16"/>
  <c r="Z67" i="16"/>
  <c r="AQ27" i="10"/>
  <c r="Z41" i="16"/>
  <c r="AW147" i="10"/>
  <c r="Z154" i="16"/>
  <c r="AQ141" i="10"/>
  <c r="Z47" i="16"/>
  <c r="AQ7" i="10"/>
  <c r="Z97" i="16"/>
  <c r="AQ115" i="10"/>
  <c r="Z44" i="16"/>
  <c r="AQ68" i="10"/>
  <c r="Z69" i="16"/>
  <c r="AW150" i="10"/>
  <c r="Z21" i="16"/>
  <c r="AQ42" i="10"/>
  <c r="Z73" i="16"/>
  <c r="AW11" i="10"/>
  <c r="Z66" i="16"/>
  <c r="AQ72" i="10"/>
  <c r="Z43" i="16"/>
  <c r="AQ128" i="10"/>
  <c r="Z144" i="16"/>
  <c r="AQ71" i="10"/>
  <c r="Z92" i="16"/>
  <c r="AW151" i="10"/>
  <c r="Z121" i="16"/>
  <c r="AW131" i="10"/>
  <c r="Z102" i="16"/>
  <c r="AW54" i="10"/>
  <c r="Z146" i="16"/>
  <c r="AQ62" i="10"/>
  <c r="Z38" i="16"/>
  <c r="AQ134" i="10"/>
  <c r="Z34" i="16"/>
  <c r="AQ74" i="10"/>
  <c r="Z49" i="16"/>
  <c r="AW98" i="10"/>
  <c r="Z106" i="16"/>
  <c r="AW102" i="10"/>
  <c r="Z112" i="16"/>
  <c r="AW118" i="10"/>
  <c r="Z104" i="16"/>
  <c r="AW103" i="10"/>
  <c r="Z96" i="16"/>
  <c r="AW109" i="10"/>
  <c r="Z149" i="16"/>
  <c r="AW45" i="10"/>
  <c r="Z103" i="16"/>
  <c r="AW16" i="10"/>
  <c r="AQ16" i="10"/>
  <c r="AW33" i="10"/>
  <c r="AQ33" i="10"/>
  <c r="AW106" i="10"/>
  <c r="AQ106" i="10"/>
  <c r="AW101" i="10"/>
  <c r="AQ101" i="10"/>
  <c r="AW99" i="10"/>
  <c r="AQ99" i="10"/>
  <c r="AW116" i="10"/>
  <c r="AW64" i="10"/>
  <c r="AW113" i="10"/>
  <c r="AW4" i="10"/>
  <c r="AW92" i="10"/>
  <c r="AW75" i="10"/>
  <c r="AW89" i="10"/>
  <c r="AW82" i="10"/>
  <c r="AW22" i="10"/>
  <c r="AW10" i="10"/>
  <c r="AW127" i="10"/>
  <c r="AW40" i="10"/>
  <c r="AW31" i="10"/>
  <c r="AW34" i="10"/>
  <c r="AW39" i="10"/>
  <c r="AW26" i="10"/>
  <c r="AW108" i="10"/>
  <c r="AW78" i="10"/>
  <c r="AW67" i="10"/>
  <c r="AW135" i="10"/>
  <c r="AW44" i="10"/>
  <c r="AW15" i="10"/>
  <c r="AW8" i="10"/>
  <c r="AW129" i="10"/>
  <c r="AW88" i="10"/>
  <c r="AW91" i="10"/>
  <c r="AW112" i="10"/>
  <c r="AW144" i="10"/>
  <c r="AW28" i="10"/>
  <c r="AW87" i="10"/>
  <c r="AW143" i="10"/>
  <c r="AW58" i="10"/>
  <c r="AW30" i="10"/>
  <c r="AW47" i="10"/>
  <c r="AW140" i="10"/>
  <c r="AW65" i="10"/>
  <c r="AW38" i="10"/>
  <c r="AW104" i="10"/>
  <c r="AW29" i="10"/>
  <c r="AW32" i="10"/>
  <c r="AW27" i="10"/>
  <c r="AW141" i="10"/>
  <c r="AW7" i="10"/>
  <c r="AW115" i="10"/>
  <c r="AW68" i="10"/>
  <c r="AW42" i="10"/>
  <c r="AW72" i="10"/>
  <c r="AW128" i="10"/>
  <c r="AW71" i="10"/>
  <c r="AW62" i="10"/>
  <c r="AW134" i="10"/>
  <c r="AW74" i="10"/>
  <c r="AW136" i="10"/>
  <c r="AW117" i="10"/>
  <c r="AW139" i="10"/>
  <c r="AW123" i="10"/>
  <c r="AW76" i="10"/>
  <c r="AW111" i="10"/>
  <c r="AW138" i="10"/>
  <c r="AW125" i="10"/>
  <c r="AW12" i="10"/>
  <c r="AW94" i="10"/>
  <c r="AW48" i="10"/>
  <c r="AW119" i="10"/>
  <c r="AW79" i="10"/>
  <c r="AW18" i="10"/>
  <c r="AW35" i="10"/>
  <c r="AW80" i="10"/>
  <c r="AW46" i="10"/>
  <c r="AW84" i="10"/>
  <c r="AW43" i="10"/>
  <c r="AW24" i="10"/>
  <c r="AW137" i="10"/>
  <c r="AW3" i="10"/>
  <c r="AW66" i="10"/>
  <c r="AW19" i="10"/>
  <c r="AW77" i="10"/>
  <c r="AW124" i="10"/>
  <c r="AW96" i="10"/>
  <c r="AW114" i="10"/>
  <c r="AW110" i="10"/>
  <c r="AW86" i="10"/>
  <c r="AS81" i="10"/>
  <c r="AS45" i="10"/>
  <c r="AS130" i="10"/>
  <c r="AS105" i="10"/>
  <c r="AS102" i="10"/>
  <c r="AS9" i="10"/>
  <c r="AS93" i="10"/>
  <c r="AP93" i="10" s="1"/>
  <c r="AS142" i="10"/>
  <c r="AP142" i="10" s="1"/>
  <c r="AS57" i="10"/>
  <c r="AP57" i="10" s="1"/>
  <c r="AS106" i="10"/>
  <c r="AS109" i="10"/>
  <c r="AS21" i="10"/>
  <c r="AS118" i="10"/>
  <c r="AS69" i="10"/>
  <c r="AS154" i="10"/>
  <c r="AS108" i="10"/>
  <c r="AS33" i="10"/>
  <c r="AS103" i="10"/>
  <c r="AS99" i="10"/>
  <c r="AS107" i="10"/>
  <c r="AS100" i="10"/>
  <c r="AS101" i="10"/>
  <c r="AS104" i="10"/>
  <c r="AS98" i="10"/>
  <c r="AR81" i="10"/>
  <c r="AR45" i="10"/>
  <c r="AO45" i="10" s="1"/>
  <c r="AR130" i="10"/>
  <c r="AR101" i="10"/>
  <c r="AO101" i="10" s="1"/>
  <c r="AR107" i="10"/>
  <c r="AR104" i="10"/>
  <c r="AR99" i="10"/>
  <c r="AR93" i="10"/>
  <c r="AR142" i="10"/>
  <c r="AR57" i="10"/>
  <c r="AR105" i="10"/>
  <c r="AO105" i="10" s="1"/>
  <c r="AR108" i="10"/>
  <c r="AR102" i="10"/>
  <c r="AO102" i="10" s="1"/>
  <c r="AR33" i="10"/>
  <c r="AR21" i="10"/>
  <c r="AR9" i="10"/>
  <c r="AR100" i="10"/>
  <c r="AR118" i="10"/>
  <c r="AO118" i="10" s="1"/>
  <c r="AR69" i="10"/>
  <c r="AR154" i="10"/>
  <c r="AR106" i="10"/>
  <c r="AO106" i="10" s="1"/>
  <c r="AR103" i="10"/>
  <c r="AR109" i="10"/>
  <c r="AR98" i="10"/>
  <c r="AW70" i="10"/>
  <c r="AW36" i="10"/>
  <c r="AW25" i="10"/>
  <c r="AW120" i="10"/>
  <c r="AS86" i="10"/>
  <c r="AP86" i="10" s="1"/>
  <c r="AS4" i="10"/>
  <c r="AS149" i="10"/>
  <c r="AS60" i="10"/>
  <c r="AS13" i="10"/>
  <c r="AS49" i="10"/>
  <c r="AS51" i="10"/>
  <c r="AS128" i="10"/>
  <c r="AS20" i="10"/>
  <c r="AS41" i="10"/>
  <c r="AP41" i="10" s="1"/>
  <c r="AS32" i="10"/>
  <c r="AP32" i="10" s="1"/>
  <c r="AS89" i="10"/>
  <c r="AP89" i="10" s="1"/>
  <c r="AS84" i="10"/>
  <c r="AS110" i="10"/>
  <c r="AS8" i="10"/>
  <c r="AP8" i="10" s="1"/>
  <c r="AS150" i="10"/>
  <c r="AS153" i="10"/>
  <c r="AS58" i="10"/>
  <c r="AP58" i="10" s="1"/>
  <c r="AS124" i="10"/>
  <c r="AS16" i="10"/>
  <c r="AP16" i="10" s="1"/>
  <c r="AS72" i="10"/>
  <c r="AS135" i="10"/>
  <c r="AP135" i="10" s="1"/>
  <c r="AS47" i="10"/>
  <c r="AS29" i="10"/>
  <c r="AP29" i="10" s="1"/>
  <c r="AS31" i="10"/>
  <c r="AS117" i="10"/>
  <c r="AP117" i="10" s="1"/>
  <c r="AS88" i="10"/>
  <c r="AS77" i="10"/>
  <c r="AS50" i="10"/>
  <c r="AS7" i="10"/>
  <c r="AP7" i="10" s="1"/>
  <c r="AS121" i="10"/>
  <c r="AS131" i="10"/>
  <c r="AS15" i="10"/>
  <c r="AS65" i="10"/>
  <c r="AS139" i="10"/>
  <c r="AS39" i="10"/>
  <c r="AP39" i="10" s="1"/>
  <c r="AS35" i="10"/>
  <c r="AS114" i="10"/>
  <c r="AP114" i="10" s="1"/>
  <c r="AS116" i="10"/>
  <c r="AS94" i="10"/>
  <c r="AS38" i="10"/>
  <c r="AS2" i="10"/>
  <c r="AS61" i="10"/>
  <c r="AS97" i="10"/>
  <c r="AS148" i="10"/>
  <c r="AS53" i="10"/>
  <c r="AP53" i="10" s="1"/>
  <c r="AS132" i="10"/>
  <c r="AS62" i="10"/>
  <c r="AS25" i="10"/>
  <c r="AS14" i="10"/>
  <c r="AS10" i="10"/>
  <c r="AS151" i="10"/>
  <c r="AS126" i="10"/>
  <c r="AS144" i="10"/>
  <c r="AS43" i="10"/>
  <c r="AS112" i="10"/>
  <c r="AS75" i="10"/>
  <c r="AP75" i="10" s="1"/>
  <c r="AS129" i="10"/>
  <c r="AS146" i="10"/>
  <c r="AS37" i="10"/>
  <c r="AS157" i="10"/>
  <c r="AS123" i="10"/>
  <c r="AS17" i="10"/>
  <c r="AS68" i="10"/>
  <c r="AS40" i="10"/>
  <c r="AS115" i="10"/>
  <c r="AS87" i="10"/>
  <c r="AS73" i="10"/>
  <c r="AS23" i="10"/>
  <c r="AS66" i="10"/>
  <c r="AS141" i="10"/>
  <c r="AS28" i="10"/>
  <c r="AS120" i="10"/>
  <c r="AP120" i="10" s="1"/>
  <c r="AS74" i="10"/>
  <c r="AS3" i="10"/>
  <c r="AS147" i="10"/>
  <c r="AS59" i="10"/>
  <c r="AS134" i="10"/>
  <c r="AS11" i="10"/>
  <c r="AS152" i="10"/>
  <c r="AS56" i="10"/>
  <c r="AP56" i="10" s="1"/>
  <c r="AS26" i="10"/>
  <c r="AS133" i="10"/>
  <c r="AS155" i="10"/>
  <c r="AS125" i="10"/>
  <c r="AS70" i="10"/>
  <c r="AS136" i="10"/>
  <c r="AS48" i="10"/>
  <c r="AP48" i="10" s="1"/>
  <c r="AS30" i="10"/>
  <c r="AS111" i="10"/>
  <c r="AP111" i="10" s="1"/>
  <c r="AS95" i="10"/>
  <c r="AS78" i="10"/>
  <c r="AP78" i="10" s="1"/>
  <c r="AS18" i="10"/>
  <c r="AS71" i="10"/>
  <c r="AS138" i="10"/>
  <c r="AS140" i="10"/>
  <c r="AS44" i="10"/>
  <c r="AP44" i="10" s="1"/>
  <c r="AS34" i="10"/>
  <c r="AS113" i="10"/>
  <c r="AS96" i="10"/>
  <c r="AS79" i="10"/>
  <c r="AS12" i="10"/>
  <c r="AS54" i="10"/>
  <c r="AS19" i="10"/>
  <c r="AP19" i="10" s="1"/>
  <c r="AS143" i="10"/>
  <c r="AP143" i="10" s="1"/>
  <c r="AS36" i="10"/>
  <c r="AS83" i="10"/>
  <c r="AS156" i="10"/>
  <c r="AS127" i="10"/>
  <c r="AS67" i="10"/>
  <c r="AS46" i="10"/>
  <c r="AP46" i="10" s="1"/>
  <c r="AS91" i="10"/>
  <c r="AS122" i="10"/>
  <c r="AS145" i="10"/>
  <c r="AS55" i="10"/>
  <c r="AS6" i="10"/>
  <c r="AS52" i="10"/>
  <c r="AS24" i="10"/>
  <c r="AP24" i="10" s="1"/>
  <c r="AS5" i="10"/>
  <c r="AS22" i="10"/>
  <c r="AS137" i="10"/>
  <c r="AS27" i="10"/>
  <c r="AP27" i="10" s="1"/>
  <c r="AS90" i="10"/>
  <c r="AP90" i="10" s="1"/>
  <c r="AS82" i="10"/>
  <c r="AS80" i="10"/>
  <c r="AS85" i="10"/>
  <c r="AS76" i="10"/>
  <c r="AS64" i="10"/>
  <c r="AS42" i="10"/>
  <c r="AS119" i="10"/>
  <c r="AS92" i="10"/>
  <c r="AP92" i="10" s="1"/>
  <c r="AR56" i="10"/>
  <c r="AO56" i="10" s="1"/>
  <c r="AR146" i="10"/>
  <c r="AR12" i="10"/>
  <c r="AR37" i="10"/>
  <c r="AR157" i="10"/>
  <c r="AR54" i="10"/>
  <c r="AR123" i="10"/>
  <c r="AR17" i="10"/>
  <c r="AO17" i="10" s="1"/>
  <c r="AR19" i="10"/>
  <c r="AR68" i="10"/>
  <c r="AR143" i="10"/>
  <c r="AO143" i="10" s="1"/>
  <c r="AR40" i="10"/>
  <c r="AR36" i="10"/>
  <c r="AR115" i="10"/>
  <c r="AR87" i="10"/>
  <c r="AO87" i="10" s="1"/>
  <c r="AR83" i="10"/>
  <c r="AR73" i="10"/>
  <c r="AR127" i="10"/>
  <c r="AR23" i="10"/>
  <c r="AR66" i="10"/>
  <c r="AR67" i="10"/>
  <c r="AR141" i="10"/>
  <c r="AR46" i="10"/>
  <c r="AR28" i="10"/>
  <c r="AR120" i="10"/>
  <c r="AR91" i="10"/>
  <c r="AR122" i="10"/>
  <c r="AR74" i="10"/>
  <c r="AR3" i="10"/>
  <c r="AO3" i="10" s="1"/>
  <c r="AR145" i="10"/>
  <c r="AR147" i="10"/>
  <c r="AR59" i="10"/>
  <c r="AR55" i="10"/>
  <c r="AO55" i="10" s="1"/>
  <c r="AR4" i="10"/>
  <c r="AO4" i="10" s="1"/>
  <c r="AR5" i="10"/>
  <c r="AR14" i="10"/>
  <c r="AR10" i="10"/>
  <c r="AR151" i="10"/>
  <c r="AR126" i="10"/>
  <c r="AR144" i="10"/>
  <c r="AR43" i="10"/>
  <c r="AO43" i="10" s="1"/>
  <c r="AR112" i="10"/>
  <c r="AR80" i="10"/>
  <c r="AR86" i="10"/>
  <c r="AR149" i="10"/>
  <c r="AR60" i="10"/>
  <c r="AR13" i="10"/>
  <c r="AR49" i="10"/>
  <c r="AR51" i="10"/>
  <c r="AO51" i="10" s="1"/>
  <c r="AR128" i="10"/>
  <c r="AR41" i="10"/>
  <c r="AO41" i="10" s="1"/>
  <c r="AR32" i="10"/>
  <c r="AR89" i="10"/>
  <c r="AR84" i="10"/>
  <c r="AO84" i="10" s="1"/>
  <c r="AR22" i="10"/>
  <c r="AO22" i="10" s="1"/>
  <c r="AR64" i="10"/>
  <c r="AR137" i="10"/>
  <c r="AR42" i="10"/>
  <c r="AR27" i="10"/>
  <c r="AR119" i="10"/>
  <c r="AR90" i="10"/>
  <c r="AO90" i="10" s="1"/>
  <c r="AR92" i="10"/>
  <c r="AR82" i="10"/>
  <c r="AR11" i="10"/>
  <c r="AR152" i="10"/>
  <c r="AR129" i="10"/>
  <c r="AR110" i="10"/>
  <c r="AR8" i="10"/>
  <c r="AR150" i="10"/>
  <c r="AR153" i="10"/>
  <c r="AR58" i="10"/>
  <c r="AO58" i="10" s="1"/>
  <c r="AR124" i="10"/>
  <c r="AR16" i="10"/>
  <c r="AR72" i="10"/>
  <c r="AR135" i="10"/>
  <c r="AR47" i="10"/>
  <c r="AR29" i="10"/>
  <c r="AO29" i="10" s="1"/>
  <c r="AR31" i="10"/>
  <c r="AR117" i="10"/>
  <c r="AO117" i="10" s="1"/>
  <c r="AR88" i="10"/>
  <c r="AO88" i="10" s="1"/>
  <c r="AR77" i="10"/>
  <c r="AR7" i="10"/>
  <c r="AR121" i="10"/>
  <c r="AR131" i="10"/>
  <c r="AR15" i="10"/>
  <c r="AR65" i="10"/>
  <c r="AR139" i="10"/>
  <c r="AR39" i="10"/>
  <c r="AO39" i="10" s="1"/>
  <c r="AR35" i="10"/>
  <c r="AR114" i="10"/>
  <c r="AO114" i="10" s="1"/>
  <c r="AR116" i="10"/>
  <c r="AR94" i="10"/>
  <c r="AR50" i="10"/>
  <c r="AR38" i="10"/>
  <c r="AO38" i="10" s="1"/>
  <c r="AR61" i="10"/>
  <c r="AR97" i="10"/>
  <c r="AR148" i="10"/>
  <c r="AR53" i="10"/>
  <c r="AO53" i="10" s="1"/>
  <c r="AR132" i="10"/>
  <c r="AR62" i="10"/>
  <c r="AR25" i="10"/>
  <c r="AR6" i="10"/>
  <c r="AR85" i="10"/>
  <c r="AR52" i="10"/>
  <c r="AO52" i="10" s="1"/>
  <c r="AR24" i="10"/>
  <c r="AR156" i="10"/>
  <c r="AR75" i="10"/>
  <c r="AR134" i="10"/>
  <c r="AR136" i="10"/>
  <c r="AR95" i="10"/>
  <c r="AR18" i="10"/>
  <c r="AR138" i="10"/>
  <c r="AO138" i="10" s="1"/>
  <c r="AR44" i="10"/>
  <c r="AO44" i="10" s="1"/>
  <c r="AR113" i="10"/>
  <c r="AR79" i="10"/>
  <c r="AR133" i="10"/>
  <c r="AR125" i="10"/>
  <c r="AR48" i="10"/>
  <c r="AO48" i="10" s="1"/>
  <c r="AR78" i="10"/>
  <c r="AR20" i="10"/>
  <c r="AR30" i="10"/>
  <c r="AR71" i="10"/>
  <c r="AR140" i="10"/>
  <c r="AR34" i="10"/>
  <c r="AR96" i="10"/>
  <c r="AR26" i="10"/>
  <c r="AR155" i="10"/>
  <c r="AR70" i="10"/>
  <c r="AR111" i="10"/>
  <c r="AR76" i="10"/>
  <c r="F3" i="13" l="1"/>
  <c r="C64" i="13"/>
  <c r="F74" i="13" s="1"/>
  <c r="N20" i="19"/>
  <c r="Y20" i="19"/>
  <c r="X20" i="19"/>
  <c r="U20" i="19"/>
  <c r="W20" i="19"/>
  <c r="O20" i="19"/>
  <c r="T20" i="19"/>
  <c r="Q20" i="19"/>
  <c r="S20" i="19"/>
  <c r="Z20" i="19"/>
  <c r="R20" i="19"/>
  <c r="V20" i="19"/>
  <c r="P20" i="19"/>
  <c r="I47" i="13"/>
  <c r="I50" i="13"/>
  <c r="I54" i="13"/>
  <c r="I49" i="13"/>
  <c r="I53" i="13"/>
  <c r="I52" i="13"/>
  <c r="I48" i="13"/>
  <c r="I55" i="13"/>
  <c r="M21" i="19"/>
  <c r="Y28" i="16"/>
  <c r="X51" i="16"/>
  <c r="Y61" i="16"/>
  <c r="X75" i="16"/>
  <c r="Y143" i="16"/>
  <c r="Y133" i="16"/>
  <c r="X2" i="16"/>
  <c r="Y80" i="16"/>
  <c r="Y71" i="16"/>
  <c r="Y36" i="16"/>
  <c r="X77" i="16"/>
  <c r="X68" i="16"/>
  <c r="Y77" i="16"/>
  <c r="X128" i="16"/>
  <c r="AO78" i="10"/>
  <c r="Y76" i="16"/>
  <c r="AP96" i="10"/>
  <c r="Y30" i="16"/>
  <c r="AP138" i="10"/>
  <c r="X114" i="16"/>
  <c r="Y128" i="16"/>
  <c r="Y69" i="16"/>
  <c r="Y58" i="16"/>
  <c r="X89" i="16"/>
  <c r="Y47" i="16"/>
  <c r="X58" i="16"/>
  <c r="X72" i="16"/>
  <c r="X54" i="16"/>
  <c r="Y41" i="16"/>
  <c r="Y150" i="16"/>
  <c r="X62" i="16"/>
  <c r="Y138" i="16"/>
  <c r="Y73" i="16"/>
  <c r="X48" i="16"/>
  <c r="X120" i="16"/>
  <c r="Y129" i="16"/>
  <c r="X76" i="16"/>
  <c r="Y60" i="16"/>
  <c r="Y92" i="16"/>
  <c r="Y42" i="16"/>
  <c r="X34" i="16"/>
  <c r="Y78" i="16"/>
  <c r="X99" i="16"/>
  <c r="Y17" i="16"/>
  <c r="X78" i="16"/>
  <c r="X74" i="16"/>
  <c r="X57" i="16"/>
  <c r="Y68" i="16"/>
  <c r="Y12" i="16"/>
  <c r="Y44" i="16"/>
  <c r="Y134" i="16"/>
  <c r="Y141" i="16"/>
  <c r="X35" i="16"/>
  <c r="X97" i="16"/>
  <c r="X28" i="16"/>
  <c r="X6" i="16"/>
  <c r="X52" i="16"/>
  <c r="Y54" i="16"/>
  <c r="Y74" i="16"/>
  <c r="X10" i="16"/>
  <c r="X64" i="16"/>
  <c r="X31" i="16"/>
  <c r="Y24" i="16"/>
  <c r="X38" i="16"/>
  <c r="X33" i="16"/>
  <c r="X129" i="16"/>
  <c r="AO92" i="10"/>
  <c r="X133" i="16"/>
  <c r="X47" i="16"/>
  <c r="X44" i="16"/>
  <c r="X69" i="16"/>
  <c r="Y93" i="16"/>
  <c r="Y13" i="16"/>
  <c r="Y9" i="16"/>
  <c r="Y67" i="16"/>
  <c r="Y29" i="16"/>
  <c r="Y89" i="16"/>
  <c r="Y64" i="16"/>
  <c r="Y120" i="16"/>
  <c r="Y45" i="16"/>
  <c r="X32" i="16"/>
  <c r="Y95" i="16"/>
  <c r="Y22" i="16"/>
  <c r="X23" i="16"/>
  <c r="AO79" i="10"/>
  <c r="X55" i="16"/>
  <c r="AO94" i="10"/>
  <c r="X65" i="16"/>
  <c r="X42" i="16"/>
  <c r="AO10" i="10"/>
  <c r="X18" i="16"/>
  <c r="X61" i="16"/>
  <c r="Y26" i="16"/>
  <c r="AP82" i="10"/>
  <c r="Y75" i="16"/>
  <c r="Y48" i="16"/>
  <c r="Y53" i="16"/>
  <c r="Y114" i="16"/>
  <c r="Y43" i="16"/>
  <c r="Y108" i="16"/>
  <c r="X71" i="16"/>
  <c r="AO26" i="10"/>
  <c r="X15" i="16"/>
  <c r="AO116" i="10"/>
  <c r="X45" i="16"/>
  <c r="AO110" i="10"/>
  <c r="X140" i="16"/>
  <c r="Y72" i="16"/>
  <c r="Y38" i="16"/>
  <c r="Y51" i="16"/>
  <c r="Y59" i="16"/>
  <c r="Y70" i="16"/>
  <c r="Y144" i="16"/>
  <c r="Y40" i="16"/>
  <c r="AP108" i="10"/>
  <c r="X43" i="16"/>
  <c r="X67" i="16"/>
  <c r="X41" i="16"/>
  <c r="X125" i="16"/>
  <c r="X60" i="16"/>
  <c r="Y49" i="16"/>
  <c r="AP74" i="10"/>
  <c r="Y37" i="16"/>
  <c r="Y145" i="16"/>
  <c r="Y99" i="16"/>
  <c r="Y148" i="16"/>
  <c r="Y79" i="16"/>
  <c r="Y32" i="16"/>
  <c r="Y25" i="16"/>
  <c r="AO111" i="10"/>
  <c r="X12" i="16"/>
  <c r="AU125" i="10"/>
  <c r="X93" i="16"/>
  <c r="AU25" i="10"/>
  <c r="X80" i="16"/>
  <c r="AU148" i="10"/>
  <c r="X122" i="16"/>
  <c r="AU114" i="10"/>
  <c r="X29" i="16"/>
  <c r="AO65" i="10"/>
  <c r="X3" i="16"/>
  <c r="AO31" i="10"/>
  <c r="X50" i="16"/>
  <c r="AU153" i="10"/>
  <c r="X115" i="16"/>
  <c r="AO82" i="10"/>
  <c r="X26" i="16"/>
  <c r="AU41" i="10"/>
  <c r="X84" i="16"/>
  <c r="AU13" i="10"/>
  <c r="X126" i="16"/>
  <c r="AU126" i="10"/>
  <c r="X135" i="16"/>
  <c r="AU5" i="10"/>
  <c r="X19" i="16"/>
  <c r="AU147" i="10"/>
  <c r="X154" i="16"/>
  <c r="AU122" i="10"/>
  <c r="X123" i="16"/>
  <c r="AO46" i="10"/>
  <c r="X24" i="16"/>
  <c r="AU23" i="10"/>
  <c r="X86" i="16"/>
  <c r="AU123" i="10"/>
  <c r="X36" i="16"/>
  <c r="AV119" i="10"/>
  <c r="Y140" i="16"/>
  <c r="AV85" i="10"/>
  <c r="Y151" i="16"/>
  <c r="AV24" i="10"/>
  <c r="Y35" i="16"/>
  <c r="AV145" i="10"/>
  <c r="Y156" i="16"/>
  <c r="AP36" i="10"/>
  <c r="Y18" i="16"/>
  <c r="AP34" i="10"/>
  <c r="Y4" i="16"/>
  <c r="AP70" i="10"/>
  <c r="Y2" i="16"/>
  <c r="AV134" i="10"/>
  <c r="Y34" i="16"/>
  <c r="AV132" i="10"/>
  <c r="Y130" i="16"/>
  <c r="AV61" i="10"/>
  <c r="Y136" i="16"/>
  <c r="AP116" i="10"/>
  <c r="Y15" i="16"/>
  <c r="AV121" i="10"/>
  <c r="Y157" i="16"/>
  <c r="AV51" i="10"/>
  <c r="Y142" i="16"/>
  <c r="AV149" i="10"/>
  <c r="Y117" i="16"/>
  <c r="AU109" i="10"/>
  <c r="X149" i="16"/>
  <c r="AU69" i="10"/>
  <c r="X131" i="16"/>
  <c r="AU21" i="10"/>
  <c r="X137" i="16"/>
  <c r="AU105" i="10"/>
  <c r="X94" i="16"/>
  <c r="AU99" i="10"/>
  <c r="X25" i="16"/>
  <c r="AU130" i="10"/>
  <c r="X109" i="16"/>
  <c r="AV154" i="10"/>
  <c r="Y147" i="16"/>
  <c r="AV109" i="10"/>
  <c r="Y149" i="16"/>
  <c r="AV93" i="10"/>
  <c r="Y107" i="16"/>
  <c r="AV130" i="10"/>
  <c r="Y109" i="16"/>
  <c r="AO34" i="10"/>
  <c r="X4" i="16"/>
  <c r="AU20" i="10"/>
  <c r="X85" i="16"/>
  <c r="AU133" i="10"/>
  <c r="X11" i="16"/>
  <c r="AU138" i="10"/>
  <c r="X30" i="16"/>
  <c r="AU52" i="10"/>
  <c r="X100" i="16"/>
  <c r="AU97" i="10"/>
  <c r="X56" i="16"/>
  <c r="AU50" i="10"/>
  <c r="X91" i="16"/>
  <c r="AO77" i="10"/>
  <c r="X27" i="16"/>
  <c r="AU29" i="10"/>
  <c r="X59" i="16"/>
  <c r="AU150" i="10"/>
  <c r="X21" i="16"/>
  <c r="AU129" i="10"/>
  <c r="X145" i="16"/>
  <c r="AO42" i="10"/>
  <c r="X73" i="16"/>
  <c r="AU128" i="10"/>
  <c r="X144" i="16"/>
  <c r="AU60" i="10"/>
  <c r="X98" i="16"/>
  <c r="AO112" i="10"/>
  <c r="X53" i="16"/>
  <c r="AU151" i="10"/>
  <c r="X121" i="16"/>
  <c r="AU145" i="10"/>
  <c r="X156" i="16"/>
  <c r="AU127" i="10"/>
  <c r="X143" i="16"/>
  <c r="AU54" i="10"/>
  <c r="X146" i="16"/>
  <c r="AU146" i="10"/>
  <c r="X88" i="16"/>
  <c r="AP80" i="10"/>
  <c r="Y125" i="16"/>
  <c r="AP137" i="10"/>
  <c r="Y46" i="16"/>
  <c r="AV52" i="10"/>
  <c r="Y100" i="16"/>
  <c r="AV122" i="10"/>
  <c r="Y123" i="16"/>
  <c r="AP79" i="10"/>
  <c r="Y23" i="16"/>
  <c r="AV56" i="10"/>
  <c r="Y111" i="16"/>
  <c r="AV59" i="10"/>
  <c r="Y118" i="16"/>
  <c r="AV23" i="10"/>
  <c r="Y86" i="16"/>
  <c r="AP40" i="10"/>
  <c r="Y63" i="16"/>
  <c r="AV157" i="10"/>
  <c r="Y113" i="16"/>
  <c r="AV14" i="10"/>
  <c r="Y16" i="16"/>
  <c r="AV53" i="10"/>
  <c r="Y101" i="16"/>
  <c r="AV2" i="10"/>
  <c r="Y8" i="16"/>
  <c r="AP65" i="10"/>
  <c r="Y3" i="16"/>
  <c r="AV7" i="10"/>
  <c r="Y97" i="16"/>
  <c r="AV41" i="10"/>
  <c r="Y84" i="16"/>
  <c r="AV49" i="10"/>
  <c r="Y20" i="16"/>
  <c r="AV4" i="10"/>
  <c r="Y52" i="16"/>
  <c r="AU103" i="10"/>
  <c r="X96" i="16"/>
  <c r="AU118" i="10"/>
  <c r="X104" i="16"/>
  <c r="AU33" i="10"/>
  <c r="X108" i="16"/>
  <c r="AU57" i="10"/>
  <c r="X110" i="16"/>
  <c r="AU45" i="10"/>
  <c r="X103" i="16"/>
  <c r="AV103" i="10"/>
  <c r="Y96" i="16"/>
  <c r="AV69" i="10"/>
  <c r="Y131" i="16"/>
  <c r="AV9" i="10"/>
  <c r="Y124" i="16"/>
  <c r="AV45" i="10"/>
  <c r="Y103" i="16"/>
  <c r="AU155" i="10"/>
  <c r="X116" i="16"/>
  <c r="AU18" i="10"/>
  <c r="X138" i="16"/>
  <c r="AO75" i="10"/>
  <c r="X9" i="16"/>
  <c r="AU85" i="10"/>
  <c r="X151" i="16"/>
  <c r="AU132" i="10"/>
  <c r="X130" i="16"/>
  <c r="AU61" i="10"/>
  <c r="X136" i="16"/>
  <c r="AU131" i="10"/>
  <c r="X102" i="16"/>
  <c r="AU124" i="10"/>
  <c r="X141" i="16"/>
  <c r="AU8" i="10"/>
  <c r="X148" i="16"/>
  <c r="AU152" i="10"/>
  <c r="X119" i="16"/>
  <c r="AU90" i="10"/>
  <c r="X83" i="16"/>
  <c r="AO137" i="10"/>
  <c r="X46" i="16"/>
  <c r="AO89" i="10"/>
  <c r="X70" i="16"/>
  <c r="AU51" i="10"/>
  <c r="X142" i="16"/>
  <c r="AU149" i="10"/>
  <c r="X117" i="16"/>
  <c r="AU55" i="10"/>
  <c r="X132" i="16"/>
  <c r="AU3" i="10"/>
  <c r="X39" i="16"/>
  <c r="AO120" i="10"/>
  <c r="X13" i="16"/>
  <c r="AU73" i="10"/>
  <c r="X152" i="16"/>
  <c r="AU157" i="10"/>
  <c r="X113" i="16"/>
  <c r="AU56" i="10"/>
  <c r="X111" i="16"/>
  <c r="AV6" i="10"/>
  <c r="Y14" i="16"/>
  <c r="AV156" i="10"/>
  <c r="Y155" i="16"/>
  <c r="AV155" i="10"/>
  <c r="Y116" i="16"/>
  <c r="AV152" i="10"/>
  <c r="Y119" i="16"/>
  <c r="AV147" i="10"/>
  <c r="Y154" i="16"/>
  <c r="AP28" i="10"/>
  <c r="Y5" i="16"/>
  <c r="AV73" i="10"/>
  <c r="Y152" i="16"/>
  <c r="AV37" i="10"/>
  <c r="Y153" i="16"/>
  <c r="AV126" i="10"/>
  <c r="Y135" i="16"/>
  <c r="AV148" i="10"/>
  <c r="Y122" i="16"/>
  <c r="AV15" i="10"/>
  <c r="Y33" i="16"/>
  <c r="AV50" i="10"/>
  <c r="Y91" i="16"/>
  <c r="AP31" i="10"/>
  <c r="Y50" i="16"/>
  <c r="AV153" i="10"/>
  <c r="Y115" i="16"/>
  <c r="AP84" i="10"/>
  <c r="Y62" i="16"/>
  <c r="AV20" i="10"/>
  <c r="Y85" i="16"/>
  <c r="AV13" i="10"/>
  <c r="Y126" i="16"/>
  <c r="AV86" i="10"/>
  <c r="Y31" i="16"/>
  <c r="AU106" i="10"/>
  <c r="X22" i="16"/>
  <c r="AU100" i="10"/>
  <c r="X90" i="16"/>
  <c r="AU102" i="10"/>
  <c r="X112" i="16"/>
  <c r="AU142" i="10"/>
  <c r="X127" i="16"/>
  <c r="AU107" i="10"/>
  <c r="X139" i="16"/>
  <c r="AU81" i="10"/>
  <c r="X105" i="16"/>
  <c r="AV100" i="10"/>
  <c r="Y90" i="16"/>
  <c r="AV118" i="10"/>
  <c r="Y104" i="16"/>
  <c r="AV57" i="10"/>
  <c r="Y110" i="16"/>
  <c r="AV102" i="10"/>
  <c r="Y112" i="16"/>
  <c r="AV81" i="10"/>
  <c r="Y105" i="16"/>
  <c r="AU71" i="10"/>
  <c r="X92" i="16"/>
  <c r="AO113" i="10"/>
  <c r="X7" i="16"/>
  <c r="AU95" i="10"/>
  <c r="X82" i="16"/>
  <c r="AU156" i="10"/>
  <c r="X155" i="16"/>
  <c r="AU6" i="10"/>
  <c r="X14" i="16"/>
  <c r="AU53" i="10"/>
  <c r="X101" i="16"/>
  <c r="AU2" i="10"/>
  <c r="X8" i="16"/>
  <c r="AU139" i="10"/>
  <c r="X134" i="16"/>
  <c r="AU121" i="10"/>
  <c r="X157" i="16"/>
  <c r="AU11" i="10"/>
  <c r="X66" i="16"/>
  <c r="AO64" i="10"/>
  <c r="X17" i="16"/>
  <c r="AO32" i="10"/>
  <c r="X79" i="16"/>
  <c r="AU49" i="10"/>
  <c r="X20" i="16"/>
  <c r="AU144" i="10"/>
  <c r="X150" i="16"/>
  <c r="AU14" i="10"/>
  <c r="X16" i="16"/>
  <c r="AU59" i="10"/>
  <c r="X118" i="16"/>
  <c r="AU74" i="10"/>
  <c r="X49" i="16"/>
  <c r="AO28" i="10"/>
  <c r="X5" i="16"/>
  <c r="AU66" i="10"/>
  <c r="X37" i="16"/>
  <c r="AU83" i="10"/>
  <c r="X81" i="16"/>
  <c r="AO40" i="10"/>
  <c r="X63" i="16"/>
  <c r="AU17" i="10"/>
  <c r="X87" i="16"/>
  <c r="AU37" i="10"/>
  <c r="X153" i="16"/>
  <c r="AP76" i="10"/>
  <c r="Y10" i="16"/>
  <c r="AV90" i="10"/>
  <c r="Y83" i="16"/>
  <c r="AV5" i="10"/>
  <c r="Y19" i="16"/>
  <c r="AV55" i="10"/>
  <c r="Y132" i="16"/>
  <c r="AV83" i="10"/>
  <c r="Y81" i="16"/>
  <c r="AV54" i="10"/>
  <c r="Y146" i="16"/>
  <c r="AP113" i="10"/>
  <c r="Y7" i="16"/>
  <c r="AV95" i="10"/>
  <c r="Y82" i="16"/>
  <c r="AP136" i="10"/>
  <c r="Y57" i="16"/>
  <c r="AV133" i="10"/>
  <c r="Y11" i="16"/>
  <c r="AV11" i="10"/>
  <c r="Y66" i="16"/>
  <c r="AP3" i="10"/>
  <c r="Y39" i="16"/>
  <c r="AV17" i="10"/>
  <c r="Y87" i="16"/>
  <c r="AV146" i="10"/>
  <c r="Y88" i="16"/>
  <c r="AP43" i="10"/>
  <c r="Y65" i="16"/>
  <c r="AV151" i="10"/>
  <c r="Y121" i="16"/>
  <c r="AV97" i="10"/>
  <c r="Y56" i="16"/>
  <c r="AP94" i="10"/>
  <c r="Y55" i="16"/>
  <c r="AV131" i="10"/>
  <c r="Y102" i="16"/>
  <c r="AP77" i="10"/>
  <c r="Y27" i="16"/>
  <c r="AV16" i="10"/>
  <c r="Y6" i="16"/>
  <c r="AV150" i="10"/>
  <c r="Y21" i="16"/>
  <c r="AV60" i="10"/>
  <c r="Y98" i="16"/>
  <c r="AU98" i="10"/>
  <c r="X106" i="16"/>
  <c r="AU154" i="10"/>
  <c r="X147" i="16"/>
  <c r="AU9" i="10"/>
  <c r="X124" i="16"/>
  <c r="AU108" i="10"/>
  <c r="X40" i="16"/>
  <c r="AU93" i="10"/>
  <c r="X107" i="16"/>
  <c r="AU101" i="10"/>
  <c r="X95" i="16"/>
  <c r="AV98" i="10"/>
  <c r="Y106" i="16"/>
  <c r="AV107" i="10"/>
  <c r="Y139" i="16"/>
  <c r="AV21" i="10"/>
  <c r="Y137" i="16"/>
  <c r="AV142" i="10"/>
  <c r="Y127" i="16"/>
  <c r="AV105" i="10"/>
  <c r="Y94" i="16"/>
  <c r="AV99" i="10"/>
  <c r="AP99" i="10"/>
  <c r="AU16" i="10"/>
  <c r="AO16" i="10"/>
  <c r="AV101" i="10"/>
  <c r="AP101" i="10"/>
  <c r="AV106" i="10"/>
  <c r="AP106" i="10"/>
  <c r="AV33" i="10"/>
  <c r="AP33" i="10"/>
  <c r="AV104" i="10"/>
  <c r="AP104" i="10"/>
  <c r="AU134" i="10"/>
  <c r="AU15" i="10"/>
  <c r="AU92" i="10"/>
  <c r="AU91" i="10"/>
  <c r="AU115" i="10"/>
  <c r="AV137" i="10"/>
  <c r="AV127" i="10"/>
  <c r="AV44" i="10"/>
  <c r="AV30" i="10"/>
  <c r="AV114" i="10"/>
  <c r="AV117" i="10"/>
  <c r="AV110" i="10"/>
  <c r="AU104" i="10"/>
  <c r="AU78" i="10"/>
  <c r="AU75" i="10"/>
  <c r="AU10" i="10"/>
  <c r="AV64" i="10"/>
  <c r="AV82" i="10"/>
  <c r="AV22" i="10"/>
  <c r="AV91" i="10"/>
  <c r="AV19" i="10"/>
  <c r="AV96" i="10"/>
  <c r="AV140" i="10"/>
  <c r="AV78" i="10"/>
  <c r="AV48" i="10"/>
  <c r="AV28" i="10"/>
  <c r="AV68" i="10"/>
  <c r="AV112" i="10"/>
  <c r="AV38" i="10"/>
  <c r="AV35" i="10"/>
  <c r="AV31" i="10"/>
  <c r="AV72" i="10"/>
  <c r="AV84" i="10"/>
  <c r="AU70" i="10"/>
  <c r="AU77" i="10"/>
  <c r="AU42" i="10"/>
  <c r="AU4" i="10"/>
  <c r="AU141" i="10"/>
  <c r="AU68" i="10"/>
  <c r="AV42" i="10"/>
  <c r="AV143" i="10"/>
  <c r="AV18" i="10"/>
  <c r="AV75" i="10"/>
  <c r="AV65" i="10"/>
  <c r="AV135" i="10"/>
  <c r="AU79" i="10"/>
  <c r="AU94" i="10"/>
  <c r="AU88" i="10"/>
  <c r="AU137" i="10"/>
  <c r="AU67" i="10"/>
  <c r="AU19" i="10"/>
  <c r="AU26" i="10"/>
  <c r="AU48" i="10"/>
  <c r="AU113" i="10"/>
  <c r="AU116" i="10"/>
  <c r="AU117" i="10"/>
  <c r="AU135" i="10"/>
  <c r="AU58" i="10"/>
  <c r="AU110" i="10"/>
  <c r="AU119" i="10"/>
  <c r="AU64" i="10"/>
  <c r="AU32" i="10"/>
  <c r="AU86" i="10"/>
  <c r="AU28" i="10"/>
  <c r="AU40" i="10"/>
  <c r="AV92" i="10"/>
  <c r="AV76" i="10"/>
  <c r="AV46" i="10"/>
  <c r="AV113" i="10"/>
  <c r="AV138" i="10"/>
  <c r="AV136" i="10"/>
  <c r="AV3" i="10"/>
  <c r="AV141" i="10"/>
  <c r="AV87" i="10"/>
  <c r="AV43" i="10"/>
  <c r="AV62" i="10"/>
  <c r="AV94" i="10"/>
  <c r="AV39" i="10"/>
  <c r="AV77" i="10"/>
  <c r="AV29" i="10"/>
  <c r="AV89" i="10"/>
  <c r="AV128" i="10"/>
  <c r="AV108" i="10"/>
  <c r="AU34" i="10"/>
  <c r="AU62" i="10"/>
  <c r="AU35" i="10"/>
  <c r="AU84" i="10"/>
  <c r="AU112" i="10"/>
  <c r="AV80" i="10"/>
  <c r="AV79" i="10"/>
  <c r="AV125" i="10"/>
  <c r="AV120" i="10"/>
  <c r="AV40" i="10"/>
  <c r="AV58" i="10"/>
  <c r="AU140" i="10"/>
  <c r="AU39" i="10"/>
  <c r="AU47" i="10"/>
  <c r="AU89" i="10"/>
  <c r="AU43" i="10"/>
  <c r="AU76" i="10"/>
  <c r="AU111" i="10"/>
  <c r="AU96" i="10"/>
  <c r="AU30" i="10"/>
  <c r="AU44" i="10"/>
  <c r="AU136" i="10"/>
  <c r="AU24" i="10"/>
  <c r="AU38" i="10"/>
  <c r="AU65" i="10"/>
  <c r="AU7" i="10"/>
  <c r="AU31" i="10"/>
  <c r="AU72" i="10"/>
  <c r="AU82" i="10"/>
  <c r="AU27" i="10"/>
  <c r="AU22" i="10"/>
  <c r="AU80" i="10"/>
  <c r="AU46" i="10"/>
  <c r="AU87" i="10"/>
  <c r="AU143" i="10"/>
  <c r="AU12" i="10"/>
  <c r="AV27" i="10"/>
  <c r="AV67" i="10"/>
  <c r="AV36" i="10"/>
  <c r="AV12" i="10"/>
  <c r="AV34" i="10"/>
  <c r="AV71" i="10"/>
  <c r="AV111" i="10"/>
  <c r="AV26" i="10"/>
  <c r="AV74" i="10"/>
  <c r="AV66" i="10"/>
  <c r="AV115" i="10"/>
  <c r="AV123" i="10"/>
  <c r="AV129" i="10"/>
  <c r="AV144" i="10"/>
  <c r="AV10" i="10"/>
  <c r="AV116" i="10"/>
  <c r="AV139" i="10"/>
  <c r="AV88" i="10"/>
  <c r="AV47" i="10"/>
  <c r="AV124" i="10"/>
  <c r="AV8" i="10"/>
  <c r="AV32" i="10"/>
  <c r="AV70" i="10"/>
  <c r="AU120" i="10"/>
  <c r="AU36" i="10"/>
  <c r="AV25" i="10"/>
  <c r="C65" i="13" l="1"/>
  <c r="C74" i="13"/>
  <c r="Y21" i="19"/>
  <c r="N21" i="19"/>
  <c r="T21" i="19"/>
  <c r="W21" i="19"/>
  <c r="S21" i="19"/>
  <c r="O21" i="19"/>
  <c r="Z21" i="19"/>
  <c r="Q21" i="19"/>
  <c r="X21" i="19"/>
  <c r="P21" i="19"/>
  <c r="V21" i="19"/>
  <c r="U21" i="19"/>
  <c r="R21" i="19"/>
  <c r="M22" i="19"/>
  <c r="G3" i="11"/>
  <c r="G2" i="11"/>
  <c r="H2" i="11" s="1"/>
  <c r="Y22" i="19" l="1"/>
  <c r="N22" i="19"/>
  <c r="P22" i="19"/>
  <c r="V22" i="19"/>
  <c r="U22" i="19"/>
  <c r="Q22" i="19"/>
  <c r="W22" i="19"/>
  <c r="S22" i="19"/>
  <c r="R22" i="19"/>
  <c r="O22" i="19"/>
  <c r="Z22" i="19"/>
  <c r="X22" i="19"/>
  <c r="T22" i="19"/>
  <c r="M23" i="19"/>
  <c r="I3" i="11"/>
  <c r="H3" i="11"/>
  <c r="J332" i="5"/>
  <c r="I332" i="5"/>
  <c r="H332" i="5"/>
  <c r="J331" i="5"/>
  <c r="I331" i="5"/>
  <c r="M331" i="5" s="1"/>
  <c r="H331" i="5"/>
  <c r="J330" i="5"/>
  <c r="I330" i="5"/>
  <c r="M330" i="5" s="1"/>
  <c r="J329" i="5"/>
  <c r="I329" i="5"/>
  <c r="H329" i="5"/>
  <c r="J328" i="5"/>
  <c r="I328" i="5"/>
  <c r="M328" i="5" s="1"/>
  <c r="H328" i="5"/>
  <c r="J327" i="5"/>
  <c r="I327" i="5"/>
  <c r="M327" i="5" s="1"/>
  <c r="H327" i="5"/>
  <c r="J326" i="5"/>
  <c r="I326" i="5"/>
  <c r="H326" i="5"/>
  <c r="J325" i="5"/>
  <c r="I325" i="5"/>
  <c r="H325" i="5"/>
  <c r="J324" i="5"/>
  <c r="I324" i="5"/>
  <c r="M324" i="5" s="1"/>
  <c r="H324" i="5"/>
  <c r="J323" i="5"/>
  <c r="I323" i="5"/>
  <c r="M323" i="5" s="1"/>
  <c r="H323" i="5"/>
  <c r="J322" i="5"/>
  <c r="I322" i="5"/>
  <c r="H322" i="5"/>
  <c r="J321" i="5"/>
  <c r="I321" i="5"/>
  <c r="H321" i="5"/>
  <c r="J320" i="5"/>
  <c r="I320" i="5"/>
  <c r="M320" i="5" s="1"/>
  <c r="H320" i="5"/>
  <c r="J319" i="5"/>
  <c r="I319" i="5"/>
  <c r="M319" i="5" s="1"/>
  <c r="H319" i="5"/>
  <c r="J318" i="5"/>
  <c r="I318" i="5"/>
  <c r="H318" i="5"/>
  <c r="J317" i="5"/>
  <c r="I317" i="5"/>
  <c r="H317" i="5"/>
  <c r="J316" i="5"/>
  <c r="I316" i="5"/>
  <c r="M316" i="5" s="1"/>
  <c r="H316" i="5"/>
  <c r="J315" i="5"/>
  <c r="I315" i="5"/>
  <c r="M315" i="5" s="1"/>
  <c r="H315" i="5"/>
  <c r="J314" i="5"/>
  <c r="I314" i="5"/>
  <c r="H314" i="5"/>
  <c r="J313" i="5"/>
  <c r="I313" i="5"/>
  <c r="H313" i="5"/>
  <c r="J312" i="5"/>
  <c r="I312" i="5"/>
  <c r="M312" i="5" s="1"/>
  <c r="H312" i="5"/>
  <c r="J311" i="5"/>
  <c r="I311" i="5"/>
  <c r="M311" i="5" s="1"/>
  <c r="H311" i="5"/>
  <c r="J310" i="5"/>
  <c r="I310" i="5"/>
  <c r="H310" i="5"/>
  <c r="J309" i="5"/>
  <c r="I309" i="5"/>
  <c r="H309" i="5"/>
  <c r="J308" i="5"/>
  <c r="I308" i="5"/>
  <c r="M308" i="5" s="1"/>
  <c r="H308" i="5"/>
  <c r="J307" i="5"/>
  <c r="I307" i="5"/>
  <c r="M307" i="5" s="1"/>
  <c r="H307" i="5"/>
  <c r="J306" i="5"/>
  <c r="I306" i="5"/>
  <c r="H306" i="5"/>
  <c r="J305" i="5"/>
  <c r="I305" i="5"/>
  <c r="H305" i="5"/>
  <c r="J304" i="5"/>
  <c r="I304" i="5"/>
  <c r="M304" i="5" s="1"/>
  <c r="H304" i="5"/>
  <c r="J303" i="5"/>
  <c r="I303" i="5"/>
  <c r="M303" i="5" s="1"/>
  <c r="H303" i="5"/>
  <c r="J302" i="5"/>
  <c r="I302" i="5"/>
  <c r="H302" i="5"/>
  <c r="J301" i="5"/>
  <c r="I301" i="5"/>
  <c r="H301" i="5"/>
  <c r="J300" i="5"/>
  <c r="I300" i="5"/>
  <c r="M300" i="5" s="1"/>
  <c r="H300" i="5"/>
  <c r="J299" i="5"/>
  <c r="I299" i="5"/>
  <c r="M299" i="5" s="1"/>
  <c r="H299" i="5"/>
  <c r="J298" i="5"/>
  <c r="I298" i="5"/>
  <c r="M298" i="5" s="1"/>
  <c r="H298" i="5"/>
  <c r="J297" i="5"/>
  <c r="I297" i="5"/>
  <c r="H297" i="5"/>
  <c r="J296" i="5"/>
  <c r="I296" i="5"/>
  <c r="M296" i="5" s="1"/>
  <c r="H296" i="5"/>
  <c r="J295" i="5"/>
  <c r="I295" i="5"/>
  <c r="M295" i="5" s="1"/>
  <c r="H295" i="5"/>
  <c r="J294" i="5"/>
  <c r="I294" i="5"/>
  <c r="H294" i="5"/>
  <c r="J293" i="5"/>
  <c r="I293" i="5"/>
  <c r="H293" i="5"/>
  <c r="J292" i="5"/>
  <c r="I292" i="5"/>
  <c r="M292" i="5" s="1"/>
  <c r="H292" i="5"/>
  <c r="J291" i="5"/>
  <c r="I291" i="5"/>
  <c r="M291" i="5" s="1"/>
  <c r="H291" i="5"/>
  <c r="J290" i="5"/>
  <c r="I290" i="5"/>
  <c r="M290" i="5" s="1"/>
  <c r="H290" i="5"/>
  <c r="J289" i="5"/>
  <c r="I289" i="5"/>
  <c r="H289" i="5"/>
  <c r="J288" i="5"/>
  <c r="I288" i="5"/>
  <c r="M288" i="5" s="1"/>
  <c r="H288" i="5"/>
  <c r="J287" i="5"/>
  <c r="I287" i="5"/>
  <c r="M287" i="5" s="1"/>
  <c r="H287" i="5"/>
  <c r="J286" i="5"/>
  <c r="I286" i="5"/>
  <c r="M286" i="5" s="1"/>
  <c r="H286" i="5"/>
  <c r="J285" i="5"/>
  <c r="I285" i="5"/>
  <c r="H285" i="5"/>
  <c r="J284" i="5"/>
  <c r="I284" i="5"/>
  <c r="M284" i="5" s="1"/>
  <c r="H284" i="5"/>
  <c r="J283" i="5"/>
  <c r="I283" i="5"/>
  <c r="H283" i="5"/>
  <c r="J282" i="5"/>
  <c r="I282" i="5"/>
  <c r="M282" i="5" s="1"/>
  <c r="H282" i="5"/>
  <c r="J281" i="5"/>
  <c r="I281" i="5"/>
  <c r="H281" i="5"/>
  <c r="J280" i="5"/>
  <c r="I280" i="5"/>
  <c r="M280" i="5" s="1"/>
  <c r="H280" i="5"/>
  <c r="J279" i="5"/>
  <c r="I279" i="5"/>
  <c r="M279" i="5" s="1"/>
  <c r="H279" i="5"/>
  <c r="J278" i="5"/>
  <c r="I278" i="5"/>
  <c r="M278" i="5" s="1"/>
  <c r="H278" i="5"/>
  <c r="J277" i="5"/>
  <c r="I277" i="5"/>
  <c r="H277" i="5"/>
  <c r="J276" i="5"/>
  <c r="I276" i="5"/>
  <c r="M276" i="5" s="1"/>
  <c r="H276" i="5"/>
  <c r="J275" i="5"/>
  <c r="I275" i="5"/>
  <c r="M275" i="5" s="1"/>
  <c r="H275" i="5"/>
  <c r="J274" i="5"/>
  <c r="I274" i="5"/>
  <c r="M274" i="5" s="1"/>
  <c r="H274" i="5"/>
  <c r="J273" i="5"/>
  <c r="I273" i="5"/>
  <c r="H273" i="5"/>
  <c r="J272" i="5"/>
  <c r="I272" i="5"/>
  <c r="M272" i="5" s="1"/>
  <c r="H272" i="5"/>
  <c r="J271" i="5"/>
  <c r="I271" i="5"/>
  <c r="H271" i="5"/>
  <c r="J270" i="5"/>
  <c r="I270" i="5"/>
  <c r="M270" i="5" s="1"/>
  <c r="H270" i="5"/>
  <c r="J269" i="5"/>
  <c r="M269" i="5" s="1"/>
  <c r="I269" i="5"/>
  <c r="H269" i="5"/>
  <c r="J268" i="5"/>
  <c r="I268" i="5"/>
  <c r="H268" i="5"/>
  <c r="J267" i="5"/>
  <c r="I267" i="5"/>
  <c r="M267" i="5" s="1"/>
  <c r="H267" i="5"/>
  <c r="J266" i="5"/>
  <c r="I266" i="5"/>
  <c r="H266" i="5"/>
  <c r="J265" i="5"/>
  <c r="I265" i="5"/>
  <c r="H265" i="5"/>
  <c r="J264" i="5"/>
  <c r="I264" i="5"/>
  <c r="M264" i="5" s="1"/>
  <c r="H264" i="5"/>
  <c r="J263" i="5"/>
  <c r="I263" i="5"/>
  <c r="M263" i="5" s="1"/>
  <c r="H263" i="5"/>
  <c r="J262" i="5"/>
  <c r="I262" i="5"/>
  <c r="M262" i="5" s="1"/>
  <c r="H262" i="5"/>
  <c r="J261" i="5"/>
  <c r="I261" i="5"/>
  <c r="H261" i="5"/>
  <c r="J260" i="5"/>
  <c r="I260" i="5"/>
  <c r="M260" i="5" s="1"/>
  <c r="H260" i="5"/>
  <c r="J259" i="5"/>
  <c r="I259" i="5"/>
  <c r="H259" i="5"/>
  <c r="J258" i="5"/>
  <c r="I258" i="5"/>
  <c r="M258" i="5" s="1"/>
  <c r="H258" i="5"/>
  <c r="J257" i="5"/>
  <c r="I257" i="5"/>
  <c r="H257" i="5"/>
  <c r="J256" i="5"/>
  <c r="I256" i="5"/>
  <c r="M256" i="5" s="1"/>
  <c r="H256" i="5"/>
  <c r="J255" i="5"/>
  <c r="I255" i="5"/>
  <c r="M255" i="5" s="1"/>
  <c r="H255" i="5"/>
  <c r="J254" i="5"/>
  <c r="I254" i="5"/>
  <c r="H254" i="5"/>
  <c r="J253" i="5"/>
  <c r="I253" i="5"/>
  <c r="H253" i="5"/>
  <c r="J252" i="5"/>
  <c r="I252" i="5"/>
  <c r="H252" i="5"/>
  <c r="J251" i="5"/>
  <c r="I251" i="5"/>
  <c r="M251" i="5" s="1"/>
  <c r="H251" i="5"/>
  <c r="J250" i="5"/>
  <c r="M250" i="5" s="1"/>
  <c r="I250" i="5"/>
  <c r="H250" i="5"/>
  <c r="J249" i="5"/>
  <c r="I249" i="5"/>
  <c r="H249" i="5"/>
  <c r="J248" i="5"/>
  <c r="I248" i="5"/>
  <c r="M248" i="5" s="1"/>
  <c r="H248" i="5"/>
  <c r="J247" i="5"/>
  <c r="I247" i="5"/>
  <c r="M247" i="5" s="1"/>
  <c r="H247" i="5"/>
  <c r="J246" i="5"/>
  <c r="I246" i="5"/>
  <c r="H246" i="5"/>
  <c r="J245" i="5"/>
  <c r="I245" i="5"/>
  <c r="H245" i="5"/>
  <c r="J244" i="5"/>
  <c r="I244" i="5"/>
  <c r="M244" i="5" s="1"/>
  <c r="H244" i="5"/>
  <c r="J243" i="5"/>
  <c r="I243" i="5"/>
  <c r="M243" i="5" s="1"/>
  <c r="H243" i="5"/>
  <c r="J242" i="5"/>
  <c r="I242" i="5"/>
  <c r="H242" i="5"/>
  <c r="J241" i="5"/>
  <c r="I241" i="5"/>
  <c r="H241" i="5"/>
  <c r="J240" i="5"/>
  <c r="I240" i="5"/>
  <c r="M240" i="5" s="1"/>
  <c r="H240" i="5"/>
  <c r="J239" i="5"/>
  <c r="I239" i="5"/>
  <c r="M239" i="5" s="1"/>
  <c r="H239" i="5"/>
  <c r="J238" i="5"/>
  <c r="I238" i="5"/>
  <c r="H238" i="5"/>
  <c r="J237" i="5"/>
  <c r="I237" i="5"/>
  <c r="H237" i="5"/>
  <c r="J236" i="5"/>
  <c r="I236" i="5"/>
  <c r="M236" i="5" s="1"/>
  <c r="H236" i="5"/>
  <c r="J235" i="5"/>
  <c r="I235" i="5"/>
  <c r="M235" i="5" s="1"/>
  <c r="H235" i="5"/>
  <c r="J234" i="5"/>
  <c r="I234" i="5"/>
  <c r="H234" i="5"/>
  <c r="J233" i="5"/>
  <c r="I233" i="5"/>
  <c r="H233" i="5"/>
  <c r="J232" i="5"/>
  <c r="I232" i="5"/>
  <c r="M232" i="5" s="1"/>
  <c r="H232" i="5"/>
  <c r="J231" i="5"/>
  <c r="I231" i="5"/>
  <c r="M231" i="5" s="1"/>
  <c r="H231" i="5"/>
  <c r="J230" i="5"/>
  <c r="I230" i="5"/>
  <c r="M230" i="5" s="1"/>
  <c r="H230" i="5"/>
  <c r="J229" i="5"/>
  <c r="I229" i="5"/>
  <c r="H229" i="5"/>
  <c r="J228" i="5"/>
  <c r="I228" i="5"/>
  <c r="M228" i="5" s="1"/>
  <c r="H228" i="5"/>
  <c r="J227" i="5"/>
  <c r="I227" i="5"/>
  <c r="M227" i="5" s="1"/>
  <c r="H227" i="5"/>
  <c r="J226" i="5"/>
  <c r="I226" i="5"/>
  <c r="M226" i="5" s="1"/>
  <c r="H226" i="5"/>
  <c r="J225" i="5"/>
  <c r="I225" i="5"/>
  <c r="H225" i="5"/>
  <c r="J224" i="5"/>
  <c r="I224" i="5"/>
  <c r="M224" i="5" s="1"/>
  <c r="H224" i="5"/>
  <c r="J223" i="5"/>
  <c r="I223" i="5"/>
  <c r="M223" i="5" s="1"/>
  <c r="H223" i="5"/>
  <c r="J222" i="5"/>
  <c r="I222" i="5"/>
  <c r="M222" i="5" s="1"/>
  <c r="H222" i="5"/>
  <c r="J221" i="5"/>
  <c r="I221" i="5"/>
  <c r="H221" i="5"/>
  <c r="J220" i="5"/>
  <c r="I220" i="5"/>
  <c r="M220" i="5" s="1"/>
  <c r="H220" i="5"/>
  <c r="J219" i="5"/>
  <c r="I219" i="5"/>
  <c r="M219" i="5" s="1"/>
  <c r="H219" i="5"/>
  <c r="J218" i="5"/>
  <c r="I218" i="5"/>
  <c r="M218" i="5" s="1"/>
  <c r="H218" i="5"/>
  <c r="J217" i="5"/>
  <c r="I217" i="5"/>
  <c r="H217" i="5"/>
  <c r="J216" i="5"/>
  <c r="I216" i="5"/>
  <c r="M216" i="5" s="1"/>
  <c r="H216" i="5"/>
  <c r="J215" i="5"/>
  <c r="I215" i="5"/>
  <c r="M215" i="5" s="1"/>
  <c r="H215" i="5"/>
  <c r="J214" i="5"/>
  <c r="I214" i="5"/>
  <c r="M214" i="5" s="1"/>
  <c r="H214" i="5"/>
  <c r="J213" i="5"/>
  <c r="I213" i="5"/>
  <c r="H213" i="5"/>
  <c r="J212" i="5"/>
  <c r="I212" i="5"/>
  <c r="H212" i="5"/>
  <c r="J211" i="5"/>
  <c r="I211" i="5"/>
  <c r="M211" i="5" s="1"/>
  <c r="H211" i="5"/>
  <c r="J210" i="5"/>
  <c r="I210" i="5"/>
  <c r="M210" i="5" s="1"/>
  <c r="H210" i="5"/>
  <c r="J209" i="5"/>
  <c r="M209" i="5" s="1"/>
  <c r="I209" i="5"/>
  <c r="H209" i="5"/>
  <c r="J208" i="5"/>
  <c r="I208" i="5"/>
  <c r="M208" i="5" s="1"/>
  <c r="H208" i="5"/>
  <c r="J207" i="5"/>
  <c r="I207" i="5"/>
  <c r="H207" i="5"/>
  <c r="J206" i="5"/>
  <c r="I206" i="5"/>
  <c r="M206" i="5" s="1"/>
  <c r="H206" i="5"/>
  <c r="J205" i="5"/>
  <c r="M205" i="5" s="1"/>
  <c r="I205" i="5"/>
  <c r="H205" i="5"/>
  <c r="J204" i="5"/>
  <c r="I204" i="5"/>
  <c r="M204" i="5" s="1"/>
  <c r="H204" i="5"/>
  <c r="J203" i="5"/>
  <c r="I203" i="5"/>
  <c r="M203" i="5" s="1"/>
  <c r="H203" i="5"/>
  <c r="J202" i="5"/>
  <c r="I202" i="5"/>
  <c r="M202" i="5" s="1"/>
  <c r="H202" i="5"/>
  <c r="J201" i="5"/>
  <c r="M201" i="5" s="1"/>
  <c r="I201" i="5"/>
  <c r="H201" i="5"/>
  <c r="J200" i="5"/>
  <c r="I200" i="5"/>
  <c r="M200" i="5" s="1"/>
  <c r="H200" i="5"/>
  <c r="J199" i="5"/>
  <c r="I199" i="5"/>
  <c r="M199" i="5" s="1"/>
  <c r="H199" i="5"/>
  <c r="J198" i="5"/>
  <c r="I198" i="5"/>
  <c r="M198" i="5" s="1"/>
  <c r="H198" i="5"/>
  <c r="J197" i="5"/>
  <c r="M197" i="5" s="1"/>
  <c r="I197" i="5"/>
  <c r="H197" i="5"/>
  <c r="J196" i="5"/>
  <c r="I196" i="5"/>
  <c r="H196" i="5"/>
  <c r="J195" i="5"/>
  <c r="I195" i="5"/>
  <c r="H195" i="5"/>
  <c r="J194" i="5"/>
  <c r="I194" i="5"/>
  <c r="M194" i="5" s="1"/>
  <c r="H194" i="5"/>
  <c r="J193" i="5"/>
  <c r="I193" i="5"/>
  <c r="H193" i="5"/>
  <c r="J192" i="5"/>
  <c r="I192" i="5"/>
  <c r="M192" i="5" s="1"/>
  <c r="H192" i="5"/>
  <c r="J191" i="5"/>
  <c r="I191" i="5"/>
  <c r="M191" i="5" s="1"/>
  <c r="H191" i="5"/>
  <c r="J190" i="5"/>
  <c r="I190" i="5"/>
  <c r="M190" i="5" s="1"/>
  <c r="H190" i="5"/>
  <c r="J189" i="5"/>
  <c r="I189" i="5"/>
  <c r="H189" i="5"/>
  <c r="J188" i="5"/>
  <c r="I188" i="5"/>
  <c r="M188" i="5" s="1"/>
  <c r="H188" i="5"/>
  <c r="J187" i="5"/>
  <c r="I187" i="5"/>
  <c r="M187" i="5" s="1"/>
  <c r="H187" i="5"/>
  <c r="J186" i="5"/>
  <c r="I186" i="5"/>
  <c r="M186" i="5" s="1"/>
  <c r="H186" i="5"/>
  <c r="J185" i="5"/>
  <c r="I185" i="5"/>
  <c r="H185" i="5"/>
  <c r="J184" i="5"/>
  <c r="I184" i="5"/>
  <c r="M184" i="5" s="1"/>
  <c r="H184" i="5"/>
  <c r="J183" i="5"/>
  <c r="I183" i="5"/>
  <c r="M183" i="5" s="1"/>
  <c r="H183" i="5"/>
  <c r="J182" i="5"/>
  <c r="I182" i="5"/>
  <c r="M182" i="5" s="1"/>
  <c r="H182" i="5"/>
  <c r="J181" i="5"/>
  <c r="I181" i="5"/>
  <c r="H181" i="5"/>
  <c r="J180" i="5"/>
  <c r="I180" i="5"/>
  <c r="M180" i="5" s="1"/>
  <c r="H180" i="5"/>
  <c r="J179" i="5"/>
  <c r="I179" i="5"/>
  <c r="M179" i="5" s="1"/>
  <c r="H179" i="5"/>
  <c r="J178" i="5"/>
  <c r="I178" i="5"/>
  <c r="M178" i="5" s="1"/>
  <c r="H178" i="5"/>
  <c r="J177" i="5"/>
  <c r="I177" i="5"/>
  <c r="H177" i="5"/>
  <c r="J176" i="5"/>
  <c r="I176" i="5"/>
  <c r="M176" i="5" s="1"/>
  <c r="H176" i="5"/>
  <c r="J175" i="5"/>
  <c r="I175" i="5"/>
  <c r="M175" i="5" s="1"/>
  <c r="H175" i="5"/>
  <c r="J174" i="5"/>
  <c r="I174" i="5"/>
  <c r="M174" i="5" s="1"/>
  <c r="H174" i="5"/>
  <c r="J173" i="5"/>
  <c r="I173" i="5"/>
  <c r="M173" i="5" s="1"/>
  <c r="H173" i="5"/>
  <c r="J172" i="5"/>
  <c r="I172" i="5"/>
  <c r="M172" i="5" s="1"/>
  <c r="H172" i="5"/>
  <c r="J171" i="5"/>
  <c r="I171" i="5"/>
  <c r="M171" i="5" s="1"/>
  <c r="H171" i="5"/>
  <c r="J170" i="5"/>
  <c r="I170" i="5"/>
  <c r="H170" i="5"/>
  <c r="J169" i="5"/>
  <c r="I169" i="5"/>
  <c r="H169" i="5"/>
  <c r="J168" i="5"/>
  <c r="I168" i="5"/>
  <c r="M168" i="5" s="1"/>
  <c r="H168" i="5"/>
  <c r="J167" i="5"/>
  <c r="I167" i="5"/>
  <c r="M167" i="5" s="1"/>
  <c r="H167" i="5"/>
  <c r="J166" i="5"/>
  <c r="I166" i="5"/>
  <c r="M166" i="5" s="1"/>
  <c r="H166" i="5"/>
  <c r="J165" i="5"/>
  <c r="I165" i="5"/>
  <c r="M165" i="5" s="1"/>
  <c r="H165" i="5"/>
  <c r="J164" i="5"/>
  <c r="I164" i="5"/>
  <c r="M164" i="5" s="1"/>
  <c r="H164" i="5"/>
  <c r="J163" i="5"/>
  <c r="I163" i="5"/>
  <c r="M163" i="5" s="1"/>
  <c r="H163" i="5"/>
  <c r="J162" i="5"/>
  <c r="I162" i="5"/>
  <c r="H162" i="5"/>
  <c r="J161" i="5"/>
  <c r="I161" i="5"/>
  <c r="H161" i="5"/>
  <c r="J160" i="5"/>
  <c r="I160" i="5"/>
  <c r="M160" i="5" s="1"/>
  <c r="H160" i="5"/>
  <c r="J159" i="5"/>
  <c r="I159" i="5"/>
  <c r="M159" i="5" s="1"/>
  <c r="H159" i="5"/>
  <c r="J158" i="5"/>
  <c r="I158" i="5"/>
  <c r="M158" i="5" s="1"/>
  <c r="H158" i="5"/>
  <c r="J157" i="5"/>
  <c r="I157" i="5"/>
  <c r="M157" i="5" s="1"/>
  <c r="H157" i="5"/>
  <c r="J156" i="5"/>
  <c r="I156" i="5"/>
  <c r="M156" i="5" s="1"/>
  <c r="H156" i="5"/>
  <c r="J155" i="5"/>
  <c r="I155" i="5"/>
  <c r="M155" i="5" s="1"/>
  <c r="H155" i="5"/>
  <c r="J154" i="5"/>
  <c r="I154" i="5"/>
  <c r="H154" i="5"/>
  <c r="J153" i="5"/>
  <c r="I153" i="5"/>
  <c r="H153" i="5"/>
  <c r="J152" i="5"/>
  <c r="I152" i="5"/>
  <c r="M152" i="5" s="1"/>
  <c r="H152" i="5"/>
  <c r="J151" i="5"/>
  <c r="I151" i="5"/>
  <c r="M151" i="5" s="1"/>
  <c r="H151" i="5"/>
  <c r="J150" i="5"/>
  <c r="I150" i="5"/>
  <c r="M150" i="5" s="1"/>
  <c r="H150" i="5"/>
  <c r="J149" i="5"/>
  <c r="I149" i="5"/>
  <c r="M149" i="5" s="1"/>
  <c r="H149" i="5"/>
  <c r="J148" i="5"/>
  <c r="I148" i="5"/>
  <c r="M148" i="5" s="1"/>
  <c r="H148" i="5"/>
  <c r="J147" i="5"/>
  <c r="I147" i="5"/>
  <c r="M147" i="5" s="1"/>
  <c r="H147" i="5"/>
  <c r="J146" i="5"/>
  <c r="I146" i="5"/>
  <c r="H146" i="5"/>
  <c r="J145" i="5"/>
  <c r="I145" i="5"/>
  <c r="H145" i="5"/>
  <c r="J144" i="5"/>
  <c r="I144" i="5"/>
  <c r="M144" i="5" s="1"/>
  <c r="H144" i="5"/>
  <c r="J143" i="5"/>
  <c r="I143" i="5"/>
  <c r="M143" i="5" s="1"/>
  <c r="H143" i="5"/>
  <c r="J142" i="5"/>
  <c r="I142" i="5"/>
  <c r="M142" i="5" s="1"/>
  <c r="H142" i="5"/>
  <c r="J141" i="5"/>
  <c r="I141" i="5"/>
  <c r="M141" i="5" s="1"/>
  <c r="H141" i="5"/>
  <c r="J140" i="5"/>
  <c r="I140" i="5"/>
  <c r="M140" i="5" s="1"/>
  <c r="H140" i="5"/>
  <c r="J139" i="5"/>
  <c r="I139" i="5"/>
  <c r="M139" i="5" s="1"/>
  <c r="H139" i="5"/>
  <c r="J138" i="5"/>
  <c r="I138" i="5"/>
  <c r="H138" i="5"/>
  <c r="J137" i="5"/>
  <c r="I137" i="5"/>
  <c r="H137" i="5"/>
  <c r="J136" i="5"/>
  <c r="I136" i="5"/>
  <c r="M136" i="5" s="1"/>
  <c r="H136" i="5"/>
  <c r="J135" i="5"/>
  <c r="I135" i="5"/>
  <c r="M135" i="5" s="1"/>
  <c r="H135" i="5"/>
  <c r="J134" i="5"/>
  <c r="I134" i="5"/>
  <c r="M134" i="5" s="1"/>
  <c r="H134" i="5"/>
  <c r="J133" i="5"/>
  <c r="I133" i="5"/>
  <c r="M133" i="5" s="1"/>
  <c r="H133" i="5"/>
  <c r="J132" i="5"/>
  <c r="I132" i="5"/>
  <c r="M132" i="5" s="1"/>
  <c r="H132" i="5"/>
  <c r="J131" i="5"/>
  <c r="I131" i="5"/>
  <c r="M131" i="5" s="1"/>
  <c r="H131" i="5"/>
  <c r="J130" i="5"/>
  <c r="I130" i="5"/>
  <c r="H130" i="5"/>
  <c r="J129" i="5"/>
  <c r="I129" i="5"/>
  <c r="H129" i="5"/>
  <c r="J128" i="5"/>
  <c r="I128" i="5"/>
  <c r="M128" i="5" s="1"/>
  <c r="H128" i="5"/>
  <c r="J127" i="5"/>
  <c r="I127" i="5"/>
  <c r="M127" i="5" s="1"/>
  <c r="H127" i="5"/>
  <c r="J126" i="5"/>
  <c r="I126" i="5"/>
  <c r="M126" i="5" s="1"/>
  <c r="H126" i="5"/>
  <c r="J125" i="5"/>
  <c r="I125" i="5"/>
  <c r="M125" i="5" s="1"/>
  <c r="H125" i="5"/>
  <c r="J124" i="5"/>
  <c r="I124" i="5"/>
  <c r="M124" i="5" s="1"/>
  <c r="H124" i="5"/>
  <c r="J123" i="5"/>
  <c r="I123" i="5"/>
  <c r="M123" i="5" s="1"/>
  <c r="H123" i="5"/>
  <c r="J122" i="5"/>
  <c r="I122" i="5"/>
  <c r="H122" i="5"/>
  <c r="J121" i="5"/>
  <c r="I121" i="5"/>
  <c r="H121" i="5"/>
  <c r="J120" i="5"/>
  <c r="I120" i="5"/>
  <c r="M120" i="5" s="1"/>
  <c r="H120" i="5"/>
  <c r="J119" i="5"/>
  <c r="I119" i="5"/>
  <c r="M119" i="5" s="1"/>
  <c r="H119" i="5"/>
  <c r="J118" i="5"/>
  <c r="I118" i="5"/>
  <c r="M118" i="5" s="1"/>
  <c r="H118" i="5"/>
  <c r="J117" i="5"/>
  <c r="I117" i="5"/>
  <c r="M117" i="5" s="1"/>
  <c r="H117" i="5"/>
  <c r="J116" i="5"/>
  <c r="I116" i="5"/>
  <c r="M116" i="5" s="1"/>
  <c r="H116" i="5"/>
  <c r="J115" i="5"/>
  <c r="I115" i="5"/>
  <c r="M115" i="5" s="1"/>
  <c r="H115" i="5"/>
  <c r="J114" i="5"/>
  <c r="I114" i="5"/>
  <c r="H114" i="5"/>
  <c r="J113" i="5"/>
  <c r="I113" i="5"/>
  <c r="H113" i="5"/>
  <c r="J112" i="5"/>
  <c r="I112" i="5"/>
  <c r="M112" i="5" s="1"/>
  <c r="H112" i="5"/>
  <c r="J111" i="5"/>
  <c r="I111" i="5"/>
  <c r="M111" i="5" s="1"/>
  <c r="H111" i="5"/>
  <c r="J110" i="5"/>
  <c r="I110" i="5"/>
  <c r="M110" i="5" s="1"/>
  <c r="H110" i="5"/>
  <c r="J109" i="5"/>
  <c r="I109" i="5"/>
  <c r="M109" i="5" s="1"/>
  <c r="H109" i="5"/>
  <c r="J108" i="5"/>
  <c r="I108" i="5"/>
  <c r="M108" i="5" s="1"/>
  <c r="H108" i="5"/>
  <c r="J107" i="5"/>
  <c r="I107" i="5"/>
  <c r="M107" i="5" s="1"/>
  <c r="H107" i="5"/>
  <c r="J106" i="5"/>
  <c r="I106" i="5"/>
  <c r="H106" i="5"/>
  <c r="J105" i="5"/>
  <c r="I105" i="5"/>
  <c r="H105" i="5"/>
  <c r="J104" i="5"/>
  <c r="I104" i="5"/>
  <c r="M104" i="5" s="1"/>
  <c r="H104" i="5"/>
  <c r="J103" i="5"/>
  <c r="I103" i="5"/>
  <c r="M103" i="5" s="1"/>
  <c r="H103" i="5"/>
  <c r="J102" i="5"/>
  <c r="I102" i="5"/>
  <c r="M102" i="5" s="1"/>
  <c r="H102" i="5"/>
  <c r="J101" i="5"/>
  <c r="I101" i="5"/>
  <c r="M101" i="5" s="1"/>
  <c r="H101" i="5"/>
  <c r="J100" i="5"/>
  <c r="I100" i="5"/>
  <c r="M100" i="5" s="1"/>
  <c r="H100" i="5"/>
  <c r="J99" i="5"/>
  <c r="I99" i="5"/>
  <c r="M99" i="5" s="1"/>
  <c r="H99" i="5"/>
  <c r="J98" i="5"/>
  <c r="I98" i="5"/>
  <c r="H98" i="5"/>
  <c r="J97" i="5"/>
  <c r="I97" i="5"/>
  <c r="H97" i="5"/>
  <c r="J96" i="5"/>
  <c r="I96" i="5"/>
  <c r="M96" i="5" s="1"/>
  <c r="H96" i="5"/>
  <c r="J95" i="5"/>
  <c r="I95" i="5"/>
  <c r="M95" i="5" s="1"/>
  <c r="H95" i="5"/>
  <c r="J94" i="5"/>
  <c r="I94" i="5"/>
  <c r="M94" i="5" s="1"/>
  <c r="H94" i="5"/>
  <c r="J93" i="5"/>
  <c r="I93" i="5"/>
  <c r="M93" i="5" s="1"/>
  <c r="H93" i="5"/>
  <c r="J92" i="5"/>
  <c r="I92" i="5"/>
  <c r="M92" i="5" s="1"/>
  <c r="H92" i="5"/>
  <c r="J91" i="5"/>
  <c r="I91" i="5"/>
  <c r="M91" i="5" s="1"/>
  <c r="H91" i="5"/>
  <c r="J90" i="5"/>
  <c r="I90" i="5"/>
  <c r="H90" i="5"/>
  <c r="J89" i="5"/>
  <c r="I89" i="5"/>
  <c r="H89" i="5"/>
  <c r="J88" i="5"/>
  <c r="I88" i="5"/>
  <c r="M88" i="5" s="1"/>
  <c r="H88" i="5"/>
  <c r="J87" i="5"/>
  <c r="I87" i="5"/>
  <c r="M87" i="5" s="1"/>
  <c r="H87" i="5"/>
  <c r="J86" i="5"/>
  <c r="I86" i="5"/>
  <c r="M86" i="5" s="1"/>
  <c r="H86" i="5"/>
  <c r="J85" i="5"/>
  <c r="I85" i="5"/>
  <c r="M85" i="5" s="1"/>
  <c r="H85" i="5"/>
  <c r="J84" i="5"/>
  <c r="I84" i="5"/>
  <c r="M84" i="5" s="1"/>
  <c r="H84" i="5"/>
  <c r="J83" i="5"/>
  <c r="I83" i="5"/>
  <c r="M83" i="5" s="1"/>
  <c r="H83" i="5"/>
  <c r="J82" i="5"/>
  <c r="I82" i="5"/>
  <c r="H82" i="5"/>
  <c r="J81" i="5"/>
  <c r="I81" i="5"/>
  <c r="H81" i="5"/>
  <c r="J80" i="5"/>
  <c r="I80" i="5"/>
  <c r="M80" i="5" s="1"/>
  <c r="H80" i="5"/>
  <c r="J79" i="5"/>
  <c r="I79" i="5"/>
  <c r="M79" i="5" s="1"/>
  <c r="H79" i="5"/>
  <c r="J78" i="5"/>
  <c r="I78" i="5"/>
  <c r="M78" i="5" s="1"/>
  <c r="H78" i="5"/>
  <c r="J77" i="5"/>
  <c r="I77" i="5"/>
  <c r="M77" i="5" s="1"/>
  <c r="H77" i="5"/>
  <c r="J76" i="5"/>
  <c r="I76" i="5"/>
  <c r="M76" i="5" s="1"/>
  <c r="H76" i="5"/>
  <c r="J75" i="5"/>
  <c r="I75" i="5"/>
  <c r="M75" i="5" s="1"/>
  <c r="H75" i="5"/>
  <c r="J74" i="5"/>
  <c r="I74" i="5"/>
  <c r="H74" i="5"/>
  <c r="J73" i="5"/>
  <c r="I73" i="5"/>
  <c r="H73" i="5"/>
  <c r="J72" i="5"/>
  <c r="I72" i="5"/>
  <c r="M72" i="5" s="1"/>
  <c r="H72" i="5"/>
  <c r="J71" i="5"/>
  <c r="I71" i="5"/>
  <c r="M71" i="5" s="1"/>
  <c r="H71" i="5"/>
  <c r="J70" i="5"/>
  <c r="I70" i="5"/>
  <c r="M70" i="5" s="1"/>
  <c r="H70" i="5"/>
  <c r="J69" i="5"/>
  <c r="I69" i="5"/>
  <c r="M69" i="5" s="1"/>
  <c r="H69" i="5"/>
  <c r="J68" i="5"/>
  <c r="I68" i="5"/>
  <c r="M68" i="5" s="1"/>
  <c r="H68" i="5"/>
  <c r="J67" i="5"/>
  <c r="I67" i="5"/>
  <c r="M67" i="5" s="1"/>
  <c r="H67" i="5"/>
  <c r="J66" i="5"/>
  <c r="I66" i="5"/>
  <c r="H66" i="5"/>
  <c r="J65" i="5"/>
  <c r="I65" i="5"/>
  <c r="H65" i="5"/>
  <c r="J64" i="5"/>
  <c r="I64" i="5"/>
  <c r="M64" i="5" s="1"/>
  <c r="H64" i="5"/>
  <c r="J63" i="5"/>
  <c r="I63" i="5"/>
  <c r="M63" i="5" s="1"/>
  <c r="H63" i="5"/>
  <c r="J62" i="5"/>
  <c r="I62" i="5"/>
  <c r="M62" i="5" s="1"/>
  <c r="H62" i="5"/>
  <c r="J61" i="5"/>
  <c r="I61" i="5"/>
  <c r="M61" i="5" s="1"/>
  <c r="H61" i="5"/>
  <c r="J60" i="5"/>
  <c r="I60" i="5"/>
  <c r="M60" i="5" s="1"/>
  <c r="H60" i="5"/>
  <c r="J59" i="5"/>
  <c r="I59" i="5"/>
  <c r="M59" i="5" s="1"/>
  <c r="H59" i="5"/>
  <c r="J58" i="5"/>
  <c r="I58" i="5"/>
  <c r="H58" i="5"/>
  <c r="J57" i="5"/>
  <c r="I57" i="5"/>
  <c r="H57" i="5"/>
  <c r="J56" i="5"/>
  <c r="I56" i="5"/>
  <c r="M56" i="5" s="1"/>
  <c r="H56" i="5"/>
  <c r="J55" i="5"/>
  <c r="I55" i="5"/>
  <c r="M55" i="5" s="1"/>
  <c r="H55" i="5"/>
  <c r="J54" i="5"/>
  <c r="I54" i="5"/>
  <c r="M54" i="5" s="1"/>
  <c r="H54" i="5"/>
  <c r="J53" i="5"/>
  <c r="I53" i="5"/>
  <c r="M53" i="5" s="1"/>
  <c r="H53" i="5"/>
  <c r="J52" i="5"/>
  <c r="I52" i="5"/>
  <c r="M52" i="5" s="1"/>
  <c r="H52" i="5"/>
  <c r="J51" i="5"/>
  <c r="I51" i="5"/>
  <c r="M51" i="5" s="1"/>
  <c r="H51" i="5"/>
  <c r="J50" i="5"/>
  <c r="I50" i="5"/>
  <c r="H50" i="5"/>
  <c r="J49" i="5"/>
  <c r="I49" i="5"/>
  <c r="H49" i="5"/>
  <c r="J48" i="5"/>
  <c r="I48" i="5"/>
  <c r="M48" i="5" s="1"/>
  <c r="H48" i="5"/>
  <c r="J47" i="5"/>
  <c r="I47" i="5"/>
  <c r="M47" i="5" s="1"/>
  <c r="H47" i="5"/>
  <c r="J46" i="5"/>
  <c r="I46" i="5"/>
  <c r="M46" i="5" s="1"/>
  <c r="H46" i="5"/>
  <c r="J45" i="5"/>
  <c r="I45" i="5"/>
  <c r="M45" i="5" s="1"/>
  <c r="H45" i="5"/>
  <c r="J44" i="5"/>
  <c r="I44" i="5"/>
  <c r="M44" i="5" s="1"/>
  <c r="H44" i="5"/>
  <c r="J43" i="5"/>
  <c r="I43" i="5"/>
  <c r="M43" i="5" s="1"/>
  <c r="H43" i="5"/>
  <c r="J42" i="5"/>
  <c r="I42" i="5"/>
  <c r="H42" i="5"/>
  <c r="J41" i="5"/>
  <c r="I41" i="5"/>
  <c r="H41" i="5"/>
  <c r="J40" i="5"/>
  <c r="I40" i="5"/>
  <c r="M40" i="5" s="1"/>
  <c r="H40" i="5"/>
  <c r="J39" i="5"/>
  <c r="I39" i="5"/>
  <c r="M39" i="5" s="1"/>
  <c r="H39" i="5"/>
  <c r="J38" i="5"/>
  <c r="I38" i="5"/>
  <c r="M38" i="5" s="1"/>
  <c r="H38" i="5"/>
  <c r="J37" i="5"/>
  <c r="I37" i="5"/>
  <c r="M37" i="5" s="1"/>
  <c r="H37" i="5"/>
  <c r="J36" i="5"/>
  <c r="I36" i="5"/>
  <c r="M36" i="5" s="1"/>
  <c r="H36" i="5"/>
  <c r="J35" i="5"/>
  <c r="I35" i="5"/>
  <c r="M35" i="5" s="1"/>
  <c r="H35" i="5"/>
  <c r="J34" i="5"/>
  <c r="I34" i="5"/>
  <c r="H34" i="5"/>
  <c r="J33" i="5"/>
  <c r="I33" i="5"/>
  <c r="H33" i="5"/>
  <c r="J32" i="5"/>
  <c r="I32" i="5"/>
  <c r="M32" i="5" s="1"/>
  <c r="H32" i="5"/>
  <c r="J31" i="5"/>
  <c r="I31" i="5"/>
  <c r="M31" i="5" s="1"/>
  <c r="H31" i="5"/>
  <c r="J30" i="5"/>
  <c r="I30" i="5"/>
  <c r="M30" i="5" s="1"/>
  <c r="H30" i="5"/>
  <c r="J29" i="5"/>
  <c r="I29" i="5"/>
  <c r="M29" i="5" s="1"/>
  <c r="H29" i="5"/>
  <c r="J28" i="5"/>
  <c r="I28" i="5"/>
  <c r="M28" i="5" s="1"/>
  <c r="H28" i="5"/>
  <c r="J27" i="5"/>
  <c r="I27" i="5"/>
  <c r="M27" i="5" s="1"/>
  <c r="H27" i="5"/>
  <c r="J26" i="5"/>
  <c r="I26" i="5"/>
  <c r="H26" i="5"/>
  <c r="J25" i="5"/>
  <c r="I25" i="5"/>
  <c r="H25" i="5"/>
  <c r="J24" i="5"/>
  <c r="I24" i="5"/>
  <c r="M24" i="5" s="1"/>
  <c r="H24" i="5"/>
  <c r="J23" i="5"/>
  <c r="I23" i="5"/>
  <c r="M23" i="5" s="1"/>
  <c r="H23" i="5"/>
  <c r="J22" i="5"/>
  <c r="I22" i="5"/>
  <c r="M22" i="5" s="1"/>
  <c r="H22" i="5"/>
  <c r="J21" i="5"/>
  <c r="I21" i="5"/>
  <c r="M21" i="5" s="1"/>
  <c r="H21" i="5"/>
  <c r="J20" i="5"/>
  <c r="I20" i="5"/>
  <c r="M20" i="5" s="1"/>
  <c r="H20" i="5"/>
  <c r="J19" i="5"/>
  <c r="I19" i="5"/>
  <c r="M19" i="5" s="1"/>
  <c r="H19" i="5"/>
  <c r="J18" i="5"/>
  <c r="I18" i="5"/>
  <c r="H18" i="5"/>
  <c r="J17" i="5"/>
  <c r="I17" i="5"/>
  <c r="H17" i="5"/>
  <c r="J16" i="5"/>
  <c r="I16" i="5"/>
  <c r="M16" i="5" s="1"/>
  <c r="H16" i="5"/>
  <c r="J15" i="5"/>
  <c r="I15" i="5"/>
  <c r="M15" i="5" s="1"/>
  <c r="H15" i="5"/>
  <c r="J14" i="5"/>
  <c r="I14" i="5"/>
  <c r="M14" i="5" s="1"/>
  <c r="H14" i="5"/>
  <c r="J13" i="5"/>
  <c r="I13" i="5"/>
  <c r="M13" i="5" s="1"/>
  <c r="H13" i="5"/>
  <c r="J12" i="5"/>
  <c r="I12" i="5"/>
  <c r="M12" i="5" s="1"/>
  <c r="H12" i="5"/>
  <c r="J11" i="5"/>
  <c r="I11" i="5"/>
  <c r="M11" i="5" s="1"/>
  <c r="H11" i="5"/>
  <c r="J10" i="5"/>
  <c r="I10" i="5"/>
  <c r="H10" i="5"/>
  <c r="J9" i="5"/>
  <c r="I9" i="5"/>
  <c r="H9" i="5"/>
  <c r="J8" i="5"/>
  <c r="I8" i="5"/>
  <c r="M8" i="5" s="1"/>
  <c r="H8" i="5"/>
  <c r="J7" i="5"/>
  <c r="I7" i="5"/>
  <c r="M7" i="5" s="1"/>
  <c r="H7" i="5"/>
  <c r="J6" i="5"/>
  <c r="I6" i="5"/>
  <c r="M6" i="5" s="1"/>
  <c r="H6" i="5"/>
  <c r="J5" i="5"/>
  <c r="I5" i="5"/>
  <c r="M5" i="5" s="1"/>
  <c r="H5" i="5"/>
  <c r="J4" i="5"/>
  <c r="I4" i="5"/>
  <c r="M4" i="5" s="1"/>
  <c r="H4" i="5"/>
  <c r="J3" i="5"/>
  <c r="I3" i="5"/>
  <c r="M3" i="5" s="1"/>
  <c r="H3" i="5"/>
  <c r="J2" i="5"/>
  <c r="I2" i="5"/>
  <c r="H2" i="5"/>
  <c r="Y23" i="19" l="1"/>
  <c r="N23" i="19"/>
  <c r="S23" i="19"/>
  <c r="Q23" i="19"/>
  <c r="Z23" i="19"/>
  <c r="X23" i="19"/>
  <c r="O23" i="19"/>
  <c r="T23" i="19"/>
  <c r="R23" i="19"/>
  <c r="W23" i="19"/>
  <c r="V23" i="19"/>
  <c r="U23" i="19"/>
  <c r="P23" i="19"/>
  <c r="M24" i="19"/>
  <c r="O20" i="5"/>
  <c r="N20" i="5"/>
  <c r="O76" i="5"/>
  <c r="N76" i="5"/>
  <c r="N108" i="5"/>
  <c r="O108" i="5"/>
  <c r="N148" i="5"/>
  <c r="O148" i="5"/>
  <c r="O236" i="5"/>
  <c r="N236" i="5"/>
  <c r="O276" i="5"/>
  <c r="N276" i="5"/>
  <c r="N292" i="5"/>
  <c r="O292" i="5"/>
  <c r="N45" i="5"/>
  <c r="O45" i="5"/>
  <c r="O77" i="5"/>
  <c r="N77" i="5"/>
  <c r="O93" i="5"/>
  <c r="N93" i="5"/>
  <c r="N149" i="5"/>
  <c r="O149" i="5"/>
  <c r="O48" i="5"/>
  <c r="N48" i="5"/>
  <c r="N96" i="5"/>
  <c r="O96" i="5"/>
  <c r="N3" i="5"/>
  <c r="O3" i="5"/>
  <c r="M9" i="5"/>
  <c r="W39" i="16" s="1"/>
  <c r="T39" i="16" s="1"/>
  <c r="M17" i="5"/>
  <c r="M25" i="5"/>
  <c r="M33" i="5"/>
  <c r="M41" i="5"/>
  <c r="M49" i="5"/>
  <c r="M57" i="5"/>
  <c r="M65" i="5"/>
  <c r="M73" i="5"/>
  <c r="M81" i="5"/>
  <c r="M89" i="5"/>
  <c r="M97" i="5"/>
  <c r="M105" i="5"/>
  <c r="M113" i="5"/>
  <c r="M121" i="5"/>
  <c r="M129" i="5"/>
  <c r="M137" i="5"/>
  <c r="M145" i="5"/>
  <c r="M153" i="5"/>
  <c r="M161" i="5"/>
  <c r="M169" i="5"/>
  <c r="M177" i="5"/>
  <c r="M185" i="5"/>
  <c r="M193" i="5"/>
  <c r="M217" i="5"/>
  <c r="M225" i="5"/>
  <c r="M233" i="5"/>
  <c r="M241" i="5"/>
  <c r="M249" i="5"/>
  <c r="M254" i="5"/>
  <c r="M257" i="5"/>
  <c r="M265" i="5"/>
  <c r="M273" i="5"/>
  <c r="M281" i="5"/>
  <c r="M289" i="5"/>
  <c r="M297" i="5"/>
  <c r="M305" i="5"/>
  <c r="M313" i="5"/>
  <c r="M321" i="5"/>
  <c r="M329" i="5"/>
  <c r="M332" i="5"/>
  <c r="N4" i="5"/>
  <c r="O4" i="5"/>
  <c r="N52" i="5"/>
  <c r="O52" i="5"/>
  <c r="O68" i="5"/>
  <c r="N68" i="5"/>
  <c r="O100" i="5"/>
  <c r="N100" i="5"/>
  <c r="O244" i="5"/>
  <c r="N244" i="5"/>
  <c r="O7" i="5"/>
  <c r="N7" i="5"/>
  <c r="O31" i="5"/>
  <c r="N31" i="5"/>
  <c r="N39" i="5"/>
  <c r="O39" i="5"/>
  <c r="N47" i="5"/>
  <c r="O47" i="5"/>
  <c r="N55" i="5"/>
  <c r="O55" i="5"/>
  <c r="N63" i="5"/>
  <c r="O63" i="5"/>
  <c r="O71" i="5"/>
  <c r="N71" i="5"/>
  <c r="O79" i="5"/>
  <c r="N79" i="5"/>
  <c r="O95" i="5"/>
  <c r="N95" i="5"/>
  <c r="N111" i="5"/>
  <c r="O111" i="5"/>
  <c r="N119" i="5"/>
  <c r="O119" i="5"/>
  <c r="N127" i="5"/>
  <c r="O127" i="5"/>
  <c r="N135" i="5"/>
  <c r="O135" i="5"/>
  <c r="N143" i="5"/>
  <c r="O143" i="5"/>
  <c r="N151" i="5"/>
  <c r="O151" i="5"/>
  <c r="O159" i="5"/>
  <c r="N159" i="5"/>
  <c r="O175" i="5"/>
  <c r="N175" i="5"/>
  <c r="O183" i="5"/>
  <c r="N183" i="5"/>
  <c r="O191" i="5"/>
  <c r="N191" i="5"/>
  <c r="N199" i="5"/>
  <c r="O199" i="5"/>
  <c r="M212" i="5"/>
  <c r="O212" i="5" s="1"/>
  <c r="N215" i="5"/>
  <c r="O215" i="5"/>
  <c r="N223" i="5"/>
  <c r="O223" i="5"/>
  <c r="N231" i="5"/>
  <c r="O231" i="5"/>
  <c r="O239" i="5"/>
  <c r="N239" i="5"/>
  <c r="O247" i="5"/>
  <c r="N247" i="5"/>
  <c r="M252" i="5"/>
  <c r="N263" i="5"/>
  <c r="O263" i="5"/>
  <c r="M268" i="5"/>
  <c r="N279" i="5"/>
  <c r="O279" i="5"/>
  <c r="N287" i="5"/>
  <c r="O287" i="5"/>
  <c r="N295" i="5"/>
  <c r="O295" i="5"/>
  <c r="N303" i="5"/>
  <c r="O303" i="5"/>
  <c r="N311" i="5"/>
  <c r="O311" i="5"/>
  <c r="N319" i="5"/>
  <c r="O319" i="5"/>
  <c r="O327" i="5"/>
  <c r="N327" i="5"/>
  <c r="N330" i="5"/>
  <c r="O330" i="5"/>
  <c r="O36" i="5"/>
  <c r="N36" i="5"/>
  <c r="O260" i="5"/>
  <c r="N260" i="5"/>
  <c r="O15" i="5"/>
  <c r="N15" i="5"/>
  <c r="O23" i="5"/>
  <c r="N23" i="5"/>
  <c r="M2" i="5"/>
  <c r="M10" i="5"/>
  <c r="M18" i="5"/>
  <c r="M26" i="5"/>
  <c r="M34" i="5"/>
  <c r="M42" i="5"/>
  <c r="M50" i="5"/>
  <c r="M58" i="5"/>
  <c r="M66" i="5"/>
  <c r="M74" i="5"/>
  <c r="M82" i="5"/>
  <c r="M90" i="5"/>
  <c r="M98" i="5"/>
  <c r="M106" i="5"/>
  <c r="M114" i="5"/>
  <c r="M122" i="5"/>
  <c r="M130" i="5"/>
  <c r="M138" i="5"/>
  <c r="M146" i="5"/>
  <c r="M154" i="5"/>
  <c r="M162" i="5"/>
  <c r="M170" i="5"/>
  <c r="N178" i="5"/>
  <c r="O178" i="5"/>
  <c r="N186" i="5"/>
  <c r="O186" i="5"/>
  <c r="N194" i="5"/>
  <c r="O194" i="5"/>
  <c r="O202" i="5"/>
  <c r="N202" i="5"/>
  <c r="M207" i="5"/>
  <c r="O207" i="5" s="1"/>
  <c r="N210" i="5"/>
  <c r="O210" i="5"/>
  <c r="N218" i="5"/>
  <c r="O218" i="5"/>
  <c r="O226" i="5"/>
  <c r="N226" i="5"/>
  <c r="M234" i="5"/>
  <c r="M242" i="5"/>
  <c r="N258" i="5"/>
  <c r="O258" i="5"/>
  <c r="M271" i="5"/>
  <c r="N271" i="5" s="1"/>
  <c r="O274" i="5"/>
  <c r="N274" i="5"/>
  <c r="N282" i="5"/>
  <c r="O282" i="5"/>
  <c r="O290" i="5"/>
  <c r="N290" i="5"/>
  <c r="O298" i="5"/>
  <c r="N298" i="5"/>
  <c r="M306" i="5"/>
  <c r="M314" i="5"/>
  <c r="M322" i="5"/>
  <c r="O173" i="5"/>
  <c r="N173" i="5"/>
  <c r="M181" i="5"/>
  <c r="M189" i="5"/>
  <c r="M213" i="5"/>
  <c r="M221" i="5"/>
  <c r="M229" i="5"/>
  <c r="M237" i="5"/>
  <c r="M245" i="5"/>
  <c r="M253" i="5"/>
  <c r="N253" i="5" s="1"/>
  <c r="M261" i="5"/>
  <c r="M266" i="5"/>
  <c r="M277" i="5"/>
  <c r="M285" i="5"/>
  <c r="M293" i="5"/>
  <c r="M301" i="5"/>
  <c r="M309" i="5"/>
  <c r="M317" i="5"/>
  <c r="M325" i="5"/>
  <c r="O28" i="5"/>
  <c r="N28" i="5"/>
  <c r="N84" i="5"/>
  <c r="O84" i="5"/>
  <c r="O140" i="5"/>
  <c r="N140" i="5"/>
  <c r="O172" i="5"/>
  <c r="N172" i="5"/>
  <c r="O300" i="5"/>
  <c r="N300" i="5"/>
  <c r="O13" i="5"/>
  <c r="N13" i="5"/>
  <c r="O37" i="5"/>
  <c r="N37" i="5"/>
  <c r="N69" i="5"/>
  <c r="O69" i="5"/>
  <c r="N32" i="5"/>
  <c r="O32" i="5"/>
  <c r="N80" i="5"/>
  <c r="O80" i="5"/>
  <c r="N104" i="5"/>
  <c r="O104" i="5"/>
  <c r="O120" i="5"/>
  <c r="N120" i="5"/>
  <c r="O128" i="5"/>
  <c r="N128" i="5"/>
  <c r="O136" i="5"/>
  <c r="N136" i="5"/>
  <c r="O144" i="5"/>
  <c r="N144" i="5"/>
  <c r="O152" i="5"/>
  <c r="N152" i="5"/>
  <c r="O160" i="5"/>
  <c r="N160" i="5"/>
  <c r="O168" i="5"/>
  <c r="N168" i="5"/>
  <c r="N176" i="5"/>
  <c r="O176" i="5"/>
  <c r="O184" i="5"/>
  <c r="N184" i="5"/>
  <c r="O192" i="5"/>
  <c r="N192" i="5"/>
  <c r="O200" i="5"/>
  <c r="N200" i="5"/>
  <c r="O208" i="5"/>
  <c r="N208" i="5"/>
  <c r="N216" i="5"/>
  <c r="O216" i="5"/>
  <c r="N224" i="5"/>
  <c r="O224" i="5"/>
  <c r="N232" i="5"/>
  <c r="O232" i="5"/>
  <c r="N240" i="5"/>
  <c r="O240" i="5"/>
  <c r="N248" i="5"/>
  <c r="O248" i="5"/>
  <c r="O264" i="5"/>
  <c r="N264" i="5"/>
  <c r="O272" i="5"/>
  <c r="N272" i="5"/>
  <c r="O280" i="5"/>
  <c r="N280" i="5"/>
  <c r="O288" i="5"/>
  <c r="N288" i="5"/>
  <c r="N296" i="5"/>
  <c r="O296" i="5"/>
  <c r="N304" i="5"/>
  <c r="O304" i="5"/>
  <c r="N312" i="5"/>
  <c r="O312" i="5"/>
  <c r="N320" i="5"/>
  <c r="O320" i="5"/>
  <c r="O328" i="5"/>
  <c r="N328" i="5"/>
  <c r="N331" i="5"/>
  <c r="O331" i="5"/>
  <c r="N60" i="5"/>
  <c r="O60" i="5"/>
  <c r="O92" i="5"/>
  <c r="N92" i="5"/>
  <c r="N124" i="5"/>
  <c r="O124" i="5"/>
  <c r="O156" i="5"/>
  <c r="N156" i="5"/>
  <c r="N180" i="5"/>
  <c r="O180" i="5"/>
  <c r="N220" i="5"/>
  <c r="O220" i="5"/>
  <c r="N308" i="5"/>
  <c r="O308" i="5"/>
  <c r="O316" i="5"/>
  <c r="N316" i="5"/>
  <c r="O29" i="5"/>
  <c r="N29" i="5"/>
  <c r="N53" i="5"/>
  <c r="O53" i="5"/>
  <c r="O101" i="5"/>
  <c r="N101" i="5"/>
  <c r="N117" i="5"/>
  <c r="O117" i="5"/>
  <c r="O133" i="5"/>
  <c r="N133" i="5"/>
  <c r="N16" i="5"/>
  <c r="O16" i="5"/>
  <c r="O64" i="5"/>
  <c r="N64" i="5"/>
  <c r="N11" i="5"/>
  <c r="O11" i="5"/>
  <c r="N19" i="5"/>
  <c r="O19" i="5"/>
  <c r="N27" i="5"/>
  <c r="O27" i="5"/>
  <c r="O35" i="5"/>
  <c r="N35" i="5"/>
  <c r="N43" i="5"/>
  <c r="O43" i="5"/>
  <c r="N51" i="5"/>
  <c r="O51" i="5"/>
  <c r="N59" i="5"/>
  <c r="O59" i="5"/>
  <c r="N67" i="5"/>
  <c r="O67" i="5"/>
  <c r="O75" i="5"/>
  <c r="N75" i="5"/>
  <c r="O83" i="5"/>
  <c r="N83" i="5"/>
  <c r="N91" i="5"/>
  <c r="O91" i="5"/>
  <c r="N99" i="5"/>
  <c r="O99" i="5"/>
  <c r="N107" i="5"/>
  <c r="O107" i="5"/>
  <c r="O115" i="5"/>
  <c r="N115" i="5"/>
  <c r="N123" i="5"/>
  <c r="O123" i="5"/>
  <c r="O131" i="5"/>
  <c r="N131" i="5"/>
  <c r="N139" i="5"/>
  <c r="O139" i="5"/>
  <c r="O147" i="5"/>
  <c r="N147" i="5"/>
  <c r="N155" i="5"/>
  <c r="O155" i="5"/>
  <c r="N163" i="5"/>
  <c r="O163" i="5"/>
  <c r="N171" i="5"/>
  <c r="O171" i="5"/>
  <c r="N179" i="5"/>
  <c r="O179" i="5"/>
  <c r="N187" i="5"/>
  <c r="O187" i="5"/>
  <c r="O203" i="5"/>
  <c r="N203" i="5"/>
  <c r="O211" i="5"/>
  <c r="N211" i="5"/>
  <c r="O219" i="5"/>
  <c r="N219" i="5"/>
  <c r="N227" i="5"/>
  <c r="O227" i="5"/>
  <c r="N235" i="5"/>
  <c r="O235" i="5"/>
  <c r="N243" i="5"/>
  <c r="O243" i="5"/>
  <c r="N275" i="5"/>
  <c r="O275" i="5"/>
  <c r="M283" i="5"/>
  <c r="N291" i="5"/>
  <c r="O291" i="5"/>
  <c r="O299" i="5"/>
  <c r="N299" i="5"/>
  <c r="O307" i="5"/>
  <c r="N307" i="5"/>
  <c r="O315" i="5"/>
  <c r="N315" i="5"/>
  <c r="N323" i="5"/>
  <c r="O323" i="5"/>
  <c r="O12" i="5"/>
  <c r="N12" i="5"/>
  <c r="N44" i="5"/>
  <c r="O44" i="5"/>
  <c r="N116" i="5"/>
  <c r="O116" i="5"/>
  <c r="N132" i="5"/>
  <c r="O132" i="5"/>
  <c r="N188" i="5"/>
  <c r="O188" i="5"/>
  <c r="N228" i="5"/>
  <c r="O228" i="5"/>
  <c r="N284" i="5"/>
  <c r="O284" i="5"/>
  <c r="O324" i="5"/>
  <c r="N324" i="5"/>
  <c r="N21" i="5"/>
  <c r="O21" i="5"/>
  <c r="O61" i="5"/>
  <c r="N61" i="5"/>
  <c r="N85" i="5"/>
  <c r="O85" i="5"/>
  <c r="N109" i="5"/>
  <c r="O109" i="5"/>
  <c r="N125" i="5"/>
  <c r="O125" i="5"/>
  <c r="O141" i="5"/>
  <c r="N141" i="5"/>
  <c r="O157" i="5"/>
  <c r="N157" i="5"/>
  <c r="O8" i="5"/>
  <c r="N8" i="5"/>
  <c r="O24" i="5"/>
  <c r="N24" i="5"/>
  <c r="O40" i="5"/>
  <c r="N40" i="5"/>
  <c r="O56" i="5"/>
  <c r="N56" i="5"/>
  <c r="O72" i="5"/>
  <c r="N72" i="5"/>
  <c r="N112" i="5"/>
  <c r="O112" i="5"/>
  <c r="O6" i="5"/>
  <c r="N6" i="5"/>
  <c r="O14" i="5"/>
  <c r="N14" i="5"/>
  <c r="O22" i="5"/>
  <c r="N22" i="5"/>
  <c r="N30" i="5"/>
  <c r="O30" i="5"/>
  <c r="N38" i="5"/>
  <c r="O38" i="5"/>
  <c r="N46" i="5"/>
  <c r="O46" i="5"/>
  <c r="N54" i="5"/>
  <c r="O54" i="5"/>
  <c r="N62" i="5"/>
  <c r="O62" i="5"/>
  <c r="N70" i="5"/>
  <c r="O70" i="5"/>
  <c r="N78" i="5"/>
  <c r="O78" i="5"/>
  <c r="N86" i="5"/>
  <c r="O86" i="5"/>
  <c r="O94" i="5"/>
  <c r="N94" i="5"/>
  <c r="O102" i="5"/>
  <c r="N102" i="5"/>
  <c r="N110" i="5"/>
  <c r="O110" i="5"/>
  <c r="N118" i="5"/>
  <c r="O118" i="5"/>
  <c r="N126" i="5"/>
  <c r="O126" i="5"/>
  <c r="O134" i="5"/>
  <c r="N134" i="5"/>
  <c r="O142" i="5"/>
  <c r="N142" i="5"/>
  <c r="N150" i="5"/>
  <c r="O150" i="5"/>
  <c r="N158" i="5"/>
  <c r="O158" i="5"/>
  <c r="N166" i="5"/>
  <c r="O166" i="5"/>
  <c r="N174" i="5"/>
  <c r="O174" i="5"/>
  <c r="N182" i="5"/>
  <c r="O182" i="5"/>
  <c r="O190" i="5"/>
  <c r="N190" i="5"/>
  <c r="O198" i="5"/>
  <c r="N198" i="5"/>
  <c r="O214" i="5"/>
  <c r="N214" i="5"/>
  <c r="O222" i="5"/>
  <c r="N222" i="5"/>
  <c r="N230" i="5"/>
  <c r="O230" i="5"/>
  <c r="M238" i="5"/>
  <c r="M246" i="5"/>
  <c r="M259" i="5"/>
  <c r="O262" i="5"/>
  <c r="N262" i="5"/>
  <c r="N270" i="5"/>
  <c r="O270" i="5"/>
  <c r="O278" i="5"/>
  <c r="N278" i="5"/>
  <c r="O286" i="5"/>
  <c r="N286" i="5"/>
  <c r="M294" i="5"/>
  <c r="M302" i="5"/>
  <c r="M310" i="5"/>
  <c r="M318" i="5"/>
  <c r="M326" i="5"/>
  <c r="O105" i="5"/>
  <c r="N105" i="5"/>
  <c r="N165" i="5"/>
  <c r="O165" i="5"/>
  <c r="N257" i="5"/>
  <c r="O257" i="5"/>
  <c r="N88" i="5"/>
  <c r="O88" i="5"/>
  <c r="O164" i="5"/>
  <c r="N164" i="5"/>
  <c r="N256" i="5"/>
  <c r="O256" i="5"/>
  <c r="O87" i="5"/>
  <c r="N87" i="5"/>
  <c r="O103" i="5"/>
  <c r="N103" i="5"/>
  <c r="O167" i="5"/>
  <c r="N167" i="5"/>
  <c r="N259" i="5"/>
  <c r="O259" i="5"/>
  <c r="O250" i="5"/>
  <c r="N250" i="5"/>
  <c r="O253" i="5"/>
  <c r="N254" i="5"/>
  <c r="O254" i="5"/>
  <c r="O266" i="5"/>
  <c r="N266" i="5"/>
  <c r="N197" i="5"/>
  <c r="O197" i="5"/>
  <c r="O201" i="5"/>
  <c r="N201" i="5"/>
  <c r="O204" i="5"/>
  <c r="N204" i="5"/>
  <c r="N205" i="5"/>
  <c r="O205" i="5"/>
  <c r="N209" i="5"/>
  <c r="O209" i="5"/>
  <c r="N269" i="5"/>
  <c r="O269" i="5"/>
  <c r="J3" i="16"/>
  <c r="L3" i="16" s="1"/>
  <c r="J6" i="16"/>
  <c r="L6" i="16" s="1"/>
  <c r="J11" i="16"/>
  <c r="L11" i="16" s="1"/>
  <c r="J7" i="16"/>
  <c r="L7" i="16" s="1"/>
  <c r="J10" i="16"/>
  <c r="L10" i="16" s="1"/>
  <c r="J4" i="16"/>
  <c r="L4" i="16" s="1"/>
  <c r="J8" i="16"/>
  <c r="L8" i="16" s="1"/>
  <c r="J12" i="16"/>
  <c r="L12" i="16" s="1"/>
  <c r="J5" i="16"/>
  <c r="L5" i="16" s="1"/>
  <c r="J9" i="16"/>
  <c r="L9" i="16" s="1"/>
  <c r="J14" i="16"/>
  <c r="L14" i="16" s="1"/>
  <c r="J13" i="16"/>
  <c r="L13" i="16" s="1"/>
  <c r="M195" i="5"/>
  <c r="K2" i="16"/>
  <c r="M2" i="16" s="1"/>
  <c r="K7" i="16"/>
  <c r="M7" i="16" s="1"/>
  <c r="K10" i="16"/>
  <c r="M10" i="16" s="1"/>
  <c r="K13" i="16"/>
  <c r="M13" i="16" s="1"/>
  <c r="K5" i="16"/>
  <c r="M5" i="16" s="1"/>
  <c r="K14" i="16"/>
  <c r="M14" i="16" s="1"/>
  <c r="K3" i="16"/>
  <c r="M3" i="16" s="1"/>
  <c r="K6" i="16"/>
  <c r="M6" i="16" s="1"/>
  <c r="K11" i="16"/>
  <c r="M11" i="16" s="1"/>
  <c r="K4" i="16"/>
  <c r="M4" i="16" s="1"/>
  <c r="K8" i="16"/>
  <c r="M8" i="16" s="1"/>
  <c r="K12" i="16"/>
  <c r="M12" i="16" s="1"/>
  <c r="K9" i="16"/>
  <c r="M9" i="16" s="1"/>
  <c r="M196" i="5"/>
  <c r="O251" i="5"/>
  <c r="N251" i="5"/>
  <c r="O252" i="5"/>
  <c r="N252" i="5"/>
  <c r="N255" i="5"/>
  <c r="O255" i="5"/>
  <c r="O267" i="5"/>
  <c r="N267" i="5"/>
  <c r="O268" i="5"/>
  <c r="N268" i="5"/>
  <c r="O206" i="5"/>
  <c r="N206" i="5"/>
  <c r="N207" i="5"/>
  <c r="O5" i="5"/>
  <c r="N5" i="5"/>
  <c r="W87" i="16"/>
  <c r="T87" i="16" s="1"/>
  <c r="W111" i="16"/>
  <c r="W80" i="16"/>
  <c r="T80" i="16" s="1"/>
  <c r="W54" i="16"/>
  <c r="T54" i="16" s="1"/>
  <c r="W92" i="16"/>
  <c r="T92" i="16" s="1"/>
  <c r="W131" i="16"/>
  <c r="T131" i="16" s="1"/>
  <c r="W5" i="16"/>
  <c r="T5" i="16" s="1"/>
  <c r="W56" i="16"/>
  <c r="T56" i="16" s="1"/>
  <c r="W152" i="16"/>
  <c r="W41" i="16"/>
  <c r="T41" i="16" s="1"/>
  <c r="W17" i="16"/>
  <c r="T17" i="16" s="1"/>
  <c r="W110" i="16"/>
  <c r="W114" i="16"/>
  <c r="W124" i="16"/>
  <c r="W101" i="16"/>
  <c r="W63" i="16"/>
  <c r="T63" i="16" s="1"/>
  <c r="W93" i="16"/>
  <c r="T93" i="16" s="1"/>
  <c r="W90" i="16"/>
  <c r="W149" i="16"/>
  <c r="G3" i="16"/>
  <c r="G9" i="16"/>
  <c r="G14" i="16"/>
  <c r="G5" i="16"/>
  <c r="G6" i="16"/>
  <c r="G7" i="16"/>
  <c r="G10" i="16"/>
  <c r="G13" i="16"/>
  <c r="G4" i="16"/>
  <c r="G8" i="16"/>
  <c r="G11" i="16"/>
  <c r="G2" i="16"/>
  <c r="G12" i="16"/>
  <c r="H327" i="1"/>
  <c r="Y24" i="19" l="1"/>
  <c r="N24" i="19"/>
  <c r="O24" i="19"/>
  <c r="Z24" i="19"/>
  <c r="X24" i="19"/>
  <c r="R24" i="19"/>
  <c r="U24" i="19"/>
  <c r="Q24" i="19"/>
  <c r="W24" i="19"/>
  <c r="T24" i="19"/>
  <c r="V24" i="19"/>
  <c r="S24" i="19"/>
  <c r="P24" i="19"/>
  <c r="M25" i="19"/>
  <c r="N277" i="5"/>
  <c r="O277" i="5"/>
  <c r="N74" i="5"/>
  <c r="O74" i="5"/>
  <c r="O10" i="5"/>
  <c r="N10" i="5"/>
  <c r="N297" i="5"/>
  <c r="O297" i="5"/>
  <c r="O241" i="5"/>
  <c r="N241" i="5"/>
  <c r="N97" i="5"/>
  <c r="O97" i="5"/>
  <c r="N33" i="5"/>
  <c r="O33" i="5"/>
  <c r="W136" i="16"/>
  <c r="T136" i="16" s="1"/>
  <c r="W123" i="16"/>
  <c r="W109" i="16"/>
  <c r="T109" i="16" s="1"/>
  <c r="W108" i="16"/>
  <c r="W79" i="16"/>
  <c r="T79" i="16" s="1"/>
  <c r="W112" i="16"/>
  <c r="W6" i="16"/>
  <c r="T6" i="16" s="1"/>
  <c r="W96" i="16"/>
  <c r="W12" i="16"/>
  <c r="T12" i="16" s="1"/>
  <c r="W4" i="16"/>
  <c r="T4" i="16" s="1"/>
  <c r="W119" i="16"/>
  <c r="W98" i="16"/>
  <c r="W44" i="16"/>
  <c r="T44" i="16" s="1"/>
  <c r="W94" i="16"/>
  <c r="W107" i="16"/>
  <c r="W33" i="16"/>
  <c r="T33" i="16" s="1"/>
  <c r="W48" i="16"/>
  <c r="T48" i="16" s="1"/>
  <c r="W70" i="16"/>
  <c r="T70" i="16" s="1"/>
  <c r="W62" i="16"/>
  <c r="T62" i="16" s="1"/>
  <c r="O271" i="5"/>
  <c r="N212" i="5"/>
  <c r="N310" i="5"/>
  <c r="O310" i="5"/>
  <c r="N189" i="5"/>
  <c r="O189" i="5"/>
  <c r="N130" i="5"/>
  <c r="O130" i="5"/>
  <c r="N66" i="5"/>
  <c r="O66" i="5"/>
  <c r="N2" i="5"/>
  <c r="O2" i="5"/>
  <c r="O289" i="5"/>
  <c r="N289" i="5"/>
  <c r="N233" i="5"/>
  <c r="O233" i="5"/>
  <c r="N153" i="5"/>
  <c r="O153" i="5"/>
  <c r="N89" i="5"/>
  <c r="O89" i="5"/>
  <c r="N25" i="5"/>
  <c r="O25" i="5"/>
  <c r="O161" i="5"/>
  <c r="N161" i="5"/>
  <c r="W116" i="16"/>
  <c r="W66" i="16"/>
  <c r="T66" i="16" s="1"/>
  <c r="W95" i="16"/>
  <c r="W100" i="16"/>
  <c r="T100" i="16" s="1"/>
  <c r="W61" i="16"/>
  <c r="T61" i="16" s="1"/>
  <c r="W153" i="16"/>
  <c r="W8" i="16"/>
  <c r="T8" i="16" s="1"/>
  <c r="W156" i="16"/>
  <c r="T156" i="16" s="1"/>
  <c r="W58" i="16"/>
  <c r="T58" i="16" s="1"/>
  <c r="W78" i="16"/>
  <c r="T78" i="16" s="1"/>
  <c r="W84" i="16"/>
  <c r="T84" i="16" s="1"/>
  <c r="W76" i="16"/>
  <c r="T76" i="16" s="1"/>
  <c r="W113" i="16"/>
  <c r="W157" i="16"/>
  <c r="T157" i="16" s="1"/>
  <c r="W126" i="16"/>
  <c r="W23" i="16"/>
  <c r="T23" i="16" s="1"/>
  <c r="W26" i="16"/>
  <c r="T26" i="16" s="1"/>
  <c r="W40" i="16"/>
  <c r="T40" i="16" s="1"/>
  <c r="N302" i="5"/>
  <c r="O302" i="5"/>
  <c r="O325" i="5"/>
  <c r="N325" i="5"/>
  <c r="O261" i="5"/>
  <c r="N261" i="5"/>
  <c r="N181" i="5"/>
  <c r="O181" i="5"/>
  <c r="N122" i="5"/>
  <c r="O122" i="5"/>
  <c r="N58" i="5"/>
  <c r="O58" i="5"/>
  <c r="O281" i="5"/>
  <c r="N281" i="5"/>
  <c r="O225" i="5"/>
  <c r="N225" i="5"/>
  <c r="N145" i="5"/>
  <c r="O145" i="5"/>
  <c r="N81" i="5"/>
  <c r="O81" i="5"/>
  <c r="N17" i="5"/>
  <c r="O17" i="5"/>
  <c r="O138" i="5"/>
  <c r="N138" i="5"/>
  <c r="W89" i="16"/>
  <c r="W20" i="16"/>
  <c r="T20" i="16" s="1"/>
  <c r="W146" i="16"/>
  <c r="T146" i="16" s="1"/>
  <c r="W47" i="16"/>
  <c r="T47" i="16" s="1"/>
  <c r="N318" i="5"/>
  <c r="O318" i="5"/>
  <c r="N213" i="5"/>
  <c r="O213" i="5"/>
  <c r="W52" i="16"/>
  <c r="T52" i="16" s="1"/>
  <c r="N294" i="5"/>
  <c r="O294" i="5"/>
  <c r="O283" i="5"/>
  <c r="N283" i="5"/>
  <c r="O317" i="5"/>
  <c r="N317" i="5"/>
  <c r="N242" i="5"/>
  <c r="O242" i="5"/>
  <c r="N114" i="5"/>
  <c r="O114" i="5"/>
  <c r="N50" i="5"/>
  <c r="O50" i="5"/>
  <c r="O332" i="5"/>
  <c r="N332" i="5"/>
  <c r="N273" i="5"/>
  <c r="O273" i="5"/>
  <c r="O217" i="5"/>
  <c r="N217" i="5"/>
  <c r="O137" i="5"/>
  <c r="N137" i="5"/>
  <c r="N73" i="5"/>
  <c r="O73" i="5"/>
  <c r="N9" i="5"/>
  <c r="O9" i="5"/>
  <c r="W19" i="16"/>
  <c r="T19" i="16" s="1"/>
  <c r="W73" i="16"/>
  <c r="T73" i="16" s="1"/>
  <c r="W105" i="16"/>
  <c r="T105" i="16" s="1"/>
  <c r="W142" i="16"/>
  <c r="W148" i="16"/>
  <c r="T148" i="16" s="1"/>
  <c r="W150" i="16"/>
  <c r="W74" i="16"/>
  <c r="T74" i="16" s="1"/>
  <c r="W102" i="16"/>
  <c r="W83" i="16"/>
  <c r="T83" i="16" s="1"/>
  <c r="W30" i="16"/>
  <c r="T30" i="16" s="1"/>
  <c r="W49" i="16"/>
  <c r="T49" i="16" s="1"/>
  <c r="W28" i="16"/>
  <c r="T28" i="16" s="1"/>
  <c r="W50" i="16"/>
  <c r="T50" i="16" s="1"/>
  <c r="W77" i="16"/>
  <c r="T77" i="16" s="1"/>
  <c r="W68" i="16"/>
  <c r="T68" i="16" s="1"/>
  <c r="W132" i="16"/>
  <c r="W35" i="16"/>
  <c r="T35" i="16" s="1"/>
  <c r="W138" i="16"/>
  <c r="T138" i="16" s="1"/>
  <c r="W140" i="16"/>
  <c r="W34" i="16"/>
  <c r="T34" i="16" s="1"/>
  <c r="O309" i="5"/>
  <c r="N309" i="5"/>
  <c r="O245" i="5"/>
  <c r="N245" i="5"/>
  <c r="N234" i="5"/>
  <c r="O234" i="5"/>
  <c r="N170" i="5"/>
  <c r="O170" i="5"/>
  <c r="N106" i="5"/>
  <c r="O106" i="5"/>
  <c r="N42" i="5"/>
  <c r="O42" i="5"/>
  <c r="N329" i="5"/>
  <c r="O329" i="5"/>
  <c r="N265" i="5"/>
  <c r="O265" i="5"/>
  <c r="O193" i="5"/>
  <c r="N193" i="5"/>
  <c r="N129" i="5"/>
  <c r="O129" i="5"/>
  <c r="N65" i="5"/>
  <c r="O65" i="5"/>
  <c r="W120" i="16"/>
  <c r="T120" i="16" s="1"/>
  <c r="W143" i="16"/>
  <c r="T143" i="16" s="1"/>
  <c r="W145" i="16"/>
  <c r="T145" i="16" s="1"/>
  <c r="W117" i="16"/>
  <c r="W118" i="16"/>
  <c r="W45" i="16"/>
  <c r="T45" i="16" s="1"/>
  <c r="W36" i="16"/>
  <c r="T36" i="16" s="1"/>
  <c r="W38" i="16"/>
  <c r="T38" i="16" s="1"/>
  <c r="W130" i="16"/>
  <c r="T130" i="16" s="1"/>
  <c r="W55" i="16"/>
  <c r="T55" i="16" s="1"/>
  <c r="W154" i="16"/>
  <c r="W27" i="16"/>
  <c r="T27" i="16" s="1"/>
  <c r="W133" i="16"/>
  <c r="T133" i="16" s="1"/>
  <c r="W69" i="16"/>
  <c r="T69" i="16" s="1"/>
  <c r="W64" i="16"/>
  <c r="T64" i="16" s="1"/>
  <c r="W135" i="16"/>
  <c r="W42" i="16"/>
  <c r="T42" i="16" s="1"/>
  <c r="W121" i="16"/>
  <c r="W86" i="16"/>
  <c r="T86" i="16" s="1"/>
  <c r="W103" i="16"/>
  <c r="W65" i="16"/>
  <c r="T65" i="16" s="1"/>
  <c r="W53" i="16"/>
  <c r="T53" i="16" s="1"/>
  <c r="W60" i="16"/>
  <c r="T60" i="16" s="1"/>
  <c r="W59" i="16"/>
  <c r="T59" i="16" s="1"/>
  <c r="W3" i="16"/>
  <c r="T3" i="16" s="1"/>
  <c r="W82" i="16"/>
  <c r="T82" i="16" s="1"/>
  <c r="W85" i="16"/>
  <c r="T85" i="16" s="1"/>
  <c r="W15" i="16"/>
  <c r="T15" i="16" s="1"/>
  <c r="W75" i="16"/>
  <c r="T75" i="16" s="1"/>
  <c r="W46" i="16"/>
  <c r="T46" i="16" s="1"/>
  <c r="W67" i="16"/>
  <c r="T67" i="16" s="1"/>
  <c r="W25" i="16"/>
  <c r="T25" i="16" s="1"/>
  <c r="W104" i="16"/>
  <c r="W106" i="16"/>
  <c r="W71" i="16"/>
  <c r="T71" i="16" s="1"/>
  <c r="N246" i="5"/>
  <c r="O246" i="5"/>
  <c r="O301" i="5"/>
  <c r="N301" i="5"/>
  <c r="O237" i="5"/>
  <c r="N237" i="5"/>
  <c r="N322" i="5"/>
  <c r="O322" i="5"/>
  <c r="O162" i="5"/>
  <c r="N162" i="5"/>
  <c r="O98" i="5"/>
  <c r="N98" i="5"/>
  <c r="N34" i="5"/>
  <c r="O34" i="5"/>
  <c r="N321" i="5"/>
  <c r="O321" i="5"/>
  <c r="N185" i="5"/>
  <c r="O185" i="5"/>
  <c r="N121" i="5"/>
  <c r="O121" i="5"/>
  <c r="N57" i="5"/>
  <c r="O57" i="5"/>
  <c r="W134" i="16"/>
  <c r="T134" i="16" s="1"/>
  <c r="W99" i="16"/>
  <c r="T99" i="16" s="1"/>
  <c r="W57" i="16"/>
  <c r="T57" i="16" s="1"/>
  <c r="W51" i="16"/>
  <c r="T51" i="16" s="1"/>
  <c r="W91" i="16"/>
  <c r="W21" i="16"/>
  <c r="T21" i="16" s="1"/>
  <c r="W9" i="16"/>
  <c r="T9" i="16" s="1"/>
  <c r="W29" i="16"/>
  <c r="T29" i="16" s="1"/>
  <c r="W37" i="16"/>
  <c r="T37" i="16" s="1"/>
  <c r="W13" i="16"/>
  <c r="T13" i="16" s="1"/>
  <c r="W147" i="16"/>
  <c r="W127" i="16"/>
  <c r="W2" i="16"/>
  <c r="T2" i="16" s="1"/>
  <c r="W18" i="16"/>
  <c r="T18" i="16" s="1"/>
  <c r="W31" i="16"/>
  <c r="T31" i="16" s="1"/>
  <c r="W43" i="16"/>
  <c r="T43" i="16" s="1"/>
  <c r="W11" i="16"/>
  <c r="T11" i="16" s="1"/>
  <c r="W16" i="16"/>
  <c r="T16" i="16" s="1"/>
  <c r="W14" i="16"/>
  <c r="T14" i="16" s="1"/>
  <c r="W22" i="16"/>
  <c r="T22" i="16" s="1"/>
  <c r="N238" i="5"/>
  <c r="O238" i="5"/>
  <c r="N293" i="5"/>
  <c r="O293" i="5"/>
  <c r="O229" i="5"/>
  <c r="N229" i="5"/>
  <c r="O314" i="5"/>
  <c r="N314" i="5"/>
  <c r="N154" i="5"/>
  <c r="O154" i="5"/>
  <c r="O90" i="5"/>
  <c r="N90" i="5"/>
  <c r="O26" i="5"/>
  <c r="V30" i="16" s="1"/>
  <c r="S30" i="16" s="1"/>
  <c r="N26" i="5"/>
  <c r="O313" i="5"/>
  <c r="N313" i="5"/>
  <c r="O177" i="5"/>
  <c r="N177" i="5"/>
  <c r="O113" i="5"/>
  <c r="N113" i="5"/>
  <c r="N49" i="5"/>
  <c r="U35" i="16" s="1"/>
  <c r="R35" i="16" s="1"/>
  <c r="O49" i="5"/>
  <c r="G34" i="13"/>
  <c r="I5" i="16"/>
  <c r="W97" i="16"/>
  <c r="W137" i="16"/>
  <c r="W32" i="16"/>
  <c r="T32" i="16" s="1"/>
  <c r="W144" i="16"/>
  <c r="T144" i="16" s="1"/>
  <c r="W151" i="16"/>
  <c r="T151" i="16" s="1"/>
  <c r="W81" i="16"/>
  <c r="T81" i="16" s="1"/>
  <c r="W128" i="16"/>
  <c r="T128" i="16" s="1"/>
  <c r="W129" i="16"/>
  <c r="T129" i="16" s="1"/>
  <c r="W10" i="16"/>
  <c r="T10" i="16" s="1"/>
  <c r="W7" i="16"/>
  <c r="T7" i="16" s="1"/>
  <c r="W139" i="16"/>
  <c r="W88" i="16"/>
  <c r="W24" i="16"/>
  <c r="T24" i="16" s="1"/>
  <c r="W125" i="16"/>
  <c r="T125" i="16" s="1"/>
  <c r="W141" i="16"/>
  <c r="T141" i="16" s="1"/>
  <c r="W72" i="16"/>
  <c r="T72" i="16" s="1"/>
  <c r="W115" i="16"/>
  <c r="W155" i="16"/>
  <c r="T155" i="16" s="1"/>
  <c r="W122" i="16"/>
  <c r="O326" i="5"/>
  <c r="N326" i="5"/>
  <c r="U27" i="16" s="1"/>
  <c r="R27" i="16" s="1"/>
  <c r="N285" i="5"/>
  <c r="O285" i="5"/>
  <c r="O221" i="5"/>
  <c r="N221" i="5"/>
  <c r="O306" i="5"/>
  <c r="N306" i="5"/>
  <c r="N146" i="5"/>
  <c r="O146" i="5"/>
  <c r="N82" i="5"/>
  <c r="O82" i="5"/>
  <c r="N18" i="5"/>
  <c r="O18" i="5"/>
  <c r="N305" i="5"/>
  <c r="O305" i="5"/>
  <c r="N249" i="5"/>
  <c r="O249" i="5"/>
  <c r="N169" i="5"/>
  <c r="O169" i="5"/>
  <c r="N41" i="5"/>
  <c r="O41" i="5"/>
  <c r="O196" i="5"/>
  <c r="N196" i="5"/>
  <c r="N195" i="5"/>
  <c r="O195" i="5"/>
  <c r="H5" i="16"/>
  <c r="U25" i="16"/>
  <c r="R25" i="16" s="1"/>
  <c r="U132" i="16"/>
  <c r="U102" i="16"/>
  <c r="U74" i="16"/>
  <c r="R74" i="16" s="1"/>
  <c r="U2" i="16"/>
  <c r="U85" i="16"/>
  <c r="R85" i="16" s="1"/>
  <c r="U70" i="16"/>
  <c r="R70" i="16" s="1"/>
  <c r="U133" i="16"/>
  <c r="R133" i="16" s="1"/>
  <c r="U48" i="16"/>
  <c r="R48" i="16" s="1"/>
  <c r="U33" i="16"/>
  <c r="R33" i="16" s="1"/>
  <c r="U3" i="16"/>
  <c r="R3" i="16" s="1"/>
  <c r="U59" i="16"/>
  <c r="R59" i="16" s="1"/>
  <c r="U118" i="16"/>
  <c r="U46" i="16"/>
  <c r="R46" i="16" s="1"/>
  <c r="U55" i="16"/>
  <c r="R55" i="16" s="1"/>
  <c r="U77" i="16"/>
  <c r="R77" i="16" s="1"/>
  <c r="U22" i="16"/>
  <c r="R22" i="16" s="1"/>
  <c r="U39" i="16"/>
  <c r="R39" i="16" s="1"/>
  <c r="U62" i="16"/>
  <c r="R62" i="16" s="1"/>
  <c r="U122" i="16"/>
  <c r="U47" i="16"/>
  <c r="R47" i="16" s="1"/>
  <c r="U119" i="16"/>
  <c r="U49" i="16"/>
  <c r="R49" i="16" s="1"/>
  <c r="U78" i="16"/>
  <c r="R78" i="16" s="1"/>
  <c r="U90" i="16"/>
  <c r="U137" i="16"/>
  <c r="U124" i="16"/>
  <c r="U121" i="16"/>
  <c r="U19" i="16"/>
  <c r="U89" i="16"/>
  <c r="U81" i="16"/>
  <c r="R81" i="16" s="1"/>
  <c r="U61" i="16"/>
  <c r="R61" i="16" s="1"/>
  <c r="U101" i="16"/>
  <c r="U143" i="16"/>
  <c r="R143" i="16" s="1"/>
  <c r="U73" i="16"/>
  <c r="R73" i="16" s="1"/>
  <c r="U149" i="16"/>
  <c r="U145" i="16"/>
  <c r="U144" i="16"/>
  <c r="U86" i="16"/>
  <c r="R86" i="16" s="1"/>
  <c r="U93" i="16"/>
  <c r="U42" i="16"/>
  <c r="R42" i="16" s="1"/>
  <c r="U136" i="16"/>
  <c r="V33" i="16"/>
  <c r="S33" i="16" s="1"/>
  <c r="V3" i="16"/>
  <c r="V45" i="16"/>
  <c r="S45" i="16" s="1"/>
  <c r="V83" i="16"/>
  <c r="S83" i="16" s="1"/>
  <c r="V118" i="16"/>
  <c r="V96" i="16"/>
  <c r="V84" i="16"/>
  <c r="S84" i="16" s="1"/>
  <c r="V119" i="16"/>
  <c r="V139" i="16"/>
  <c r="V78" i="16"/>
  <c r="S78" i="16" s="1"/>
  <c r="V100" i="16"/>
  <c r="S100" i="16" s="1"/>
  <c r="V35" i="16"/>
  <c r="S35" i="16" s="1"/>
  <c r="V72" i="16"/>
  <c r="S72" i="16" s="1"/>
  <c r="V17" i="16"/>
  <c r="V62" i="16"/>
  <c r="S62" i="16" s="1"/>
  <c r="V140" i="16"/>
  <c r="V69" i="16"/>
  <c r="S69" i="16" s="1"/>
  <c r="V60" i="16"/>
  <c r="S60" i="16" s="1"/>
  <c r="V114" i="16"/>
  <c r="V128" i="16"/>
  <c r="S128" i="16" s="1"/>
  <c r="V53" i="16"/>
  <c r="S53" i="16" s="1"/>
  <c r="V71" i="16"/>
  <c r="S71" i="16" s="1"/>
  <c r="V54" i="16"/>
  <c r="S54" i="16" s="1"/>
  <c r="V2" i="16"/>
  <c r="S2" i="16" s="1"/>
  <c r="V154" i="16"/>
  <c r="V126" i="16"/>
  <c r="V92" i="16"/>
  <c r="V155" i="16"/>
  <c r="V16" i="16"/>
  <c r="V138" i="16"/>
  <c r="V80" i="16"/>
  <c r="S80" i="16" s="1"/>
  <c r="V4" i="16"/>
  <c r="V58" i="16"/>
  <c r="S58" i="16" s="1"/>
  <c r="V98" i="16"/>
  <c r="V56" i="16"/>
  <c r="S56" i="16" s="1"/>
  <c r="V127" i="16"/>
  <c r="V55" i="16"/>
  <c r="S55" i="16" s="1"/>
  <c r="V157" i="16"/>
  <c r="S157" i="16" s="1"/>
  <c r="V131" i="16"/>
  <c r="S131" i="16" s="1"/>
  <c r="V113" i="16"/>
  <c r="V66" i="16"/>
  <c r="S66" i="16" s="1"/>
  <c r="V11" i="16"/>
  <c r="S11" i="16" s="1"/>
  <c r="V90" i="16"/>
  <c r="V137" i="16"/>
  <c r="V42" i="16"/>
  <c r="S42" i="16" s="1"/>
  <c r="V149" i="16"/>
  <c r="V97" i="16"/>
  <c r="V112" i="16"/>
  <c r="V135" i="16"/>
  <c r="V121" i="16"/>
  <c r="V105" i="16"/>
  <c r="S105" i="16" s="1"/>
  <c r="V95" i="16"/>
  <c r="V93" i="16"/>
  <c r="S93" i="16" s="1"/>
  <c r="V65" i="16"/>
  <c r="S65" i="16" s="1"/>
  <c r="V151" i="16"/>
  <c r="V91" i="16"/>
  <c r="V148" i="16"/>
  <c r="S148" i="16" s="1"/>
  <c r="V109" i="16"/>
  <c r="S109" i="16" s="1"/>
  <c r="H4" i="16"/>
  <c r="I4" i="16"/>
  <c r="G32" i="13" s="1"/>
  <c r="H2" i="16"/>
  <c r="I2" i="16"/>
  <c r="H6" i="16"/>
  <c r="I6" i="16"/>
  <c r="G33" i="13" s="1"/>
  <c r="I7" i="16"/>
  <c r="G27" i="13" s="1"/>
  <c r="H7" i="16"/>
  <c r="H13" i="16"/>
  <c r="I13" i="16"/>
  <c r="G36" i="13" s="1"/>
  <c r="H36" i="13" s="1"/>
  <c r="I8" i="16"/>
  <c r="G29" i="13" s="1"/>
  <c r="H8" i="16"/>
  <c r="H10" i="16"/>
  <c r="I10" i="16"/>
  <c r="G28" i="13" s="1"/>
  <c r="H9" i="16"/>
  <c r="I9" i="16"/>
  <c r="G26" i="13" s="1"/>
  <c r="H14" i="16"/>
  <c r="I14" i="16"/>
  <c r="G37" i="13" s="1"/>
  <c r="H37" i="13" s="1"/>
  <c r="H12" i="16"/>
  <c r="I12" i="16"/>
  <c r="G35" i="13" s="1"/>
  <c r="H11" i="16"/>
  <c r="I11" i="16"/>
  <c r="G30" i="13" s="1"/>
  <c r="H3" i="16"/>
  <c r="I3" i="16"/>
  <c r="G31" i="13" s="1"/>
  <c r="H276" i="1"/>
  <c r="I44" i="13" l="1"/>
  <c r="I51" i="13"/>
  <c r="I46" i="13"/>
  <c r="N25" i="19"/>
  <c r="Y25" i="19"/>
  <c r="O25" i="19"/>
  <c r="X25" i="19"/>
  <c r="Z25" i="19"/>
  <c r="T25" i="19"/>
  <c r="U25" i="19"/>
  <c r="Q25" i="19"/>
  <c r="W25" i="19"/>
  <c r="R25" i="19"/>
  <c r="P25" i="19"/>
  <c r="S25" i="19"/>
  <c r="V25" i="19"/>
  <c r="I36" i="13"/>
  <c r="I37" i="13"/>
  <c r="M26" i="19"/>
  <c r="H30" i="13"/>
  <c r="S34" i="12" s="1"/>
  <c r="H26" i="13"/>
  <c r="O34" i="12" s="1"/>
  <c r="H29" i="13"/>
  <c r="R36" i="12" s="1"/>
  <c r="H27" i="13"/>
  <c r="P38" i="12" s="1"/>
  <c r="H28" i="13"/>
  <c r="Q32" i="12" s="1"/>
  <c r="H33" i="13"/>
  <c r="V37" i="12" s="1"/>
  <c r="H34" i="13"/>
  <c r="W38" i="12" s="1"/>
  <c r="H32" i="13"/>
  <c r="U21" i="12" s="1"/>
  <c r="U28" i="16"/>
  <c r="R28" i="16" s="1"/>
  <c r="U37" i="16"/>
  <c r="R37" i="16" s="1"/>
  <c r="U127" i="16"/>
  <c r="U60" i="16"/>
  <c r="R60" i="16" s="1"/>
  <c r="U41" i="16"/>
  <c r="R41" i="16" s="1"/>
  <c r="U24" i="16"/>
  <c r="R24" i="16" s="1"/>
  <c r="V20" i="16"/>
  <c r="S20" i="16" s="1"/>
  <c r="V101" i="16"/>
  <c r="V142" i="16"/>
  <c r="V57" i="16"/>
  <c r="S57" i="16" s="1"/>
  <c r="V136" i="16"/>
  <c r="S136" i="16" s="1"/>
  <c r="V99" i="16"/>
  <c r="S99" i="16" s="1"/>
  <c r="V130" i="16"/>
  <c r="S130" i="16" s="1"/>
  <c r="V68" i="16"/>
  <c r="S68" i="16" s="1"/>
  <c r="V76" i="16"/>
  <c r="S76" i="16" s="1"/>
  <c r="V48" i="16"/>
  <c r="S48" i="16" s="1"/>
  <c r="V111" i="16"/>
  <c r="V132" i="16"/>
  <c r="V44" i="16"/>
  <c r="S44" i="16" s="1"/>
  <c r="V6" i="16"/>
  <c r="S6" i="16" s="1"/>
  <c r="V106" i="16"/>
  <c r="V34" i="16"/>
  <c r="S34" i="16" s="1"/>
  <c r="V36" i="16"/>
  <c r="S36" i="16" s="1"/>
  <c r="V47" i="16"/>
  <c r="S47" i="16" s="1"/>
  <c r="V59" i="16"/>
  <c r="S59" i="16" s="1"/>
  <c r="V7" i="16"/>
  <c r="S7" i="16" s="1"/>
  <c r="U109" i="16"/>
  <c r="U63" i="16"/>
  <c r="R63" i="16" s="1"/>
  <c r="U148" i="16"/>
  <c r="U150" i="16"/>
  <c r="U135" i="16"/>
  <c r="U66" i="16"/>
  <c r="R66" i="16" s="1"/>
  <c r="U82" i="16"/>
  <c r="R82" i="16" s="1"/>
  <c r="U69" i="16"/>
  <c r="U15" i="16"/>
  <c r="U125" i="16"/>
  <c r="R125" i="16" s="1"/>
  <c r="U129" i="16"/>
  <c r="R129" i="16" s="1"/>
  <c r="U10" i="16"/>
  <c r="U23" i="16"/>
  <c r="R23" i="16" s="1"/>
  <c r="U104" i="16"/>
  <c r="U88" i="16"/>
  <c r="U45" i="16"/>
  <c r="R45" i="16" s="1"/>
  <c r="U9" i="16"/>
  <c r="R9" i="16" s="1"/>
  <c r="U29" i="16"/>
  <c r="R29" i="16" s="1"/>
  <c r="U43" i="16"/>
  <c r="R43" i="16" s="1"/>
  <c r="J13" i="11"/>
  <c r="W36" i="12"/>
  <c r="U18" i="16"/>
  <c r="U31" i="16"/>
  <c r="R31" i="16" s="1"/>
  <c r="U138" i="16"/>
  <c r="R138" i="16" s="1"/>
  <c r="U53" i="16"/>
  <c r="R53" i="16" s="1"/>
  <c r="U67" i="16"/>
  <c r="R67" i="16" s="1"/>
  <c r="V86" i="16"/>
  <c r="S86" i="16" s="1"/>
  <c r="V79" i="16"/>
  <c r="S79" i="16" s="1"/>
  <c r="V51" i="16"/>
  <c r="S51" i="16" s="1"/>
  <c r="V32" i="16"/>
  <c r="S32" i="16" s="1"/>
  <c r="V116" i="16"/>
  <c r="V63" i="16"/>
  <c r="S63" i="16" s="1"/>
  <c r="V77" i="16"/>
  <c r="S77" i="16" s="1"/>
  <c r="V46" i="16"/>
  <c r="V38" i="16"/>
  <c r="S38" i="16" s="1"/>
  <c r="V26" i="16"/>
  <c r="S26" i="16" s="1"/>
  <c r="V70" i="16"/>
  <c r="S70" i="16" s="1"/>
  <c r="V67" i="16"/>
  <c r="S67" i="16" s="1"/>
  <c r="V25" i="16"/>
  <c r="S25" i="16" s="1"/>
  <c r="V8" i="16"/>
  <c r="S8" i="16" s="1"/>
  <c r="V14" i="16"/>
  <c r="S14" i="16" s="1"/>
  <c r="V13" i="16"/>
  <c r="S13" i="16" s="1"/>
  <c r="V49" i="16"/>
  <c r="S49" i="16" s="1"/>
  <c r="V28" i="16"/>
  <c r="S28" i="16" s="1"/>
  <c r="V37" i="16"/>
  <c r="S37" i="16" s="1"/>
  <c r="V23" i="16"/>
  <c r="S23" i="16" s="1"/>
  <c r="U95" i="16"/>
  <c r="U108" i="16"/>
  <c r="U103" i="16"/>
  <c r="U65" i="16"/>
  <c r="R65" i="16" s="1"/>
  <c r="U57" i="16"/>
  <c r="R57" i="16" s="1"/>
  <c r="U123" i="16"/>
  <c r="U147" i="16"/>
  <c r="U140" i="16"/>
  <c r="U64" i="16"/>
  <c r="R64" i="16" s="1"/>
  <c r="U131" i="16"/>
  <c r="U110" i="16"/>
  <c r="U12" i="16"/>
  <c r="R12" i="16" s="1"/>
  <c r="U4" i="16"/>
  <c r="R4" i="16" s="1"/>
  <c r="U16" i="16"/>
  <c r="R16" i="16" s="1"/>
  <c r="U56" i="16"/>
  <c r="R56" i="16" s="1"/>
  <c r="U30" i="16"/>
  <c r="R30" i="16" s="1"/>
  <c r="U128" i="16"/>
  <c r="R128" i="16" s="1"/>
  <c r="U141" i="16"/>
  <c r="U17" i="16"/>
  <c r="R17" i="16" s="1"/>
  <c r="V144" i="16"/>
  <c r="S144" i="16" s="1"/>
  <c r="V120" i="16"/>
  <c r="S120" i="16" s="1"/>
  <c r="V52" i="16"/>
  <c r="S52" i="16" s="1"/>
  <c r="V75" i="16"/>
  <c r="S75" i="16" s="1"/>
  <c r="V10" i="16"/>
  <c r="S10" i="16" s="1"/>
  <c r="V40" i="16"/>
  <c r="S40" i="16" s="1"/>
  <c r="V146" i="16"/>
  <c r="S146" i="16" s="1"/>
  <c r="V122" i="16"/>
  <c r="V41" i="16"/>
  <c r="S41" i="16" s="1"/>
  <c r="V129" i="16"/>
  <c r="S129" i="16" s="1"/>
  <c r="V22" i="16"/>
  <c r="S22" i="16" s="1"/>
  <c r="U11" i="16"/>
  <c r="U113" i="16"/>
  <c r="U21" i="16"/>
  <c r="R21" i="16" s="1"/>
  <c r="U106" i="16"/>
  <c r="U94" i="16"/>
  <c r="U96" i="16"/>
  <c r="U115" i="16"/>
  <c r="U98" i="16"/>
  <c r="U114" i="16"/>
  <c r="U75" i="16"/>
  <c r="R75" i="16" s="1"/>
  <c r="V61" i="16"/>
  <c r="S61" i="16" s="1"/>
  <c r="V145" i="16"/>
  <c r="S145" i="16" s="1"/>
  <c r="V108" i="16"/>
  <c r="V31" i="16"/>
  <c r="S31" i="16" s="1"/>
  <c r="V18" i="16"/>
  <c r="S18" i="16" s="1"/>
  <c r="V43" i="16"/>
  <c r="S43" i="16" s="1"/>
  <c r="V117" i="16"/>
  <c r="V82" i="16"/>
  <c r="S82" i="16" s="1"/>
  <c r="V15" i="16"/>
  <c r="S15" i="16" s="1"/>
  <c r="U20" i="16"/>
  <c r="U91" i="16"/>
  <c r="U32" i="16"/>
  <c r="U139" i="16"/>
  <c r="U54" i="16"/>
  <c r="R54" i="16" s="1"/>
  <c r="U58" i="16"/>
  <c r="R58" i="16" s="1"/>
  <c r="U155" i="16"/>
  <c r="R155" i="16" s="1"/>
  <c r="U7" i="16"/>
  <c r="R7" i="16" s="1"/>
  <c r="U92" i="16"/>
  <c r="R92" i="16" s="1"/>
  <c r="U72" i="16"/>
  <c r="R72" i="16" s="1"/>
  <c r="V143" i="16"/>
  <c r="S143" i="16" s="1"/>
  <c r="V150" i="16"/>
  <c r="V89" i="16"/>
  <c r="V124" i="16"/>
  <c r="V73" i="16"/>
  <c r="S73" i="16" s="1"/>
  <c r="V123" i="16"/>
  <c r="V125" i="16"/>
  <c r="S125" i="16" s="1"/>
  <c r="V85" i="16"/>
  <c r="S85" i="16" s="1"/>
  <c r="V12" i="16"/>
  <c r="V133" i="16"/>
  <c r="S133" i="16" s="1"/>
  <c r="V141" i="16"/>
  <c r="S141" i="16" s="1"/>
  <c r="V50" i="16"/>
  <c r="S50" i="16" s="1"/>
  <c r="V74" i="16"/>
  <c r="S74" i="16" s="1"/>
  <c r="V102" i="16"/>
  <c r="V87" i="16"/>
  <c r="S87" i="16" s="1"/>
  <c r="V27" i="16"/>
  <c r="S27" i="16" s="1"/>
  <c r="V147" i="16"/>
  <c r="V110" i="16"/>
  <c r="V64" i="16"/>
  <c r="S64" i="16" s="1"/>
  <c r="U97" i="16"/>
  <c r="U142" i="16"/>
  <c r="U134" i="16"/>
  <c r="R134" i="16" s="1"/>
  <c r="U151" i="16"/>
  <c r="R151" i="16" s="1"/>
  <c r="U120" i="16"/>
  <c r="R120" i="16" s="1"/>
  <c r="U99" i="16"/>
  <c r="U100" i="16"/>
  <c r="U152" i="16"/>
  <c r="U14" i="16"/>
  <c r="R14" i="16" s="1"/>
  <c r="U71" i="16"/>
  <c r="R71" i="16" s="1"/>
  <c r="U157" i="16"/>
  <c r="U156" i="16"/>
  <c r="R156" i="16" s="1"/>
  <c r="U34" i="16"/>
  <c r="R34" i="16" s="1"/>
  <c r="U80" i="16"/>
  <c r="R80" i="16" s="1"/>
  <c r="U111" i="16"/>
  <c r="U76" i="16"/>
  <c r="R76" i="16" s="1"/>
  <c r="U44" i="16"/>
  <c r="R44" i="16" s="1"/>
  <c r="U6" i="16"/>
  <c r="R6" i="16" s="1"/>
  <c r="U107" i="16"/>
  <c r="U5" i="16"/>
  <c r="U38" i="16"/>
  <c r="R38" i="16" s="1"/>
  <c r="U153" i="16"/>
  <c r="U8" i="16"/>
  <c r="R8" i="16" s="1"/>
  <c r="U126" i="16"/>
  <c r="V103" i="16"/>
  <c r="V115" i="16"/>
  <c r="V19" i="16"/>
  <c r="S19" i="16" s="1"/>
  <c r="V134" i="16"/>
  <c r="S134" i="16" s="1"/>
  <c r="V81" i="16"/>
  <c r="S81" i="16" s="1"/>
  <c r="V153" i="16"/>
  <c r="V94" i="16"/>
  <c r="V88" i="16"/>
  <c r="V5" i="16"/>
  <c r="S5" i="16" s="1"/>
  <c r="V104" i="16"/>
  <c r="V107" i="16"/>
  <c r="V24" i="16"/>
  <c r="S24" i="16" s="1"/>
  <c r="V9" i="16"/>
  <c r="S9" i="16" s="1"/>
  <c r="V29" i="16"/>
  <c r="S29" i="16" s="1"/>
  <c r="V39" i="16"/>
  <c r="S39" i="16" s="1"/>
  <c r="V21" i="16"/>
  <c r="V152" i="16"/>
  <c r="V156" i="16"/>
  <c r="U52" i="16"/>
  <c r="R52" i="16" s="1"/>
  <c r="U51" i="16"/>
  <c r="U116" i="16"/>
  <c r="U79" i="16"/>
  <c r="R79" i="16" s="1"/>
  <c r="U105" i="16"/>
  <c r="U112" i="16"/>
  <c r="U36" i="16"/>
  <c r="R36" i="16" s="1"/>
  <c r="U84" i="16"/>
  <c r="R84" i="16" s="1"/>
  <c r="U87" i="16"/>
  <c r="R87" i="16" s="1"/>
  <c r="U130" i="16"/>
  <c r="R130" i="16" s="1"/>
  <c r="U68" i="16"/>
  <c r="R68" i="16" s="1"/>
  <c r="U83" i="16"/>
  <c r="R83" i="16" s="1"/>
  <c r="U13" i="16"/>
  <c r="U26" i="16"/>
  <c r="R26" i="16" s="1"/>
  <c r="U40" i="16"/>
  <c r="R40" i="16" s="1"/>
  <c r="U50" i="16"/>
  <c r="R50" i="16" s="1"/>
  <c r="U146" i="16"/>
  <c r="U117" i="16"/>
  <c r="U154" i="16"/>
  <c r="H31" i="13"/>
  <c r="J12" i="11"/>
  <c r="H35" i="13"/>
  <c r="J14" i="11"/>
  <c r="O35" i="12"/>
  <c r="O37" i="12"/>
  <c r="S39" i="12"/>
  <c r="S32" i="12"/>
  <c r="R35" i="12"/>
  <c r="R32" i="12"/>
  <c r="P35" i="12"/>
  <c r="Z38" i="12"/>
  <c r="Z39" i="12"/>
  <c r="Z33" i="12"/>
  <c r="Z37" i="12"/>
  <c r="Z36" i="12"/>
  <c r="Z32" i="12"/>
  <c r="Z35" i="12"/>
  <c r="Z34" i="12"/>
  <c r="Y35" i="12"/>
  <c r="Y38" i="12"/>
  <c r="Y36" i="12"/>
  <c r="Y39" i="12"/>
  <c r="Y37" i="12"/>
  <c r="Y33" i="12"/>
  <c r="Y34" i="12"/>
  <c r="Y32" i="12"/>
  <c r="Q39" i="12"/>
  <c r="Q36" i="12"/>
  <c r="V33" i="12"/>
  <c r="V35" i="12"/>
  <c r="U15" i="12"/>
  <c r="U11" i="12"/>
  <c r="J10" i="11"/>
  <c r="J5" i="11"/>
  <c r="J7" i="11"/>
  <c r="J11" i="11"/>
  <c r="Y21" i="12"/>
  <c r="Y31" i="12"/>
  <c r="Y14" i="12"/>
  <c r="Y24" i="12"/>
  <c r="Y7" i="12"/>
  <c r="Y17" i="12"/>
  <c r="Y16" i="12"/>
  <c r="Y20" i="12"/>
  <c r="Y30" i="12"/>
  <c r="Y13" i="12"/>
  <c r="Y23" i="12"/>
  <c r="Y6" i="12"/>
  <c r="Y5" i="12"/>
  <c r="Y9" i="12"/>
  <c r="Y19" i="12"/>
  <c r="Y29" i="12"/>
  <c r="Y12" i="12"/>
  <c r="Y22" i="12"/>
  <c r="Y10" i="12"/>
  <c r="Y11" i="12"/>
  <c r="Y15" i="12"/>
  <c r="Y25" i="12"/>
  <c r="Y8" i="12"/>
  <c r="Y18" i="12"/>
  <c r="Y28" i="12"/>
  <c r="Y26" i="12"/>
  <c r="Y27" i="12"/>
  <c r="J9" i="11"/>
  <c r="J6" i="11"/>
  <c r="J8" i="11"/>
  <c r="G7" i="13"/>
  <c r="F7" i="13" s="1"/>
  <c r="G4" i="13"/>
  <c r="F4" i="13" s="1"/>
  <c r="G8" i="13"/>
  <c r="F8" i="13" s="1"/>
  <c r="H265" i="1"/>
  <c r="I265" i="1"/>
  <c r="Q33" i="12" l="1"/>
  <c r="Q38" i="12"/>
  <c r="S33" i="12"/>
  <c r="S35" i="12"/>
  <c r="Q37" i="12"/>
  <c r="Q34" i="12"/>
  <c r="S38" i="12"/>
  <c r="S36" i="12"/>
  <c r="Q35" i="12"/>
  <c r="S37" i="12"/>
  <c r="R34" i="12"/>
  <c r="R39" i="12"/>
  <c r="W34" i="12"/>
  <c r="R33" i="12"/>
  <c r="R37" i="12"/>
  <c r="W33" i="12"/>
  <c r="W37" i="12"/>
  <c r="R38" i="12"/>
  <c r="W39" i="12"/>
  <c r="W32" i="12"/>
  <c r="V32" i="12"/>
  <c r="V39" i="12"/>
  <c r="O32" i="12"/>
  <c r="O38" i="12"/>
  <c r="V36" i="12"/>
  <c r="V38" i="12"/>
  <c r="O33" i="12"/>
  <c r="O39" i="12"/>
  <c r="V34" i="12"/>
  <c r="O36" i="12"/>
  <c r="U6" i="12"/>
  <c r="U10" i="12"/>
  <c r="P32" i="12"/>
  <c r="U7" i="12"/>
  <c r="U38" i="12"/>
  <c r="I32" i="13"/>
  <c r="K11" i="11" s="1"/>
  <c r="U30" i="12"/>
  <c r="U35" i="12"/>
  <c r="Y26" i="19"/>
  <c r="N26" i="19"/>
  <c r="U26" i="19"/>
  <c r="W26" i="19"/>
  <c r="T26" i="19"/>
  <c r="R26" i="19"/>
  <c r="P26" i="19"/>
  <c r="O26" i="19"/>
  <c r="Q26" i="19"/>
  <c r="S26" i="19"/>
  <c r="Z26" i="19"/>
  <c r="V26" i="19"/>
  <c r="X26" i="19"/>
  <c r="U29" i="12"/>
  <c r="U13" i="12"/>
  <c r="U20" i="12"/>
  <c r="U25" i="12"/>
  <c r="U14" i="12"/>
  <c r="U28" i="12"/>
  <c r="U32" i="12"/>
  <c r="U36" i="12"/>
  <c r="P36" i="12"/>
  <c r="P33" i="12"/>
  <c r="U19" i="12"/>
  <c r="U12" i="12"/>
  <c r="U17" i="12"/>
  <c r="U5" i="12"/>
  <c r="U8" i="12"/>
  <c r="U22" i="12"/>
  <c r="U27" i="12"/>
  <c r="U33" i="12"/>
  <c r="U34" i="12"/>
  <c r="P37" i="12"/>
  <c r="U26" i="12"/>
  <c r="U16" i="12"/>
  <c r="U23" i="12"/>
  <c r="U9" i="12"/>
  <c r="U18" i="12"/>
  <c r="U24" i="12"/>
  <c r="U31" i="12"/>
  <c r="U37" i="12"/>
  <c r="U39" i="12"/>
  <c r="P34" i="12"/>
  <c r="I31" i="13"/>
  <c r="K12" i="11" s="1"/>
  <c r="I34" i="13"/>
  <c r="K13" i="11" s="1"/>
  <c r="I28" i="13"/>
  <c r="K7" i="11" s="1"/>
  <c r="I29" i="13"/>
  <c r="K8" i="11" s="1"/>
  <c r="I30" i="13"/>
  <c r="K10" i="11" s="1"/>
  <c r="I35" i="13"/>
  <c r="K14" i="11" s="1"/>
  <c r="I33" i="13"/>
  <c r="I27" i="13"/>
  <c r="K6" i="11" s="1"/>
  <c r="I26" i="13"/>
  <c r="M27" i="19"/>
  <c r="W35" i="12"/>
  <c r="H25" i="13"/>
  <c r="N37" i="12" s="1"/>
  <c r="X24" i="12"/>
  <c r="X20" i="12"/>
  <c r="X19" i="12"/>
  <c r="X18" i="12"/>
  <c r="X12" i="12"/>
  <c r="X16" i="12"/>
  <c r="X10" i="12"/>
  <c r="X30" i="12"/>
  <c r="X25" i="12"/>
  <c r="X8" i="12"/>
  <c r="X14" i="12"/>
  <c r="X22" i="12"/>
  <c r="X9" i="12"/>
  <c r="X5" i="12"/>
  <c r="X26" i="12"/>
  <c r="X15" i="12"/>
  <c r="X6" i="12"/>
  <c r="X11" i="12"/>
  <c r="X13" i="12"/>
  <c r="X21" i="12"/>
  <c r="X7" i="12"/>
  <c r="X27" i="12"/>
  <c r="X29" i="12"/>
  <c r="X31" i="12"/>
  <c r="X23" i="12"/>
  <c r="X28" i="12"/>
  <c r="X17" i="12"/>
  <c r="X32" i="12"/>
  <c r="X38" i="12"/>
  <c r="X39" i="12"/>
  <c r="X35" i="12"/>
  <c r="X37" i="12"/>
  <c r="X34" i="12"/>
  <c r="X33" i="12"/>
  <c r="X36" i="12"/>
  <c r="N39" i="12"/>
  <c r="N35" i="12"/>
  <c r="J4" i="11"/>
  <c r="T36" i="12"/>
  <c r="T32" i="12"/>
  <c r="T33" i="12"/>
  <c r="T38" i="12"/>
  <c r="T34" i="12"/>
  <c r="T39" i="12"/>
  <c r="T37" i="12"/>
  <c r="T35" i="12"/>
  <c r="V11" i="12"/>
  <c r="V12" i="12"/>
  <c r="V31" i="12"/>
  <c r="V14" i="12"/>
  <c r="V17" i="12"/>
  <c r="V7" i="12"/>
  <c r="V24" i="12"/>
  <c r="V27" i="12"/>
  <c r="V10" i="12"/>
  <c r="V13" i="12"/>
  <c r="V30" i="12"/>
  <c r="V20" i="12"/>
  <c r="V23" i="12"/>
  <c r="V6" i="12"/>
  <c r="V9" i="12"/>
  <c r="V26" i="12"/>
  <c r="V29" i="12"/>
  <c r="V19" i="12"/>
  <c r="V16" i="12"/>
  <c r="V5" i="12"/>
  <c r="V22" i="12"/>
  <c r="V25" i="12"/>
  <c r="V15" i="12"/>
  <c r="V28" i="12"/>
  <c r="V8" i="12"/>
  <c r="V18" i="12"/>
  <c r="V21" i="12"/>
  <c r="O18" i="12"/>
  <c r="O12" i="12"/>
  <c r="O9" i="12"/>
  <c r="O10" i="12"/>
  <c r="O25" i="12"/>
  <c r="O30" i="12"/>
  <c r="O24" i="12"/>
  <c r="O26" i="12"/>
  <c r="O16" i="12"/>
  <c r="O27" i="12"/>
  <c r="O15" i="12"/>
  <c r="O28" i="12"/>
  <c r="O14" i="12"/>
  <c r="O19" i="12"/>
  <c r="O29" i="12"/>
  <c r="O5" i="12"/>
  <c r="O23" i="12"/>
  <c r="O17" i="12"/>
  <c r="O31" i="12"/>
  <c r="O8" i="12"/>
  <c r="O13" i="12"/>
  <c r="O11" i="12"/>
  <c r="O22" i="12"/>
  <c r="O6" i="12"/>
  <c r="O21" i="12"/>
  <c r="O7" i="12"/>
  <c r="O20" i="12"/>
  <c r="N17" i="12"/>
  <c r="N9" i="12"/>
  <c r="N24" i="12"/>
  <c r="N13" i="12"/>
  <c r="N30" i="12"/>
  <c r="N26" i="12"/>
  <c r="N11" i="12"/>
  <c r="R7" i="12"/>
  <c r="R31" i="12"/>
  <c r="R8" i="12"/>
  <c r="R26" i="12"/>
  <c r="R19" i="12"/>
  <c r="R11" i="12"/>
  <c r="R21" i="12"/>
  <c r="R28" i="12"/>
  <c r="R6" i="12"/>
  <c r="R29" i="12"/>
  <c r="R13" i="12"/>
  <c r="R25" i="12"/>
  <c r="R16" i="12"/>
  <c r="R27" i="12"/>
  <c r="R24" i="12"/>
  <c r="R22" i="12"/>
  <c r="R15" i="12"/>
  <c r="R20" i="12"/>
  <c r="R10" i="12"/>
  <c r="R14" i="12"/>
  <c r="R18" i="12"/>
  <c r="R9" i="12"/>
  <c r="R12" i="12"/>
  <c r="R5" i="12"/>
  <c r="R30" i="12"/>
  <c r="R17" i="12"/>
  <c r="R23" i="12"/>
  <c r="Z22" i="12"/>
  <c r="Z5" i="12"/>
  <c r="Z15" i="12"/>
  <c r="Z25" i="12"/>
  <c r="Z8" i="12"/>
  <c r="Z18" i="12"/>
  <c r="Z23" i="12"/>
  <c r="Z11" i="12"/>
  <c r="Z21" i="12"/>
  <c r="Z31" i="12"/>
  <c r="Z14" i="12"/>
  <c r="Z24" i="12"/>
  <c r="Z28" i="12"/>
  <c r="Z17" i="12"/>
  <c r="Z27" i="12"/>
  <c r="Z10" i="12"/>
  <c r="Z20" i="12"/>
  <c r="Z30" i="12"/>
  <c r="Z29" i="12"/>
  <c r="Z7" i="12"/>
  <c r="Z6" i="12"/>
  <c r="Z16" i="12"/>
  <c r="Z26" i="12"/>
  <c r="Z9" i="12"/>
  <c r="Z19" i="12"/>
  <c r="Z12" i="12"/>
  <c r="Z13" i="12"/>
  <c r="Q30" i="12"/>
  <c r="Q14" i="12"/>
  <c r="Q25" i="12"/>
  <c r="Q19" i="12"/>
  <c r="Q21" i="12"/>
  <c r="Q5" i="12"/>
  <c r="Q24" i="12"/>
  <c r="Q12" i="12"/>
  <c r="Q27" i="12"/>
  <c r="Q13" i="12"/>
  <c r="Q17" i="12"/>
  <c r="Q7" i="12"/>
  <c r="Q15" i="12"/>
  <c r="Q31" i="12"/>
  <c r="Q6" i="12"/>
  <c r="Q16" i="12"/>
  <c r="Q29" i="12"/>
  <c r="Q18" i="12"/>
  <c r="Q28" i="12"/>
  <c r="Q20" i="12"/>
  <c r="Q26" i="12"/>
  <c r="Q22" i="12"/>
  <c r="Q23" i="12"/>
  <c r="Q8" i="12"/>
  <c r="Q10" i="12"/>
  <c r="Q9" i="12"/>
  <c r="Q11" i="12"/>
  <c r="S17" i="12"/>
  <c r="S9" i="12"/>
  <c r="S19" i="12"/>
  <c r="S8" i="12"/>
  <c r="S10" i="12"/>
  <c r="S5" i="12"/>
  <c r="S7" i="12"/>
  <c r="S29" i="12"/>
  <c r="S26" i="12"/>
  <c r="S21" i="12"/>
  <c r="S20" i="12"/>
  <c r="S18" i="12"/>
  <c r="S22" i="12"/>
  <c r="S12" i="12"/>
  <c r="S16" i="12"/>
  <c r="S14" i="12"/>
  <c r="S30" i="12"/>
  <c r="S31" i="12"/>
  <c r="S25" i="12"/>
  <c r="S13" i="12"/>
  <c r="S6" i="12"/>
  <c r="S11" i="12"/>
  <c r="S15" i="12"/>
  <c r="S23" i="12"/>
  <c r="S27" i="12"/>
  <c r="S24" i="12"/>
  <c r="S28" i="12"/>
  <c r="T5" i="12"/>
  <c r="T16" i="12"/>
  <c r="T14" i="12"/>
  <c r="T11" i="12"/>
  <c r="T25" i="12"/>
  <c r="T30" i="12"/>
  <c r="T12" i="12"/>
  <c r="T6" i="12"/>
  <c r="T7" i="12"/>
  <c r="T17" i="12"/>
  <c r="T27" i="12"/>
  <c r="T8" i="12"/>
  <c r="T15" i="12"/>
  <c r="T28" i="12"/>
  <c r="T9" i="12"/>
  <c r="T23" i="12"/>
  <c r="T26" i="12"/>
  <c r="T21" i="12"/>
  <c r="T29" i="12"/>
  <c r="T10" i="12"/>
  <c r="T19" i="12"/>
  <c r="T18" i="12"/>
  <c r="T13" i="12"/>
  <c r="T20" i="12"/>
  <c r="T22" i="12"/>
  <c r="T24" i="12"/>
  <c r="T31" i="12"/>
  <c r="W6" i="12"/>
  <c r="W16" i="12"/>
  <c r="W26" i="12"/>
  <c r="W9" i="12"/>
  <c r="W19" i="12"/>
  <c r="W29" i="12"/>
  <c r="W12" i="12"/>
  <c r="W22" i="12"/>
  <c r="W5" i="12"/>
  <c r="W15" i="12"/>
  <c r="W25" i="12"/>
  <c r="W8" i="12"/>
  <c r="W18" i="12"/>
  <c r="W28" i="12"/>
  <c r="W11" i="12"/>
  <c r="W21" i="12"/>
  <c r="W31" i="12"/>
  <c r="W14" i="12"/>
  <c r="W24" i="12"/>
  <c r="W7" i="12"/>
  <c r="W17" i="12"/>
  <c r="W27" i="12"/>
  <c r="W10" i="12"/>
  <c r="W20" i="12"/>
  <c r="W30" i="12"/>
  <c r="W13" i="12"/>
  <c r="W23" i="12"/>
  <c r="P28" i="12"/>
  <c r="P11" i="12"/>
  <c r="P20" i="12"/>
  <c r="P19" i="12"/>
  <c r="P31" i="12"/>
  <c r="P8" i="12"/>
  <c r="P7" i="12"/>
  <c r="P5" i="12"/>
  <c r="P27" i="12"/>
  <c r="P22" i="12"/>
  <c r="P24" i="12"/>
  <c r="P6" i="12"/>
  <c r="P14" i="12"/>
  <c r="P23" i="12"/>
  <c r="P21" i="12"/>
  <c r="P16" i="12"/>
  <c r="P25" i="12"/>
  <c r="P9" i="12"/>
  <c r="P13" i="12"/>
  <c r="P17" i="12"/>
  <c r="P12" i="12"/>
  <c r="P18" i="12"/>
  <c r="P15" i="12"/>
  <c r="P30" i="12"/>
  <c r="P29" i="12"/>
  <c r="P10" i="12"/>
  <c r="P26" i="12"/>
  <c r="E15" i="3"/>
  <c r="E14" i="3"/>
  <c r="E13" i="3"/>
  <c r="E12" i="3"/>
  <c r="E11" i="3"/>
  <c r="E10" i="3"/>
  <c r="E9" i="3"/>
  <c r="E8" i="3"/>
  <c r="E7" i="3"/>
  <c r="E6" i="3"/>
  <c r="E4" i="3"/>
  <c r="E5" i="3"/>
  <c r="E3" i="3"/>
  <c r="E2" i="3"/>
  <c r="B15" i="3"/>
  <c r="B14" i="3"/>
  <c r="B13" i="3"/>
  <c r="B12" i="3"/>
  <c r="B11" i="3"/>
  <c r="B10" i="3"/>
  <c r="B9" i="3"/>
  <c r="B8" i="3"/>
  <c r="B7" i="3"/>
  <c r="B6" i="3"/>
  <c r="B4" i="3"/>
  <c r="B5" i="3"/>
  <c r="B3" i="3"/>
  <c r="C15" i="3"/>
  <c r="C14" i="3"/>
  <c r="C13" i="3"/>
  <c r="C12" i="3"/>
  <c r="C11" i="3"/>
  <c r="C10" i="3"/>
  <c r="C9" i="3"/>
  <c r="C8" i="3"/>
  <c r="C7" i="3"/>
  <c r="C6" i="3"/>
  <c r="C4" i="3"/>
  <c r="C5" i="3"/>
  <c r="C3" i="3"/>
  <c r="D15" i="3"/>
  <c r="D14" i="3"/>
  <c r="D13" i="3"/>
  <c r="D12" i="3"/>
  <c r="D11" i="3"/>
  <c r="D10" i="3"/>
  <c r="D9" i="3"/>
  <c r="D8" i="3"/>
  <c r="D7" i="3"/>
  <c r="D6" i="3"/>
  <c r="D4" i="3"/>
  <c r="D5" i="3"/>
  <c r="D3" i="3"/>
  <c r="D2" i="3"/>
  <c r="C2" i="3"/>
  <c r="B2" i="3"/>
  <c r="N16" i="12" l="1"/>
  <c r="N28" i="12"/>
  <c r="N8" i="12"/>
  <c r="N29" i="12"/>
  <c r="N7" i="12"/>
  <c r="N25" i="12"/>
  <c r="N12" i="12"/>
  <c r="N32" i="12"/>
  <c r="N38" i="12"/>
  <c r="N5" i="12"/>
  <c r="N15" i="12"/>
  <c r="N21" i="12"/>
  <c r="N6" i="12"/>
  <c r="N19" i="12"/>
  <c r="N22" i="12"/>
  <c r="N34" i="12"/>
  <c r="N36" i="12"/>
  <c r="N18" i="12"/>
  <c r="N27" i="12"/>
  <c r="N14" i="12"/>
  <c r="N10" i="12"/>
  <c r="N31" i="12"/>
  <c r="N20" i="12"/>
  <c r="N23" i="12"/>
  <c r="N33" i="12"/>
  <c r="N27" i="19"/>
  <c r="Y27" i="19"/>
  <c r="Q27" i="19"/>
  <c r="T27" i="19"/>
  <c r="V27" i="19"/>
  <c r="S27" i="19"/>
  <c r="O27" i="19"/>
  <c r="U27" i="19"/>
  <c r="W27" i="19"/>
  <c r="Z27" i="19"/>
  <c r="R27" i="19"/>
  <c r="P27" i="19"/>
  <c r="X27" i="19"/>
  <c r="K9" i="11"/>
  <c r="K5" i="11"/>
  <c r="I25" i="13"/>
  <c r="K4" i="11" s="1"/>
  <c r="M28" i="19"/>
  <c r="F15" i="3"/>
  <c r="F14" i="3"/>
  <c r="I14" i="3" s="1"/>
  <c r="F13" i="3"/>
  <c r="F12" i="3"/>
  <c r="F11" i="3"/>
  <c r="F10" i="3"/>
  <c r="F9" i="3"/>
  <c r="F8" i="3"/>
  <c r="F7" i="3"/>
  <c r="F6" i="3"/>
  <c r="F4" i="3"/>
  <c r="F5" i="3"/>
  <c r="F3" i="3"/>
  <c r="F2" i="3"/>
  <c r="J343" i="1"/>
  <c r="I343" i="1"/>
  <c r="H343" i="1"/>
  <c r="J342" i="1"/>
  <c r="I342" i="1"/>
  <c r="H342" i="1"/>
  <c r="J341" i="1"/>
  <c r="I341" i="1"/>
  <c r="H341" i="1"/>
  <c r="J340" i="1"/>
  <c r="I340" i="1"/>
  <c r="H340" i="1"/>
  <c r="J339" i="1"/>
  <c r="I339" i="1"/>
  <c r="H339" i="1"/>
  <c r="J338" i="1"/>
  <c r="I338" i="1"/>
  <c r="H338" i="1"/>
  <c r="J337" i="1"/>
  <c r="I337" i="1"/>
  <c r="H337" i="1"/>
  <c r="J336" i="1"/>
  <c r="I336" i="1"/>
  <c r="H336" i="1"/>
  <c r="J335" i="1"/>
  <c r="I335" i="1"/>
  <c r="H335" i="1"/>
  <c r="J334" i="1"/>
  <c r="I334" i="1"/>
  <c r="H334" i="1"/>
  <c r="J333" i="1"/>
  <c r="I333" i="1"/>
  <c r="J332" i="1"/>
  <c r="I332" i="1"/>
  <c r="H332" i="1"/>
  <c r="J331" i="1"/>
  <c r="I331" i="1"/>
  <c r="H331" i="1"/>
  <c r="J330" i="1"/>
  <c r="I330" i="1"/>
  <c r="J329" i="1"/>
  <c r="I329" i="1"/>
  <c r="H329" i="1"/>
  <c r="J328" i="1"/>
  <c r="I328" i="1"/>
  <c r="H328" i="1"/>
  <c r="J327" i="1"/>
  <c r="I327" i="1"/>
  <c r="J326" i="1"/>
  <c r="I326" i="1"/>
  <c r="H326" i="1"/>
  <c r="J325" i="1"/>
  <c r="I325" i="1"/>
  <c r="H325" i="1"/>
  <c r="J324" i="1"/>
  <c r="I324" i="1"/>
  <c r="H324" i="1"/>
  <c r="J323" i="1"/>
  <c r="I323" i="1"/>
  <c r="H323" i="1"/>
  <c r="J322" i="1"/>
  <c r="I322" i="1"/>
  <c r="H322" i="1"/>
  <c r="J321" i="1"/>
  <c r="I321" i="1"/>
  <c r="H321" i="1"/>
  <c r="J320" i="1"/>
  <c r="I320" i="1"/>
  <c r="H320" i="1"/>
  <c r="J319" i="1"/>
  <c r="I319" i="1"/>
  <c r="H319" i="1"/>
  <c r="J318" i="1"/>
  <c r="I318" i="1"/>
  <c r="H318" i="1"/>
  <c r="J317" i="1"/>
  <c r="I317" i="1"/>
  <c r="H317" i="1"/>
  <c r="J316" i="1"/>
  <c r="I316" i="1"/>
  <c r="H316" i="1"/>
  <c r="J315" i="1"/>
  <c r="I315" i="1"/>
  <c r="H315" i="1"/>
  <c r="J314" i="1"/>
  <c r="I314" i="1"/>
  <c r="H314" i="1"/>
  <c r="J313" i="1"/>
  <c r="I313" i="1"/>
  <c r="H313" i="1"/>
  <c r="J312" i="1"/>
  <c r="I312" i="1"/>
  <c r="H312" i="1"/>
  <c r="J311" i="1"/>
  <c r="I311" i="1"/>
  <c r="H311" i="1"/>
  <c r="J310" i="1"/>
  <c r="I310" i="1"/>
  <c r="H310" i="1"/>
  <c r="J309" i="1"/>
  <c r="I309" i="1"/>
  <c r="H309" i="1"/>
  <c r="J308" i="1"/>
  <c r="I308" i="1"/>
  <c r="H308" i="1"/>
  <c r="J307" i="1"/>
  <c r="I307" i="1"/>
  <c r="H307" i="1"/>
  <c r="J306" i="1"/>
  <c r="I306" i="1"/>
  <c r="H306" i="1"/>
  <c r="J305" i="1"/>
  <c r="I305" i="1"/>
  <c r="H305" i="1"/>
  <c r="J304" i="1"/>
  <c r="I304" i="1"/>
  <c r="H304" i="1"/>
  <c r="J303" i="1"/>
  <c r="I303" i="1"/>
  <c r="H303" i="1"/>
  <c r="J302" i="1"/>
  <c r="I302" i="1"/>
  <c r="H302" i="1"/>
  <c r="J301" i="1"/>
  <c r="I301" i="1"/>
  <c r="H301" i="1"/>
  <c r="J300" i="1"/>
  <c r="I300" i="1"/>
  <c r="H300" i="1"/>
  <c r="J299" i="1"/>
  <c r="I299" i="1"/>
  <c r="H299" i="1"/>
  <c r="J298" i="1"/>
  <c r="I298" i="1"/>
  <c r="H298" i="1"/>
  <c r="J297" i="1"/>
  <c r="I297" i="1"/>
  <c r="H297" i="1"/>
  <c r="J296" i="1"/>
  <c r="I296" i="1"/>
  <c r="H296" i="1"/>
  <c r="J295" i="1"/>
  <c r="I295" i="1"/>
  <c r="H295" i="1"/>
  <c r="J294" i="1"/>
  <c r="I294" i="1"/>
  <c r="H294" i="1"/>
  <c r="J293" i="1"/>
  <c r="I293" i="1"/>
  <c r="H293" i="1"/>
  <c r="J292" i="1"/>
  <c r="I292" i="1"/>
  <c r="H292" i="1"/>
  <c r="J291" i="1"/>
  <c r="I291" i="1"/>
  <c r="H291" i="1"/>
  <c r="J290" i="1"/>
  <c r="I290" i="1"/>
  <c r="H290" i="1"/>
  <c r="J289" i="1"/>
  <c r="I289" i="1"/>
  <c r="H289" i="1"/>
  <c r="J288" i="1"/>
  <c r="I288" i="1"/>
  <c r="H288" i="1"/>
  <c r="J287" i="1"/>
  <c r="I287" i="1"/>
  <c r="H287" i="1"/>
  <c r="J286" i="1"/>
  <c r="I286" i="1"/>
  <c r="H286" i="1"/>
  <c r="J285" i="1"/>
  <c r="I285" i="1"/>
  <c r="H285" i="1"/>
  <c r="J284" i="1"/>
  <c r="I284" i="1"/>
  <c r="H284" i="1"/>
  <c r="J283" i="1"/>
  <c r="I283" i="1"/>
  <c r="H283" i="1"/>
  <c r="J282" i="1"/>
  <c r="I282" i="1"/>
  <c r="H282" i="1"/>
  <c r="J281" i="1"/>
  <c r="I281" i="1"/>
  <c r="H281" i="1"/>
  <c r="J280" i="1"/>
  <c r="I280" i="1"/>
  <c r="H280" i="1"/>
  <c r="J279" i="1"/>
  <c r="I279" i="1"/>
  <c r="H279" i="1"/>
  <c r="J278" i="1"/>
  <c r="I278" i="1"/>
  <c r="H278" i="1"/>
  <c r="J277" i="1"/>
  <c r="I277" i="1"/>
  <c r="H277" i="1"/>
  <c r="J276" i="1"/>
  <c r="I276" i="1"/>
  <c r="J275" i="1"/>
  <c r="I275" i="1"/>
  <c r="H275" i="1"/>
  <c r="J274" i="1"/>
  <c r="I274" i="1"/>
  <c r="H274" i="1"/>
  <c r="J273" i="1"/>
  <c r="I273" i="1"/>
  <c r="H273" i="1"/>
  <c r="J272" i="1"/>
  <c r="I272" i="1"/>
  <c r="H272" i="1"/>
  <c r="J271" i="1"/>
  <c r="I271" i="1"/>
  <c r="H271" i="1"/>
  <c r="J270" i="1"/>
  <c r="I270" i="1"/>
  <c r="H270" i="1"/>
  <c r="J269" i="1"/>
  <c r="I269" i="1"/>
  <c r="H269" i="1"/>
  <c r="J268" i="1"/>
  <c r="I268" i="1"/>
  <c r="H268" i="1"/>
  <c r="J267" i="1"/>
  <c r="I267" i="1"/>
  <c r="H267" i="1"/>
  <c r="J266" i="1"/>
  <c r="I266" i="1"/>
  <c r="H266" i="1"/>
  <c r="J265" i="1"/>
  <c r="J264" i="1"/>
  <c r="I264" i="1"/>
  <c r="H264" i="1"/>
  <c r="J263" i="1"/>
  <c r="I263" i="1"/>
  <c r="H263" i="1"/>
  <c r="J262" i="1"/>
  <c r="I262" i="1"/>
  <c r="H262" i="1"/>
  <c r="J261" i="1"/>
  <c r="I261" i="1"/>
  <c r="H261" i="1"/>
  <c r="J260" i="1"/>
  <c r="I260" i="1"/>
  <c r="H260" i="1"/>
  <c r="J259" i="1"/>
  <c r="I259" i="1"/>
  <c r="H259" i="1"/>
  <c r="J258" i="1"/>
  <c r="I258" i="1"/>
  <c r="H258" i="1"/>
  <c r="J257" i="1"/>
  <c r="I257" i="1"/>
  <c r="H257" i="1"/>
  <c r="J256" i="1"/>
  <c r="I256" i="1"/>
  <c r="H256" i="1"/>
  <c r="J255" i="1"/>
  <c r="I255" i="1"/>
  <c r="H255" i="1"/>
  <c r="J254" i="1"/>
  <c r="I254" i="1"/>
  <c r="H254" i="1"/>
  <c r="J253" i="1"/>
  <c r="I253" i="1"/>
  <c r="H253" i="1"/>
  <c r="J252" i="1"/>
  <c r="I252" i="1"/>
  <c r="H252" i="1"/>
  <c r="J251" i="1"/>
  <c r="I251" i="1"/>
  <c r="H251" i="1"/>
  <c r="J250" i="1"/>
  <c r="I250" i="1"/>
  <c r="H250" i="1"/>
  <c r="J249" i="1"/>
  <c r="I249" i="1"/>
  <c r="H249" i="1"/>
  <c r="J248" i="1"/>
  <c r="I248" i="1"/>
  <c r="H248" i="1"/>
  <c r="J247" i="1"/>
  <c r="I247" i="1"/>
  <c r="H247" i="1"/>
  <c r="J246" i="1"/>
  <c r="I246" i="1"/>
  <c r="H246" i="1"/>
  <c r="J245" i="1"/>
  <c r="I245" i="1"/>
  <c r="H245" i="1"/>
  <c r="J244" i="1"/>
  <c r="I244" i="1"/>
  <c r="H244" i="1"/>
  <c r="J243" i="1"/>
  <c r="I243" i="1"/>
  <c r="H243" i="1"/>
  <c r="J242" i="1"/>
  <c r="I242" i="1"/>
  <c r="H242" i="1"/>
  <c r="J241" i="1"/>
  <c r="I241" i="1"/>
  <c r="H241" i="1"/>
  <c r="J240" i="1"/>
  <c r="I240" i="1"/>
  <c r="H240" i="1"/>
  <c r="J239" i="1"/>
  <c r="I239" i="1"/>
  <c r="H239" i="1"/>
  <c r="J238" i="1"/>
  <c r="I238" i="1"/>
  <c r="H238" i="1"/>
  <c r="J237" i="1"/>
  <c r="I237" i="1"/>
  <c r="H237" i="1"/>
  <c r="J236" i="1"/>
  <c r="I236" i="1"/>
  <c r="H236" i="1"/>
  <c r="J235" i="1"/>
  <c r="I235" i="1"/>
  <c r="H235" i="1"/>
  <c r="J234" i="1"/>
  <c r="I234" i="1"/>
  <c r="H234" i="1"/>
  <c r="J233" i="1"/>
  <c r="I233" i="1"/>
  <c r="H233" i="1"/>
  <c r="J232" i="1"/>
  <c r="I232" i="1"/>
  <c r="H232" i="1"/>
  <c r="J231" i="1"/>
  <c r="I231" i="1"/>
  <c r="H231" i="1"/>
  <c r="J230" i="1"/>
  <c r="I230" i="1"/>
  <c r="H230" i="1"/>
  <c r="J229" i="1"/>
  <c r="I229" i="1"/>
  <c r="H229" i="1"/>
  <c r="J228" i="1"/>
  <c r="I228" i="1"/>
  <c r="H228" i="1"/>
  <c r="J227" i="1"/>
  <c r="I227" i="1"/>
  <c r="H227" i="1"/>
  <c r="J226" i="1"/>
  <c r="I226" i="1"/>
  <c r="H226" i="1"/>
  <c r="J225" i="1"/>
  <c r="I225" i="1"/>
  <c r="H225" i="1"/>
  <c r="J224" i="1"/>
  <c r="I224" i="1"/>
  <c r="H224" i="1"/>
  <c r="J223" i="1"/>
  <c r="I223" i="1"/>
  <c r="H223" i="1"/>
  <c r="J222" i="1"/>
  <c r="I222" i="1"/>
  <c r="H222" i="1"/>
  <c r="J221" i="1"/>
  <c r="I221" i="1"/>
  <c r="H221" i="1"/>
  <c r="J220" i="1"/>
  <c r="I220" i="1"/>
  <c r="H220" i="1"/>
  <c r="J219" i="1"/>
  <c r="I219" i="1"/>
  <c r="H219" i="1"/>
  <c r="J218" i="1"/>
  <c r="I218" i="1"/>
  <c r="H218" i="1"/>
  <c r="J217" i="1"/>
  <c r="I217" i="1"/>
  <c r="H217" i="1"/>
  <c r="J216" i="1"/>
  <c r="I216" i="1"/>
  <c r="H216" i="1"/>
  <c r="J215" i="1"/>
  <c r="I215" i="1"/>
  <c r="H215" i="1"/>
  <c r="J214" i="1"/>
  <c r="I214" i="1"/>
  <c r="H214" i="1"/>
  <c r="J213" i="1"/>
  <c r="I213" i="1"/>
  <c r="H213" i="1"/>
  <c r="J212" i="1"/>
  <c r="I212" i="1"/>
  <c r="H212" i="1"/>
  <c r="J211" i="1"/>
  <c r="I211" i="1"/>
  <c r="H211" i="1"/>
  <c r="J210" i="1"/>
  <c r="I210" i="1"/>
  <c r="H210" i="1"/>
  <c r="J209" i="1"/>
  <c r="I209" i="1"/>
  <c r="H209" i="1"/>
  <c r="J208" i="1"/>
  <c r="I208" i="1"/>
  <c r="H208" i="1"/>
  <c r="J207" i="1"/>
  <c r="I207" i="1"/>
  <c r="H207" i="1"/>
  <c r="J206" i="1"/>
  <c r="I206" i="1"/>
  <c r="H206" i="1"/>
  <c r="J205" i="1"/>
  <c r="I205" i="1"/>
  <c r="H205" i="1"/>
  <c r="J204" i="1"/>
  <c r="I204" i="1"/>
  <c r="H204" i="1"/>
  <c r="J203" i="1"/>
  <c r="I203" i="1"/>
  <c r="H203" i="1"/>
  <c r="J202" i="1"/>
  <c r="I202" i="1"/>
  <c r="H202" i="1"/>
  <c r="J201" i="1"/>
  <c r="I201" i="1"/>
  <c r="H201" i="1"/>
  <c r="J200" i="1"/>
  <c r="I200" i="1"/>
  <c r="H200" i="1"/>
  <c r="J199" i="1"/>
  <c r="I199" i="1"/>
  <c r="H199" i="1"/>
  <c r="J198" i="1"/>
  <c r="I198" i="1"/>
  <c r="H198" i="1"/>
  <c r="J197" i="1"/>
  <c r="I197" i="1"/>
  <c r="H197" i="1"/>
  <c r="J196" i="1"/>
  <c r="I196" i="1"/>
  <c r="H196" i="1"/>
  <c r="J195" i="1"/>
  <c r="I195" i="1"/>
  <c r="H195" i="1"/>
  <c r="J194" i="1"/>
  <c r="I194" i="1"/>
  <c r="H194" i="1"/>
  <c r="J193" i="1"/>
  <c r="I193" i="1"/>
  <c r="H193" i="1"/>
  <c r="J192" i="1"/>
  <c r="I192" i="1"/>
  <c r="H192" i="1"/>
  <c r="J191" i="1"/>
  <c r="I191" i="1"/>
  <c r="H191" i="1"/>
  <c r="J190" i="1"/>
  <c r="I190" i="1"/>
  <c r="H190" i="1"/>
  <c r="J189" i="1"/>
  <c r="I189" i="1"/>
  <c r="H189" i="1"/>
  <c r="J188" i="1"/>
  <c r="I188" i="1"/>
  <c r="H188" i="1"/>
  <c r="J187" i="1"/>
  <c r="I187" i="1"/>
  <c r="H187" i="1"/>
  <c r="J186" i="1"/>
  <c r="I186" i="1"/>
  <c r="H186" i="1"/>
  <c r="J185" i="1"/>
  <c r="I185" i="1"/>
  <c r="H185" i="1"/>
  <c r="J184" i="1"/>
  <c r="I184" i="1"/>
  <c r="H184" i="1"/>
  <c r="J183" i="1"/>
  <c r="I183" i="1"/>
  <c r="H183" i="1"/>
  <c r="J182" i="1"/>
  <c r="I182" i="1"/>
  <c r="H182" i="1"/>
  <c r="J181" i="1"/>
  <c r="I181" i="1"/>
  <c r="H181" i="1"/>
  <c r="J180" i="1"/>
  <c r="I180" i="1"/>
  <c r="H180" i="1"/>
  <c r="J179" i="1"/>
  <c r="I179" i="1"/>
  <c r="H179" i="1"/>
  <c r="J178" i="1"/>
  <c r="I178" i="1"/>
  <c r="H178" i="1"/>
  <c r="J177" i="1"/>
  <c r="I177" i="1"/>
  <c r="H177" i="1"/>
  <c r="J176" i="1"/>
  <c r="I176" i="1"/>
  <c r="H176" i="1"/>
  <c r="J175" i="1"/>
  <c r="I175" i="1"/>
  <c r="H175" i="1"/>
  <c r="J174" i="1"/>
  <c r="I174" i="1"/>
  <c r="H174" i="1"/>
  <c r="J173" i="1"/>
  <c r="I173" i="1"/>
  <c r="H173" i="1"/>
  <c r="J172" i="1"/>
  <c r="I172" i="1"/>
  <c r="H172" i="1"/>
  <c r="J171" i="1"/>
  <c r="I171" i="1"/>
  <c r="H171" i="1"/>
  <c r="J170" i="1"/>
  <c r="I170" i="1"/>
  <c r="H170" i="1"/>
  <c r="J169" i="1"/>
  <c r="I169" i="1"/>
  <c r="H169" i="1"/>
  <c r="J168" i="1"/>
  <c r="I168" i="1"/>
  <c r="H168" i="1"/>
  <c r="J167" i="1"/>
  <c r="I167" i="1"/>
  <c r="H167" i="1"/>
  <c r="J166" i="1"/>
  <c r="I166" i="1"/>
  <c r="H166" i="1"/>
  <c r="J165" i="1"/>
  <c r="I165" i="1"/>
  <c r="H165" i="1"/>
  <c r="J164" i="1"/>
  <c r="I164" i="1"/>
  <c r="H164" i="1"/>
  <c r="J163" i="1"/>
  <c r="I163" i="1"/>
  <c r="H163" i="1"/>
  <c r="J162" i="1"/>
  <c r="I162" i="1"/>
  <c r="H162" i="1"/>
  <c r="J161" i="1"/>
  <c r="I161" i="1"/>
  <c r="H161" i="1"/>
  <c r="J160" i="1"/>
  <c r="I160" i="1"/>
  <c r="H160" i="1"/>
  <c r="J159" i="1"/>
  <c r="I159" i="1"/>
  <c r="H159" i="1"/>
  <c r="J158" i="1"/>
  <c r="I158" i="1"/>
  <c r="H158" i="1"/>
  <c r="J157" i="1"/>
  <c r="I157" i="1"/>
  <c r="H157" i="1"/>
  <c r="J156" i="1"/>
  <c r="I156" i="1"/>
  <c r="H156" i="1"/>
  <c r="J155" i="1"/>
  <c r="I155" i="1"/>
  <c r="H155" i="1"/>
  <c r="J154" i="1"/>
  <c r="I154" i="1"/>
  <c r="H154" i="1"/>
  <c r="J153" i="1"/>
  <c r="I153" i="1"/>
  <c r="H153" i="1"/>
  <c r="J152" i="1"/>
  <c r="I152" i="1"/>
  <c r="H152" i="1"/>
  <c r="J151" i="1"/>
  <c r="I151" i="1"/>
  <c r="H151" i="1"/>
  <c r="J150" i="1"/>
  <c r="I150" i="1"/>
  <c r="H150" i="1"/>
  <c r="J149" i="1"/>
  <c r="I149" i="1"/>
  <c r="H149" i="1"/>
  <c r="J148" i="1"/>
  <c r="I148" i="1"/>
  <c r="H148" i="1"/>
  <c r="J147" i="1"/>
  <c r="I147" i="1"/>
  <c r="H147" i="1"/>
  <c r="J146" i="1"/>
  <c r="I146" i="1"/>
  <c r="H146" i="1"/>
  <c r="J145" i="1"/>
  <c r="I145" i="1"/>
  <c r="H145" i="1"/>
  <c r="J144" i="1"/>
  <c r="I144" i="1"/>
  <c r="H144" i="1"/>
  <c r="J143" i="1"/>
  <c r="I143" i="1"/>
  <c r="H143" i="1"/>
  <c r="J142" i="1"/>
  <c r="I142" i="1"/>
  <c r="H142" i="1"/>
  <c r="J141" i="1"/>
  <c r="I141" i="1"/>
  <c r="H141" i="1"/>
  <c r="J140" i="1"/>
  <c r="I140" i="1"/>
  <c r="H140" i="1"/>
  <c r="J139" i="1"/>
  <c r="I139" i="1"/>
  <c r="H139" i="1"/>
  <c r="J138" i="1"/>
  <c r="I138" i="1"/>
  <c r="H138" i="1"/>
  <c r="J137" i="1"/>
  <c r="I137" i="1"/>
  <c r="H137" i="1"/>
  <c r="J136" i="1"/>
  <c r="I136" i="1"/>
  <c r="H136" i="1"/>
  <c r="J135" i="1"/>
  <c r="I135" i="1"/>
  <c r="H135" i="1"/>
  <c r="J134" i="1"/>
  <c r="I134" i="1"/>
  <c r="H134" i="1"/>
  <c r="J133" i="1"/>
  <c r="I133" i="1"/>
  <c r="H133" i="1"/>
  <c r="J132" i="1"/>
  <c r="I132" i="1"/>
  <c r="H132" i="1"/>
  <c r="J131" i="1"/>
  <c r="I131" i="1"/>
  <c r="H131" i="1"/>
  <c r="J130" i="1"/>
  <c r="I130" i="1"/>
  <c r="H130" i="1"/>
  <c r="J129" i="1"/>
  <c r="I129" i="1"/>
  <c r="H129" i="1"/>
  <c r="J128" i="1"/>
  <c r="I128" i="1"/>
  <c r="H128" i="1"/>
  <c r="J127" i="1"/>
  <c r="I127" i="1"/>
  <c r="H127" i="1"/>
  <c r="J126" i="1"/>
  <c r="I126" i="1"/>
  <c r="H126" i="1"/>
  <c r="J125" i="1"/>
  <c r="I125" i="1"/>
  <c r="H125" i="1"/>
  <c r="J124" i="1"/>
  <c r="I124" i="1"/>
  <c r="H124" i="1"/>
  <c r="J123" i="1"/>
  <c r="I123" i="1"/>
  <c r="H123" i="1"/>
  <c r="J122" i="1"/>
  <c r="I122" i="1"/>
  <c r="H122" i="1"/>
  <c r="J121" i="1"/>
  <c r="I121" i="1"/>
  <c r="H121" i="1"/>
  <c r="J120" i="1"/>
  <c r="I120" i="1"/>
  <c r="H120" i="1"/>
  <c r="J119" i="1"/>
  <c r="I119" i="1"/>
  <c r="H119" i="1"/>
  <c r="J118" i="1"/>
  <c r="I118" i="1"/>
  <c r="H118" i="1"/>
  <c r="J117" i="1"/>
  <c r="I117" i="1"/>
  <c r="H117" i="1"/>
  <c r="J116" i="1"/>
  <c r="I116" i="1"/>
  <c r="H116" i="1"/>
  <c r="J115" i="1"/>
  <c r="I115" i="1"/>
  <c r="H115" i="1"/>
  <c r="J114" i="1"/>
  <c r="I114" i="1"/>
  <c r="H114" i="1"/>
  <c r="J113" i="1"/>
  <c r="I113" i="1"/>
  <c r="H113" i="1"/>
  <c r="J112" i="1"/>
  <c r="I112" i="1"/>
  <c r="H112" i="1"/>
  <c r="J111" i="1"/>
  <c r="I111" i="1"/>
  <c r="H111" i="1"/>
  <c r="J110" i="1"/>
  <c r="I110" i="1"/>
  <c r="H110" i="1"/>
  <c r="J109" i="1"/>
  <c r="I109" i="1"/>
  <c r="H109" i="1"/>
  <c r="J108" i="1"/>
  <c r="I108" i="1"/>
  <c r="H108" i="1"/>
  <c r="J107" i="1"/>
  <c r="I107" i="1"/>
  <c r="H107" i="1"/>
  <c r="J106" i="1"/>
  <c r="I106" i="1"/>
  <c r="H106" i="1"/>
  <c r="J105" i="1"/>
  <c r="I105" i="1"/>
  <c r="H105" i="1"/>
  <c r="J104" i="1"/>
  <c r="I104" i="1"/>
  <c r="H104" i="1"/>
  <c r="J103" i="1"/>
  <c r="I103" i="1"/>
  <c r="H103" i="1"/>
  <c r="J102" i="1"/>
  <c r="I102" i="1"/>
  <c r="H102" i="1"/>
  <c r="J101" i="1"/>
  <c r="I101" i="1"/>
  <c r="H101" i="1"/>
  <c r="J100" i="1"/>
  <c r="I100" i="1"/>
  <c r="H100" i="1"/>
  <c r="J99" i="1"/>
  <c r="I99" i="1"/>
  <c r="H99" i="1"/>
  <c r="J98" i="1"/>
  <c r="I98" i="1"/>
  <c r="H98" i="1"/>
  <c r="J97" i="1"/>
  <c r="I97" i="1"/>
  <c r="H97" i="1"/>
  <c r="J96" i="1"/>
  <c r="I96" i="1"/>
  <c r="H96" i="1"/>
  <c r="J95" i="1"/>
  <c r="I95" i="1"/>
  <c r="H95" i="1"/>
  <c r="J94" i="1"/>
  <c r="I94" i="1"/>
  <c r="H94" i="1"/>
  <c r="J93" i="1"/>
  <c r="I93" i="1"/>
  <c r="H93" i="1"/>
  <c r="J92" i="1"/>
  <c r="I92" i="1"/>
  <c r="H92" i="1"/>
  <c r="J91" i="1"/>
  <c r="I91" i="1"/>
  <c r="H91" i="1"/>
  <c r="J90" i="1"/>
  <c r="I90" i="1"/>
  <c r="H90" i="1"/>
  <c r="J89" i="1"/>
  <c r="I89" i="1"/>
  <c r="H89" i="1"/>
  <c r="J88" i="1"/>
  <c r="I88" i="1"/>
  <c r="H88" i="1"/>
  <c r="J87" i="1"/>
  <c r="I87" i="1"/>
  <c r="H87" i="1"/>
  <c r="J86" i="1"/>
  <c r="I86" i="1"/>
  <c r="H86" i="1"/>
  <c r="J85" i="1"/>
  <c r="I85" i="1"/>
  <c r="H85" i="1"/>
  <c r="J84" i="1"/>
  <c r="I84" i="1"/>
  <c r="H84" i="1"/>
  <c r="J83" i="1"/>
  <c r="I83" i="1"/>
  <c r="H83" i="1"/>
  <c r="J82" i="1"/>
  <c r="I82" i="1"/>
  <c r="H82" i="1"/>
  <c r="J81" i="1"/>
  <c r="I81" i="1"/>
  <c r="H81" i="1"/>
  <c r="J80" i="1"/>
  <c r="I80" i="1"/>
  <c r="H80" i="1"/>
  <c r="J79" i="1"/>
  <c r="I79" i="1"/>
  <c r="H79" i="1"/>
  <c r="J78" i="1"/>
  <c r="I78" i="1"/>
  <c r="H78" i="1"/>
  <c r="J77" i="1"/>
  <c r="I77" i="1"/>
  <c r="H77" i="1"/>
  <c r="J76" i="1"/>
  <c r="I76" i="1"/>
  <c r="H76" i="1"/>
  <c r="J75" i="1"/>
  <c r="I75" i="1"/>
  <c r="H75" i="1"/>
  <c r="J74" i="1"/>
  <c r="I74" i="1"/>
  <c r="H74" i="1"/>
  <c r="J73" i="1"/>
  <c r="I73" i="1"/>
  <c r="H73" i="1"/>
  <c r="J72" i="1"/>
  <c r="I72" i="1"/>
  <c r="H72" i="1"/>
  <c r="J71" i="1"/>
  <c r="I71" i="1"/>
  <c r="H71" i="1"/>
  <c r="J70" i="1"/>
  <c r="I70" i="1"/>
  <c r="H70" i="1"/>
  <c r="J69" i="1"/>
  <c r="I69" i="1"/>
  <c r="H69" i="1"/>
  <c r="J68" i="1"/>
  <c r="I68" i="1"/>
  <c r="H68" i="1"/>
  <c r="J67" i="1"/>
  <c r="I67" i="1"/>
  <c r="H67" i="1"/>
  <c r="J66" i="1"/>
  <c r="I66" i="1"/>
  <c r="H66" i="1"/>
  <c r="J65" i="1"/>
  <c r="I65" i="1"/>
  <c r="H65" i="1"/>
  <c r="J64" i="1"/>
  <c r="I64" i="1"/>
  <c r="H64" i="1"/>
  <c r="J63" i="1"/>
  <c r="I63" i="1"/>
  <c r="H63" i="1"/>
  <c r="J62" i="1"/>
  <c r="I62" i="1"/>
  <c r="H62" i="1"/>
  <c r="J61" i="1"/>
  <c r="I61" i="1"/>
  <c r="H61" i="1"/>
  <c r="J60" i="1"/>
  <c r="I60" i="1"/>
  <c r="H60" i="1"/>
  <c r="J59" i="1"/>
  <c r="I59" i="1"/>
  <c r="H59" i="1"/>
  <c r="J58" i="1"/>
  <c r="I58" i="1"/>
  <c r="H58" i="1"/>
  <c r="J57" i="1"/>
  <c r="I57" i="1"/>
  <c r="H57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  <c r="Y28" i="19" l="1"/>
  <c r="N28" i="19"/>
  <c r="U28" i="19"/>
  <c r="Q28" i="19"/>
  <c r="W28" i="19"/>
  <c r="S28" i="19"/>
  <c r="Z28" i="19"/>
  <c r="R28" i="19"/>
  <c r="P28" i="19"/>
  <c r="X28" i="19"/>
  <c r="O28" i="19"/>
  <c r="V28" i="19"/>
  <c r="T28" i="19"/>
  <c r="M29" i="19"/>
  <c r="G13" i="3"/>
  <c r="G15" i="3"/>
  <c r="H15" i="3" s="1"/>
  <c r="G14" i="3"/>
  <c r="H14" i="3" s="1"/>
  <c r="G6" i="3"/>
  <c r="I6" i="3" s="1"/>
  <c r="G7" i="3"/>
  <c r="H7" i="3" s="1"/>
  <c r="G4" i="3"/>
  <c r="H4" i="3" s="1"/>
  <c r="G12" i="3"/>
  <c r="H12" i="3" s="1"/>
  <c r="G5" i="3"/>
  <c r="H5" i="3" s="1"/>
  <c r="G11" i="3"/>
  <c r="H11" i="3" s="1"/>
  <c r="G3" i="3"/>
  <c r="H3" i="3" s="1"/>
  <c r="G10" i="3"/>
  <c r="H10" i="3" s="1"/>
  <c r="G2" i="3"/>
  <c r="H2" i="3" s="1"/>
  <c r="G9" i="3"/>
  <c r="H9" i="3" s="1"/>
  <c r="G8" i="3"/>
  <c r="H8" i="3" s="1"/>
  <c r="H13" i="3"/>
  <c r="I13" i="3"/>
  <c r="Y29" i="19" l="1"/>
  <c r="N29" i="19"/>
  <c r="W29" i="19"/>
  <c r="S29" i="19"/>
  <c r="O29" i="19"/>
  <c r="Z29" i="19"/>
  <c r="X29" i="19"/>
  <c r="Q29" i="19"/>
  <c r="T29" i="19"/>
  <c r="R29" i="19"/>
  <c r="P29" i="19"/>
  <c r="U29" i="19"/>
  <c r="V29" i="19"/>
  <c r="M30" i="19"/>
  <c r="H6" i="3"/>
  <c r="I4" i="3"/>
  <c r="I12" i="3"/>
  <c r="I15" i="3"/>
  <c r="I7" i="3"/>
  <c r="I5" i="3"/>
  <c r="I10" i="3"/>
  <c r="I8" i="3"/>
  <c r="I11" i="3"/>
  <c r="I9" i="3"/>
  <c r="I3" i="3"/>
  <c r="I2" i="3"/>
  <c r="I45" i="13" l="1"/>
  <c r="I43" i="13"/>
  <c r="O10" i="18" s="1"/>
  <c r="Y30" i="19"/>
  <c r="U30" i="19"/>
  <c r="N30" i="19"/>
  <c r="Z30" i="19"/>
  <c r="R30" i="19"/>
  <c r="P30" i="19"/>
  <c r="Q30" i="19"/>
  <c r="W30" i="19"/>
  <c r="X30" i="19"/>
  <c r="O30" i="19"/>
  <c r="T30" i="19"/>
  <c r="S30" i="19"/>
  <c r="V30" i="19"/>
  <c r="M31" i="19"/>
  <c r="BM145" i="10"/>
  <c r="BL25" i="10"/>
  <c r="BM25" i="10" s="1"/>
  <c r="BL3" i="10"/>
  <c r="BM3" i="10" s="1"/>
  <c r="BN3" i="10" s="1"/>
  <c r="BL22" i="10"/>
  <c r="BL138" i="10"/>
  <c r="BK86" i="10"/>
  <c r="BM86" i="10" s="1"/>
  <c r="BN86" i="10" s="1"/>
  <c r="BK104" i="10"/>
  <c r="BK15" i="10"/>
  <c r="BM15" i="10" s="1"/>
  <c r="BN15" i="10"/>
  <c r="BK24" i="10"/>
  <c r="BL123" i="10"/>
  <c r="BM123" i="10" s="1"/>
  <c r="BN123" i="10"/>
  <c r="BL66" i="10"/>
  <c r="BM66" i="10" s="1"/>
  <c r="BN66" i="10"/>
  <c r="BL108" i="10"/>
  <c r="BM108" i="10" s="1"/>
  <c r="BN108" i="10" s="1"/>
  <c r="BK62" i="10"/>
  <c r="BL62" i="10"/>
  <c r="BN62" i="10"/>
  <c r="BK134" i="10"/>
  <c r="BM134" i="10" s="1"/>
  <c r="BN134" i="10"/>
  <c r="BK70" i="10"/>
  <c r="BK27" i="10"/>
  <c r="BK115" i="10"/>
  <c r="BL115" i="10"/>
  <c r="BN115" i="10"/>
  <c r="BK10" i="10"/>
  <c r="BL10" i="10"/>
  <c r="BK72" i="10"/>
  <c r="BL72" i="10"/>
  <c r="BN72" i="10"/>
  <c r="BK110" i="10"/>
  <c r="BL110" i="10"/>
  <c r="BK36" i="10"/>
  <c r="BL74" i="10"/>
  <c r="BM74" i="10" s="1"/>
  <c r="BN74" i="10" s="1"/>
  <c r="BL112" i="10"/>
  <c r="BL111" i="10"/>
  <c r="BK141" i="10"/>
  <c r="BL141" i="10"/>
  <c r="BN141" i="10"/>
  <c r="BK4" i="10"/>
  <c r="BM4" i="10" s="1"/>
  <c r="BN4" i="10" s="1"/>
  <c r="BK38" i="10"/>
  <c r="BL38" i="10"/>
  <c r="BL29" i="10"/>
  <c r="BK136" i="10"/>
  <c r="BK12" i="10"/>
  <c r="BL12" i="10"/>
  <c r="BN12" i="10"/>
  <c r="BK19" i="10"/>
  <c r="BK76" i="10"/>
  <c r="BK135" i="10"/>
  <c r="BL64" i="10"/>
  <c r="BK67" i="10"/>
  <c r="BL67" i="10"/>
  <c r="BN67" i="10"/>
  <c r="BK68" i="10"/>
  <c r="BL68" i="10"/>
  <c r="BN68" i="10"/>
  <c r="BK26" i="10"/>
  <c r="BL26" i="10"/>
  <c r="BL87" i="10"/>
  <c r="BL42" i="10"/>
  <c r="BK140" i="10"/>
  <c r="BL140" i="10"/>
  <c r="BN140" i="10"/>
  <c r="BK44" i="10"/>
  <c r="BL88" i="10"/>
  <c r="BK96" i="10"/>
  <c r="BL96" i="10"/>
  <c r="BK30" i="10"/>
  <c r="BL30" i="10"/>
  <c r="BN30" i="10"/>
  <c r="BL32" i="10"/>
  <c r="A120" i="10"/>
  <c r="B120" i="10"/>
  <c r="C120" i="10"/>
  <c r="A121" i="10"/>
  <c r="B121" i="10"/>
  <c r="C121" i="10"/>
  <c r="A122" i="10"/>
  <c r="B122" i="10"/>
  <c r="C122" i="10"/>
  <c r="A123" i="10"/>
  <c r="B123" i="10"/>
  <c r="C123" i="10"/>
  <c r="A124" i="10"/>
  <c r="B124" i="10"/>
  <c r="C124" i="10"/>
  <c r="A125" i="10"/>
  <c r="B125" i="10"/>
  <c r="C125" i="10"/>
  <c r="A126" i="10"/>
  <c r="B126" i="10"/>
  <c r="C126" i="10"/>
  <c r="A127" i="10"/>
  <c r="B127" i="10"/>
  <c r="C127" i="10"/>
  <c r="A128" i="10"/>
  <c r="B128" i="10"/>
  <c r="C128" i="10"/>
  <c r="A129" i="10"/>
  <c r="B129" i="10"/>
  <c r="C129" i="10"/>
  <c r="A130" i="10"/>
  <c r="B130" i="10"/>
  <c r="C130" i="10"/>
  <c r="A131" i="10"/>
  <c r="B131" i="10"/>
  <c r="C131" i="10"/>
  <c r="A132" i="10"/>
  <c r="B132" i="10"/>
  <c r="C132" i="10"/>
  <c r="A133" i="10"/>
  <c r="B133" i="10"/>
  <c r="C133" i="10"/>
  <c r="A134" i="10"/>
  <c r="B134" i="10"/>
  <c r="C134" i="10"/>
  <c r="A135" i="10"/>
  <c r="B135" i="10"/>
  <c r="C135" i="10"/>
  <c r="A136" i="10"/>
  <c r="B136" i="10"/>
  <c r="C136" i="10"/>
  <c r="A137" i="10"/>
  <c r="B137" i="10"/>
  <c r="C137" i="10"/>
  <c r="BK7" i="10"/>
  <c r="BM7" i="10" s="1"/>
  <c r="BN7" i="10" s="1"/>
  <c r="A138" i="10"/>
  <c r="B138" i="10"/>
  <c r="C138" i="10"/>
  <c r="BK119" i="10"/>
  <c r="BM119" i="10" s="1"/>
  <c r="BN119" i="10"/>
  <c r="A139" i="10"/>
  <c r="B139" i="10"/>
  <c r="C139" i="10"/>
  <c r="BK35" i="10"/>
  <c r="BL35" i="10"/>
  <c r="BN35" i="10"/>
  <c r="A140" i="10"/>
  <c r="B140" i="10"/>
  <c r="C140" i="10"/>
  <c r="BL144" i="10"/>
  <c r="BM144" i="10" s="1"/>
  <c r="BN144" i="10"/>
  <c r="A141" i="10"/>
  <c r="B141" i="10"/>
  <c r="C141" i="10"/>
  <c r="BK117" i="10"/>
  <c r="A142" i="10"/>
  <c r="B142" i="10"/>
  <c r="C142" i="10"/>
  <c r="BL71" i="10"/>
  <c r="BM71" i="10" s="1"/>
  <c r="BN71" i="10"/>
  <c r="A143" i="10"/>
  <c r="B143" i="10"/>
  <c r="C143" i="10"/>
  <c r="BL18" i="10"/>
  <c r="BM18" i="10" s="1"/>
  <c r="BN18" i="10"/>
  <c r="A144" i="10"/>
  <c r="B144" i="10"/>
  <c r="C144" i="10"/>
  <c r="BL8" i="10"/>
  <c r="BM8" i="10" s="1"/>
  <c r="BN8" i="10" s="1"/>
  <c r="A145" i="10"/>
  <c r="B145" i="10"/>
  <c r="C145" i="10"/>
  <c r="BK80" i="10"/>
  <c r="A146" i="10"/>
  <c r="B146" i="10"/>
  <c r="C146" i="10"/>
  <c r="BK47" i="10"/>
  <c r="BL47" i="10"/>
  <c r="BN47" i="10"/>
  <c r="A147" i="10"/>
  <c r="B147" i="10"/>
  <c r="C147" i="10"/>
  <c r="BL125" i="10"/>
  <c r="BM125" i="10" s="1"/>
  <c r="BN125" i="10"/>
  <c r="A148" i="10"/>
  <c r="B148" i="10"/>
  <c r="C148" i="10"/>
  <c r="BK92" i="10"/>
  <c r="BL92" i="10"/>
  <c r="A149" i="10"/>
  <c r="B149" i="10"/>
  <c r="C149" i="10"/>
  <c r="BK79" i="10"/>
  <c r="A150" i="10"/>
  <c r="B150" i="10"/>
  <c r="C150" i="10"/>
  <c r="BL139" i="10"/>
  <c r="BM139" i="10" s="1"/>
  <c r="BN139" i="10"/>
  <c r="A151" i="10"/>
  <c r="B151" i="10"/>
  <c r="C151" i="10"/>
  <c r="A152" i="10"/>
  <c r="B152" i="10"/>
  <c r="C152" i="10"/>
  <c r="BL129" i="10"/>
  <c r="BM129" i="10" s="1"/>
  <c r="BN129" i="10"/>
  <c r="A153" i="10"/>
  <c r="B153" i="10"/>
  <c r="C153" i="10"/>
  <c r="A154" i="10"/>
  <c r="B154" i="10"/>
  <c r="C154" i="10"/>
  <c r="BL124" i="10"/>
  <c r="BM124" i="10" s="1"/>
  <c r="BN124" i="10"/>
  <c r="A155" i="10"/>
  <c r="B155" i="10"/>
  <c r="C155" i="10"/>
  <c r="BK91" i="10"/>
  <c r="BL91" i="10"/>
  <c r="BN91" i="10"/>
  <c r="A156" i="10"/>
  <c r="B156" i="10"/>
  <c r="C156" i="10"/>
  <c r="BL128" i="10"/>
  <c r="BM128" i="10" s="1"/>
  <c r="BN128" i="10"/>
  <c r="A157" i="10"/>
  <c r="B157" i="10"/>
  <c r="C157" i="10"/>
  <c r="BL127" i="10"/>
  <c r="BM127" i="10" s="1"/>
  <c r="BN127" i="10"/>
  <c r="A158" i="10"/>
  <c r="B158" i="10"/>
  <c r="C158" i="10"/>
  <c r="A159" i="10"/>
  <c r="B159" i="10"/>
  <c r="C159" i="10"/>
  <c r="A160" i="10"/>
  <c r="B160" i="10"/>
  <c r="C160" i="10"/>
  <c r="A161" i="10"/>
  <c r="B161" i="10"/>
  <c r="C161" i="10"/>
  <c r="A162" i="10"/>
  <c r="B162" i="10"/>
  <c r="C162" i="10"/>
  <c r="A163" i="10"/>
  <c r="B163" i="10"/>
  <c r="C163" i="10"/>
  <c r="A164" i="10"/>
  <c r="B164" i="10"/>
  <c r="C164" i="10"/>
  <c r="A165" i="10"/>
  <c r="B165" i="10"/>
  <c r="C165" i="10"/>
  <c r="A166" i="10"/>
  <c r="B166" i="10"/>
  <c r="C166" i="10"/>
  <c r="A167" i="10"/>
  <c r="B167" i="10"/>
  <c r="C167" i="10"/>
  <c r="A168" i="10"/>
  <c r="B168" i="10"/>
  <c r="C168" i="10"/>
  <c r="A169" i="10"/>
  <c r="B169" i="10"/>
  <c r="C169" i="10"/>
  <c r="A170" i="10"/>
  <c r="B170" i="10"/>
  <c r="C170" i="10"/>
  <c r="A171" i="10"/>
  <c r="B171" i="10"/>
  <c r="C171" i="10"/>
  <c r="A172" i="10"/>
  <c r="B172" i="10"/>
  <c r="C172" i="10"/>
  <c r="A173" i="10"/>
  <c r="B173" i="10"/>
  <c r="C173" i="10"/>
  <c r="A174" i="10"/>
  <c r="B174" i="10"/>
  <c r="C174" i="10"/>
  <c r="A175" i="10"/>
  <c r="B175" i="10"/>
  <c r="C175" i="10"/>
  <c r="A176" i="10"/>
  <c r="B176" i="10"/>
  <c r="C176" i="10"/>
  <c r="A177" i="10"/>
  <c r="B177" i="10"/>
  <c r="C177" i="10"/>
  <c r="A178" i="10"/>
  <c r="B178" i="10"/>
  <c r="C178" i="10"/>
  <c r="A179" i="10"/>
  <c r="B179" i="10"/>
  <c r="C179" i="10"/>
  <c r="A180" i="10"/>
  <c r="B180" i="10"/>
  <c r="C180" i="10"/>
  <c r="A181" i="10"/>
  <c r="B181" i="10"/>
  <c r="C181" i="10"/>
  <c r="A182" i="10"/>
  <c r="B182" i="10"/>
  <c r="C182" i="10"/>
  <c r="A183" i="10"/>
  <c r="B183" i="10"/>
  <c r="C183" i="10"/>
  <c r="A184" i="10"/>
  <c r="B184" i="10"/>
  <c r="C184" i="10"/>
  <c r="A185" i="10"/>
  <c r="B185" i="10"/>
  <c r="C185" i="10"/>
  <c r="A186" i="10"/>
  <c r="B186" i="10"/>
  <c r="C186" i="10"/>
  <c r="A187" i="10"/>
  <c r="B187" i="10"/>
  <c r="C187" i="10"/>
  <c r="A188" i="10"/>
  <c r="B188" i="10"/>
  <c r="C188" i="10"/>
  <c r="A189" i="10"/>
  <c r="B189" i="10"/>
  <c r="C189" i="10"/>
  <c r="A190" i="10"/>
  <c r="B190" i="10"/>
  <c r="C190" i="10"/>
  <c r="A191" i="10"/>
  <c r="B191" i="10"/>
  <c r="C191" i="10"/>
  <c r="A192" i="10"/>
  <c r="B192" i="10"/>
  <c r="C192" i="10"/>
  <c r="A193" i="10"/>
  <c r="B193" i="10"/>
  <c r="C193" i="10"/>
  <c r="A194" i="10"/>
  <c r="B194" i="10"/>
  <c r="C194" i="10"/>
  <c r="A195" i="10"/>
  <c r="B195" i="10"/>
  <c r="C195" i="10"/>
  <c r="A196" i="10"/>
  <c r="B196" i="10"/>
  <c r="C196" i="10"/>
  <c r="A197" i="10"/>
  <c r="B197" i="10"/>
  <c r="C197" i="10"/>
  <c r="A198" i="10"/>
  <c r="B198" i="10"/>
  <c r="C198" i="10"/>
  <c r="A199" i="10"/>
  <c r="B199" i="10"/>
  <c r="C199" i="10"/>
  <c r="A200" i="10"/>
  <c r="B200" i="10"/>
  <c r="C200" i="10"/>
  <c r="A201" i="10"/>
  <c r="B201" i="10"/>
  <c r="C201" i="10"/>
  <c r="A202" i="10"/>
  <c r="B202" i="10"/>
  <c r="C202" i="10"/>
  <c r="A203" i="10"/>
  <c r="B203" i="10"/>
  <c r="C203" i="10"/>
  <c r="A204" i="10"/>
  <c r="B204" i="10"/>
  <c r="C204" i="10"/>
  <c r="A205" i="10"/>
  <c r="B205" i="10"/>
  <c r="C205" i="10"/>
  <c r="A206" i="10"/>
  <c r="B206" i="10"/>
  <c r="C206" i="10"/>
  <c r="A207" i="10"/>
  <c r="B207" i="10"/>
  <c r="C207" i="10"/>
  <c r="A208" i="10"/>
  <c r="B208" i="10"/>
  <c r="C208" i="10"/>
  <c r="A209" i="10"/>
  <c r="B209" i="10"/>
  <c r="C209" i="10"/>
  <c r="A210" i="10"/>
  <c r="B210" i="10"/>
  <c r="C210" i="10"/>
  <c r="A211" i="10"/>
  <c r="B211" i="10"/>
  <c r="C211" i="10"/>
  <c r="A212" i="10"/>
  <c r="B212" i="10"/>
  <c r="C212" i="10"/>
  <c r="A213" i="10"/>
  <c r="B213" i="10"/>
  <c r="C213" i="10"/>
  <c r="A214" i="10"/>
  <c r="B214" i="10"/>
  <c r="C214" i="10"/>
  <c r="A215" i="10"/>
  <c r="B215" i="10"/>
  <c r="C215" i="10"/>
  <c r="A216" i="10"/>
  <c r="B216" i="10"/>
  <c r="C216" i="10"/>
  <c r="A217" i="10"/>
  <c r="B217" i="10"/>
  <c r="C217" i="10"/>
  <c r="A218" i="10"/>
  <c r="B218" i="10"/>
  <c r="C218" i="10"/>
  <c r="A219" i="10"/>
  <c r="B219" i="10"/>
  <c r="C219" i="10"/>
  <c r="A220" i="10"/>
  <c r="B220" i="10"/>
  <c r="C220" i="10"/>
  <c r="A221" i="10"/>
  <c r="B221" i="10"/>
  <c r="C221" i="10"/>
  <c r="A222" i="10"/>
  <c r="B222" i="10"/>
  <c r="C222" i="10"/>
  <c r="A223" i="10"/>
  <c r="B223" i="10"/>
  <c r="C223" i="10"/>
  <c r="A224" i="10"/>
  <c r="B224" i="10"/>
  <c r="C224" i="10"/>
  <c r="A225" i="10"/>
  <c r="B225" i="10"/>
  <c r="C225" i="10"/>
  <c r="A226" i="10"/>
  <c r="B226" i="10"/>
  <c r="C226" i="10"/>
  <c r="A227" i="10"/>
  <c r="B227" i="10"/>
  <c r="C227" i="10"/>
  <c r="A228" i="10"/>
  <c r="B228" i="10"/>
  <c r="C228" i="10"/>
  <c r="A229" i="10"/>
  <c r="B229" i="10"/>
  <c r="C229" i="10"/>
  <c r="A230" i="10"/>
  <c r="B230" i="10"/>
  <c r="C230" i="10"/>
  <c r="A231" i="10"/>
  <c r="B231" i="10"/>
  <c r="C231" i="10"/>
  <c r="A232" i="10"/>
  <c r="B232" i="10"/>
  <c r="C232" i="10"/>
  <c r="A233" i="10"/>
  <c r="B233" i="10"/>
  <c r="C233" i="10"/>
  <c r="A234" i="10"/>
  <c r="B234" i="10"/>
  <c r="C234" i="10"/>
  <c r="A235" i="10"/>
  <c r="B235" i="10"/>
  <c r="C235" i="10"/>
  <c r="A236" i="10"/>
  <c r="B236" i="10"/>
  <c r="C236" i="10"/>
  <c r="A237" i="10"/>
  <c r="B237" i="10"/>
  <c r="C237" i="10"/>
  <c r="A238" i="10"/>
  <c r="B238" i="10"/>
  <c r="C238" i="10"/>
  <c r="A239" i="10"/>
  <c r="B239" i="10"/>
  <c r="C239" i="10"/>
  <c r="A240" i="10"/>
  <c r="B240" i="10"/>
  <c r="C240" i="10"/>
  <c r="A241" i="10"/>
  <c r="B241" i="10"/>
  <c r="C241" i="10"/>
  <c r="A242" i="10"/>
  <c r="B242" i="10"/>
  <c r="C242" i="10"/>
  <c r="A243" i="10"/>
  <c r="B243" i="10"/>
  <c r="C243" i="10"/>
  <c r="A244" i="10"/>
  <c r="B244" i="10"/>
  <c r="C244" i="10"/>
  <c r="A245" i="10"/>
  <c r="B245" i="10"/>
  <c r="C245" i="10"/>
  <c r="A246" i="10"/>
  <c r="B246" i="10"/>
  <c r="C246" i="10"/>
  <c r="A247" i="10"/>
  <c r="B247" i="10"/>
  <c r="C247" i="10"/>
  <c r="A248" i="10"/>
  <c r="B248" i="10"/>
  <c r="C248" i="10"/>
  <c r="A249" i="10"/>
  <c r="B249" i="10"/>
  <c r="C249" i="10"/>
  <c r="A250" i="10"/>
  <c r="B250" i="10"/>
  <c r="C250" i="10"/>
  <c r="A251" i="10"/>
  <c r="B251" i="10"/>
  <c r="C251" i="10"/>
  <c r="A252" i="10"/>
  <c r="B252" i="10"/>
  <c r="C252" i="10"/>
  <c r="A253" i="10"/>
  <c r="B253" i="10"/>
  <c r="C253" i="10"/>
  <c r="A254" i="10"/>
  <c r="B254" i="10"/>
  <c r="C254" i="10"/>
  <c r="A255" i="10"/>
  <c r="B255" i="10"/>
  <c r="C255" i="10"/>
  <c r="A256" i="10"/>
  <c r="B256" i="10"/>
  <c r="C256" i="10"/>
  <c r="A257" i="10"/>
  <c r="B257" i="10"/>
  <c r="C257" i="10"/>
  <c r="A258" i="10"/>
  <c r="B258" i="10"/>
  <c r="C258" i="10"/>
  <c r="A259" i="10"/>
  <c r="B259" i="10"/>
  <c r="C259" i="10"/>
  <c r="A260" i="10"/>
  <c r="B260" i="10"/>
  <c r="C260" i="10"/>
  <c r="A261" i="10"/>
  <c r="B261" i="10"/>
  <c r="C261" i="10"/>
  <c r="A262" i="10"/>
  <c r="B262" i="10"/>
  <c r="C262" i="10"/>
  <c r="A263" i="10"/>
  <c r="B263" i="10"/>
  <c r="C263" i="10"/>
  <c r="A264" i="10"/>
  <c r="B264" i="10"/>
  <c r="C264" i="10"/>
  <c r="A265" i="10"/>
  <c r="B265" i="10"/>
  <c r="C265" i="10"/>
  <c r="A266" i="10"/>
  <c r="B266" i="10"/>
  <c r="C266" i="10"/>
  <c r="A267" i="10"/>
  <c r="B267" i="10"/>
  <c r="C267" i="10"/>
  <c r="A268" i="10"/>
  <c r="B268" i="10"/>
  <c r="C268" i="10"/>
  <c r="A269" i="10"/>
  <c r="B269" i="10"/>
  <c r="C269" i="10"/>
  <c r="A270" i="10"/>
  <c r="B270" i="10"/>
  <c r="C270" i="10"/>
  <c r="A271" i="10"/>
  <c r="B271" i="10"/>
  <c r="C271" i="10"/>
  <c r="A272" i="10"/>
  <c r="B272" i="10"/>
  <c r="C272" i="10"/>
  <c r="A273" i="10"/>
  <c r="B273" i="10"/>
  <c r="C273" i="10"/>
  <c r="A274" i="10"/>
  <c r="B274" i="10"/>
  <c r="C274" i="10"/>
  <c r="A275" i="10"/>
  <c r="B275" i="10"/>
  <c r="C275" i="10"/>
  <c r="A276" i="10"/>
  <c r="B276" i="10"/>
  <c r="C276" i="10"/>
  <c r="A277" i="10"/>
  <c r="B277" i="10"/>
  <c r="C277" i="10"/>
  <c r="A278" i="10"/>
  <c r="B278" i="10"/>
  <c r="C278" i="10"/>
  <c r="A279" i="10"/>
  <c r="B279" i="10"/>
  <c r="C279" i="10"/>
  <c r="A280" i="10"/>
  <c r="B280" i="10"/>
  <c r="C280" i="10"/>
  <c r="A281" i="10"/>
  <c r="B281" i="10"/>
  <c r="C281" i="10"/>
  <c r="A282" i="10"/>
  <c r="B282" i="10"/>
  <c r="C282" i="10"/>
  <c r="A283" i="10"/>
  <c r="B283" i="10"/>
  <c r="C283" i="10"/>
  <c r="A284" i="10"/>
  <c r="B284" i="10"/>
  <c r="C284" i="10"/>
  <c r="A285" i="10"/>
  <c r="B285" i="10"/>
  <c r="C285" i="10"/>
  <c r="A286" i="10"/>
  <c r="B286" i="10"/>
  <c r="C286" i="10"/>
  <c r="A287" i="10"/>
  <c r="B287" i="10"/>
  <c r="C287" i="10"/>
  <c r="A288" i="10"/>
  <c r="B288" i="10"/>
  <c r="C288" i="10"/>
  <c r="A289" i="10"/>
  <c r="B289" i="10"/>
  <c r="C289" i="10"/>
  <c r="A290" i="10"/>
  <c r="B290" i="10"/>
  <c r="C290" i="10"/>
  <c r="A291" i="10"/>
  <c r="B291" i="10"/>
  <c r="C291" i="10"/>
  <c r="A292" i="10"/>
  <c r="B292" i="10"/>
  <c r="C292" i="10"/>
  <c r="A293" i="10"/>
  <c r="B293" i="10"/>
  <c r="C293" i="10"/>
  <c r="A294" i="10"/>
  <c r="B294" i="10"/>
  <c r="C294" i="10"/>
  <c r="A295" i="10"/>
  <c r="B295" i="10"/>
  <c r="C295" i="10"/>
  <c r="A296" i="10"/>
  <c r="B296" i="10"/>
  <c r="C296" i="10"/>
  <c r="A297" i="10"/>
  <c r="B297" i="10"/>
  <c r="C297" i="10"/>
  <c r="A298" i="10"/>
  <c r="B298" i="10"/>
  <c r="C298" i="10"/>
  <c r="A299" i="10"/>
  <c r="B299" i="10"/>
  <c r="C299" i="10"/>
  <c r="A300" i="10"/>
  <c r="B300" i="10"/>
  <c r="C300" i="10"/>
  <c r="A301" i="10"/>
  <c r="B301" i="10"/>
  <c r="C301" i="10"/>
  <c r="A302" i="10"/>
  <c r="B302" i="10"/>
  <c r="C302" i="10"/>
  <c r="A303" i="10"/>
  <c r="B303" i="10"/>
  <c r="C303" i="10"/>
  <c r="A304" i="10"/>
  <c r="B304" i="10"/>
  <c r="C304" i="10"/>
  <c r="A305" i="10"/>
  <c r="B305" i="10"/>
  <c r="C305" i="10"/>
  <c r="O6" i="18" l="1"/>
  <c r="O11" i="18"/>
  <c r="O9" i="18"/>
  <c r="O8" i="18"/>
  <c r="O5" i="18"/>
  <c r="O2" i="18"/>
  <c r="O7" i="18"/>
  <c r="O4" i="18"/>
  <c r="O3" i="18"/>
  <c r="O12" i="18"/>
  <c r="Y31" i="19"/>
  <c r="N31" i="19"/>
  <c r="X31" i="19"/>
  <c r="U31" i="19"/>
  <c r="W31" i="19"/>
  <c r="O31" i="19"/>
  <c r="T31" i="19"/>
  <c r="Q31" i="19"/>
  <c r="S31" i="19"/>
  <c r="Z31" i="19"/>
  <c r="R31" i="19"/>
  <c r="P31" i="19"/>
  <c r="V31" i="19"/>
  <c r="M32" i="19"/>
  <c r="BM12" i="10"/>
  <c r="D157" i="10"/>
  <c r="D156" i="10"/>
  <c r="D146" i="10"/>
  <c r="D145" i="10"/>
  <c r="BM47" i="10"/>
  <c r="BM35" i="10"/>
  <c r="BM30" i="10"/>
  <c r="BM140" i="10"/>
  <c r="BM26" i="10"/>
  <c r="BN26" i="10" s="1"/>
  <c r="BM67" i="10"/>
  <c r="BM38" i="10"/>
  <c r="BN38" i="10" s="1"/>
  <c r="BM91" i="10"/>
  <c r="D150" i="10"/>
  <c r="D136" i="10"/>
  <c r="D132" i="10"/>
  <c r="D128" i="10"/>
  <c r="D124" i="10"/>
  <c r="D120" i="10"/>
  <c r="BM96" i="10"/>
  <c r="BN96" i="10" s="1"/>
  <c r="BM68" i="10"/>
  <c r="D302" i="10"/>
  <c r="D294" i="10"/>
  <c r="D286" i="10"/>
  <c r="D282" i="10"/>
  <c r="D274" i="10"/>
  <c r="D270" i="10"/>
  <c r="D266" i="10"/>
  <c r="D262" i="10"/>
  <c r="D258" i="10"/>
  <c r="D254" i="10"/>
  <c r="D250" i="10"/>
  <c r="D246" i="10"/>
  <c r="D242" i="10"/>
  <c r="D238" i="10"/>
  <c r="D234" i="10"/>
  <c r="D230" i="10"/>
  <c r="D226" i="10"/>
  <c r="D222" i="10"/>
  <c r="D218" i="10"/>
  <c r="D214" i="10"/>
  <c r="D210" i="10"/>
  <c r="D206" i="10"/>
  <c r="D202" i="10"/>
  <c r="D198" i="10"/>
  <c r="D194" i="10"/>
  <c r="D190" i="10"/>
  <c r="D186" i="10"/>
  <c r="D182" i="10"/>
  <c r="D178" i="10"/>
  <c r="D174" i="10"/>
  <c r="D170" i="10"/>
  <c r="D166" i="10"/>
  <c r="D162" i="10"/>
  <c r="D158" i="10"/>
  <c r="D151" i="10"/>
  <c r="D148" i="10"/>
  <c r="D144" i="10"/>
  <c r="D290" i="10"/>
  <c r="D278" i="10"/>
  <c r="D153" i="10"/>
  <c r="D147" i="10"/>
  <c r="D298" i="10"/>
  <c r="D139" i="10"/>
  <c r="D142" i="10"/>
  <c r="D138" i="10"/>
  <c r="D135" i="10"/>
  <c r="D131" i="10"/>
  <c r="D127" i="10"/>
  <c r="D123" i="10"/>
  <c r="BM72" i="10"/>
  <c r="BM10" i="10"/>
  <c r="BN10" i="10" s="1"/>
  <c r="D303" i="10"/>
  <c r="D299" i="10"/>
  <c r="D295" i="10"/>
  <c r="D291" i="10"/>
  <c r="D287" i="10"/>
  <c r="D283" i="10"/>
  <c r="D279" i="10"/>
  <c r="D275" i="10"/>
  <c r="D271" i="10"/>
  <c r="D267" i="10"/>
  <c r="D263" i="10"/>
  <c r="D259" i="10"/>
  <c r="D255" i="10"/>
  <c r="D251" i="10"/>
  <c r="D247" i="10"/>
  <c r="D243" i="10"/>
  <c r="D239" i="10"/>
  <c r="D235" i="10"/>
  <c r="D231" i="10"/>
  <c r="D227" i="10"/>
  <c r="D223" i="10"/>
  <c r="D219" i="10"/>
  <c r="D215" i="10"/>
  <c r="D211" i="10"/>
  <c r="D207" i="10"/>
  <c r="D203" i="10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49" i="10"/>
  <c r="BM92" i="10"/>
  <c r="BN92" i="10" s="1"/>
  <c r="D141" i="10"/>
  <c r="D140" i="10"/>
  <c r="BM141" i="10"/>
  <c r="BM110" i="10"/>
  <c r="BN110" i="10" s="1"/>
  <c r="BM115" i="10"/>
  <c r="BM62" i="10"/>
  <c r="D280" i="10"/>
  <c r="D276" i="10"/>
  <c r="D272" i="10"/>
  <c r="D252" i="10"/>
  <c r="D248" i="10"/>
  <c r="D244" i="10"/>
  <c r="D240" i="10"/>
  <c r="D236" i="10"/>
  <c r="D232" i="10"/>
  <c r="D228" i="10"/>
  <c r="D224" i="10"/>
  <c r="D220" i="10"/>
  <c r="D216" i="10"/>
  <c r="D212" i="10"/>
  <c r="D208" i="10"/>
  <c r="D204" i="10"/>
  <c r="D200" i="10"/>
  <c r="D196" i="10"/>
  <c r="D192" i="10"/>
  <c r="D188" i="10"/>
  <c r="D184" i="10"/>
  <c r="D180" i="10"/>
  <c r="D176" i="10"/>
  <c r="D172" i="10"/>
  <c r="D168" i="10"/>
  <c r="D164" i="10"/>
  <c r="D160" i="10"/>
  <c r="D154" i="10"/>
  <c r="D137" i="10"/>
  <c r="D133" i="10"/>
  <c r="D129" i="10"/>
  <c r="D125" i="10"/>
  <c r="D121" i="10"/>
  <c r="D304" i="10"/>
  <c r="D300" i="10"/>
  <c r="D296" i="10"/>
  <c r="D292" i="10"/>
  <c r="D288" i="10"/>
  <c r="D284" i="10"/>
  <c r="D268" i="10"/>
  <c r="D264" i="10"/>
  <c r="D260" i="10"/>
  <c r="D256" i="10"/>
  <c r="D305" i="10"/>
  <c r="D301" i="10"/>
  <c r="D297" i="10"/>
  <c r="D293" i="10"/>
  <c r="D289" i="10"/>
  <c r="D285" i="10"/>
  <c r="D281" i="10"/>
  <c r="D277" i="10"/>
  <c r="D273" i="10"/>
  <c r="D269" i="10"/>
  <c r="D265" i="10"/>
  <c r="D261" i="10"/>
  <c r="D257" i="10"/>
  <c r="D253" i="10"/>
  <c r="D249" i="10"/>
  <c r="D245" i="10"/>
  <c r="D241" i="10"/>
  <c r="D237" i="10"/>
  <c r="D233" i="10"/>
  <c r="D229" i="10"/>
  <c r="D225" i="10"/>
  <c r="D221" i="10"/>
  <c r="D217" i="10"/>
  <c r="D213" i="10"/>
  <c r="D209" i="10"/>
  <c r="D205" i="10"/>
  <c r="D201" i="10"/>
  <c r="D197" i="10"/>
  <c r="D193" i="10"/>
  <c r="D189" i="10"/>
  <c r="D185" i="10"/>
  <c r="D181" i="10"/>
  <c r="D177" i="10"/>
  <c r="D173" i="10"/>
  <c r="D169" i="10"/>
  <c r="D165" i="10"/>
  <c r="D161" i="10"/>
  <c r="D152" i="10"/>
  <c r="D143" i="10"/>
  <c r="D134" i="10"/>
  <c r="D130" i="10"/>
  <c r="D126" i="10"/>
  <c r="D122" i="10"/>
  <c r="BL70" i="10"/>
  <c r="BM70" i="10" s="1"/>
  <c r="BN70" i="10" s="1"/>
  <c r="BL31" i="10"/>
  <c r="BK137" i="10"/>
  <c r="BK112" i="10"/>
  <c r="BM112" i="10" s="1"/>
  <c r="BN112" i="10" s="1"/>
  <c r="BL65" i="10"/>
  <c r="BL136" i="10"/>
  <c r="BM136" i="10" s="1"/>
  <c r="BN136" i="10" s="1"/>
  <c r="BL84" i="10"/>
  <c r="BL76" i="10"/>
  <c r="BM76" i="10" s="1"/>
  <c r="BN76" i="10" s="1"/>
  <c r="BK89" i="10"/>
  <c r="BK64" i="10"/>
  <c r="BM64" i="10" s="1"/>
  <c r="BN64" i="10" s="1"/>
  <c r="BK42" i="10"/>
  <c r="BM42" i="10" s="1"/>
  <c r="BN42" i="10" s="1"/>
  <c r="BK32" i="10"/>
  <c r="BM32" i="10" s="1"/>
  <c r="BN32" i="10" s="1"/>
  <c r="BL79" i="10"/>
  <c r="BM79" i="10" s="1"/>
  <c r="BN79" i="10" s="1"/>
  <c r="BL34" i="10"/>
  <c r="BK31" i="10"/>
  <c r="BK40" i="10"/>
  <c r="BL40" i="10"/>
  <c r="BK16" i="10"/>
  <c r="BL101" i="10"/>
  <c r="BL99" i="10"/>
  <c r="BM99" i="10" s="1"/>
  <c r="BN99" i="10" s="1"/>
  <c r="BL33" i="10"/>
  <c r="BM33" i="10" s="1"/>
  <c r="BN33" i="10" s="1"/>
  <c r="N32" i="19" l="1"/>
  <c r="Y32" i="19"/>
  <c r="Z32" i="19"/>
  <c r="T32" i="19"/>
  <c r="R32" i="19"/>
  <c r="P32" i="19"/>
  <c r="W32" i="19"/>
  <c r="S32" i="19"/>
  <c r="O32" i="19"/>
  <c r="U32" i="19"/>
  <c r="Q32" i="19"/>
  <c r="X32" i="19"/>
  <c r="V32" i="19"/>
  <c r="M33" i="19"/>
  <c r="BM31" i="10"/>
  <c r="BN31" i="10" s="1"/>
  <c r="BM40" i="10"/>
  <c r="BN40" i="10" s="1"/>
  <c r="BK65" i="10"/>
  <c r="BM65" i="10" s="1"/>
  <c r="BN65" i="10" s="1"/>
  <c r="BL106" i="10"/>
  <c r="N33" i="19" l="1"/>
  <c r="Y33" i="19"/>
  <c r="T33" i="19"/>
  <c r="V33" i="19"/>
  <c r="U33" i="19"/>
  <c r="S33" i="19"/>
  <c r="Q33" i="19"/>
  <c r="Z33" i="19"/>
  <c r="R33" i="19"/>
  <c r="P33" i="19"/>
  <c r="W33" i="19"/>
  <c r="O33" i="19"/>
  <c r="X33" i="19"/>
  <c r="M34" i="19"/>
  <c r="BG150" i="14"/>
  <c r="BI150" i="14" s="1"/>
  <c r="BJ150" i="14"/>
  <c r="BK52" i="10"/>
  <c r="BM52" i="10" s="1"/>
  <c r="BN52" i="10"/>
  <c r="BK28" i="10"/>
  <c r="N34" i="19" l="1"/>
  <c r="Y34" i="19"/>
  <c r="W34" i="19"/>
  <c r="S34" i="19"/>
  <c r="R34" i="19"/>
  <c r="Q34" i="19"/>
  <c r="O34" i="19"/>
  <c r="X34" i="19"/>
  <c r="Z34" i="19"/>
  <c r="V34" i="19"/>
  <c r="U34" i="19"/>
  <c r="T34" i="19"/>
  <c r="P34" i="19"/>
  <c r="M35" i="19"/>
  <c r="Y35" i="19" l="1"/>
  <c r="N35" i="19"/>
  <c r="S35" i="19"/>
  <c r="O35" i="19"/>
  <c r="Q35" i="19"/>
  <c r="X35" i="19"/>
  <c r="R35" i="19"/>
  <c r="U35" i="19"/>
  <c r="W35" i="19"/>
  <c r="T35" i="19"/>
  <c r="P35" i="19"/>
  <c r="Z35" i="19"/>
  <c r="V35" i="19"/>
  <c r="M36" i="19"/>
  <c r="Y36" i="19" l="1"/>
  <c r="N36" i="19"/>
  <c r="Q36" i="19"/>
  <c r="O36" i="19"/>
  <c r="Z36" i="19"/>
  <c r="R36" i="19"/>
  <c r="P36" i="19"/>
  <c r="U36" i="19"/>
  <c r="X36" i="19"/>
  <c r="T36" i="19"/>
  <c r="S36" i="19"/>
  <c r="W36" i="19"/>
  <c r="V36" i="19"/>
  <c r="M37" i="19"/>
  <c r="N37" i="19" l="1"/>
  <c r="Y37" i="19"/>
  <c r="U37" i="19"/>
  <c r="W37" i="19"/>
  <c r="O37" i="19"/>
  <c r="X37" i="19"/>
  <c r="R37" i="19"/>
  <c r="T37" i="19"/>
  <c r="S37" i="19"/>
  <c r="P37" i="19"/>
  <c r="Q37" i="19"/>
  <c r="Z37" i="19"/>
  <c r="V37" i="19"/>
  <c r="M38" i="19"/>
  <c r="Y38" i="19" l="1"/>
  <c r="N38" i="19"/>
  <c r="Q38" i="19"/>
  <c r="T38" i="19"/>
  <c r="O38" i="19"/>
  <c r="U38" i="19"/>
  <c r="W38" i="19"/>
  <c r="S38" i="19"/>
  <c r="R38" i="19"/>
  <c r="P38" i="19"/>
  <c r="V38" i="19"/>
  <c r="X38" i="19"/>
  <c r="Z38" i="19"/>
  <c r="M39" i="19"/>
  <c r="N39" i="19" l="1"/>
  <c r="Y39" i="19"/>
  <c r="U39" i="19"/>
  <c r="Q39" i="19"/>
  <c r="V39" i="19"/>
  <c r="S39" i="19"/>
  <c r="Z39" i="19"/>
  <c r="X39" i="19"/>
  <c r="P39" i="19"/>
  <c r="W39" i="19"/>
  <c r="O39" i="19"/>
  <c r="T39" i="19"/>
  <c r="R39" i="19"/>
  <c r="BK4" i="17"/>
  <c r="BM4" i="17" s="1"/>
  <c r="BN4" i="17"/>
  <c r="BL8" i="17"/>
  <c r="BM8" i="17" s="1"/>
  <c r="BN8" i="17"/>
  <c r="BK10" i="17"/>
  <c r="BM10" i="17" s="1"/>
  <c r="BN10" i="17"/>
  <c r="BK17" i="17"/>
  <c r="BM17" i="17" s="1"/>
  <c r="BN17" i="17"/>
  <c r="BL19" i="17"/>
  <c r="BM19" i="17" s="1"/>
  <c r="BN19" i="17"/>
  <c r="BK22" i="17"/>
  <c r="BM22" i="17" s="1"/>
  <c r="BN22" i="17"/>
  <c r="BL24" i="17"/>
  <c r="BM24" i="17" s="1"/>
  <c r="BN24" i="17"/>
  <c r="BK29" i="17"/>
  <c r="BL32" i="17"/>
  <c r="A36" i="17"/>
  <c r="B36" i="17"/>
  <c r="C36" i="17"/>
  <c r="A37" i="17"/>
  <c r="B37" i="17"/>
  <c r="C37" i="17"/>
  <c r="A38" i="17"/>
  <c r="B38" i="17"/>
  <c r="C38" i="17"/>
  <c r="BK38" i="17"/>
  <c r="BM38" i="17" s="1"/>
  <c r="BN38" i="17"/>
  <c r="A39" i="17"/>
  <c r="B39" i="17"/>
  <c r="C39" i="17"/>
  <c r="A40" i="17"/>
  <c r="B40" i="17"/>
  <c r="C40" i="17"/>
  <c r="A41" i="17"/>
  <c r="B41" i="17"/>
  <c r="C41" i="17"/>
  <c r="BK41" i="17"/>
  <c r="A42" i="17"/>
  <c r="B42" i="17"/>
  <c r="C42" i="17"/>
  <c r="A43" i="17"/>
  <c r="B43" i="17"/>
  <c r="C43" i="17"/>
  <c r="BK43" i="17"/>
  <c r="BL43" i="17"/>
  <c r="BN43" i="17"/>
  <c r="A44" i="17"/>
  <c r="B44" i="17"/>
  <c r="C44" i="17"/>
  <c r="BK44" i="17"/>
  <c r="BL44" i="17"/>
  <c r="BN44" i="17"/>
  <c r="A45" i="17"/>
  <c r="B45" i="17"/>
  <c r="C45" i="17"/>
  <c r="BK45" i="17"/>
  <c r="BM45" i="17" s="1"/>
  <c r="BN45" i="17"/>
  <c r="A46" i="17"/>
  <c r="B46" i="17"/>
  <c r="C46" i="17"/>
  <c r="BL46" i="17"/>
  <c r="A47" i="17"/>
  <c r="B47" i="17"/>
  <c r="C47" i="17"/>
  <c r="A48" i="17"/>
  <c r="B48" i="17"/>
  <c r="C48" i="17"/>
  <c r="A49" i="17"/>
  <c r="B49" i="17"/>
  <c r="C49" i="17"/>
  <c r="A50" i="17"/>
  <c r="B50" i="17"/>
  <c r="C50" i="17"/>
  <c r="A51" i="17"/>
  <c r="B51" i="17"/>
  <c r="C51" i="17"/>
  <c r="A52" i="17"/>
  <c r="B52" i="17"/>
  <c r="C52" i="17"/>
  <c r="A53" i="17"/>
  <c r="B53" i="17"/>
  <c r="C53" i="17"/>
  <c r="BK53" i="17"/>
  <c r="A54" i="17"/>
  <c r="B54" i="17"/>
  <c r="C54" i="17"/>
  <c r="A55" i="17"/>
  <c r="B55" i="17"/>
  <c r="C55" i="17"/>
  <c r="BK55" i="17"/>
  <c r="BM55" i="17" s="1"/>
  <c r="BN55" i="17"/>
  <c r="A56" i="17"/>
  <c r="B56" i="17"/>
  <c r="C56" i="17"/>
  <c r="BL56" i="17"/>
  <c r="A57" i="17"/>
  <c r="B57" i="17"/>
  <c r="C57" i="17"/>
  <c r="BL57" i="17"/>
  <c r="BM57" i="17" s="1"/>
  <c r="BN57" i="17"/>
  <c r="A58" i="17"/>
  <c r="B58" i="17"/>
  <c r="C58" i="17"/>
  <c r="BK58" i="17"/>
  <c r="A59" i="17"/>
  <c r="B59" i="17"/>
  <c r="C59" i="17"/>
  <c r="A60" i="17"/>
  <c r="B60" i="17"/>
  <c r="C60" i="17"/>
  <c r="A61" i="17"/>
  <c r="B61" i="17"/>
  <c r="C61" i="17"/>
  <c r="A62" i="17"/>
  <c r="B62" i="17"/>
  <c r="C62" i="17"/>
  <c r="A63" i="17"/>
  <c r="B63" i="17"/>
  <c r="C63" i="17"/>
  <c r="A64" i="17"/>
  <c r="B64" i="17"/>
  <c r="C64" i="17"/>
  <c r="A65" i="17"/>
  <c r="B65" i="17"/>
  <c r="C65" i="17"/>
  <c r="A66" i="17"/>
  <c r="B66" i="17"/>
  <c r="C66" i="17"/>
  <c r="A67" i="17"/>
  <c r="B67" i="17"/>
  <c r="C67" i="17"/>
  <c r="A68" i="17"/>
  <c r="B68" i="17"/>
  <c r="C68" i="17"/>
  <c r="A69" i="17"/>
  <c r="B69" i="17"/>
  <c r="C69" i="17"/>
  <c r="A70" i="17"/>
  <c r="B70" i="17"/>
  <c r="C70" i="17"/>
  <c r="A71" i="17"/>
  <c r="B71" i="17"/>
  <c r="C71" i="17"/>
  <c r="A72" i="17"/>
  <c r="B72" i="17"/>
  <c r="C72" i="17"/>
  <c r="A73" i="17"/>
  <c r="B73" i="17"/>
  <c r="C73" i="17"/>
  <c r="A74" i="17"/>
  <c r="B74" i="17"/>
  <c r="C74" i="17"/>
  <c r="A75" i="17"/>
  <c r="B75" i="17"/>
  <c r="C75" i="17"/>
  <c r="A76" i="17"/>
  <c r="B76" i="17"/>
  <c r="C76" i="17"/>
  <c r="A77" i="17"/>
  <c r="B77" i="17"/>
  <c r="C77" i="17"/>
  <c r="BK77" i="17"/>
  <c r="A78" i="17"/>
  <c r="B78" i="17"/>
  <c r="C78" i="17"/>
  <c r="BL78" i="17"/>
  <c r="A79" i="17"/>
  <c r="B79" i="17"/>
  <c r="C79" i="17"/>
  <c r="A80" i="17"/>
  <c r="B80" i="17"/>
  <c r="C80" i="17"/>
  <c r="BL80" i="17"/>
  <c r="BM80" i="17" s="1"/>
  <c r="BN80" i="17"/>
  <c r="A81" i="17"/>
  <c r="B81" i="17"/>
  <c r="C81" i="17"/>
  <c r="A82" i="17"/>
  <c r="B82" i="17"/>
  <c r="C82" i="17"/>
  <c r="A83" i="17"/>
  <c r="B83" i="17"/>
  <c r="C83" i="17"/>
  <c r="A84" i="17"/>
  <c r="B84" i="17"/>
  <c r="C84" i="17"/>
  <c r="A85" i="17"/>
  <c r="B85" i="17"/>
  <c r="C85" i="17"/>
  <c r="A86" i="17"/>
  <c r="B86" i="17"/>
  <c r="C86" i="17"/>
  <c r="BL86" i="17"/>
  <c r="BM86" i="17" s="1"/>
  <c r="BN86" i="17"/>
  <c r="A87" i="17"/>
  <c r="B87" i="17"/>
  <c r="C87" i="17"/>
  <c r="A88" i="17"/>
  <c r="B88" i="17"/>
  <c r="C88" i="17"/>
  <c r="BK88" i="17"/>
  <c r="BM88" i="17" s="1"/>
  <c r="BN88" i="17"/>
  <c r="A89" i="17"/>
  <c r="B89" i="17"/>
  <c r="C89" i="17"/>
  <c r="BL89" i="17"/>
  <c r="A90" i="17"/>
  <c r="B90" i="17"/>
  <c r="C90" i="17"/>
  <c r="A91" i="17"/>
  <c r="B91" i="17"/>
  <c r="C91" i="17"/>
  <c r="A92" i="17"/>
  <c r="B92" i="17"/>
  <c r="C92" i="17"/>
  <c r="BK92" i="17"/>
  <c r="BL92" i="17"/>
  <c r="BN92" i="17"/>
  <c r="A93" i="17"/>
  <c r="B93" i="17"/>
  <c r="C93" i="17"/>
  <c r="BL93" i="17"/>
  <c r="BM93" i="17" s="1"/>
  <c r="BN93" i="17"/>
  <c r="A94" i="17"/>
  <c r="B94" i="17"/>
  <c r="C94" i="17"/>
  <c r="BL94" i="17"/>
  <c r="A95" i="17"/>
  <c r="B95" i="17"/>
  <c r="C95" i="17"/>
  <c r="A96" i="17"/>
  <c r="B96" i="17"/>
  <c r="C96" i="17"/>
  <c r="BL96" i="17"/>
  <c r="A97" i="17"/>
  <c r="B97" i="17"/>
  <c r="C97" i="17"/>
  <c r="A98" i="17"/>
  <c r="B98" i="17"/>
  <c r="C98" i="17"/>
  <c r="A99" i="17"/>
  <c r="B99" i="17"/>
  <c r="C99" i="17"/>
  <c r="A100" i="17"/>
  <c r="B100" i="17"/>
  <c r="C100" i="17"/>
  <c r="A101" i="17"/>
  <c r="B101" i="17"/>
  <c r="C101" i="17"/>
  <c r="BK101" i="17"/>
  <c r="BM101" i="17" s="1"/>
  <c r="BN101" i="17"/>
  <c r="A102" i="17"/>
  <c r="B102" i="17"/>
  <c r="C102" i="17"/>
  <c r="BK102" i="17"/>
  <c r="BM102" i="17" s="1"/>
  <c r="BN102" i="17"/>
  <c r="A103" i="17"/>
  <c r="B103" i="17"/>
  <c r="C103" i="17"/>
  <c r="A104" i="17"/>
  <c r="B104" i="17"/>
  <c r="C104" i="17"/>
  <c r="A105" i="17"/>
  <c r="B105" i="17"/>
  <c r="C105" i="17"/>
  <c r="A106" i="17"/>
  <c r="B106" i="17"/>
  <c r="C106" i="17"/>
  <c r="BL106" i="17"/>
  <c r="A107" i="17"/>
  <c r="B107" i="17"/>
  <c r="C107" i="17"/>
  <c r="A108" i="17"/>
  <c r="B108" i="17"/>
  <c r="C108" i="17"/>
  <c r="A109" i="17"/>
  <c r="B109" i="17"/>
  <c r="C109" i="17"/>
  <c r="A110" i="17"/>
  <c r="B110" i="17"/>
  <c r="C110" i="17"/>
  <c r="BK110" i="17"/>
  <c r="BM110" i="17" s="1"/>
  <c r="BN110" i="17"/>
  <c r="A111" i="17"/>
  <c r="B111" i="17"/>
  <c r="C111" i="17"/>
  <c r="A112" i="17"/>
  <c r="B112" i="17"/>
  <c r="C112" i="17"/>
  <c r="A113" i="17"/>
  <c r="B113" i="17"/>
  <c r="C113" i="17"/>
  <c r="BL113" i="17"/>
  <c r="A114" i="17"/>
  <c r="B114" i="17"/>
  <c r="C114" i="17"/>
  <c r="BK114" i="17"/>
  <c r="BL114" i="17"/>
  <c r="BN114" i="17"/>
  <c r="A115" i="17"/>
  <c r="B115" i="17"/>
  <c r="C115" i="17"/>
  <c r="A116" i="17"/>
  <c r="B116" i="17"/>
  <c r="C116" i="17"/>
  <c r="BK116" i="17"/>
  <c r="BL116" i="17"/>
  <c r="BN116" i="17"/>
  <c r="A117" i="17"/>
  <c r="B117" i="17"/>
  <c r="C117" i="17"/>
  <c r="BK117" i="17"/>
  <c r="BL117" i="17"/>
  <c r="BN117" i="17"/>
  <c r="A118" i="17"/>
  <c r="B118" i="17"/>
  <c r="C118" i="17"/>
  <c r="A119" i="17"/>
  <c r="B119" i="17"/>
  <c r="C119" i="17"/>
  <c r="BK120" i="17"/>
  <c r="BK138" i="17"/>
  <c r="BL138" i="17"/>
  <c r="BN138" i="17"/>
  <c r="BM43" i="17" l="1"/>
  <c r="BM92" i="17"/>
  <c r="BM117" i="17"/>
  <c r="D40" i="17"/>
  <c r="BM138" i="17"/>
  <c r="BM116" i="17"/>
  <c r="BM114" i="17"/>
  <c r="BM44" i="17"/>
  <c r="D57" i="17"/>
  <c r="D55" i="17"/>
  <c r="D108" i="17"/>
  <c r="D112" i="17"/>
  <c r="D105" i="17"/>
  <c r="D103" i="17"/>
  <c r="D96" i="17"/>
  <c r="D95" i="17"/>
  <c r="D54" i="17"/>
  <c r="D72" i="17"/>
  <c r="D50" i="17"/>
  <c r="D47" i="17"/>
  <c r="D41" i="17"/>
  <c r="D78" i="17"/>
  <c r="D68" i="17"/>
  <c r="D56" i="17"/>
  <c r="D87" i="17"/>
  <c r="D117" i="17"/>
  <c r="D111" i="17"/>
  <c r="D101" i="17"/>
  <c r="D109" i="17"/>
  <c r="D106" i="17"/>
  <c r="D97" i="17"/>
  <c r="D49" i="17"/>
  <c r="D45" i="17"/>
  <c r="D114" i="17"/>
  <c r="D102" i="17"/>
  <c r="D88" i="17"/>
  <c r="D84" i="17"/>
  <c r="D81" i="17"/>
  <c r="D46" i="17"/>
  <c r="D42" i="17"/>
  <c r="D36" i="17"/>
  <c r="D115" i="17"/>
  <c r="D118" i="17"/>
  <c r="D116" i="17"/>
  <c r="D113" i="17"/>
  <c r="D110" i="17"/>
  <c r="D89" i="17"/>
  <c r="D83" i="17"/>
  <c r="D76" i="17"/>
  <c r="D73" i="17"/>
  <c r="D69" i="17"/>
  <c r="D65" i="17"/>
  <c r="D61" i="17"/>
  <c r="D58" i="17"/>
  <c r="D38" i="17"/>
  <c r="D79" i="17"/>
  <c r="D77" i="17"/>
  <c r="D74" i="17"/>
  <c r="D70" i="17"/>
  <c r="D66" i="17"/>
  <c r="D62" i="17"/>
  <c r="D119" i="17"/>
  <c r="D94" i="17"/>
  <c r="D91" i="17"/>
  <c r="D85" i="17"/>
  <c r="D43" i="17"/>
  <c r="D39" i="17"/>
  <c r="D107" i="17"/>
  <c r="D104" i="17"/>
  <c r="D98" i="17"/>
  <c r="D92" i="17"/>
  <c r="D82" i="17"/>
  <c r="D80" i="17"/>
  <c r="D75" i="17"/>
  <c r="D71" i="17"/>
  <c r="D67" i="17"/>
  <c r="D63" i="17"/>
  <c r="D59" i="17"/>
  <c r="D51" i="17"/>
  <c r="D48" i="17"/>
  <c r="D44" i="17"/>
  <c r="D37" i="17"/>
  <c r="D99" i="17"/>
  <c r="D93" i="17"/>
  <c r="D86" i="17"/>
  <c r="D64" i="17"/>
  <c r="D60" i="17"/>
  <c r="D52" i="17"/>
  <c r="D100" i="17"/>
  <c r="D90" i="17"/>
  <c r="D53" i="17"/>
  <c r="BL112" i="17"/>
  <c r="BL34" i="17"/>
  <c r="BL155" i="17"/>
  <c r="BM155" i="17"/>
  <c r="BN155" i="17"/>
  <c r="BG125" i="14"/>
  <c r="D53" i="14"/>
  <c r="B53" i="14"/>
  <c r="C84" i="14"/>
  <c r="C124" i="14"/>
  <c r="A111" i="14"/>
  <c r="C121" i="14"/>
  <c r="A8" i="14"/>
  <c r="C120" i="14"/>
  <c r="BJ119" i="14"/>
  <c r="BI119" i="14"/>
  <c r="BH119" i="14"/>
  <c r="C276" i="14"/>
  <c r="C12" i="17"/>
  <c r="A281" i="14"/>
  <c r="A188" i="14"/>
  <c r="A158" i="14"/>
  <c r="C21" i="14"/>
  <c r="BG63" i="14"/>
  <c r="D46" i="14"/>
  <c r="B46" i="14"/>
  <c r="A33" i="14"/>
  <c r="BJ21" i="14"/>
  <c r="BI21" i="14"/>
  <c r="BH21" i="14"/>
  <c r="C8" i="14"/>
  <c r="C43" i="14"/>
  <c r="BG26" i="14"/>
  <c r="D87" i="14"/>
  <c r="B87" i="14"/>
  <c r="C67" i="14"/>
  <c r="A94" i="14"/>
  <c r="BJ28" i="14"/>
  <c r="BI28" i="14"/>
  <c r="BH28" i="14"/>
  <c r="D14" i="14"/>
  <c r="B14" i="14"/>
  <c r="A273" i="14"/>
  <c r="A285" i="14"/>
  <c r="BG19" i="14"/>
  <c r="D24" i="14"/>
  <c r="B24" i="14"/>
  <c r="C280" i="14"/>
  <c r="C105" i="14"/>
  <c r="A76" i="10"/>
  <c r="D31" i="14"/>
  <c r="B31" i="14"/>
  <c r="A140" i="14"/>
  <c r="C90" i="14"/>
  <c r="BJ95" i="14"/>
  <c r="BI95" i="14"/>
  <c r="BH95" i="14"/>
  <c r="D70" i="14"/>
  <c r="B70" i="14"/>
  <c r="B152" i="14"/>
  <c r="D152" i="14"/>
  <c r="BH7" i="14"/>
  <c r="BI7" i="14"/>
  <c r="BJ7" i="14"/>
  <c r="BG99" i="14"/>
  <c r="D74" i="14"/>
  <c r="B74" i="14"/>
  <c r="A171" i="14"/>
  <c r="BJ51" i="14"/>
  <c r="BI51" i="14"/>
  <c r="BH51" i="14"/>
  <c r="D137" i="14"/>
  <c r="B137" i="14"/>
  <c r="A60" i="14"/>
  <c r="D35" i="14"/>
  <c r="B35" i="14"/>
  <c r="C32" i="14"/>
  <c r="A129" i="14"/>
  <c r="A163" i="14"/>
  <c r="D143" i="14"/>
  <c r="B143" i="14"/>
  <c r="B132" i="14"/>
  <c r="D132" i="14"/>
  <c r="C86" i="14"/>
  <c r="C23" i="14"/>
  <c r="A230" i="14"/>
  <c r="BJ17" i="14"/>
  <c r="BI17" i="14"/>
  <c r="BH17" i="14"/>
  <c r="B115" i="14"/>
  <c r="D115" i="14"/>
  <c r="A126" i="14"/>
  <c r="C40" i="14"/>
  <c r="C33" i="14"/>
  <c r="BJ39" i="14"/>
  <c r="B259" i="14"/>
  <c r="D259" i="14"/>
  <c r="BH39" i="14"/>
  <c r="BI39" i="14"/>
  <c r="C212" i="14"/>
  <c r="BG50" i="14"/>
  <c r="D154" i="14"/>
  <c r="B154" i="14"/>
  <c r="A117" i="14"/>
  <c r="A3" i="14"/>
  <c r="C26" i="14"/>
  <c r="BJ6" i="14"/>
  <c r="BI6" i="14"/>
  <c r="BG6" i="14"/>
  <c r="D150" i="14"/>
  <c r="B150" i="14"/>
  <c r="C74" i="14"/>
  <c r="A240" i="14"/>
  <c r="C218" i="14"/>
  <c r="C13" i="14"/>
  <c r="C93" i="14"/>
  <c r="B93" i="14"/>
  <c r="D93" i="14"/>
  <c r="C59" i="14"/>
  <c r="A13" i="14"/>
  <c r="C179" i="14"/>
  <c r="A7" i="14"/>
  <c r="C7" i="14"/>
  <c r="C107" i="14"/>
  <c r="A84" i="14"/>
  <c r="D119" i="14"/>
  <c r="B119" i="14"/>
  <c r="B44" i="14"/>
  <c r="D44" i="14"/>
  <c r="C177" i="14"/>
  <c r="A290" i="14"/>
  <c r="B39" i="14"/>
  <c r="D39" i="14"/>
  <c r="BG57" i="14"/>
  <c r="C92" i="14"/>
  <c r="A39" i="14"/>
  <c r="C87" i="14"/>
  <c r="BJ34" i="14"/>
  <c r="BI34" i="14"/>
  <c r="BH34" i="14"/>
  <c r="D43" i="14"/>
  <c r="B43" i="14"/>
  <c r="C205" i="14"/>
  <c r="BH33" i="14"/>
  <c r="BI33" i="14"/>
  <c r="BJ33" i="14"/>
  <c r="C76" i="14"/>
  <c r="BG95" i="14"/>
  <c r="D157" i="14"/>
  <c r="B157" i="14"/>
  <c r="C180" i="14"/>
  <c r="C166" i="14"/>
  <c r="A178" i="14"/>
  <c r="BN106" i="10"/>
  <c r="BM106" i="10"/>
  <c r="BK106" i="10"/>
  <c r="D78" i="10"/>
  <c r="B78" i="10"/>
  <c r="BG20" i="14"/>
  <c r="D203" i="14"/>
  <c r="B203" i="14"/>
  <c r="A89" i="10"/>
  <c r="C241" i="14"/>
  <c r="C186" i="14"/>
  <c r="C69" i="14"/>
  <c r="BJ59" i="14"/>
  <c r="BI59" i="14"/>
  <c r="BH59" i="14"/>
  <c r="D63" i="14"/>
  <c r="B63" i="14"/>
  <c r="A85" i="14"/>
  <c r="B117" i="14"/>
  <c r="D117" i="14"/>
  <c r="BG53" i="14"/>
  <c r="B12" i="14"/>
  <c r="D12" i="14"/>
  <c r="BG3" i="14"/>
  <c r="BI3" i="14"/>
  <c r="BJ3" i="14"/>
  <c r="C28" i="14"/>
  <c r="A187" i="14"/>
  <c r="A124" i="14"/>
  <c r="C66" i="14"/>
  <c r="C173" i="14"/>
  <c r="BJ47" i="14"/>
  <c r="BI47" i="14"/>
  <c r="BH47" i="14"/>
  <c r="B45" i="14"/>
  <c r="D45" i="14"/>
  <c r="BG51" i="14"/>
  <c r="A9" i="14"/>
  <c r="A175" i="14"/>
  <c r="A12" i="14"/>
  <c r="A59" i="14"/>
  <c r="C248" i="14"/>
  <c r="A134" i="14"/>
  <c r="A55" i="14"/>
  <c r="C225" i="14"/>
  <c r="B202" i="14"/>
  <c r="D202" i="14"/>
  <c r="BJ35" i="14"/>
  <c r="BI35" i="14"/>
  <c r="BH35" i="14"/>
  <c r="A137" i="14"/>
  <c r="A35" i="14"/>
  <c r="A80" i="14"/>
  <c r="A241" i="14"/>
  <c r="A101" i="14"/>
  <c r="A125" i="14"/>
  <c r="C165" i="14"/>
  <c r="C172" i="14"/>
  <c r="BJ80" i="14"/>
  <c r="B86" i="14"/>
  <c r="D86" i="14"/>
  <c r="BH80" i="14"/>
  <c r="BI80" i="14"/>
  <c r="A274" i="14"/>
  <c r="C99" i="14"/>
  <c r="C60" i="14"/>
  <c r="A185" i="14"/>
  <c r="B171" i="14"/>
  <c r="D171" i="14"/>
  <c r="A75" i="14"/>
  <c r="BG45" i="14"/>
  <c r="BJ4" i="14"/>
  <c r="BI4" i="14"/>
  <c r="BH4" i="14"/>
  <c r="D168" i="14"/>
  <c r="B168" i="14"/>
  <c r="A25" i="14"/>
  <c r="C187" i="14"/>
  <c r="C94" i="10"/>
  <c r="C175" i="14"/>
  <c r="BJ32" i="14"/>
  <c r="B237" i="14"/>
  <c r="D237" i="14"/>
  <c r="BH32" i="14"/>
  <c r="BI32" i="14"/>
  <c r="C88" i="14"/>
  <c r="A118" i="14"/>
  <c r="BG8" i="14"/>
  <c r="D261" i="14"/>
  <c r="B261" i="14"/>
  <c r="B27" i="14"/>
  <c r="D27" i="14"/>
  <c r="C16" i="14"/>
  <c r="B222" i="14"/>
  <c r="D222" i="14"/>
  <c r="BH127" i="14"/>
  <c r="BI127" i="14"/>
  <c r="BJ127" i="14"/>
  <c r="D102" i="14"/>
  <c r="B102" i="14"/>
  <c r="B183" i="14"/>
  <c r="D183" i="14"/>
  <c r="A96" i="14"/>
  <c r="B75" i="14"/>
  <c r="D75" i="14"/>
  <c r="BG39" i="14"/>
  <c r="D251" i="14"/>
  <c r="B251" i="14"/>
  <c r="A20" i="14"/>
  <c r="B127" i="14"/>
  <c r="D127" i="14"/>
  <c r="A105" i="14"/>
  <c r="BJ57" i="14"/>
  <c r="BI57" i="14"/>
  <c r="BH57" i="14"/>
  <c r="D199" i="14"/>
  <c r="B199" i="14"/>
  <c r="C263" i="14"/>
  <c r="BG17" i="14"/>
  <c r="B47" i="14"/>
  <c r="D47" i="14"/>
  <c r="A116" i="14"/>
  <c r="BG42" i="14"/>
  <c r="D273" i="14"/>
  <c r="B273" i="14"/>
  <c r="C125" i="14"/>
  <c r="C95" i="14"/>
  <c r="C36" i="14"/>
  <c r="A28" i="14"/>
  <c r="B108" i="14"/>
  <c r="D108" i="14"/>
  <c r="C2" i="14"/>
  <c r="B16" i="14"/>
  <c r="D16" i="14"/>
  <c r="BG64" i="14"/>
  <c r="BJ30" i="14"/>
  <c r="BI30" i="14"/>
  <c r="BH30" i="14"/>
  <c r="A34" i="14"/>
  <c r="BN118" i="10"/>
  <c r="BM118" i="10"/>
  <c r="BK118" i="10"/>
  <c r="D108" i="10"/>
  <c r="B108" i="10"/>
  <c r="C47" i="14"/>
  <c r="A31" i="14"/>
  <c r="A93" i="10"/>
  <c r="BG16" i="14"/>
  <c r="D96" i="14"/>
  <c r="B96" i="14"/>
  <c r="A5" i="14"/>
  <c r="B59" i="14"/>
  <c r="D59" i="14"/>
  <c r="C20" i="14"/>
  <c r="D214" i="14"/>
  <c r="B214" i="14"/>
  <c r="A166" i="14"/>
  <c r="A29" i="14"/>
  <c r="BN104" i="10"/>
  <c r="BM104" i="10"/>
  <c r="BL104" i="10"/>
  <c r="D115" i="10"/>
  <c r="B115" i="10"/>
  <c r="C35" i="14"/>
  <c r="A58" i="14"/>
  <c r="C161" i="14"/>
  <c r="BJ5" i="14"/>
  <c r="B82" i="14"/>
  <c r="D82" i="14"/>
  <c r="BG5" i="14"/>
  <c r="BI5" i="14"/>
  <c r="B139" i="14"/>
  <c r="D139" i="14"/>
  <c r="B298" i="14"/>
  <c r="D298" i="14"/>
  <c r="C216" i="14"/>
  <c r="D69" i="14"/>
  <c r="B69" i="14"/>
  <c r="BN44" i="10"/>
  <c r="B89" i="10"/>
  <c r="D89" i="10"/>
  <c r="BL44" i="10"/>
  <c r="BM44" i="10"/>
  <c r="D88" i="10"/>
  <c r="B88" i="10"/>
  <c r="C237" i="14"/>
  <c r="A10" i="14"/>
  <c r="B97" i="14"/>
  <c r="D97" i="14"/>
  <c r="BH135" i="14"/>
  <c r="BI135" i="14"/>
  <c r="BJ135" i="14"/>
  <c r="B80" i="14"/>
  <c r="D80" i="14"/>
  <c r="BH52" i="14"/>
  <c r="BI52" i="14"/>
  <c r="BJ52" i="14"/>
  <c r="B9" i="14"/>
  <c r="D9" i="14"/>
  <c r="BG44" i="14"/>
  <c r="A37" i="14"/>
  <c r="C97" i="14"/>
  <c r="C178" i="14"/>
  <c r="B28" i="14"/>
  <c r="D28" i="14"/>
  <c r="BG28" i="14"/>
  <c r="A63" i="14"/>
  <c r="BG58" i="14"/>
  <c r="D98" i="14"/>
  <c r="B98" i="14"/>
  <c r="BJ50" i="14"/>
  <c r="BI50" i="14"/>
  <c r="BH50" i="14"/>
  <c r="D66" i="14"/>
  <c r="B66" i="14"/>
  <c r="C39" i="14"/>
  <c r="A87" i="14"/>
  <c r="A112" i="14"/>
  <c r="B162" i="14"/>
  <c r="D162" i="14"/>
  <c r="BG109" i="14"/>
  <c r="BG35" i="14"/>
  <c r="D111" i="14"/>
  <c r="B111" i="14"/>
  <c r="A265" i="14"/>
  <c r="D205" i="14"/>
  <c r="B205" i="14"/>
  <c r="A61" i="14"/>
  <c r="A201" i="14"/>
  <c r="B114" i="14"/>
  <c r="D114" i="14"/>
  <c r="B123" i="14"/>
  <c r="D123" i="14"/>
  <c r="B112" i="14"/>
  <c r="D112" i="14"/>
  <c r="D124" i="14"/>
  <c r="B124" i="14"/>
  <c r="D110" i="14"/>
  <c r="B110" i="14"/>
  <c r="C58" i="14"/>
  <c r="C83" i="14"/>
  <c r="D126" i="14"/>
  <c r="B126" i="14"/>
  <c r="C100" i="14"/>
  <c r="B136" i="14"/>
  <c r="D136" i="14"/>
  <c r="BH40" i="14"/>
  <c r="BI40" i="14"/>
  <c r="BJ40" i="14"/>
  <c r="A15" i="14"/>
  <c r="A50" i="14"/>
  <c r="C140" i="14"/>
  <c r="B113" i="14"/>
  <c r="D113" i="14"/>
  <c r="BG54" i="14"/>
  <c r="D207" i="14"/>
  <c r="B207" i="14"/>
  <c r="A223" i="14"/>
  <c r="A38" i="14"/>
  <c r="D212" i="14"/>
  <c r="B212" i="14"/>
  <c r="C22" i="14"/>
  <c r="D106" i="14"/>
  <c r="B106" i="14"/>
  <c r="D30" i="14"/>
  <c r="B30" i="14"/>
  <c r="D49" i="14"/>
  <c r="B49" i="14"/>
  <c r="D99" i="14"/>
  <c r="B99" i="14"/>
  <c r="BJ72" i="14"/>
  <c r="B234" i="14"/>
  <c r="D234" i="14"/>
  <c r="BG72" i="14"/>
  <c r="BI72" i="14"/>
  <c r="A82" i="14"/>
  <c r="B161" i="14"/>
  <c r="D161" i="14"/>
  <c r="BH117" i="14"/>
  <c r="BI117" i="14"/>
  <c r="BJ117" i="14"/>
  <c r="A17" i="14"/>
  <c r="C11" i="14"/>
  <c r="B187" i="14"/>
  <c r="D187" i="14"/>
  <c r="A24" i="14"/>
  <c r="BJ45" i="14"/>
  <c r="B4" i="14"/>
  <c r="D4" i="14"/>
  <c r="BH45" i="14"/>
  <c r="BI45" i="14"/>
  <c r="A159" i="14"/>
  <c r="C304" i="14"/>
  <c r="C8" i="17"/>
  <c r="C27" i="14"/>
  <c r="A23" i="14"/>
  <c r="C256" i="14"/>
  <c r="A143" i="14"/>
  <c r="D197" i="14"/>
  <c r="B197" i="14"/>
  <c r="A6" i="14"/>
  <c r="A128" i="14"/>
  <c r="D19" i="14"/>
  <c r="B19" i="14"/>
  <c r="B131" i="14"/>
  <c r="D131" i="14"/>
  <c r="C211" i="14"/>
  <c r="C5" i="14"/>
  <c r="C151" i="14"/>
  <c r="B80" i="10"/>
  <c r="D80" i="10"/>
  <c r="BL43" i="10"/>
  <c r="BM43" i="10"/>
  <c r="BN43" i="10"/>
  <c r="BH134" i="14"/>
  <c r="BI134" i="14"/>
  <c r="BJ134" i="14"/>
  <c r="A53" i="14"/>
  <c r="A300" i="14"/>
  <c r="B109" i="14"/>
  <c r="D109" i="14"/>
  <c r="BJ114" i="14"/>
  <c r="BI114" i="14"/>
  <c r="BH114" i="14"/>
  <c r="C117" i="14"/>
  <c r="B78" i="14"/>
  <c r="D78" i="14"/>
  <c r="A95" i="10"/>
  <c r="C68" i="14"/>
  <c r="A91" i="14"/>
  <c r="C15" i="14"/>
  <c r="A88" i="14"/>
  <c r="C214" i="14"/>
  <c r="A82" i="10"/>
  <c r="C14" i="14"/>
  <c r="A144" i="14"/>
  <c r="C126" i="14"/>
  <c r="A86" i="14"/>
  <c r="A43" i="14"/>
  <c r="BJ12" i="14"/>
  <c r="BI12" i="14"/>
  <c r="BH12" i="14"/>
  <c r="D92" i="14"/>
  <c r="B92" i="14"/>
  <c r="A186" i="14"/>
  <c r="C25" i="14"/>
  <c r="BJ129" i="14"/>
  <c r="BI129" i="14"/>
  <c r="BH129" i="14"/>
  <c r="A14" i="14"/>
  <c r="A102" i="14"/>
  <c r="C147" i="14"/>
  <c r="C176" i="14"/>
  <c r="C207" i="14"/>
  <c r="A53" i="10"/>
  <c r="C71" i="10"/>
  <c r="A54" i="14"/>
  <c r="BJ36" i="14"/>
  <c r="BI36" i="14"/>
  <c r="BH36" i="14"/>
  <c r="D104" i="14"/>
  <c r="B104" i="14"/>
  <c r="C56" i="14"/>
  <c r="C78" i="14"/>
  <c r="A127" i="14"/>
  <c r="A120" i="14"/>
  <c r="A16" i="14"/>
  <c r="BG15" i="14"/>
  <c r="C24" i="14"/>
  <c r="BJ10" i="14"/>
  <c r="BI10" i="14"/>
  <c r="BG10" i="14"/>
  <c r="D275" i="14"/>
  <c r="B275" i="14"/>
  <c r="B233" i="14"/>
  <c r="D233" i="14"/>
  <c r="C275" i="14"/>
  <c r="A71" i="14"/>
  <c r="BG22" i="14"/>
  <c r="C138" i="14"/>
  <c r="BJ99" i="14"/>
  <c r="BI99" i="14"/>
  <c r="BH99" i="14"/>
  <c r="A67" i="14"/>
  <c r="C231" i="14"/>
  <c r="A264" i="14"/>
  <c r="C300" i="14"/>
  <c r="A86" i="10"/>
  <c r="A41" i="14"/>
  <c r="C163" i="14"/>
  <c r="C111" i="14"/>
  <c r="BJ60" i="14"/>
  <c r="BI60" i="14"/>
  <c r="BH60" i="14"/>
  <c r="D138" i="14"/>
  <c r="B138" i="14"/>
  <c r="BG49" i="14"/>
  <c r="D62" i="14"/>
  <c r="B62" i="14"/>
  <c r="C157" i="14"/>
  <c r="A197" i="14"/>
  <c r="B54" i="14"/>
  <c r="D54" i="14"/>
  <c r="D52" i="14"/>
  <c r="B52" i="14"/>
  <c r="A210" i="14"/>
  <c r="B55" i="14"/>
  <c r="D55" i="14"/>
  <c r="BG124" i="14"/>
  <c r="B68" i="14"/>
  <c r="D68" i="14"/>
  <c r="BG31" i="14"/>
  <c r="C79" i="14"/>
  <c r="A62" i="14"/>
  <c r="C80" i="14"/>
  <c r="B41" i="14"/>
  <c r="D41" i="14"/>
  <c r="BG66" i="14"/>
  <c r="C226" i="14"/>
  <c r="D277" i="14"/>
  <c r="B277" i="14"/>
  <c r="B13" i="14"/>
  <c r="D13" i="14"/>
  <c r="BG67" i="14"/>
  <c r="A270" i="14"/>
  <c r="C72" i="14"/>
  <c r="D125" i="14"/>
  <c r="B125" i="14"/>
  <c r="BG29" i="14"/>
  <c r="A122" i="14"/>
  <c r="BJ139" i="14"/>
  <c r="BI139" i="14"/>
  <c r="BH139" i="14"/>
  <c r="D71" i="14"/>
  <c r="B71" i="14"/>
  <c r="BG34" i="14"/>
  <c r="D38" i="14"/>
  <c r="B38" i="14"/>
  <c r="C131" i="14"/>
  <c r="A22" i="14"/>
  <c r="A115" i="14"/>
  <c r="C167" i="14"/>
  <c r="C189" i="14"/>
  <c r="A169" i="14"/>
  <c r="B151" i="14"/>
  <c r="D151" i="14"/>
  <c r="C219" i="14"/>
  <c r="C155" i="14"/>
  <c r="A108" i="14"/>
  <c r="C302" i="14"/>
  <c r="A147" i="14"/>
  <c r="BJ42" i="14"/>
  <c r="B281" i="14"/>
  <c r="D281" i="14"/>
  <c r="BH42" i="14"/>
  <c r="BI42" i="14"/>
  <c r="A96" i="10"/>
  <c r="C4" i="14"/>
  <c r="B6" i="14"/>
  <c r="D6" i="14"/>
  <c r="BH26" i="14"/>
  <c r="BI26" i="14"/>
  <c r="BJ26" i="14"/>
  <c r="B270" i="14"/>
  <c r="D270" i="14"/>
  <c r="B57" i="14"/>
  <c r="D57" i="14"/>
  <c r="BG60" i="14"/>
  <c r="B64" i="14"/>
  <c r="D64" i="14"/>
  <c r="BG4" i="14"/>
  <c r="C44" i="14"/>
  <c r="A46" i="14"/>
  <c r="C61" i="10"/>
  <c r="C104" i="14"/>
  <c r="C19" i="14"/>
  <c r="A80" i="10"/>
  <c r="C156" i="14"/>
  <c r="D128" i="14"/>
  <c r="B128" i="14"/>
  <c r="B220" i="14"/>
  <c r="D220" i="14"/>
  <c r="D50" i="14"/>
  <c r="B50" i="14"/>
  <c r="B130" i="14"/>
  <c r="D130" i="14"/>
  <c r="C63" i="14"/>
  <c r="B3" i="14"/>
  <c r="D3" i="14"/>
  <c r="BH23" i="14"/>
  <c r="BI23" i="14"/>
  <c r="BJ23" i="14"/>
  <c r="B83" i="14"/>
  <c r="D83" i="14"/>
  <c r="BG118" i="14"/>
  <c r="D193" i="14"/>
  <c r="B193" i="14"/>
  <c r="B48" i="14"/>
  <c r="D48" i="14"/>
  <c r="BG62" i="14"/>
  <c r="C143" i="14"/>
  <c r="D32" i="14"/>
  <c r="B32" i="14"/>
  <c r="C34" i="14"/>
  <c r="A90" i="10"/>
  <c r="C30" i="14"/>
  <c r="C46" i="14"/>
  <c r="A49" i="10"/>
  <c r="C289" i="14"/>
  <c r="C181" i="14"/>
  <c r="A21" i="14"/>
  <c r="A18" i="14"/>
  <c r="B77" i="14"/>
  <c r="D77" i="14"/>
  <c r="BH41" i="14"/>
  <c r="BI41" i="14"/>
  <c r="BJ41" i="14"/>
  <c r="C91" i="14"/>
  <c r="A213" i="14"/>
  <c r="B257" i="14"/>
  <c r="D257" i="14"/>
  <c r="BH20" i="14"/>
  <c r="BI20" i="14"/>
  <c r="BJ20" i="14"/>
  <c r="A42" i="14"/>
  <c r="C55" i="14"/>
  <c r="A155" i="14"/>
  <c r="A267" i="14"/>
  <c r="D42" i="14"/>
  <c r="B42" i="14"/>
  <c r="A95" i="14"/>
  <c r="B76" i="14"/>
  <c r="D76" i="14"/>
  <c r="BH11" i="14"/>
  <c r="BI11" i="14"/>
  <c r="BJ11" i="14"/>
  <c r="BG21" i="14"/>
  <c r="D67" i="14"/>
  <c r="B67" i="14"/>
  <c r="C243" i="14"/>
  <c r="D118" i="14"/>
  <c r="B118" i="14"/>
  <c r="C227" i="14"/>
  <c r="C42" i="14"/>
  <c r="BH43" i="14"/>
  <c r="BI43" i="14"/>
  <c r="BJ43" i="14"/>
  <c r="A72" i="14"/>
  <c r="C115" i="14"/>
  <c r="A99" i="14"/>
  <c r="B107" i="14"/>
  <c r="D107" i="14"/>
  <c r="BJ22" i="14"/>
  <c r="BI22" i="14"/>
  <c r="BH22" i="14"/>
  <c r="A93" i="14"/>
  <c r="C122" i="14"/>
  <c r="C135" i="14"/>
  <c r="B224" i="14"/>
  <c r="D224" i="14"/>
  <c r="BJ18" i="14"/>
  <c r="BI18" i="14"/>
  <c r="BH18" i="14"/>
  <c r="BN51" i="10"/>
  <c r="B77" i="10"/>
  <c r="D77" i="10"/>
  <c r="BK51" i="10"/>
  <c r="BM51" i="10"/>
  <c r="A183" i="14"/>
  <c r="A142" i="14"/>
  <c r="C115" i="10"/>
  <c r="BJ14" i="14"/>
  <c r="BI14" i="14"/>
  <c r="BH14" i="14"/>
  <c r="D164" i="14"/>
  <c r="B164" i="14"/>
  <c r="BN16" i="10"/>
  <c r="BM16" i="10"/>
  <c r="BL16" i="10"/>
  <c r="C49" i="14"/>
  <c r="D174" i="14"/>
  <c r="B174" i="14"/>
  <c r="C53" i="14"/>
  <c r="B247" i="14"/>
  <c r="D247" i="14"/>
  <c r="BH56" i="14"/>
  <c r="BI56" i="14"/>
  <c r="BJ56" i="14"/>
  <c r="A76" i="14"/>
  <c r="A65" i="14"/>
  <c r="D160" i="14"/>
  <c r="B160" i="14"/>
  <c r="B33" i="14"/>
  <c r="D33" i="14"/>
  <c r="B215" i="14"/>
  <c r="D215" i="14"/>
  <c r="C114" i="14"/>
  <c r="D227" i="14"/>
  <c r="B227" i="14"/>
  <c r="B21" i="14"/>
  <c r="D21" i="14"/>
  <c r="BH67" i="14"/>
  <c r="BI67" i="14"/>
  <c r="BJ67" i="14"/>
  <c r="C119" i="14"/>
  <c r="C56" i="10"/>
  <c r="B88" i="14"/>
  <c r="D88" i="14"/>
  <c r="BG46" i="14"/>
  <c r="C232" i="14"/>
  <c r="C113" i="14"/>
  <c r="B173" i="14"/>
  <c r="D173" i="14"/>
  <c r="C262" i="14"/>
  <c r="BN46" i="17"/>
  <c r="BM46" i="17"/>
  <c r="BK46" i="17"/>
  <c r="BJ44" i="14"/>
  <c r="BI44" i="14"/>
  <c r="BH44" i="14"/>
  <c r="A149" i="14"/>
  <c r="BG30" i="14"/>
  <c r="A229" i="14"/>
  <c r="C220" i="14"/>
  <c r="A92" i="14"/>
  <c r="A276" i="14"/>
  <c r="A98" i="14"/>
  <c r="A269" i="14"/>
  <c r="A303" i="14"/>
  <c r="C253" i="14"/>
  <c r="C18" i="14"/>
  <c r="C200" i="14"/>
  <c r="A78" i="14"/>
  <c r="A26" i="14"/>
  <c r="A151" i="14"/>
  <c r="BJ62" i="14"/>
  <c r="BI62" i="14"/>
  <c r="B121" i="14"/>
  <c r="D121" i="14"/>
  <c r="BH62" i="14"/>
  <c r="B20" i="14"/>
  <c r="D20" i="14"/>
  <c r="BG55" i="14"/>
  <c r="A107" i="14"/>
  <c r="A114" i="14"/>
  <c r="C102" i="14"/>
  <c r="B94" i="14"/>
  <c r="D94" i="14"/>
  <c r="BG40" i="14"/>
  <c r="B235" i="14"/>
  <c r="D235" i="14"/>
  <c r="A109" i="14"/>
  <c r="A103" i="14"/>
  <c r="C164" i="14"/>
  <c r="C129" i="14"/>
  <c r="C10" i="14"/>
  <c r="A192" i="14"/>
  <c r="A100" i="14"/>
  <c r="C61" i="14"/>
  <c r="C137" i="14"/>
  <c r="C94" i="14"/>
  <c r="B175" i="14"/>
  <c r="D175" i="14"/>
  <c r="C57" i="14"/>
  <c r="A51" i="14"/>
  <c r="D169" i="14"/>
  <c r="B169" i="14"/>
  <c r="A9" i="17"/>
  <c r="B20" i="17"/>
  <c r="D20" i="17"/>
  <c r="BJ8" i="14"/>
  <c r="B254" i="14"/>
  <c r="D254" i="14"/>
  <c r="BH8" i="14"/>
  <c r="BI8" i="14"/>
  <c r="BG65" i="14"/>
  <c r="D103" i="14"/>
  <c r="B103" i="14"/>
  <c r="BJ63" i="14"/>
  <c r="B23" i="14"/>
  <c r="D23" i="14"/>
  <c r="BH63" i="14"/>
  <c r="BI63" i="14"/>
  <c r="C294" i="14"/>
  <c r="A233" i="14"/>
  <c r="C190" i="14"/>
  <c r="A52" i="14"/>
  <c r="A66" i="10"/>
  <c r="C195" i="14"/>
  <c r="BJ73" i="14"/>
  <c r="BI73" i="14"/>
  <c r="BH73" i="14"/>
  <c r="D265" i="14"/>
  <c r="B265" i="14"/>
  <c r="A302" i="14"/>
  <c r="A63" i="10"/>
  <c r="A136" i="14"/>
  <c r="A64" i="10"/>
  <c r="A189" i="14"/>
  <c r="C260" i="14"/>
  <c r="C92" i="10"/>
  <c r="A58" i="10"/>
  <c r="A282" i="14"/>
  <c r="B163" i="14"/>
  <c r="D163" i="14"/>
  <c r="C158" i="14"/>
  <c r="B285" i="14"/>
  <c r="D285" i="14"/>
  <c r="A218" i="14"/>
  <c r="BJ38" i="14"/>
  <c r="B256" i="14"/>
  <c r="D256" i="14"/>
  <c r="BG38" i="14"/>
  <c r="BI38" i="14"/>
  <c r="A182" i="14"/>
  <c r="BK29" i="10"/>
  <c r="BM29" i="10"/>
  <c r="BN29" i="10"/>
  <c r="C287" i="14"/>
  <c r="C62" i="10"/>
  <c r="BN39" i="10"/>
  <c r="BM39" i="10"/>
  <c r="BL39" i="10"/>
  <c r="C34" i="17"/>
  <c r="C184" i="14"/>
  <c r="C269" i="14"/>
  <c r="A161" i="14"/>
  <c r="D219" i="14"/>
  <c r="B219" i="14"/>
  <c r="C102" i="10"/>
  <c r="C268" i="14"/>
  <c r="C25" i="17"/>
  <c r="C67" i="10"/>
  <c r="B40" i="14"/>
  <c r="D40" i="14"/>
  <c r="BG59" i="14"/>
  <c r="C301" i="14"/>
  <c r="A255" i="14"/>
  <c r="C279" i="14"/>
  <c r="BL135" i="10"/>
  <c r="BM135" i="10"/>
  <c r="BN135" i="10"/>
  <c r="B204" i="14"/>
  <c r="D204" i="14"/>
  <c r="BG32" i="14"/>
  <c r="C221" i="14"/>
  <c r="C204" i="14"/>
  <c r="A228" i="14"/>
  <c r="B191" i="14"/>
  <c r="D191" i="14"/>
  <c r="C52" i="14"/>
  <c r="A77" i="14"/>
  <c r="C278" i="14"/>
  <c r="A47" i="14"/>
  <c r="A212" i="14"/>
  <c r="C82" i="14"/>
  <c r="C193" i="14"/>
  <c r="D153" i="14"/>
  <c r="B153" i="14"/>
  <c r="B286" i="14"/>
  <c r="D286" i="14"/>
  <c r="A160" i="14"/>
  <c r="B284" i="14"/>
  <c r="D284" i="14"/>
  <c r="D91" i="10"/>
  <c r="B91" i="10"/>
  <c r="A36" i="14"/>
  <c r="C51" i="14"/>
  <c r="BG33" i="14"/>
  <c r="A214" i="14"/>
  <c r="C101" i="10"/>
  <c r="BK58" i="10"/>
  <c r="C29" i="14"/>
  <c r="BJ53" i="14"/>
  <c r="BI53" i="14"/>
  <c r="BH53" i="14"/>
  <c r="D89" i="14"/>
  <c r="B89" i="14"/>
  <c r="BK48" i="10"/>
  <c r="D68" i="10"/>
  <c r="B68" i="10"/>
  <c r="A94" i="10"/>
  <c r="A68" i="10"/>
  <c r="A295" i="14"/>
  <c r="A64" i="14"/>
  <c r="B37" i="14"/>
  <c r="D37" i="14"/>
  <c r="BH48" i="14"/>
  <c r="BI48" i="14"/>
  <c r="BJ48" i="14"/>
  <c r="A152" i="14"/>
  <c r="B15" i="14"/>
  <c r="D15" i="14"/>
  <c r="BH31" i="14"/>
  <c r="BI31" i="14"/>
  <c r="BJ31" i="14"/>
  <c r="B280" i="14"/>
  <c r="D280" i="14"/>
  <c r="BH2" i="14"/>
  <c r="BI2" i="14"/>
  <c r="BJ2" i="14"/>
  <c r="D167" i="14"/>
  <c r="B167" i="14"/>
  <c r="D179" i="14"/>
  <c r="B179" i="14"/>
  <c r="B56" i="10"/>
  <c r="D56" i="10"/>
  <c r="BL89" i="10"/>
  <c r="BM89" i="10"/>
  <c r="BN89" i="10"/>
  <c r="B217" i="14"/>
  <c r="D217" i="14"/>
  <c r="D218" i="14"/>
  <c r="B218" i="14"/>
  <c r="BG61" i="14"/>
  <c r="BG18" i="14"/>
  <c r="A157" i="14"/>
  <c r="A138" i="14"/>
  <c r="BG52" i="14"/>
  <c r="D282" i="14"/>
  <c r="B282" i="14"/>
  <c r="BG24" i="14"/>
  <c r="B10" i="14"/>
  <c r="D10" i="14"/>
  <c r="BH15" i="14"/>
  <c r="BI15" i="14"/>
  <c r="BJ15" i="14"/>
  <c r="D129" i="14"/>
  <c r="B129" i="14"/>
  <c r="D241" i="14"/>
  <c r="B241" i="14"/>
  <c r="B290" i="14"/>
  <c r="D290" i="14"/>
  <c r="A200" i="14"/>
  <c r="A132" i="14"/>
  <c r="C54" i="14"/>
  <c r="B243" i="14"/>
  <c r="D243" i="14"/>
  <c r="B56" i="14"/>
  <c r="D56" i="14"/>
  <c r="BH54" i="14"/>
  <c r="BI54" i="14"/>
  <c r="BJ54" i="14"/>
  <c r="A257" i="14"/>
  <c r="B181" i="14"/>
  <c r="D181" i="14"/>
  <c r="B7" i="14"/>
  <c r="D7" i="14"/>
  <c r="BH27" i="14"/>
  <c r="BI27" i="14"/>
  <c r="BJ27" i="14"/>
  <c r="C62" i="14"/>
  <c r="A176" i="14"/>
  <c r="A177" i="14"/>
  <c r="C109" i="10"/>
  <c r="A2" i="14"/>
  <c r="C11" i="17"/>
  <c r="D120" i="14"/>
  <c r="B120" i="14"/>
  <c r="B292" i="14"/>
  <c r="D292" i="14"/>
  <c r="C106" i="14"/>
  <c r="A199" i="14"/>
  <c r="A221" i="14"/>
  <c r="A297" i="14"/>
  <c r="B105" i="14"/>
  <c r="D105" i="14"/>
  <c r="A68" i="14"/>
  <c r="B262" i="14"/>
  <c r="D262" i="14"/>
  <c r="BH64" i="14"/>
  <c r="BI64" i="14"/>
  <c r="BJ64" i="14"/>
  <c r="A110" i="14"/>
  <c r="BN105" i="17"/>
  <c r="BM105" i="17"/>
  <c r="BK105" i="17"/>
  <c r="A234" i="14"/>
  <c r="B276" i="14"/>
  <c r="D276" i="14"/>
  <c r="B240" i="14"/>
  <c r="D240" i="14"/>
  <c r="C242" i="14"/>
  <c r="A10" i="17"/>
  <c r="C64" i="14"/>
  <c r="D192" i="14"/>
  <c r="B192" i="14"/>
  <c r="A299" i="14"/>
  <c r="A57" i="14"/>
  <c r="C217" i="14"/>
  <c r="C132" i="14"/>
  <c r="A98" i="10"/>
  <c r="A283" i="14"/>
  <c r="B71" i="10"/>
  <c r="D71" i="10"/>
  <c r="BL27" i="10"/>
  <c r="BM27" i="10"/>
  <c r="BN27" i="10"/>
  <c r="A13" i="17"/>
  <c r="C55" i="10"/>
  <c r="A260" i="14"/>
  <c r="A153" i="14"/>
  <c r="A181" i="14"/>
  <c r="D303" i="14"/>
  <c r="B303" i="14"/>
  <c r="B165" i="14"/>
  <c r="D165" i="14"/>
  <c r="A284" i="14"/>
  <c r="C12" i="14"/>
  <c r="D302" i="14"/>
  <c r="B302" i="14"/>
  <c r="D155" i="14"/>
  <c r="B155" i="14"/>
  <c r="B59" i="10"/>
  <c r="D59" i="10"/>
  <c r="BK22" i="10"/>
  <c r="BM22" i="10"/>
  <c r="BN22" i="10"/>
  <c r="D300" i="14"/>
  <c r="B300" i="14"/>
  <c r="BJ109" i="14"/>
  <c r="BI109" i="14"/>
  <c r="BH109" i="14"/>
  <c r="D81" i="14"/>
  <c r="B81" i="14"/>
  <c r="C148" i="14"/>
  <c r="C223" i="14"/>
  <c r="C274" i="14"/>
  <c r="BN138" i="10"/>
  <c r="BM138" i="10"/>
  <c r="BK138" i="10"/>
  <c r="BJ29" i="14"/>
  <c r="B36" i="14"/>
  <c r="D36" i="14"/>
  <c r="BH29" i="14"/>
  <c r="BI29" i="14"/>
  <c r="C145" i="14"/>
  <c r="C38" i="14"/>
  <c r="C238" i="14"/>
  <c r="C257" i="14"/>
  <c r="A130" i="14"/>
  <c r="C134" i="14"/>
  <c r="BJ66" i="14"/>
  <c r="BI66" i="14"/>
  <c r="BH66" i="14"/>
  <c r="D58" i="14"/>
  <c r="B58" i="14"/>
  <c r="BG119" i="14"/>
  <c r="BN111" i="17"/>
  <c r="BM111" i="17"/>
  <c r="BL111" i="17"/>
  <c r="B166" i="14"/>
  <c r="D166" i="14"/>
  <c r="BH9" i="14"/>
  <c r="BI9" i="14"/>
  <c r="BJ9" i="14"/>
  <c r="B25" i="14"/>
  <c r="D25" i="14"/>
  <c r="BH65" i="14"/>
  <c r="BI65" i="14"/>
  <c r="BJ65" i="14"/>
  <c r="B95" i="14"/>
  <c r="D95" i="14"/>
  <c r="B91" i="14"/>
  <c r="D91" i="14"/>
  <c r="B8" i="14"/>
  <c r="D8" i="14"/>
  <c r="BH19" i="14"/>
  <c r="BI19" i="14"/>
  <c r="BJ19" i="14"/>
  <c r="A190" i="14"/>
  <c r="B22" i="14"/>
  <c r="D22" i="14"/>
  <c r="BH16" i="14"/>
  <c r="BI16" i="14"/>
  <c r="BJ16" i="14"/>
  <c r="A66" i="14"/>
  <c r="A194" i="14"/>
  <c r="A27" i="14"/>
  <c r="C154" i="14"/>
  <c r="C118" i="14"/>
  <c r="C142" i="14"/>
  <c r="B287" i="14"/>
  <c r="D287" i="14"/>
  <c r="D73" i="14"/>
  <c r="B73" i="14"/>
  <c r="C252" i="14"/>
  <c r="B147" i="14"/>
  <c r="D147" i="14"/>
  <c r="B236" i="14"/>
  <c r="D236" i="14"/>
  <c r="BG13" i="14"/>
  <c r="BI13" i="14"/>
  <c r="BJ13" i="14"/>
  <c r="D177" i="14"/>
  <c r="B177" i="14"/>
  <c r="C236" i="14"/>
  <c r="B18" i="14"/>
  <c r="D18" i="14"/>
  <c r="BG27" i="14"/>
  <c r="B122" i="14"/>
  <c r="D122" i="14"/>
  <c r="BG48" i="14"/>
  <c r="B255" i="14"/>
  <c r="D255" i="14"/>
  <c r="C282" i="14"/>
  <c r="B65" i="14"/>
  <c r="D65" i="14"/>
  <c r="BH144" i="14"/>
  <c r="BI144" i="14"/>
  <c r="BJ144" i="14"/>
  <c r="A30" i="14"/>
  <c r="C96" i="14"/>
  <c r="C71" i="14"/>
  <c r="C75" i="14"/>
  <c r="C116" i="14"/>
  <c r="A131" i="14"/>
  <c r="B72" i="14"/>
  <c r="D72" i="14"/>
  <c r="BG130" i="14"/>
  <c r="BI130" i="14"/>
  <c r="BJ130" i="14"/>
  <c r="C9" i="14"/>
  <c r="A89" i="14"/>
  <c r="BG129" i="14"/>
  <c r="D51" i="14"/>
  <c r="B51" i="14"/>
  <c r="B295" i="14"/>
  <c r="D295" i="14"/>
  <c r="A114" i="10"/>
  <c r="C133" i="14"/>
  <c r="C284" i="14"/>
  <c r="A278" i="14"/>
  <c r="A97" i="14"/>
  <c r="C197" i="14"/>
  <c r="C16" i="17"/>
  <c r="D185" i="14"/>
  <c r="B185" i="14"/>
  <c r="B238" i="14"/>
  <c r="D238" i="14"/>
  <c r="C84" i="10"/>
  <c r="B100" i="14"/>
  <c r="D100" i="14"/>
  <c r="BH138" i="14"/>
  <c r="BI138" i="14"/>
  <c r="BJ138" i="14"/>
  <c r="C128" i="14"/>
  <c r="C254" i="14"/>
  <c r="A301" i="14"/>
  <c r="C194" i="14"/>
  <c r="D195" i="14"/>
  <c r="B195" i="14"/>
  <c r="C45" i="14"/>
  <c r="A116" i="10"/>
  <c r="C98" i="10"/>
  <c r="C224" i="14"/>
  <c r="A40" i="14"/>
  <c r="A272" i="14"/>
  <c r="A73" i="14"/>
  <c r="D294" i="14"/>
  <c r="B294" i="14"/>
  <c r="A262" i="14"/>
  <c r="BN117" i="10"/>
  <c r="BM117" i="10"/>
  <c r="BL117" i="10"/>
  <c r="A32" i="17"/>
  <c r="C17" i="14"/>
  <c r="A146" i="14"/>
  <c r="C113" i="10"/>
  <c r="C169" i="14"/>
  <c r="C249" i="14"/>
  <c r="C107" i="10"/>
  <c r="B178" i="14"/>
  <c r="D178" i="14"/>
  <c r="BG37" i="14"/>
  <c r="A294" i="14"/>
  <c r="D101" i="14"/>
  <c r="B101" i="14"/>
  <c r="B28" i="17"/>
  <c r="D28" i="17"/>
  <c r="BL27" i="17"/>
  <c r="BM27" i="17"/>
  <c r="BN27" i="17"/>
  <c r="D266" i="14"/>
  <c r="B266" i="14"/>
  <c r="D293" i="14"/>
  <c r="B293" i="14"/>
  <c r="C89" i="14"/>
  <c r="B84" i="14"/>
  <c r="D84" i="14"/>
  <c r="B253" i="14"/>
  <c r="D253" i="14"/>
  <c r="B60" i="10"/>
  <c r="D60" i="10"/>
  <c r="BK46" i="10"/>
  <c r="B209" i="14"/>
  <c r="D209" i="14"/>
  <c r="B34" i="14"/>
  <c r="D34" i="14"/>
  <c r="C185" i="14"/>
  <c r="C141" i="14"/>
  <c r="B271" i="14"/>
  <c r="D271" i="14"/>
  <c r="C3" i="14"/>
  <c r="A69" i="14"/>
  <c r="C108" i="14"/>
  <c r="B133" i="14"/>
  <c r="D133" i="14"/>
  <c r="B223" i="14"/>
  <c r="D223" i="14"/>
  <c r="B232" i="14"/>
  <c r="D232" i="14"/>
  <c r="BH25" i="14"/>
  <c r="BI25" i="14"/>
  <c r="BJ25" i="14"/>
  <c r="B269" i="14"/>
  <c r="D269" i="14"/>
  <c r="A99" i="10"/>
  <c r="D248" i="14"/>
  <c r="B248" i="14"/>
  <c r="A50" i="10"/>
  <c r="A74" i="14"/>
  <c r="B213" i="14"/>
  <c r="D213" i="14"/>
  <c r="BH143" i="14"/>
  <c r="BI143" i="14"/>
  <c r="BJ143" i="14"/>
  <c r="B26" i="14"/>
  <c r="D26" i="14"/>
  <c r="BH58" i="14"/>
  <c r="BI58" i="14"/>
  <c r="BJ58" i="14"/>
  <c r="C201" i="14"/>
  <c r="B14" i="17"/>
  <c r="D14" i="17"/>
  <c r="B62" i="10"/>
  <c r="D62" i="10"/>
  <c r="BK143" i="10"/>
  <c r="A33" i="17"/>
  <c r="B239" i="14"/>
  <c r="D239" i="14"/>
  <c r="D278" i="14"/>
  <c r="B278" i="14"/>
  <c r="C298" i="14"/>
  <c r="C127" i="14"/>
  <c r="C79" i="10"/>
  <c r="B83" i="10"/>
  <c r="D83" i="10"/>
  <c r="BL75" i="10"/>
  <c r="BM75" i="10"/>
  <c r="BN75" i="10"/>
  <c r="C130" i="14"/>
  <c r="A17" i="17"/>
  <c r="C19" i="17"/>
  <c r="C171" i="14"/>
  <c r="C210" i="14"/>
  <c r="C259" i="14"/>
  <c r="C116" i="10"/>
  <c r="C78" i="10"/>
  <c r="C41" i="14"/>
  <c r="B141" i="14"/>
  <c r="D141" i="14"/>
  <c r="A135" i="14"/>
  <c r="B53" i="10"/>
  <c r="D53" i="10"/>
  <c r="BL48" i="10"/>
  <c r="BM48" i="10"/>
  <c r="BN48" i="10"/>
  <c r="C75" i="10"/>
  <c r="C70" i="10"/>
  <c r="C83" i="10"/>
  <c r="A11" i="14"/>
  <c r="B176" i="14"/>
  <c r="D176" i="14"/>
  <c r="A70" i="14"/>
  <c r="BN104" i="17"/>
  <c r="B8" i="17"/>
  <c r="D8" i="17"/>
  <c r="BL104" i="17"/>
  <c r="BM104" i="17"/>
  <c r="C69" i="10"/>
  <c r="C288" i="14"/>
  <c r="C239" i="14"/>
  <c r="BJ118" i="14"/>
  <c r="BI118" i="14"/>
  <c r="BH118" i="14"/>
  <c r="D60" i="14"/>
  <c r="B60" i="14"/>
  <c r="A286" i="14"/>
  <c r="C192" i="14"/>
  <c r="C202" i="14"/>
  <c r="C255" i="14"/>
  <c r="B19" i="17"/>
  <c r="D19" i="17"/>
  <c r="BK56" i="17"/>
  <c r="BM56" i="17"/>
  <c r="BN56" i="17"/>
  <c r="A209" i="14"/>
  <c r="C250" i="14"/>
  <c r="C68" i="10"/>
  <c r="C30" i="17"/>
  <c r="A208" i="14"/>
  <c r="A18" i="17"/>
  <c r="A48" i="14"/>
  <c r="C258" i="14"/>
  <c r="A31" i="17"/>
  <c r="A65" i="10"/>
  <c r="BN120" i="10"/>
  <c r="BM120" i="10"/>
  <c r="BL120" i="10"/>
  <c r="D57" i="10"/>
  <c r="B57" i="10"/>
  <c r="A254" i="14"/>
  <c r="A293" i="14"/>
  <c r="B95" i="10"/>
  <c r="D95" i="10"/>
  <c r="A12" i="17"/>
  <c r="C271" i="14"/>
  <c r="BN32" i="17"/>
  <c r="BM32" i="17"/>
  <c r="BK32" i="17"/>
  <c r="A292" i="14"/>
  <c r="A217" i="14"/>
  <c r="B260" i="14"/>
  <c r="D260" i="14"/>
  <c r="C99" i="10"/>
  <c r="C91" i="10"/>
  <c r="B61" i="14"/>
  <c r="D61" i="14"/>
  <c r="BH125" i="14"/>
  <c r="BI125" i="14"/>
  <c r="BJ125" i="14"/>
  <c r="A104" i="10"/>
  <c r="C81" i="14"/>
  <c r="BL28" i="10"/>
  <c r="BM28" i="10"/>
  <c r="BN28" i="10"/>
  <c r="D228" i="14"/>
  <c r="B228" i="14"/>
  <c r="D225" i="14"/>
  <c r="B225" i="14"/>
  <c r="BN77" i="17"/>
  <c r="BM77" i="17"/>
  <c r="BL77" i="17"/>
  <c r="A145" i="14"/>
  <c r="A44" i="14"/>
  <c r="C244" i="14"/>
  <c r="A11" i="17"/>
  <c r="A28" i="17"/>
  <c r="A219" i="14"/>
  <c r="A211" i="14"/>
  <c r="BN39" i="17"/>
  <c r="BM39" i="17"/>
  <c r="BL39" i="17"/>
  <c r="A165" i="14"/>
  <c r="C106" i="10"/>
  <c r="D279" i="14"/>
  <c r="B279" i="14"/>
  <c r="D180" i="14"/>
  <c r="B180" i="14"/>
  <c r="B63" i="10"/>
  <c r="D63" i="10"/>
  <c r="BK120" i="10"/>
  <c r="D27" i="17"/>
  <c r="B27" i="17"/>
  <c r="D118" i="10"/>
  <c r="B118" i="10"/>
  <c r="BL75" i="17"/>
  <c r="BM75" i="17"/>
  <c r="BN75" i="17"/>
  <c r="B103" i="10"/>
  <c r="D103" i="10"/>
  <c r="D156" i="14"/>
  <c r="B156" i="14"/>
  <c r="C286" i="14"/>
  <c r="B85" i="14"/>
  <c r="D85" i="14"/>
  <c r="BH61" i="14"/>
  <c r="BI61" i="14"/>
  <c r="BJ61" i="14"/>
  <c r="B100" i="10"/>
  <c r="D100" i="10"/>
  <c r="BL19" i="10"/>
  <c r="BM19" i="10"/>
  <c r="BN19" i="10"/>
  <c r="A236" i="14"/>
  <c r="B114" i="10"/>
  <c r="D114" i="10"/>
  <c r="BG23" i="14"/>
  <c r="B111" i="10"/>
  <c r="D111" i="10"/>
  <c r="B196" i="14"/>
  <c r="D196" i="14"/>
  <c r="D74" i="10"/>
  <c r="B74" i="10"/>
  <c r="C264" i="14"/>
  <c r="B172" i="14"/>
  <c r="D172" i="14"/>
  <c r="A61" i="10"/>
  <c r="A162" i="14"/>
  <c r="A247" i="14"/>
  <c r="BN89" i="17"/>
  <c r="BM89" i="17"/>
  <c r="B22" i="17"/>
  <c r="D22" i="17"/>
  <c r="BK89" i="17"/>
  <c r="C37" i="14"/>
  <c r="A79" i="14"/>
  <c r="A203" i="14"/>
  <c r="A73" i="10"/>
  <c r="A8" i="17"/>
  <c r="A279" i="14"/>
  <c r="BN137" i="17"/>
  <c r="BM137" i="17"/>
  <c r="BL137" i="17"/>
  <c r="BN82" i="10"/>
  <c r="BM82" i="10"/>
  <c r="BL82" i="10"/>
  <c r="C303" i="14"/>
  <c r="BL48" i="17"/>
  <c r="BM48" i="17"/>
  <c r="BN48" i="17"/>
  <c r="BK94" i="10"/>
  <c r="A62" i="10"/>
  <c r="C144" i="14"/>
  <c r="A118" i="10"/>
  <c r="BN28" i="17"/>
  <c r="BM28" i="17"/>
  <c r="BL28" i="17"/>
  <c r="C48" i="10"/>
  <c r="C7" i="17"/>
  <c r="A107" i="10"/>
  <c r="BN24" i="10"/>
  <c r="BM24" i="10"/>
  <c r="BL24" i="10"/>
  <c r="A154" i="14"/>
  <c r="D297" i="14"/>
  <c r="B297" i="14"/>
  <c r="A168" i="14"/>
  <c r="C213" i="14"/>
  <c r="BK56" i="10"/>
  <c r="C53" i="10"/>
  <c r="BN113" i="17"/>
  <c r="BM113" i="17"/>
  <c r="B11" i="17"/>
  <c r="D11" i="17"/>
  <c r="BK113" i="17"/>
  <c r="C21" i="17"/>
  <c r="A51" i="10"/>
  <c r="C74" i="10"/>
  <c r="C153" i="14"/>
  <c r="A289" i="14"/>
  <c r="A184" i="14"/>
  <c r="B208" i="14"/>
  <c r="D208" i="14"/>
  <c r="B50" i="10"/>
  <c r="D50" i="10"/>
  <c r="BK53" i="10"/>
  <c r="C273" i="14"/>
  <c r="A4" i="14"/>
  <c r="A172" i="14"/>
  <c r="C118" i="10"/>
  <c r="A6" i="17"/>
  <c r="A288" i="14"/>
  <c r="B11" i="14"/>
  <c r="D11" i="14"/>
  <c r="BH46" i="14"/>
  <c r="BI46" i="14"/>
  <c r="BJ46" i="14"/>
  <c r="C112" i="10"/>
  <c r="B116" i="14"/>
  <c r="D116" i="14"/>
  <c r="BN34" i="10"/>
  <c r="B92" i="10"/>
  <c r="D92" i="10"/>
  <c r="BK34" i="10"/>
  <c r="BM34" i="10"/>
  <c r="A207" i="14"/>
  <c r="C209" i="14"/>
  <c r="C247" i="14"/>
  <c r="C110" i="10"/>
  <c r="B101" i="10"/>
  <c r="D101" i="10"/>
  <c r="B304" i="14"/>
  <c r="D304" i="14"/>
  <c r="B201" i="14"/>
  <c r="D201" i="14"/>
  <c r="BL94" i="10"/>
  <c r="BM94" i="10"/>
  <c r="BN94" i="10"/>
  <c r="C3" i="17"/>
  <c r="A69" i="10"/>
  <c r="C136" i="14"/>
  <c r="A216" i="14"/>
  <c r="C85" i="14"/>
  <c r="A105" i="10"/>
  <c r="C272" i="14"/>
  <c r="A232" i="14"/>
  <c r="A239" i="14"/>
  <c r="C51" i="10"/>
  <c r="A103" i="10"/>
  <c r="BN96" i="17"/>
  <c r="BM96" i="17"/>
  <c r="BK96" i="17"/>
  <c r="A220" i="14"/>
  <c r="C292" i="14"/>
  <c r="B17" i="14"/>
  <c r="D17" i="14"/>
  <c r="BH37" i="14"/>
  <c r="BI37" i="14"/>
  <c r="BJ37" i="14"/>
  <c r="D148" i="14"/>
  <c r="B148" i="14"/>
  <c r="B79" i="10"/>
  <c r="D79" i="10"/>
  <c r="BL77" i="10"/>
  <c r="BM77" i="10"/>
  <c r="BN77" i="10"/>
  <c r="B23" i="17"/>
  <c r="D23" i="17"/>
  <c r="BK34" i="17"/>
  <c r="BM34" i="17"/>
  <c r="BN34" i="17"/>
  <c r="D142" i="14"/>
  <c r="B142" i="14"/>
  <c r="B134" i="14"/>
  <c r="D134" i="14"/>
  <c r="C35" i="17"/>
  <c r="A133" i="14"/>
  <c r="D252" i="14"/>
  <c r="B252" i="14"/>
  <c r="B221" i="14"/>
  <c r="D221" i="14"/>
  <c r="A81" i="10"/>
  <c r="C281" i="14"/>
  <c r="A235" i="14"/>
  <c r="B211" i="14"/>
  <c r="D211" i="14"/>
  <c r="A251" i="14"/>
  <c r="D194" i="14"/>
  <c r="B194" i="14"/>
  <c r="A280" i="14"/>
  <c r="C208" i="14"/>
  <c r="A205" i="14"/>
  <c r="A271" i="14"/>
  <c r="B64" i="10"/>
  <c r="D64" i="10"/>
  <c r="BL78" i="10"/>
  <c r="BM78" i="10"/>
  <c r="BN78" i="10"/>
  <c r="A164" i="14"/>
  <c r="C70" i="14"/>
  <c r="C160" i="14"/>
  <c r="A256" i="14"/>
  <c r="A174" i="14"/>
  <c r="D33" i="17"/>
  <c r="B33" i="17"/>
  <c r="A253" i="14"/>
  <c r="C26" i="17"/>
  <c r="C103" i="14"/>
  <c r="A248" i="14"/>
  <c r="BN53" i="17"/>
  <c r="BM53" i="17"/>
  <c r="B31" i="17"/>
  <c r="D31" i="17"/>
  <c r="BL53" i="17"/>
  <c r="B61" i="10"/>
  <c r="D61" i="10"/>
  <c r="BK113" i="10"/>
  <c r="D84" i="10"/>
  <c r="B84" i="10"/>
  <c r="A196" i="14"/>
  <c r="A71" i="10"/>
  <c r="C76" i="10"/>
  <c r="A215" i="14"/>
  <c r="A226" i="14"/>
  <c r="A20" i="17"/>
  <c r="BJ137" i="14"/>
  <c r="BI137" i="14"/>
  <c r="BH137" i="14"/>
  <c r="D90" i="14"/>
  <c r="B90" i="14"/>
  <c r="A97" i="10"/>
  <c r="A104" i="14"/>
  <c r="A245" i="14"/>
  <c r="A60" i="10"/>
  <c r="A27" i="17"/>
  <c r="A21" i="17"/>
  <c r="C5" i="17"/>
  <c r="A83" i="14"/>
  <c r="C114" i="10"/>
  <c r="A45" i="14"/>
  <c r="C112" i="14"/>
  <c r="B245" i="14"/>
  <c r="D245" i="14"/>
  <c r="BN82" i="17"/>
  <c r="B26" i="17"/>
  <c r="D26" i="17"/>
  <c r="BL82" i="17"/>
  <c r="BM82" i="17"/>
  <c r="B85" i="10"/>
  <c r="D85" i="10"/>
  <c r="BK87" i="10"/>
  <c r="BM87" i="10"/>
  <c r="BN87" i="10"/>
  <c r="C59" i="10"/>
  <c r="A110" i="10"/>
  <c r="C52" i="10"/>
  <c r="A112" i="10"/>
  <c r="A101" i="10"/>
  <c r="A148" i="14"/>
  <c r="A56" i="14"/>
  <c r="A90" i="14"/>
  <c r="B9" i="17"/>
  <c r="D9" i="17"/>
  <c r="BK111" i="17"/>
  <c r="A141" i="14"/>
  <c r="A275" i="14"/>
  <c r="D188" i="14"/>
  <c r="B188" i="14"/>
  <c r="C9" i="17"/>
  <c r="C162" i="14"/>
  <c r="C235" i="14"/>
  <c r="D184" i="14"/>
  <c r="B184" i="14"/>
  <c r="B216" i="14"/>
  <c r="D216" i="14"/>
  <c r="D249" i="14"/>
  <c r="B249" i="14"/>
  <c r="A121" i="14"/>
  <c r="A26" i="17"/>
  <c r="C6" i="14"/>
  <c r="C101" i="14"/>
  <c r="D145" i="14"/>
  <c r="B145" i="14"/>
  <c r="D258" i="14"/>
  <c r="B258" i="14"/>
  <c r="A259" i="14"/>
  <c r="C73" i="10"/>
  <c r="A246" i="14"/>
  <c r="B94" i="10"/>
  <c r="D94" i="10"/>
  <c r="C27" i="17"/>
  <c r="D140" i="14"/>
  <c r="B140" i="14"/>
  <c r="A225" i="14"/>
  <c r="B55" i="10"/>
  <c r="D55" i="10"/>
  <c r="BK78" i="10"/>
  <c r="C65" i="10"/>
  <c r="B2" i="14"/>
  <c r="D2" i="14"/>
  <c r="BH24" i="14"/>
  <c r="BI24" i="14"/>
  <c r="BJ24" i="14"/>
  <c r="A106" i="10"/>
  <c r="D296" i="14"/>
  <c r="B296" i="14"/>
  <c r="A84" i="10"/>
  <c r="D117" i="10"/>
  <c r="B117" i="10"/>
  <c r="BK90" i="17"/>
  <c r="A67" i="10"/>
  <c r="A3" i="17"/>
  <c r="A298" i="14"/>
  <c r="C108" i="10"/>
  <c r="D144" i="14"/>
  <c r="B144" i="14"/>
  <c r="B51" i="10"/>
  <c r="D51" i="10"/>
  <c r="BL46" i="10"/>
  <c r="BM46" i="10"/>
  <c r="BN46" i="10"/>
  <c r="B291" i="14"/>
  <c r="D291" i="14"/>
  <c r="D98" i="10"/>
  <c r="B98" i="10"/>
  <c r="A4" i="17"/>
  <c r="BK27" i="17"/>
  <c r="A59" i="10"/>
  <c r="C96" i="10"/>
  <c r="A123" i="14"/>
  <c r="B186" i="14"/>
  <c r="D186" i="14"/>
  <c r="A117" i="10"/>
  <c r="C297" i="14"/>
  <c r="BN136" i="17"/>
  <c r="BM136" i="17"/>
  <c r="BL136" i="17"/>
  <c r="D13" i="17"/>
  <c r="B13" i="17"/>
  <c r="C111" i="10"/>
  <c r="A258" i="14"/>
  <c r="A78" i="10"/>
  <c r="C60" i="10"/>
  <c r="C72" i="10"/>
  <c r="BK143" i="17"/>
  <c r="C240" i="14"/>
  <c r="C182" i="14"/>
  <c r="A55" i="10"/>
  <c r="C77" i="10"/>
  <c r="A263" i="14"/>
  <c r="A195" i="14"/>
  <c r="A70" i="10"/>
  <c r="BK75" i="17"/>
  <c r="D32" i="17"/>
  <c r="B32" i="17"/>
  <c r="A35" i="17"/>
  <c r="BN41" i="10"/>
  <c r="BM41" i="10"/>
  <c r="BL41" i="10"/>
  <c r="C6" i="17"/>
  <c r="BN84" i="17"/>
  <c r="BM84" i="17"/>
  <c r="BK84" i="17"/>
  <c r="D29" i="17"/>
  <c r="B29" i="17"/>
  <c r="C123" i="14"/>
  <c r="BN90" i="10"/>
  <c r="BM90" i="10"/>
  <c r="BL90" i="10"/>
  <c r="BK48" i="17"/>
  <c r="D30" i="17"/>
  <c r="B30" i="17"/>
  <c r="C117" i="10"/>
  <c r="A193" i="14"/>
  <c r="A5" i="17"/>
  <c r="C29" i="17"/>
  <c r="C283" i="14"/>
  <c r="C81" i="10"/>
  <c r="A243" i="14"/>
  <c r="C80" i="10"/>
  <c r="A81" i="14"/>
  <c r="B112" i="10"/>
  <c r="D112" i="10"/>
  <c r="BK105" i="10"/>
  <c r="BM105" i="10"/>
  <c r="BN105" i="10"/>
  <c r="B264" i="14"/>
  <c r="D264" i="14"/>
  <c r="BG56" i="14"/>
  <c r="C152" i="14"/>
  <c r="A87" i="10"/>
  <c r="B70" i="10"/>
  <c r="D70" i="10"/>
  <c r="BL143" i="10"/>
  <c r="BM143" i="10"/>
  <c r="BN143" i="10"/>
  <c r="A250" i="14"/>
  <c r="A30" i="17"/>
  <c r="B170" i="14"/>
  <c r="D170" i="14"/>
  <c r="C13" i="17"/>
  <c r="B210" i="14"/>
  <c r="D210" i="14"/>
  <c r="C18" i="17"/>
  <c r="A88" i="10"/>
  <c r="A32" i="14"/>
  <c r="A24" i="17"/>
  <c r="A15" i="17"/>
  <c r="C33" i="17"/>
  <c r="A113" i="14"/>
  <c r="A113" i="10"/>
  <c r="BN94" i="17"/>
  <c r="BM94" i="17"/>
  <c r="BK94" i="17"/>
  <c r="C251" i="14"/>
  <c r="C110" i="14"/>
  <c r="A83" i="10"/>
  <c r="A92" i="10"/>
  <c r="C17" i="17"/>
  <c r="BN113" i="10"/>
  <c r="BM113" i="10"/>
  <c r="B104" i="10"/>
  <c r="D104" i="10"/>
  <c r="BL113" i="10"/>
  <c r="A261" i="14"/>
  <c r="C77" i="14"/>
  <c r="C206" i="14"/>
  <c r="BN55" i="10"/>
  <c r="BM55" i="10"/>
  <c r="B67" i="10"/>
  <c r="D67" i="10"/>
  <c r="BK55" i="10"/>
  <c r="C170" i="14"/>
  <c r="C150" i="14"/>
  <c r="C183" i="14"/>
  <c r="C159" i="14"/>
  <c r="A77" i="10"/>
  <c r="D230" i="14"/>
  <c r="B230" i="14"/>
  <c r="A34" i="17"/>
  <c r="A56" i="10"/>
  <c r="C31" i="14"/>
  <c r="C233" i="14"/>
  <c r="BL58" i="10"/>
  <c r="BM58" i="10"/>
  <c r="BN58" i="10"/>
  <c r="C277" i="14"/>
  <c r="BK118" i="17"/>
  <c r="BM118" i="17"/>
  <c r="BN118" i="17"/>
  <c r="D274" i="14"/>
  <c r="B274" i="14"/>
  <c r="C100" i="10"/>
  <c r="BK90" i="10"/>
  <c r="A19" i="17"/>
  <c r="C54" i="10"/>
  <c r="BK114" i="10"/>
  <c r="C90" i="10"/>
  <c r="A242" i="14"/>
  <c r="A111" i="10"/>
  <c r="C291" i="14"/>
  <c r="C199" i="14"/>
  <c r="D113" i="10"/>
  <c r="B113" i="10"/>
  <c r="B87" i="10"/>
  <c r="D87" i="10"/>
  <c r="BL56" i="10"/>
  <c r="BM56" i="10"/>
  <c r="BN56" i="10"/>
  <c r="D272" i="14"/>
  <c r="B272" i="14"/>
  <c r="BL58" i="17"/>
  <c r="BM58" i="17"/>
  <c r="BN58" i="17"/>
  <c r="D263" i="14"/>
  <c r="B263" i="14"/>
  <c r="C50" i="14"/>
  <c r="A49" i="14"/>
  <c r="C222" i="14"/>
  <c r="C73" i="14"/>
  <c r="C24" i="17"/>
  <c r="BN51" i="17"/>
  <c r="B25" i="17"/>
  <c r="D25" i="17"/>
  <c r="BL51" i="17"/>
  <c r="BM51" i="17"/>
  <c r="D135" i="14"/>
  <c r="B135" i="14"/>
  <c r="C293" i="14"/>
  <c r="BN36" i="17"/>
  <c r="B2" i="17"/>
  <c r="D2" i="17"/>
  <c r="BL36" i="17"/>
  <c r="BM36" i="17"/>
  <c r="B4" i="17"/>
  <c r="D4" i="17"/>
  <c r="BK51" i="17"/>
  <c r="D86" i="10"/>
  <c r="B86" i="10"/>
  <c r="D244" i="14"/>
  <c r="B244" i="14"/>
  <c r="A296" i="14"/>
  <c r="C229" i="14"/>
  <c r="B3" i="17"/>
  <c r="D3" i="17"/>
  <c r="BL135" i="17"/>
  <c r="BM135" i="17"/>
  <c r="BN135" i="17"/>
  <c r="A222" i="14"/>
  <c r="BK77" i="10"/>
  <c r="C228" i="14"/>
  <c r="A266" i="14"/>
  <c r="B75" i="10"/>
  <c r="D75" i="10"/>
  <c r="BL53" i="10"/>
  <c r="BM53" i="10"/>
  <c r="BN53" i="10"/>
  <c r="A244" i="14"/>
  <c r="B116" i="10"/>
  <c r="D116" i="10"/>
  <c r="C105" i="10"/>
  <c r="C22" i="17"/>
  <c r="C139" i="14"/>
  <c r="C196" i="14"/>
  <c r="A22" i="17"/>
  <c r="A180" i="14"/>
  <c r="C261" i="14"/>
  <c r="A119" i="10"/>
  <c r="C103" i="10"/>
  <c r="C98" i="14"/>
  <c r="A252" i="14"/>
  <c r="D283" i="14"/>
  <c r="B283" i="14"/>
  <c r="A91" i="10"/>
  <c r="C4" i="17"/>
  <c r="C31" i="17"/>
  <c r="A173" i="14"/>
  <c r="A115" i="10"/>
  <c r="B12" i="17"/>
  <c r="D12" i="17"/>
  <c r="BK82" i="17"/>
  <c r="A291" i="14"/>
  <c r="C299" i="14"/>
  <c r="C23" i="17"/>
  <c r="B158" i="14"/>
  <c r="D158" i="14"/>
  <c r="BN84" i="10"/>
  <c r="B54" i="10"/>
  <c r="D54" i="10"/>
  <c r="BK84" i="10"/>
  <c r="BM84" i="10"/>
  <c r="C265" i="14"/>
  <c r="A72" i="10"/>
  <c r="A2" i="17"/>
  <c r="B21" i="17"/>
  <c r="D21" i="17"/>
  <c r="BK87" i="17"/>
  <c r="BM87" i="17"/>
  <c r="BN87" i="17"/>
  <c r="A25" i="17"/>
  <c r="BN78" i="17"/>
  <c r="B34" i="17"/>
  <c r="D34" i="17"/>
  <c r="BK78" i="17"/>
  <c r="BM78" i="17"/>
  <c r="C87" i="10"/>
  <c r="C95" i="10"/>
  <c r="C85" i="10"/>
  <c r="C20" i="17"/>
  <c r="C50" i="10"/>
  <c r="B189" i="14"/>
  <c r="D189" i="14"/>
  <c r="BH124" i="14"/>
  <c r="BI124" i="14"/>
  <c r="BJ124" i="14"/>
  <c r="B79" i="14"/>
  <c r="D79" i="14"/>
  <c r="BG117" i="14"/>
  <c r="A19" i="14"/>
  <c r="C246" i="14"/>
  <c r="B198" i="14"/>
  <c r="D198" i="14"/>
  <c r="A167" i="14"/>
  <c r="B182" i="14"/>
  <c r="D182" i="14"/>
  <c r="B242" i="14"/>
  <c r="D242" i="14"/>
  <c r="C149" i="14"/>
  <c r="B58" i="10"/>
  <c r="D58" i="10"/>
  <c r="BK111" i="10"/>
  <c r="BM111" i="10"/>
  <c r="BN111" i="10"/>
  <c r="D97" i="10"/>
  <c r="B97" i="10"/>
  <c r="B93" i="10"/>
  <c r="D93" i="10"/>
  <c r="D301" i="14"/>
  <c r="B301" i="14"/>
  <c r="B90" i="10"/>
  <c r="D90" i="10"/>
  <c r="A85" i="10"/>
  <c r="D72" i="10"/>
  <c r="B72" i="10"/>
  <c r="B110" i="10"/>
  <c r="D110" i="10"/>
  <c r="A304" i="14"/>
  <c r="C270" i="14"/>
  <c r="C93" i="10"/>
  <c r="A224" i="14"/>
  <c r="A191" i="14"/>
  <c r="C58" i="10"/>
  <c r="B200" i="14"/>
  <c r="D200" i="14"/>
  <c r="B81" i="10"/>
  <c r="D81" i="10"/>
  <c r="BK39" i="10"/>
  <c r="C97" i="10"/>
  <c r="A100" i="10"/>
  <c r="B149" i="14"/>
  <c r="D149" i="14"/>
  <c r="A237" i="14"/>
  <c r="C215" i="14"/>
  <c r="BH49" i="14"/>
  <c r="BI49" i="14"/>
  <c r="BJ49" i="14"/>
  <c r="C88" i="10"/>
  <c r="C285" i="14"/>
  <c r="A139" i="14"/>
  <c r="A198" i="14"/>
  <c r="BL116" i="10"/>
  <c r="BM116" i="10"/>
  <c r="BN116" i="10"/>
  <c r="C109" i="14"/>
  <c r="A179" i="14"/>
  <c r="B96" i="10"/>
  <c r="D96" i="10"/>
  <c r="BL57" i="10"/>
  <c r="BM57" i="10"/>
  <c r="BN57" i="10"/>
  <c r="C66" i="10"/>
  <c r="A79" i="10"/>
  <c r="B102" i="10"/>
  <c r="D102" i="10"/>
  <c r="A108" i="10"/>
  <c r="C174" i="14"/>
  <c r="BL16" i="17"/>
  <c r="BM16" i="17"/>
  <c r="BN16" i="17"/>
  <c r="A119" i="14"/>
  <c r="C119" i="10"/>
  <c r="C295" i="14"/>
  <c r="D109" i="10"/>
  <c r="B109" i="10"/>
  <c r="B49" i="10"/>
  <c r="D49" i="10"/>
  <c r="BL137" i="10"/>
  <c r="BM137" i="10"/>
  <c r="BN137" i="10"/>
  <c r="A268" i="14"/>
  <c r="BK39" i="17"/>
  <c r="B299" i="14"/>
  <c r="D299" i="14"/>
  <c r="B65" i="10"/>
  <c r="D65" i="10"/>
  <c r="BL80" i="10"/>
  <c r="BM80" i="10"/>
  <c r="BN80" i="10"/>
  <c r="A16" i="17"/>
  <c r="D119" i="10"/>
  <c r="B119" i="10"/>
  <c r="A202" i="14"/>
  <c r="A29" i="17"/>
  <c r="BG47" i="14"/>
  <c r="A14" i="17"/>
  <c r="B206" i="14"/>
  <c r="D206" i="14"/>
  <c r="A170" i="14"/>
  <c r="C82" i="10"/>
  <c r="C245" i="14"/>
  <c r="B24" i="17"/>
  <c r="D24" i="17"/>
  <c r="BK112" i="17"/>
  <c r="BM112" i="17"/>
  <c r="BN112" i="17"/>
  <c r="B5" i="17"/>
  <c r="D5" i="17"/>
  <c r="BL120" i="17"/>
  <c r="BM120" i="17"/>
  <c r="BN120" i="17"/>
  <c r="C28" i="17"/>
  <c r="B107" i="10"/>
  <c r="D107" i="10"/>
  <c r="BL114" i="10"/>
  <c r="BM114" i="10"/>
  <c r="BN114" i="10"/>
  <c r="C188" i="14"/>
  <c r="D250" i="14"/>
  <c r="B250" i="14"/>
  <c r="C64" i="10"/>
  <c r="D289" i="14"/>
  <c r="B289" i="14"/>
  <c r="B73" i="10"/>
  <c r="D73" i="10"/>
  <c r="BK88" i="10"/>
  <c r="BM88" i="10"/>
  <c r="BN88" i="10"/>
  <c r="A57" i="10"/>
  <c r="A75" i="10"/>
  <c r="B52" i="10"/>
  <c r="D52" i="10"/>
  <c r="BL36" i="10"/>
  <c r="BM36" i="10"/>
  <c r="BN36" i="10"/>
  <c r="A23" i="17"/>
  <c r="C2" i="17"/>
  <c r="D35" i="17"/>
  <c r="B35" i="17"/>
  <c r="D288" i="14"/>
  <c r="B288" i="14"/>
  <c r="C168" i="14"/>
  <c r="D226" i="14"/>
  <c r="B226" i="14"/>
  <c r="B17" i="17"/>
  <c r="D17" i="17"/>
  <c r="BL90" i="17"/>
  <c r="BM90" i="17"/>
  <c r="BN90" i="17"/>
  <c r="C14" i="17"/>
  <c r="D229" i="14"/>
  <c r="B229" i="14"/>
  <c r="C290" i="14"/>
  <c r="C49" i="10"/>
  <c r="B159" i="14"/>
  <c r="D159" i="14"/>
  <c r="C203" i="14"/>
  <c r="B246" i="14"/>
  <c r="D246" i="14"/>
  <c r="A7" i="17"/>
  <c r="A52" i="10"/>
  <c r="B105" i="10"/>
  <c r="D105" i="10"/>
  <c r="BK43" i="10"/>
  <c r="C296" i="14"/>
  <c r="A48" i="10"/>
  <c r="C63" i="10"/>
  <c r="A249" i="14"/>
  <c r="C266" i="14"/>
  <c r="A106" i="14"/>
  <c r="B16" i="17"/>
  <c r="D16" i="17"/>
  <c r="BL141" i="17"/>
  <c r="BM141" i="17"/>
  <c r="BN141" i="17"/>
  <c r="A54" i="10"/>
  <c r="C57" i="10"/>
  <c r="C32" i="17"/>
  <c r="A206" i="14"/>
  <c r="A231" i="14"/>
  <c r="C65" i="14"/>
  <c r="C89" i="10"/>
  <c r="A74" i="10"/>
  <c r="A109" i="10"/>
  <c r="B69" i="10"/>
  <c r="D69" i="10"/>
  <c r="BK75" i="10"/>
  <c r="B5" i="14"/>
  <c r="D5" i="14"/>
  <c r="BH55" i="14"/>
  <c r="BI55" i="14"/>
  <c r="BJ55" i="14"/>
  <c r="B66" i="10"/>
  <c r="D66" i="10"/>
  <c r="BK82" i="10"/>
  <c r="A277" i="14"/>
  <c r="C191" i="14"/>
  <c r="B82" i="10"/>
  <c r="D82" i="10"/>
  <c r="BK116" i="10"/>
  <c r="B146" i="14"/>
  <c r="D146" i="14"/>
  <c r="D231" i="14"/>
  <c r="B231" i="14"/>
  <c r="C146" i="14"/>
  <c r="C104" i="10"/>
  <c r="B29" i="14"/>
  <c r="D29" i="14"/>
  <c r="BG36" i="14"/>
  <c r="B10" i="17"/>
  <c r="D10" i="17"/>
  <c r="BK106" i="17"/>
  <c r="BM106" i="17"/>
  <c r="BN106" i="17"/>
  <c r="A238" i="14"/>
  <c r="B99" i="10"/>
  <c r="D99" i="10"/>
  <c r="B18" i="17"/>
  <c r="D18" i="17"/>
  <c r="BL29" i="17"/>
  <c r="BM29" i="17"/>
  <c r="BN29" i="17"/>
  <c r="D190" i="14"/>
  <c r="B190" i="14"/>
  <c r="A287" i="14"/>
  <c r="A150" i="14"/>
  <c r="B267" i="14"/>
  <c r="D267" i="14"/>
  <c r="A227" i="14"/>
  <c r="C234" i="14"/>
  <c r="C267" i="14"/>
  <c r="C86" i="10"/>
  <c r="B7" i="17"/>
  <c r="D7" i="17"/>
  <c r="BL143" i="17"/>
  <c r="BM143" i="17"/>
  <c r="BN143" i="17"/>
  <c r="A102" i="10"/>
  <c r="C48" i="14"/>
  <c r="B15" i="17"/>
  <c r="D15" i="17"/>
  <c r="BL40" i="17"/>
  <c r="BM40" i="17"/>
  <c r="BN40" i="17"/>
  <c r="C230" i="14"/>
  <c r="B6" i="17"/>
  <c r="D6" i="17"/>
  <c r="BL41" i="17"/>
  <c r="BM41" i="17"/>
  <c r="BN41" i="17"/>
  <c r="B76" i="10"/>
  <c r="D76" i="10"/>
  <c r="A156" i="14"/>
  <c r="B268" i="14"/>
  <c r="D268" i="14"/>
  <c r="C198" i="14"/>
  <c r="C10" i="17"/>
  <c r="B106" i="10"/>
  <c r="D106" i="10"/>
  <c r="BK101" i="10"/>
  <c r="BM101" i="10"/>
  <c r="BN101" i="10"/>
  <c r="C15" i="17"/>
  <c r="B48" i="10"/>
  <c r="D48" i="10"/>
  <c r="A20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<sst xmlns="http://schemas.openxmlformats.org/spreadsheetml/2006/main" count="7752" uniqueCount="209">
  <si>
    <t>Jonas</t>
  </si>
  <si>
    <t>Groen Aanval</t>
  </si>
  <si>
    <t>Tobias</t>
  </si>
  <si>
    <t>Karel</t>
  </si>
  <si>
    <t>Stef</t>
  </si>
  <si>
    <t xml:space="preserve">Stef </t>
  </si>
  <si>
    <t>Stef D</t>
  </si>
  <si>
    <t>Tiemen</t>
  </si>
  <si>
    <t>Louis</t>
  </si>
  <si>
    <t>Stan</t>
  </si>
  <si>
    <t>Maxim</t>
  </si>
  <si>
    <t>Matthijs</t>
  </si>
  <si>
    <t>Alexander</t>
  </si>
  <si>
    <t>Bert</t>
  </si>
  <si>
    <t>Stef C</t>
  </si>
  <si>
    <t>Stijn</t>
  </si>
  <si>
    <t xml:space="preserve">Karel </t>
  </si>
  <si>
    <t xml:space="preserve">Tiemen </t>
  </si>
  <si>
    <t xml:space="preserve">Bert </t>
  </si>
  <si>
    <t>Nicolas</t>
  </si>
  <si>
    <t xml:space="preserve"> Stef D</t>
  </si>
  <si>
    <t xml:space="preserve">Jonas </t>
  </si>
  <si>
    <t>Warre</t>
  </si>
  <si>
    <t>Dario</t>
  </si>
  <si>
    <t>Match ID</t>
  </si>
  <si>
    <t>Rood Verdediging</t>
  </si>
  <si>
    <t>Rood Aanval</t>
  </si>
  <si>
    <t>Groen Verdediging</t>
  </si>
  <si>
    <t>Rood Score</t>
  </si>
  <si>
    <t>Groen Score</t>
  </si>
  <si>
    <t>Kleur winnaar</t>
  </si>
  <si>
    <t>Winnaar 1</t>
  </si>
  <si>
    <t>Winnaar 2</t>
  </si>
  <si>
    <t xml:space="preserve">Player </t>
  </si>
  <si>
    <t>Aantal rood verdediger</t>
  </si>
  <si>
    <t>Aantal rood aanvaller</t>
  </si>
  <si>
    <t>Aantal groen verdediger</t>
  </si>
  <si>
    <t>Aantal groen aanvaller</t>
  </si>
  <si>
    <t>Aantal matches</t>
  </si>
  <si>
    <t>Aantal wins</t>
  </si>
  <si>
    <t>Aantal losses</t>
  </si>
  <si>
    <t>Stef D.</t>
  </si>
  <si>
    <t>Stef C.</t>
  </si>
  <si>
    <t xml:space="preserve">Louis </t>
  </si>
  <si>
    <t xml:space="preserve">Stef D </t>
  </si>
  <si>
    <t xml:space="preserve">Stijn </t>
  </si>
  <si>
    <t>GROEN</t>
  </si>
  <si>
    <t>Score</t>
  </si>
  <si>
    <t>Win%</t>
  </si>
  <si>
    <t># Matches</t>
  </si>
  <si>
    <t># Wins</t>
  </si>
  <si>
    <t># Losses</t>
  </si>
  <si>
    <t>Win %</t>
  </si>
  <si>
    <t># Goals</t>
  </si>
  <si>
    <t># Goals Def.</t>
  </si>
  <si>
    <t># Goals Off.</t>
  </si>
  <si>
    <t>RV</t>
  </si>
  <si>
    <t>RA</t>
  </si>
  <si>
    <t>GV</t>
  </si>
  <si>
    <t>GA</t>
  </si>
  <si>
    <t># G Aanvaller</t>
  </si>
  <si>
    <t># G Verdediger</t>
  </si>
  <si>
    <t># R Aanvaller</t>
  </si>
  <si>
    <t># R Verdediger</t>
  </si>
  <si>
    <t># Goals / Match</t>
  </si>
  <si>
    <t># Goals Def. / Match</t>
  </si>
  <si>
    <t># Goals Off. / Match</t>
  </si>
  <si>
    <t>Lawrence</t>
  </si>
  <si>
    <t># Games Def.</t>
  </si>
  <si>
    <t># Games Off.</t>
  </si>
  <si>
    <t>Arno</t>
  </si>
  <si>
    <t xml:space="preserve">Matthijs </t>
  </si>
  <si>
    <t>Score2</t>
  </si>
  <si>
    <t>Score3</t>
  </si>
  <si>
    <t>Score4</t>
  </si>
  <si>
    <t>Datum</t>
  </si>
  <si>
    <t>Eindtijd</t>
  </si>
  <si>
    <t>Starttijd</t>
  </si>
  <si>
    <t>ET</t>
  </si>
  <si>
    <t>ELO</t>
  </si>
  <si>
    <t>Tobi</t>
  </si>
  <si>
    <t>Verdediger</t>
  </si>
  <si>
    <t>Aanvaller</t>
  </si>
  <si>
    <t>Team</t>
  </si>
  <si>
    <t>Team Rood</t>
  </si>
  <si>
    <t>Team Groen</t>
  </si>
  <si>
    <t>Winnaars</t>
  </si>
  <si>
    <t>Winaar rood</t>
  </si>
  <si>
    <t>Winnaar Groen</t>
  </si>
  <si>
    <t>Wins Rood</t>
  </si>
  <si>
    <t>Wins Groen</t>
  </si>
  <si>
    <t>Wins Alg</t>
  </si>
  <si>
    <t>Losses Groen</t>
  </si>
  <si>
    <t>Losses Alg</t>
  </si>
  <si>
    <t>Goals Alg</t>
  </si>
  <si>
    <t>Win% Rood</t>
  </si>
  <si>
    <t>Win% Groen</t>
  </si>
  <si>
    <t>Win% Alg</t>
  </si>
  <si>
    <t>Aantal Games Rood</t>
  </si>
  <si>
    <t>Aantal Games Groen</t>
  </si>
  <si>
    <t>Aantal games Alg</t>
  </si>
  <si>
    <t>ET Rood tot</t>
  </si>
  <si>
    <t>ET Groen tot</t>
  </si>
  <si>
    <t>ET tot</t>
  </si>
  <si>
    <t>ET gem</t>
  </si>
  <si>
    <t>Goals Verdediger</t>
  </si>
  <si>
    <t>Goals Aanvaller</t>
  </si>
  <si>
    <t>Goals OffG</t>
  </si>
  <si>
    <t>Goals DefG</t>
  </si>
  <si>
    <t>Goals DefA</t>
  </si>
  <si>
    <t>Goals OffA</t>
  </si>
  <si>
    <t>Goals Gem</t>
  </si>
  <si>
    <t>Goals DefA gem</t>
  </si>
  <si>
    <t>Losses Rood</t>
  </si>
  <si>
    <t>Goals OffA gem</t>
  </si>
  <si>
    <t>Win</t>
  </si>
  <si>
    <t>Loss</t>
  </si>
  <si>
    <t>Bronze</t>
  </si>
  <si>
    <t>Silver</t>
  </si>
  <si>
    <t>Gold</t>
  </si>
  <si>
    <t>Platinum</t>
  </si>
  <si>
    <t>Grandmaster</t>
  </si>
  <si>
    <t>Division</t>
  </si>
  <si>
    <t>Rank</t>
  </si>
  <si>
    <t>Players</t>
  </si>
  <si>
    <t>Kolom1</t>
  </si>
  <si>
    <t>Verdediger rood</t>
  </si>
  <si>
    <t>Aanvaller rood</t>
  </si>
  <si>
    <t>Verdediger groen</t>
  </si>
  <si>
    <t>Aanvaller groen</t>
  </si>
  <si>
    <t>Team rood</t>
  </si>
  <si>
    <t>Team groen</t>
  </si>
  <si>
    <t>Team Kleur</t>
  </si>
  <si>
    <t>Percentage</t>
  </si>
  <si>
    <t>Speler</t>
  </si>
  <si>
    <t>Naam</t>
  </si>
  <si>
    <t>Winkans</t>
  </si>
  <si>
    <t>Off Rood</t>
  </si>
  <si>
    <t>Def Rood</t>
  </si>
  <si>
    <t>Off Groen</t>
  </si>
  <si>
    <t>Def Groen</t>
  </si>
  <si>
    <t>Elo gain/Loss</t>
  </si>
  <si>
    <t>50%</t>
  </si>
  <si>
    <t>ELO gains/loss</t>
  </si>
  <si>
    <t>ELO gains/loss2</t>
  </si>
  <si>
    <t>ELO gains/loss3</t>
  </si>
  <si>
    <t>ELO gains/loss4</t>
  </si>
  <si>
    <t>ELO2</t>
  </si>
  <si>
    <t>ELO3</t>
  </si>
  <si>
    <t>ELO4</t>
  </si>
  <si>
    <t>ELO Tot</t>
  </si>
  <si>
    <t>ELO Total gain</t>
  </si>
  <si>
    <t>Win% Def</t>
  </si>
  <si>
    <t>Win % Aan</t>
  </si>
  <si>
    <t>Wins def</t>
  </si>
  <si>
    <t>Wins aanv</t>
  </si>
  <si>
    <t>Diamond</t>
  </si>
  <si>
    <t>Tobi*</t>
  </si>
  <si>
    <t>Arno*</t>
  </si>
  <si>
    <t>Jonas*</t>
  </si>
  <si>
    <t>Tiemen*</t>
  </si>
  <si>
    <t>Louis*</t>
  </si>
  <si>
    <t>Matthijs*</t>
  </si>
  <si>
    <t>Bert*</t>
  </si>
  <si>
    <t>Karel*</t>
  </si>
  <si>
    <t>Alexander*</t>
  </si>
  <si>
    <t>Stijn*</t>
  </si>
  <si>
    <t>Coghe</t>
  </si>
  <si>
    <t>Coghe*</t>
  </si>
  <si>
    <t>Stef*</t>
  </si>
  <si>
    <t>Nico*</t>
  </si>
  <si>
    <t>Lawrence*</t>
  </si>
  <si>
    <t>V</t>
  </si>
  <si>
    <t>A</t>
  </si>
  <si>
    <t>ELO-rankstages</t>
  </si>
  <si>
    <t>Nico</t>
  </si>
  <si>
    <t xml:space="preserve">Alexander </t>
  </si>
  <si>
    <t xml:space="preserve">Tobi </t>
  </si>
  <si>
    <t xml:space="preserve">Nico </t>
  </si>
  <si>
    <t xml:space="preserve">Nicolas </t>
  </si>
  <si>
    <t xml:space="preserve">Tobias </t>
  </si>
  <si>
    <t>Alex</t>
  </si>
  <si>
    <t xml:space="preserve">Alex </t>
  </si>
  <si>
    <t xml:space="preserve">Coghe </t>
  </si>
  <si>
    <t xml:space="preserve">Stef C </t>
  </si>
  <si>
    <t xml:space="preserve">Arno </t>
  </si>
  <si>
    <t>Mathijs</t>
  </si>
  <si>
    <t xml:space="preserve">Mathijs </t>
  </si>
  <si>
    <t>Kolom2</t>
  </si>
  <si>
    <t>Kolom3</t>
  </si>
  <si>
    <t>Kolom4</t>
  </si>
  <si>
    <t>Kolom5</t>
  </si>
  <si>
    <t>*</t>
  </si>
  <si>
    <t>SEASON 3</t>
  </si>
  <si>
    <t>SEASON 4</t>
  </si>
  <si>
    <t>Player 2</t>
  </si>
  <si>
    <t>#Goals Def. %</t>
  </si>
  <si>
    <t>#Goals Off. %</t>
  </si>
  <si>
    <t>Goals</t>
  </si>
  <si>
    <t>GEM GOALS</t>
  </si>
  <si>
    <t>Verschil</t>
  </si>
  <si>
    <t>TEAM</t>
  </si>
  <si>
    <t>score</t>
  </si>
  <si>
    <t>rood</t>
  </si>
  <si>
    <t>groen</t>
  </si>
  <si>
    <t>Bonus</t>
  </si>
  <si>
    <t>Bonus%</t>
  </si>
  <si>
    <t>Bonus/Punish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</si>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</sst>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[$-F400]h:mm:ss\ AM/PM"/>
    <numFmt numFmtId="167" formatCode="0.00000000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gradientFill type="path">
        <stop position="0">
          <color theme="9" tint="0.80001220740379042"/>
        </stop>
        <stop position="1">
          <color theme="9" tint="-0.25098422193060094"/>
        </stop>
      </gradientFill>
    </fill>
    <fill>
      <gradientFill degree="270">
        <stop position="0">
          <color rgb="FFFCBB04"/>
        </stop>
        <stop position="1">
          <color theme="7" tint="0.59999389629810485"/>
        </stop>
      </gradientFill>
    </fill>
    <fill>
      <gradientFill>
        <stop position="0">
          <color theme="6" tint="0.40000610370189521"/>
        </stop>
        <stop position="1">
          <color theme="0" tint="-5.0965910824915313E-2"/>
        </stop>
      </gradientFill>
    </fill>
    <fill>
      <patternFill patternType="solid">
        <fgColor theme="7" tint="-0.24994659260841701"/>
        <bgColor indexed="64"/>
      </patternFill>
    </fill>
    <fill>
      <gradientFill type="path" left="0.5" right="0.5" top="0.5" bottom="0.5">
        <stop position="0">
          <color theme="4" tint="0.80001220740379042"/>
        </stop>
        <stop position="1">
          <color theme="8"/>
        </stop>
      </gradientFill>
    </fill>
    <fill>
      <gradientFill type="path">
        <stop position="0">
          <color rgb="FF9966FF"/>
        </stop>
        <stop position="1">
          <color rgb="FF9A009A"/>
        </stop>
      </gradientFill>
    </fill>
    <fill>
      <patternFill patternType="solid">
        <fgColor rgb="FFCC99FF"/>
        <bgColor indexed="64"/>
      </patternFill>
    </fill>
    <fill>
      <patternFill patternType="solid">
        <f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6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slantDashDot">
        <color theme="4" tint="-0.24994659260841701"/>
      </left>
      <right style="slantDashDot">
        <color theme="4" tint="-0.24994659260841701"/>
      </right>
      <top style="slantDashDot">
        <color theme="4" tint="-0.24994659260841701"/>
      </top>
      <bottom style="slantDashDot">
        <color theme="4" tint="-0.24994659260841701"/>
      </bottom>
      <diagonal/>
    </border>
    <border>
      <left style="mediumDashDot">
        <color rgb="FFFFCCFF"/>
      </left>
      <right style="mediumDashDot">
        <color rgb="FFFFCCFF"/>
      </right>
      <top style="mediumDashDot">
        <color rgb="FFFFCCFF"/>
      </top>
      <bottom style="mediumDashDot">
        <color rgb="FFFFCC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slantDashDot">
        <color theme="4" tint="-0.24994659260841701"/>
      </bottom>
      <diagonal/>
    </border>
    <border>
      <left style="medium">
        <color indexed="64"/>
      </left>
      <right style="medium">
        <color indexed="64"/>
      </right>
      <top style="slantDashDot">
        <color theme="4" tint="-0.24994659260841701"/>
      </top>
      <bottom style="slantDashDot">
        <color theme="4" tint="-0.24994659260841701"/>
      </bottom>
      <diagonal/>
    </border>
    <border>
      <left style="medium">
        <color indexed="64"/>
      </left>
      <right style="medium">
        <color indexed="64"/>
      </right>
      <top style="slantDashDot">
        <color theme="4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3" fillId="0" borderId="2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9" fontId="2" fillId="0" borderId="0" applyFont="0" applyFill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7" borderId="0" applyNumberFormat="0" applyBorder="0" applyAlignment="0" applyProtection="0"/>
    <xf numFmtId="0" fontId="15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5" fillId="26" borderId="0"/>
    <xf numFmtId="0" fontId="15" fillId="28" borderId="0"/>
    <xf numFmtId="0" fontId="15" fillId="27" borderId="0"/>
    <xf numFmtId="0" fontId="15" fillId="25" borderId="0"/>
    <xf numFmtId="0" fontId="16" fillId="29" borderId="40"/>
    <xf numFmtId="0" fontId="17" fillId="30" borderId="41"/>
    <xf numFmtId="0" fontId="2" fillId="0" borderId="0"/>
    <xf numFmtId="0" fontId="2" fillId="31" borderId="0"/>
    <xf numFmtId="0" fontId="15" fillId="32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</cellStyleXfs>
  <cellXfs count="41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5" xfId="0" applyFont="1" applyBorder="1"/>
    <xf numFmtId="0" fontId="3" fillId="0" borderId="6" xfId="0" applyFont="1" applyBorder="1"/>
    <xf numFmtId="0" fontId="1" fillId="0" borderId="6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4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3" xfId="0" applyFill="1" applyBorder="1"/>
    <xf numFmtId="0" fontId="0" fillId="10" borderId="4" xfId="0" applyFill="1" applyBorder="1"/>
    <xf numFmtId="0" fontId="0" fillId="6" borderId="3" xfId="0" applyFill="1" applyBorder="1"/>
    <xf numFmtId="0" fontId="0" fillId="6" borderId="4" xfId="0" applyFill="1" applyBorder="1"/>
    <xf numFmtId="0" fontId="0" fillId="10" borderId="6" xfId="0" applyFill="1" applyBorder="1"/>
    <xf numFmtId="0" fontId="0" fillId="6" borderId="6" xfId="0" applyFill="1" applyBorder="1"/>
    <xf numFmtId="0" fontId="3" fillId="10" borderId="6" xfId="0" applyFont="1" applyFill="1" applyBorder="1"/>
    <xf numFmtId="0" fontId="3" fillId="6" borderId="6" xfId="0" applyFont="1" applyFill="1" applyBorder="1"/>
    <xf numFmtId="0" fontId="3" fillId="10" borderId="4" xfId="0" applyFont="1" applyFill="1" applyBorder="1"/>
    <xf numFmtId="0" fontId="2" fillId="3" borderId="1" xfId="3" applyBorder="1"/>
    <xf numFmtId="9" fontId="2" fillId="3" borderId="1" xfId="3" applyNumberFormat="1" applyBorder="1"/>
    <xf numFmtId="0" fontId="2" fillId="2" borderId="3" xfId="2" applyBorder="1"/>
    <xf numFmtId="0" fontId="2" fillId="2" borderId="6" xfId="2" applyBorder="1"/>
    <xf numFmtId="9" fontId="2" fillId="2" borderId="2" xfId="2" applyNumberFormat="1" applyBorder="1"/>
    <xf numFmtId="0" fontId="2" fillId="3" borderId="3" xfId="3" applyBorder="1"/>
    <xf numFmtId="0" fontId="2" fillId="3" borderId="6" xfId="3" applyBorder="1"/>
    <xf numFmtId="9" fontId="2" fillId="3" borderId="2" xfId="3" applyNumberFormat="1" applyBorder="1"/>
    <xf numFmtId="0" fontId="2" fillId="2" borderId="7" xfId="2" applyBorder="1"/>
    <xf numFmtId="0" fontId="2" fillId="2" borderId="0" xfId="2" applyBorder="1"/>
    <xf numFmtId="0" fontId="2" fillId="2" borderId="8" xfId="2" applyBorder="1"/>
    <xf numFmtId="9" fontId="2" fillId="2" borderId="9" xfId="2" applyNumberFormat="1" applyBorder="1"/>
    <xf numFmtId="0" fontId="0" fillId="13" borderId="3" xfId="0" applyFill="1" applyBorder="1"/>
    <xf numFmtId="0" fontId="0" fillId="13" borderId="6" xfId="0" applyFill="1" applyBorder="1"/>
    <xf numFmtId="0" fontId="2" fillId="13" borderId="6" xfId="2" applyFill="1" applyBorder="1"/>
    <xf numFmtId="9" fontId="2" fillId="13" borderId="6" xfId="2" applyNumberFormat="1" applyFill="1" applyBorder="1"/>
    <xf numFmtId="0" fontId="0" fillId="10" borderId="5" xfId="0" applyFill="1" applyBorder="1"/>
    <xf numFmtId="0" fontId="0" fillId="6" borderId="5" xfId="0" applyFill="1" applyBorder="1"/>
    <xf numFmtId="0" fontId="2" fillId="14" borderId="6" xfId="3" applyFill="1" applyBorder="1"/>
    <xf numFmtId="0" fontId="2" fillId="14" borderId="6" xfId="2" applyFill="1" applyBorder="1"/>
    <xf numFmtId="164" fontId="2" fillId="14" borderId="6" xfId="2" applyNumberFormat="1" applyFill="1" applyBorder="1"/>
    <xf numFmtId="0" fontId="2" fillId="3" borderId="11" xfId="3" applyBorder="1"/>
    <xf numFmtId="0" fontId="3" fillId="3" borderId="12" xfId="3" applyFont="1" applyBorder="1"/>
    <xf numFmtId="0" fontId="3" fillId="3" borderId="13" xfId="3" applyFont="1" applyBorder="1"/>
    <xf numFmtId="0" fontId="3" fillId="2" borderId="13" xfId="2" applyFont="1" applyBorder="1"/>
    <xf numFmtId="0" fontId="3" fillId="3" borderId="14" xfId="3" applyFont="1" applyBorder="1"/>
    <xf numFmtId="0" fontId="3" fillId="2" borderId="15" xfId="2" applyFont="1" applyBorder="1"/>
    <xf numFmtId="0" fontId="2" fillId="2" borderId="16" xfId="2" applyBorder="1"/>
    <xf numFmtId="0" fontId="2" fillId="2" borderId="17" xfId="2" applyBorder="1"/>
    <xf numFmtId="9" fontId="2" fillId="2" borderId="17" xfId="2" applyNumberFormat="1" applyBorder="1"/>
    <xf numFmtId="0" fontId="3" fillId="11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12" borderId="19" xfId="0" applyFont="1" applyFill="1" applyBorder="1" applyAlignment="1">
      <alignment horizontal="center" vertical="center"/>
    </xf>
    <xf numFmtId="0" fontId="3" fillId="13" borderId="19" xfId="0" applyFont="1" applyFill="1" applyBorder="1" applyAlignment="1">
      <alignment horizontal="center" vertical="center"/>
    </xf>
    <xf numFmtId="0" fontId="3" fillId="13" borderId="20" xfId="1" applyFont="1" applyFill="1" applyBorder="1" applyAlignment="1">
      <alignment horizontal="center" vertical="center"/>
    </xf>
    <xf numFmtId="0" fontId="2" fillId="2" borderId="21" xfId="2" applyBorder="1"/>
    <xf numFmtId="0" fontId="2" fillId="14" borderId="21" xfId="2" applyFill="1" applyBorder="1"/>
    <xf numFmtId="0" fontId="3" fillId="11" borderId="6" xfId="0" applyFont="1" applyFill="1" applyBorder="1" applyAlignment="1">
      <alignment horizontal="center" vertical="center"/>
    </xf>
    <xf numFmtId="0" fontId="3" fillId="2" borderId="6" xfId="2" applyFont="1" applyBorder="1"/>
    <xf numFmtId="0" fontId="2" fillId="2" borderId="22" xfId="2" applyBorder="1"/>
    <xf numFmtId="0" fontId="3" fillId="2" borderId="23" xfId="2" applyFont="1" applyBorder="1"/>
    <xf numFmtId="0" fontId="3" fillId="2" borderId="24" xfId="2" applyFont="1" applyBorder="1"/>
    <xf numFmtId="0" fontId="3" fillId="5" borderId="6" xfId="0" applyFont="1" applyFill="1" applyBorder="1" applyAlignment="1">
      <alignment horizontal="center" vertical="center"/>
    </xf>
    <xf numFmtId="0" fontId="3" fillId="2" borderId="27" xfId="2" applyFont="1" applyBorder="1"/>
    <xf numFmtId="0" fontId="3" fillId="12" borderId="6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164" fontId="0" fillId="0" borderId="0" xfId="0" applyNumberFormat="1"/>
    <xf numFmtId="0" fontId="3" fillId="9" borderId="21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10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18" borderId="3" xfId="2" applyFont="1" applyFill="1" applyBorder="1" applyAlignment="1">
      <alignment horizontal="right" vertical="center"/>
    </xf>
    <xf numFmtId="0" fontId="3" fillId="13" borderId="6" xfId="1" applyFill="1" applyBorder="1" applyAlignment="1">
      <alignment horizontal="center" vertical="center" wrapText="1"/>
    </xf>
    <xf numFmtId="0" fontId="12" fillId="17" borderId="6" xfId="7" applyFont="1" applyBorder="1"/>
    <xf numFmtId="0" fontId="8" fillId="16" borderId="6" xfId="6" applyBorder="1" applyAlignment="1">
      <alignment horizontal="center" vertical="center"/>
    </xf>
    <xf numFmtId="0" fontId="7" fillId="15" borderId="6" xfId="5" applyBorder="1" applyAlignment="1">
      <alignment horizontal="center" vertical="center"/>
    </xf>
    <xf numFmtId="164" fontId="3" fillId="14" borderId="6" xfId="2" applyNumberFormat="1" applyFont="1" applyFill="1" applyBorder="1" applyAlignment="1">
      <alignment horizontal="right"/>
    </xf>
    <xf numFmtId="164" fontId="3" fillId="14" borderId="6" xfId="2" applyNumberFormat="1" applyFont="1" applyFill="1" applyBorder="1"/>
    <xf numFmtId="0" fontId="3" fillId="13" borderId="10" xfId="1" applyFill="1" applyBorder="1" applyAlignment="1">
      <alignment horizontal="center" vertical="center" wrapText="1"/>
    </xf>
    <xf numFmtId="0" fontId="3" fillId="2" borderId="6" xfId="2" applyFont="1" applyBorder="1" applyAlignment="1">
      <alignment horizontal="right"/>
    </xf>
    <xf numFmtId="9" fontId="10" fillId="2" borderId="6" xfId="4" applyFont="1" applyFill="1" applyBorder="1"/>
    <xf numFmtId="165" fontId="2" fillId="2" borderId="6" xfId="2" applyNumberFormat="1" applyBorder="1"/>
    <xf numFmtId="9" fontId="2" fillId="2" borderId="6" xfId="4" applyFill="1" applyBorder="1"/>
    <xf numFmtId="164" fontId="2" fillId="14" borderId="21" xfId="2" applyNumberFormat="1" applyFill="1" applyBorder="1"/>
    <xf numFmtId="0" fontId="10" fillId="18" borderId="0" xfId="2" applyFont="1" applyFill="1" applyBorder="1" applyAlignment="1">
      <alignment horizontal="right" vertical="center"/>
    </xf>
    <xf numFmtId="0" fontId="11" fillId="18" borderId="4" xfId="0" applyFont="1" applyFill="1" applyBorder="1" applyAlignment="1">
      <alignment horizontal="center" vertical="center"/>
    </xf>
    <xf numFmtId="0" fontId="10" fillId="18" borderId="5" xfId="2" applyFont="1" applyFill="1" applyBorder="1" applyAlignment="1">
      <alignment horizontal="right" vertical="center"/>
    </xf>
    <xf numFmtId="0" fontId="0" fillId="10" borderId="5" xfId="0" applyFont="1" applyFill="1" applyBorder="1"/>
    <xf numFmtId="0" fontId="0" fillId="10" borderId="6" xfId="0" applyFont="1" applyFill="1" applyBorder="1" applyAlignment="1">
      <alignment horizontal="center" vertical="center"/>
    </xf>
    <xf numFmtId="0" fontId="0" fillId="6" borderId="5" xfId="0" applyFont="1" applyFill="1" applyBorder="1"/>
    <xf numFmtId="0" fontId="0" fillId="6" borderId="6" xfId="0" applyFont="1" applyFill="1" applyBorder="1" applyAlignment="1">
      <alignment horizontal="center" vertical="center"/>
    </xf>
    <xf numFmtId="0" fontId="3" fillId="2" borderId="10" xfId="2" applyFont="1" applyBorder="1"/>
    <xf numFmtId="0" fontId="3" fillId="2" borderId="0" xfId="2" applyFont="1" applyBorder="1" applyAlignment="1">
      <alignment horizontal="right"/>
    </xf>
    <xf numFmtId="165" fontId="2" fillId="2" borderId="0" xfId="2" applyNumberFormat="1" applyBorder="1"/>
    <xf numFmtId="0" fontId="0" fillId="0" borderId="0" xfId="0" applyBorder="1"/>
    <xf numFmtId="0" fontId="3" fillId="13" borderId="6" xfId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14" fontId="3" fillId="9" borderId="21" xfId="0" applyNumberFormat="1" applyFont="1" applyFill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166" fontId="3" fillId="9" borderId="21" xfId="0" applyNumberFormat="1" applyFont="1" applyFill="1" applyBorder="1" applyAlignment="1">
      <alignment horizontal="left"/>
    </xf>
    <xf numFmtId="45" fontId="3" fillId="9" borderId="21" xfId="0" applyNumberFormat="1" applyFont="1" applyFill="1" applyBorder="1" applyAlignment="1">
      <alignment horizontal="left"/>
    </xf>
    <xf numFmtId="166" fontId="3" fillId="9" borderId="6" xfId="0" applyNumberFormat="1" applyFont="1" applyFill="1" applyBorder="1" applyAlignment="1">
      <alignment horizontal="left"/>
    </xf>
    <xf numFmtId="166" fontId="3" fillId="0" borderId="6" xfId="0" applyNumberFormat="1" applyFont="1" applyBorder="1" applyAlignment="1">
      <alignment horizontal="left"/>
    </xf>
    <xf numFmtId="0" fontId="3" fillId="4" borderId="33" xfId="0" applyFont="1" applyFill="1" applyBorder="1" applyAlignment="1">
      <alignment horizontal="center" vertical="center"/>
    </xf>
    <xf numFmtId="0" fontId="3" fillId="13" borderId="6" xfId="1" applyFill="1" applyBorder="1" applyAlignment="1">
      <alignment horizontal="center" vertical="center"/>
    </xf>
    <xf numFmtId="0" fontId="12" fillId="17" borderId="10" xfId="7" applyFont="1" applyBorder="1"/>
    <xf numFmtId="0" fontId="8" fillId="16" borderId="0" xfId="6"/>
    <xf numFmtId="0" fontId="7" fillId="15" borderId="0" xfId="5"/>
    <xf numFmtId="0" fontId="8" fillId="16" borderId="36" xfId="6" applyBorder="1"/>
    <xf numFmtId="0" fontId="7" fillId="15" borderId="0" xfId="5" applyBorder="1"/>
    <xf numFmtId="0" fontId="0" fillId="0" borderId="37" xfId="0" applyBorder="1"/>
    <xf numFmtId="0" fontId="8" fillId="16" borderId="0" xfId="6" applyBorder="1"/>
    <xf numFmtId="0" fontId="7" fillId="15" borderId="35" xfId="5" applyBorder="1"/>
    <xf numFmtId="0" fontId="13" fillId="17" borderId="36" xfId="7" applyFont="1" applyBorder="1"/>
    <xf numFmtId="0" fontId="0" fillId="0" borderId="38" xfId="0" applyBorder="1"/>
    <xf numFmtId="0" fontId="0" fillId="0" borderId="35" xfId="0" applyBorder="1"/>
    <xf numFmtId="0" fontId="3" fillId="0" borderId="25" xfId="0" applyFont="1" applyBorder="1"/>
    <xf numFmtId="0" fontId="3" fillId="0" borderId="21" xfId="0" applyFont="1" applyBorder="1"/>
    <xf numFmtId="0" fontId="3" fillId="0" borderId="26" xfId="0" applyFont="1" applyBorder="1"/>
    <xf numFmtId="0" fontId="3" fillId="0" borderId="25" xfId="0" applyFont="1" applyBorder="1" applyAlignment="1">
      <alignment horizontal="center"/>
    </xf>
    <xf numFmtId="0" fontId="0" fillId="0" borderId="0" xfId="0" applyNumberFormat="1"/>
    <xf numFmtId="166" fontId="8" fillId="16" borderId="36" xfId="6" applyNumberFormat="1" applyBorder="1"/>
    <xf numFmtId="166" fontId="7" fillId="15" borderId="35" xfId="5" applyNumberFormat="1" applyBorder="1"/>
    <xf numFmtId="166" fontId="7" fillId="15" borderId="0" xfId="5" applyNumberFormat="1" applyBorder="1"/>
    <xf numFmtId="0" fontId="3" fillId="0" borderId="0" xfId="0" applyFont="1" applyBorder="1" applyAlignment="1">
      <alignment horizontal="center"/>
    </xf>
    <xf numFmtId="166" fontId="0" fillId="0" borderId="35" xfId="0" applyNumberFormat="1" applyBorder="1"/>
    <xf numFmtId="166" fontId="0" fillId="0" borderId="0" xfId="0" applyNumberFormat="1" applyBorder="1"/>
    <xf numFmtId="166" fontId="0" fillId="0" borderId="7" xfId="0" applyNumberFormat="1" applyBorder="1"/>
    <xf numFmtId="166" fontId="0" fillId="0" borderId="37" xfId="0" applyNumberFormat="1" applyBorder="1"/>
    <xf numFmtId="10" fontId="0" fillId="0" borderId="37" xfId="0" applyNumberFormat="1" applyBorder="1"/>
    <xf numFmtId="0" fontId="8" fillId="16" borderId="35" xfId="6" applyBorder="1"/>
    <xf numFmtId="0" fontId="3" fillId="0" borderId="6" xfId="0" applyFont="1" applyBorder="1" applyAlignment="1">
      <alignment horizontal="center"/>
    </xf>
    <xf numFmtId="10" fontId="7" fillId="15" borderId="0" xfId="5" applyNumberFormat="1" applyBorder="1"/>
    <xf numFmtId="10" fontId="8" fillId="16" borderId="36" xfId="6" applyNumberFormat="1" applyBorder="1"/>
    <xf numFmtId="0" fontId="3" fillId="0" borderId="34" xfId="0" applyFont="1" applyBorder="1" applyAlignment="1">
      <alignment horizontal="center"/>
    </xf>
    <xf numFmtId="10" fontId="7" fillId="15" borderId="0" xfId="5" applyNumberFormat="1"/>
    <xf numFmtId="0" fontId="8" fillId="16" borderId="36" xfId="6" applyNumberFormat="1" applyBorder="1"/>
    <xf numFmtId="0" fontId="7" fillId="15" borderId="0" xfId="5" applyNumberFormat="1"/>
    <xf numFmtId="0" fontId="0" fillId="0" borderId="37" xfId="0" applyNumberFormat="1" applyBorder="1"/>
    <xf numFmtId="0" fontId="8" fillId="16" borderId="0" xfId="6" applyNumberFormat="1"/>
    <xf numFmtId="0" fontId="0" fillId="0" borderId="0" xfId="0" applyNumberFormat="1" applyFill="1"/>
    <xf numFmtId="166" fontId="7" fillId="15" borderId="0" xfId="5" applyNumberFormat="1"/>
    <xf numFmtId="0" fontId="7" fillId="15" borderId="0" xfId="5" applyNumberFormat="1" applyBorder="1"/>
    <xf numFmtId="0" fontId="0" fillId="0" borderId="0" xfId="0" applyNumberFormat="1" applyBorder="1"/>
    <xf numFmtId="0" fontId="8" fillId="16" borderId="0" xfId="6" applyNumberFormat="1" applyBorder="1"/>
    <xf numFmtId="0" fontId="0" fillId="0" borderId="0" xfId="0" applyNumberFormat="1" applyFill="1" applyBorder="1"/>
    <xf numFmtId="10" fontId="0" fillId="0" borderId="0" xfId="0" applyNumberFormat="1" applyBorder="1"/>
    <xf numFmtId="166" fontId="8" fillId="16" borderId="0" xfId="6" applyNumberFormat="1" applyBorder="1"/>
    <xf numFmtId="0" fontId="0" fillId="16" borderId="10" xfId="6" applyFont="1" applyBorder="1"/>
    <xf numFmtId="0" fontId="0" fillId="15" borderId="10" xfId="5" applyFont="1" applyBorder="1"/>
    <xf numFmtId="0" fontId="0" fillId="2" borderId="6" xfId="2" applyFont="1" applyBorder="1"/>
    <xf numFmtId="0" fontId="0" fillId="2" borderId="3" xfId="2" applyFont="1" applyBorder="1"/>
    <xf numFmtId="0" fontId="0" fillId="15" borderId="6" xfId="5" applyFont="1" applyBorder="1"/>
    <xf numFmtId="0" fontId="0" fillId="16" borderId="6" xfId="6" applyFont="1" applyBorder="1"/>
    <xf numFmtId="0" fontId="0" fillId="14" borderId="6" xfId="2" applyFont="1" applyFill="1" applyBorder="1"/>
    <xf numFmtId="45" fontId="3" fillId="9" borderId="6" xfId="0" applyNumberFormat="1" applyFont="1" applyFill="1" applyBorder="1" applyAlignment="1">
      <alignment horizontal="left"/>
    </xf>
    <xf numFmtId="0" fontId="0" fillId="0" borderId="7" xfId="0" applyBorder="1"/>
    <xf numFmtId="0" fontId="0" fillId="0" borderId="26" xfId="0" applyBorder="1"/>
    <xf numFmtId="0" fontId="0" fillId="0" borderId="22" xfId="0" applyBorder="1"/>
    <xf numFmtId="0" fontId="2" fillId="20" borderId="0" xfId="9" applyBorder="1"/>
    <xf numFmtId="0" fontId="2" fillId="20" borderId="25" xfId="9" applyBorder="1"/>
    <xf numFmtId="0" fontId="2" fillId="21" borderId="35" xfId="10" applyBorder="1"/>
    <xf numFmtId="0" fontId="2" fillId="21" borderId="0" xfId="10" applyBorder="1"/>
    <xf numFmtId="0" fontId="2" fillId="21" borderId="25" xfId="10" applyBorder="1"/>
    <xf numFmtId="0" fontId="2" fillId="2" borderId="35" xfId="2" applyBorder="1"/>
    <xf numFmtId="0" fontId="2" fillId="23" borderId="35" xfId="12" applyBorder="1"/>
    <xf numFmtId="0" fontId="2" fillId="23" borderId="0" xfId="12" applyBorder="1"/>
    <xf numFmtId="0" fontId="2" fillId="22" borderId="35" xfId="11" applyBorder="1"/>
    <xf numFmtId="0" fontId="2" fillId="22" borderId="0" xfId="11" applyBorder="1"/>
    <xf numFmtId="0" fontId="0" fillId="0" borderId="25" xfId="0" applyBorder="1"/>
    <xf numFmtId="0" fontId="0" fillId="0" borderId="42" xfId="0" applyBorder="1"/>
    <xf numFmtId="0" fontId="0" fillId="0" borderId="43" xfId="0" applyBorder="1"/>
    <xf numFmtId="10" fontId="0" fillId="0" borderId="0" xfId="0" applyNumberFormat="1"/>
    <xf numFmtId="0" fontId="0" fillId="0" borderId="39" xfId="0" applyBorder="1"/>
    <xf numFmtId="0" fontId="0" fillId="10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24" borderId="25" xfId="13" applyBorder="1"/>
    <xf numFmtId="0" fontId="0" fillId="24" borderId="25" xfId="13" applyFont="1" applyBorder="1"/>
    <xf numFmtId="0" fontId="0" fillId="10" borderId="5" xfId="0" applyFill="1" applyBorder="1"/>
    <xf numFmtId="0" fontId="0" fillId="6" borderId="5" xfId="0" applyFill="1" applyBorder="1"/>
    <xf numFmtId="0" fontId="0" fillId="10" borderId="25" xfId="0" applyFill="1" applyBorder="1"/>
    <xf numFmtId="0" fontId="0" fillId="6" borderId="25" xfId="0" applyFill="1" applyBorder="1"/>
    <xf numFmtId="0" fontId="0" fillId="10" borderId="2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0" xfId="0"/>
    <xf numFmtId="0" fontId="0" fillId="0" borderId="0" xfId="0" applyBorder="1"/>
    <xf numFmtId="14" fontId="3" fillId="9" borderId="21" xfId="0" applyNumberFormat="1" applyFont="1" applyFill="1" applyBorder="1" applyAlignment="1">
      <alignment horizontal="left"/>
    </xf>
    <xf numFmtId="166" fontId="3" fillId="9" borderId="21" xfId="0" applyNumberFormat="1" applyFont="1" applyFill="1" applyBorder="1" applyAlignment="1">
      <alignment horizontal="left"/>
    </xf>
    <xf numFmtId="45" fontId="3" fillId="9" borderId="21" xfId="0" applyNumberFormat="1" applyFont="1" applyFill="1" applyBorder="1" applyAlignment="1">
      <alignment horizontal="left"/>
    </xf>
    <xf numFmtId="166" fontId="3" fillId="9" borderId="6" xfId="0" applyNumberFormat="1" applyFont="1" applyFill="1" applyBorder="1" applyAlignment="1">
      <alignment horizontal="left"/>
    </xf>
    <xf numFmtId="9" fontId="0" fillId="0" borderId="0" xfId="4" applyFont="1"/>
    <xf numFmtId="9" fontId="0" fillId="0" borderId="0" xfId="0" applyNumberFormat="1"/>
    <xf numFmtId="166" fontId="0" fillId="0" borderId="0" xfId="0" applyNumberFormat="1"/>
    <xf numFmtId="0" fontId="0" fillId="0" borderId="34" xfId="0" applyBorder="1"/>
    <xf numFmtId="0" fontId="0" fillId="34" borderId="44" xfId="0" applyFont="1" applyFill="1" applyBorder="1"/>
    <xf numFmtId="0" fontId="0" fillId="0" borderId="36" xfId="0" applyBorder="1"/>
    <xf numFmtId="0" fontId="0" fillId="0" borderId="44" xfId="0" applyFont="1" applyBorder="1"/>
    <xf numFmtId="0" fontId="3" fillId="11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3" borderId="0" xfId="1" applyFont="1" applyFill="1" applyBorder="1" applyAlignment="1">
      <alignment horizontal="center" vertical="center"/>
    </xf>
    <xf numFmtId="0" fontId="0" fillId="8" borderId="38" xfId="0" applyFill="1" applyBorder="1"/>
    <xf numFmtId="0" fontId="13" fillId="17" borderId="6" xfId="7" applyFont="1" applyFill="1" applyBorder="1"/>
    <xf numFmtId="0" fontId="13" fillId="17" borderId="4" xfId="7" applyFont="1" applyFill="1" applyBorder="1"/>
    <xf numFmtId="0" fontId="13" fillId="17" borderId="45" xfId="7" applyFont="1" applyFill="1" applyBorder="1"/>
    <xf numFmtId="10" fontId="8" fillId="16" borderId="45" xfId="6" applyNumberFormat="1" applyFont="1" applyFill="1" applyBorder="1"/>
    <xf numFmtId="10" fontId="7" fillId="15" borderId="44" xfId="5" applyNumberFormat="1" applyFont="1" applyFill="1" applyBorder="1"/>
    <xf numFmtId="10" fontId="0" fillId="34" borderId="46" xfId="0" applyNumberFormat="1" applyFont="1" applyFill="1" applyBorder="1"/>
    <xf numFmtId="0" fontId="8" fillId="16" borderId="44" xfId="6" applyFont="1" applyFill="1" applyBorder="1"/>
    <xf numFmtId="0" fontId="7" fillId="15" borderId="44" xfId="5" applyFont="1" applyFill="1" applyBorder="1"/>
    <xf numFmtId="0" fontId="8" fillId="16" borderId="45" xfId="6" applyFont="1" applyFill="1" applyBorder="1"/>
    <xf numFmtId="0" fontId="0" fillId="34" borderId="46" xfId="0" applyFont="1" applyFill="1" applyBorder="1"/>
    <xf numFmtId="10" fontId="0" fillId="0" borderId="46" xfId="0" applyNumberFormat="1" applyFont="1" applyBorder="1"/>
    <xf numFmtId="0" fontId="0" fillId="0" borderId="46" xfId="0" applyFont="1" applyBorder="1"/>
    <xf numFmtId="0" fontId="7" fillId="15" borderId="44" xfId="5" applyNumberFormat="1" applyFont="1" applyFill="1" applyBorder="1"/>
    <xf numFmtId="0" fontId="8" fillId="16" borderId="45" xfId="6" applyNumberFormat="1" applyFont="1" applyFill="1" applyBorder="1"/>
    <xf numFmtId="0" fontId="0" fillId="0" borderId="46" xfId="0" applyNumberFormat="1" applyFont="1" applyBorder="1"/>
    <xf numFmtId="0" fontId="0" fillId="34" borderId="46" xfId="0" applyNumberFormat="1" applyFont="1" applyFill="1" applyBorder="1"/>
    <xf numFmtId="10" fontId="0" fillId="34" borderId="44" xfId="0" applyNumberFormat="1" applyFont="1" applyFill="1" applyBorder="1"/>
    <xf numFmtId="0" fontId="13" fillId="17" borderId="48" xfId="7" applyFont="1" applyFill="1" applyBorder="1"/>
    <xf numFmtId="0" fontId="13" fillId="17" borderId="47" xfId="7" applyFont="1" applyFill="1" applyBorder="1"/>
    <xf numFmtId="0" fontId="13" fillId="17" borderId="3" xfId="7" applyFont="1" applyFill="1" applyBorder="1"/>
    <xf numFmtId="0" fontId="18" fillId="33" borderId="25" xfId="0" applyFont="1" applyFill="1" applyBorder="1"/>
    <xf numFmtId="0" fontId="18" fillId="33" borderId="21" xfId="0" applyFont="1" applyFill="1" applyBorder="1"/>
    <xf numFmtId="0" fontId="18" fillId="33" borderId="26" xfId="0" applyFont="1" applyFill="1" applyBorder="1"/>
    <xf numFmtId="0" fontId="18" fillId="33" borderId="26" xfId="0" applyFont="1" applyFill="1" applyBorder="1" applyAlignment="1">
      <alignment horizontal="center"/>
    </xf>
    <xf numFmtId="0" fontId="18" fillId="33" borderId="25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3" fillId="17" borderId="7" xfId="7" applyFont="1" applyFill="1" applyBorder="1"/>
    <xf numFmtId="0" fontId="13" fillId="17" borderId="50" xfId="7" applyFont="1" applyFill="1" applyBorder="1"/>
    <xf numFmtId="10" fontId="8" fillId="16" borderId="50" xfId="6" applyNumberFormat="1" applyFont="1" applyFill="1" applyBorder="1"/>
    <xf numFmtId="10" fontId="7" fillId="15" borderId="51" xfId="5" applyNumberFormat="1" applyFont="1" applyFill="1" applyBorder="1"/>
    <xf numFmtId="10" fontId="0" fillId="0" borderId="52" xfId="0" applyNumberFormat="1" applyFont="1" applyBorder="1"/>
    <xf numFmtId="10" fontId="0" fillId="0" borderId="44" xfId="0" applyNumberFormat="1" applyFont="1" applyBorder="1"/>
    <xf numFmtId="164" fontId="0" fillId="0" borderId="0" xfId="4" applyNumberFormat="1" applyFont="1"/>
    <xf numFmtId="0" fontId="0" fillId="0" borderId="0" xfId="0" applyFont="1"/>
    <xf numFmtId="9" fontId="0" fillId="34" borderId="44" xfId="4" applyNumberFormat="1" applyFont="1" applyFill="1" applyBorder="1"/>
    <xf numFmtId="0" fontId="0" fillId="34" borderId="53" xfId="0" applyFont="1" applyFill="1" applyBorder="1"/>
    <xf numFmtId="0" fontId="0" fillId="34" borderId="51" xfId="0" applyFont="1" applyFill="1" applyBorder="1"/>
    <xf numFmtId="10" fontId="0" fillId="34" borderId="51" xfId="0" applyNumberFormat="1" applyFont="1" applyFill="1" applyBorder="1"/>
    <xf numFmtId="9" fontId="0" fillId="34" borderId="51" xfId="4" applyNumberFormat="1" applyFont="1" applyFill="1" applyBorder="1"/>
    <xf numFmtId="9" fontId="0" fillId="34" borderId="53" xfId="0" applyNumberFormat="1" applyFont="1" applyFill="1" applyBorder="1"/>
    <xf numFmtId="9" fontId="0" fillId="34" borderId="51" xfId="0" applyNumberFormat="1" applyFont="1" applyFill="1" applyBorder="1"/>
    <xf numFmtId="9" fontId="0" fillId="0" borderId="53" xfId="0" applyNumberFormat="1" applyBorder="1"/>
    <xf numFmtId="0" fontId="15" fillId="32" borderId="38" xfId="22" applyBorder="1"/>
    <xf numFmtId="0" fontId="15" fillId="19" borderId="38" xfId="8" applyBorder="1"/>
    <xf numFmtId="2" fontId="0" fillId="0" borderId="0" xfId="0" applyNumberFormat="1"/>
    <xf numFmtId="2" fontId="0" fillId="0" borderId="34" xfId="0" applyNumberFormat="1" applyBorder="1"/>
    <xf numFmtId="2" fontId="0" fillId="0" borderId="35" xfId="0" applyNumberFormat="1" applyBorder="1"/>
    <xf numFmtId="2" fontId="0" fillId="0" borderId="7" xfId="0" applyNumberFormat="1" applyBorder="1"/>
    <xf numFmtId="2" fontId="0" fillId="0" borderId="36" xfId="0" applyNumberFormat="1" applyBorder="1"/>
    <xf numFmtId="2" fontId="0" fillId="0" borderId="0" xfId="0" applyNumberFormat="1" applyBorder="1"/>
    <xf numFmtId="2" fontId="0" fillId="0" borderId="37" xfId="0" applyNumberFormat="1" applyBorder="1"/>
    <xf numFmtId="1" fontId="0" fillId="0" borderId="0" xfId="0" applyNumberFormat="1"/>
    <xf numFmtId="0" fontId="0" fillId="34" borderId="4" xfId="0" applyFont="1" applyFill="1" applyBorder="1"/>
    <xf numFmtId="0" fontId="0" fillId="0" borderId="5" xfId="0" applyFont="1" applyBorder="1"/>
    <xf numFmtId="0" fontId="0" fillId="34" borderId="5" xfId="0" applyFont="1" applyFill="1" applyBorder="1"/>
    <xf numFmtId="0" fontId="13" fillId="0" borderId="36" xfId="0" applyFont="1" applyBorder="1"/>
    <xf numFmtId="0" fontId="3" fillId="13" borderId="4" xfId="1" applyFill="1" applyBorder="1" applyAlignment="1">
      <alignment horizontal="center" vertical="center"/>
    </xf>
    <xf numFmtId="164" fontId="2" fillId="14" borderId="22" xfId="2" applyNumberFormat="1" applyFill="1" applyBorder="1"/>
    <xf numFmtId="164" fontId="3" fillId="14" borderId="0" xfId="2" applyNumberFormat="1" applyFont="1" applyFill="1" applyBorder="1" applyAlignment="1">
      <alignment horizontal="right"/>
    </xf>
    <xf numFmtId="1" fontId="0" fillId="0" borderId="13" xfId="0" applyNumberFormat="1" applyBorder="1"/>
    <xf numFmtId="1" fontId="0" fillId="0" borderId="54" xfId="0" applyNumberFormat="1" applyBorder="1"/>
    <xf numFmtId="0" fontId="0" fillId="0" borderId="0" xfId="0"/>
    <xf numFmtId="0" fontId="2" fillId="14" borderId="6" xfId="3" applyFill="1" applyBorder="1"/>
    <xf numFmtId="0" fontId="2" fillId="14" borderId="6" xfId="2" applyFill="1" applyBorder="1"/>
    <xf numFmtId="0" fontId="3" fillId="2" borderId="6" xfId="2" applyFont="1" applyBorder="1"/>
    <xf numFmtId="164" fontId="3" fillId="14" borderId="6" xfId="2" applyNumberFormat="1" applyFont="1" applyFill="1" applyBorder="1" applyAlignment="1">
      <alignment horizontal="right"/>
    </xf>
    <xf numFmtId="0" fontId="3" fillId="2" borderId="6" xfId="2" applyFont="1" applyBorder="1" applyAlignment="1">
      <alignment horizontal="right"/>
    </xf>
    <xf numFmtId="9" fontId="10" fillId="2" borderId="6" xfId="4" applyFont="1" applyFill="1" applyBorder="1"/>
    <xf numFmtId="165" fontId="2" fillId="2" borderId="6" xfId="2" applyNumberFormat="1" applyBorder="1"/>
    <xf numFmtId="9" fontId="2" fillId="2" borderId="6" xfId="4" applyFill="1" applyBorder="1"/>
    <xf numFmtId="0" fontId="0" fillId="14" borderId="6" xfId="2" applyFont="1" applyFill="1" applyBorder="1"/>
    <xf numFmtId="0" fontId="3" fillId="13" borderId="10" xfId="0" applyFont="1" applyFill="1" applyBorder="1" applyAlignment="1">
      <alignment horizontal="center" vertical="center"/>
    </xf>
    <xf numFmtId="9" fontId="0" fillId="0" borderId="0" xfId="4" applyFont="1" applyFill="1"/>
    <xf numFmtId="0" fontId="0" fillId="0" borderId="0" xfId="0" applyProtection="1">
      <protection locked="0"/>
    </xf>
    <xf numFmtId="0" fontId="10" fillId="0" borderId="5" xfId="0" applyFont="1" applyBorder="1" applyAlignment="1">
      <alignment horizontal="right"/>
    </xf>
    <xf numFmtId="0" fontId="7" fillId="15" borderId="0" xfId="5" applyBorder="1" applyAlignment="1">
      <alignment horizontal="center" vertical="center"/>
    </xf>
    <xf numFmtId="0" fontId="0" fillId="15" borderId="0" xfId="5" applyFont="1" applyBorder="1"/>
    <xf numFmtId="0" fontId="8" fillId="16" borderId="50" xfId="6" applyFont="1" applyFill="1" applyBorder="1"/>
    <xf numFmtId="0" fontId="7" fillId="15" borderId="51" xfId="5" applyFont="1" applyFill="1" applyBorder="1"/>
    <xf numFmtId="0" fontId="0" fillId="0" borderId="52" xfId="0" applyFont="1" applyBorder="1"/>
    <xf numFmtId="0" fontId="2" fillId="23" borderId="7" xfId="12" applyBorder="1"/>
    <xf numFmtId="0" fontId="2" fillId="23" borderId="37" xfId="12" applyBorder="1"/>
    <xf numFmtId="0" fontId="2" fillId="22" borderId="7" xfId="11" applyBorder="1"/>
    <xf numFmtId="0" fontId="2" fillId="22" borderId="37" xfId="11" applyBorder="1"/>
    <xf numFmtId="0" fontId="2" fillId="31" borderId="0" xfId="21" applyBorder="1"/>
    <xf numFmtId="0" fontId="0" fillId="0" borderId="36" xfId="0" applyNumberFormat="1" applyBorder="1"/>
    <xf numFmtId="0" fontId="2" fillId="31" borderId="35" xfId="21" applyBorder="1"/>
    <xf numFmtId="0" fontId="2" fillId="31" borderId="25" xfId="21" applyBorder="1"/>
    <xf numFmtId="0" fontId="17" fillId="30" borderId="54" xfId="19" applyBorder="1"/>
    <xf numFmtId="0" fontId="17" fillId="30" borderId="13" xfId="19" applyBorder="1"/>
    <xf numFmtId="0" fontId="17" fillId="30" borderId="14" xfId="19" applyBorder="1"/>
    <xf numFmtId="0" fontId="19" fillId="29" borderId="56" xfId="18" applyFont="1" applyBorder="1"/>
    <xf numFmtId="0" fontId="16" fillId="29" borderId="57" xfId="18" applyBorder="1"/>
    <xf numFmtId="0" fontId="16" fillId="29" borderId="58" xfId="18" applyBorder="1"/>
    <xf numFmtId="0" fontId="15" fillId="25" borderId="54" xfId="17" applyFont="1" applyBorder="1"/>
    <xf numFmtId="0" fontId="15" fillId="25" borderId="13" xfId="17" applyBorder="1"/>
    <xf numFmtId="0" fontId="15" fillId="25" borderId="14" xfId="17" applyBorder="1"/>
    <xf numFmtId="0" fontId="15" fillId="26" borderId="54" xfId="14" applyBorder="1"/>
    <xf numFmtId="0" fontId="15" fillId="26" borderId="13" xfId="14" applyBorder="1"/>
    <xf numFmtId="0" fontId="15" fillId="26" borderId="14" xfId="14" applyBorder="1"/>
    <xf numFmtId="0" fontId="15" fillId="27" borderId="54" xfId="16" applyBorder="1"/>
    <xf numFmtId="0" fontId="15" fillId="27" borderId="13" xfId="16" applyBorder="1"/>
    <xf numFmtId="0" fontId="15" fillId="27" borderId="14" xfId="16" applyBorder="1"/>
    <xf numFmtId="0" fontId="15" fillId="28" borderId="54" xfId="15" applyBorder="1"/>
    <xf numFmtId="0" fontId="15" fillId="28" borderId="13" xfId="15" applyBorder="1"/>
    <xf numFmtId="0" fontId="15" fillId="28" borderId="14" xfId="15" applyBorder="1"/>
    <xf numFmtId="0" fontId="0" fillId="0" borderId="26" xfId="0" applyNumberFormat="1" applyBorder="1"/>
    <xf numFmtId="0" fontId="0" fillId="0" borderId="25" xfId="0" applyNumberFormat="1" applyBorder="1"/>
    <xf numFmtId="0" fontId="0" fillId="0" borderId="22" xfId="0" applyNumberFormat="1" applyBorder="1"/>
    <xf numFmtId="0" fontId="0" fillId="34" borderId="0" xfId="0" applyFont="1" applyFill="1" applyBorder="1"/>
    <xf numFmtId="0" fontId="0" fillId="34" borderId="49" xfId="0" applyFont="1" applyFill="1" applyBorder="1"/>
    <xf numFmtId="0" fontId="0" fillId="34" borderId="55" xfId="0" applyFont="1" applyFill="1" applyBorder="1"/>
    <xf numFmtId="0" fontId="0" fillId="34" borderId="44" xfId="0" applyNumberFormat="1" applyFont="1" applyFill="1" applyBorder="1"/>
    <xf numFmtId="164" fontId="3" fillId="14" borderId="4" xfId="2" applyNumberFormat="1" applyFont="1" applyFill="1" applyBorder="1" applyAlignment="1">
      <alignment horizontal="right"/>
    </xf>
    <xf numFmtId="1" fontId="3" fillId="14" borderId="34" xfId="2" applyNumberFormat="1" applyFont="1" applyFill="1" applyBorder="1" applyAlignment="1">
      <alignment horizontal="right"/>
    </xf>
    <xf numFmtId="1" fontId="3" fillId="14" borderId="36" xfId="2" applyNumberFormat="1" applyFont="1" applyFill="1" applyBorder="1" applyAlignment="1">
      <alignment horizontal="right"/>
    </xf>
    <xf numFmtId="1" fontId="3" fillId="14" borderId="26" xfId="2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9" fontId="0" fillId="0" borderId="0" xfId="4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5" fillId="35" borderId="6" xfId="23" applyBorder="1" applyAlignment="1">
      <alignment horizontal="center" vertical="center" wrapText="1"/>
    </xf>
    <xf numFmtId="0" fontId="15" fillId="35" borderId="59" xfId="23" applyBorder="1" applyAlignment="1">
      <alignment horizontal="center" vertical="center" wrapText="1"/>
    </xf>
    <xf numFmtId="0" fontId="15" fillId="35" borderId="5" xfId="23" applyBorder="1" applyAlignment="1">
      <alignment horizontal="center" vertical="center" wrapText="1"/>
    </xf>
    <xf numFmtId="0" fontId="0" fillId="34" borderId="7" xfId="0" applyFont="1" applyFill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34" borderId="37" xfId="0" applyFont="1" applyFill="1" applyBorder="1" applyAlignment="1">
      <alignment horizontal="center" vertical="center"/>
    </xf>
    <xf numFmtId="0" fontId="0" fillId="34" borderId="22" xfId="0" applyFont="1" applyFill="1" applyBorder="1" applyAlignment="1">
      <alignment horizontal="center" vertical="center"/>
    </xf>
    <xf numFmtId="0" fontId="0" fillId="34" borderId="27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34" borderId="13" xfId="0" applyFont="1" applyFill="1" applyBorder="1" applyAlignment="1">
      <alignment horizontal="center" vertical="center"/>
    </xf>
    <xf numFmtId="0" fontId="0" fillId="34" borderId="14" xfId="0" applyFont="1" applyFill="1" applyBorder="1" applyAlignment="1">
      <alignment horizontal="center" vertical="center"/>
    </xf>
    <xf numFmtId="0" fontId="0" fillId="3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7" xfId="0" applyBorder="1" applyAlignment="1">
      <alignment horizontal="center"/>
    </xf>
    <xf numFmtId="0" fontId="13" fillId="0" borderId="3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6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0" fontId="0" fillId="0" borderId="26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11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3" borderId="0" xfId="0" applyFont="1" applyFill="1" applyBorder="1" applyAlignment="1">
      <alignment horizontal="center" vertical="center" wrapText="1"/>
    </xf>
    <xf numFmtId="1" fontId="0" fillId="0" borderId="60" xfId="0" applyNumberFormat="1" applyBorder="1" applyAlignment="1">
      <alignment horizontal="center"/>
    </xf>
    <xf numFmtId="1" fontId="0" fillId="0" borderId="61" xfId="0" applyNumberFormat="1" applyBorder="1" applyAlignment="1">
      <alignment horizontal="center"/>
    </xf>
    <xf numFmtId="9" fontId="0" fillId="0" borderId="0" xfId="4" applyFont="1" applyBorder="1" applyAlignment="1">
      <alignment horizontal="center"/>
    </xf>
    <xf numFmtId="9" fontId="0" fillId="0" borderId="65" xfId="4" applyFont="1" applyBorder="1" applyAlignment="1">
      <alignment horizontal="center"/>
    </xf>
    <xf numFmtId="9" fontId="0" fillId="0" borderId="60" xfId="4" applyFont="1" applyBorder="1" applyAlignment="1">
      <alignment horizontal="center"/>
    </xf>
    <xf numFmtId="9" fontId="0" fillId="0" borderId="66" xfId="4" applyFont="1" applyBorder="1" applyAlignment="1">
      <alignment horizontal="center"/>
    </xf>
    <xf numFmtId="9" fontId="0" fillId="0" borderId="67" xfId="4" applyFont="1" applyBorder="1" applyAlignment="1">
      <alignment horizontal="center"/>
    </xf>
    <xf numFmtId="9" fontId="0" fillId="0" borderId="61" xfId="4" applyFont="1" applyBorder="1" applyAlignment="1">
      <alignment horizontal="center"/>
    </xf>
    <xf numFmtId="0" fontId="15" fillId="35" borderId="68" xfId="23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9" fontId="0" fillId="0" borderId="0" xfId="4" applyFont="1" applyFill="1" applyAlignment="1">
      <alignment horizontal="center"/>
    </xf>
    <xf numFmtId="9" fontId="0" fillId="0" borderId="0" xfId="4" applyFont="1" applyFill="1" applyBorder="1" applyAlignment="1">
      <alignment horizontal="center"/>
    </xf>
    <xf numFmtId="0" fontId="15" fillId="36" borderId="62" xfId="24" applyBorder="1" applyAlignment="1">
      <alignment horizontal="center" vertical="center"/>
    </xf>
    <xf numFmtId="0" fontId="15" fillId="36" borderId="63" xfId="24" applyBorder="1" applyAlignment="1">
      <alignment horizontal="center" vertical="center"/>
    </xf>
    <xf numFmtId="0" fontId="15" fillId="36" borderId="64" xfId="24" applyBorder="1" applyAlignment="1">
      <alignment horizontal="center" vertical="center" wrapText="1"/>
    </xf>
    <xf numFmtId="165" fontId="3" fillId="0" borderId="0" xfId="0" applyNumberFormat="1" applyFont="1"/>
    <xf numFmtId="0" fontId="2" fillId="0" borderId="0" xfId="20"/>
    <xf numFmtId="0" fontId="0" fillId="0" borderId="36" xfId="0" applyFill="1" applyBorder="1"/>
    <xf numFmtId="0" fontId="0" fillId="0" borderId="26" xfId="0" applyFill="1" applyBorder="1"/>
    <xf numFmtId="167" fontId="0" fillId="0" borderId="37" xfId="0" applyNumberFormat="1" applyBorder="1"/>
    <xf numFmtId="0" fontId="0" fillId="0" borderId="0" xfId="0" applyAlignment="1">
      <alignment horizontal="center"/>
    </xf>
    <xf numFmtId="0" fontId="3" fillId="13" borderId="6" xfId="1" applyFill="1" applyBorder="1" applyAlignment="1">
      <alignment horizontal="center" vertical="center"/>
    </xf>
  </cellXfs>
  <cellStyles count="25">
    <cellStyle name="20% - Accent3" xfId="10" builtinId="38"/>
    <cellStyle name="20% - Accent4" xfId="2" builtinId="42"/>
    <cellStyle name="20% - Accent5" xfId="11" builtinId="46"/>
    <cellStyle name="20% - Accent6" xfId="12" builtinId="50"/>
    <cellStyle name="40% - Accent2" xfId="9" builtinId="35"/>
    <cellStyle name="40% - Accent6" xfId="13" builtinId="51"/>
    <cellStyle name="60% - Accent4" xfId="3" builtinId="44"/>
    <cellStyle name="Accent2" xfId="8" builtinId="33"/>
    <cellStyle name="Accent3" xfId="23" builtinId="37"/>
    <cellStyle name="Accent4" xfId="24" builtinId="41"/>
    <cellStyle name="Accent6" xfId="22" builtinId="49"/>
    <cellStyle name="Bad" xfId="6" builtinId="27"/>
    <cellStyle name="Bronze" xfId="15" xr:uid="{B155E96E-5FAC-45DF-A26F-4B61A9D525C8}"/>
    <cellStyle name="Diamond" xfId="18" xr:uid="{219798E2-EE9E-48FB-B7D4-550042CF1BF5}"/>
    <cellStyle name="Gold" xfId="14" xr:uid="{DF1396AD-EEE9-4EDB-B1B5-CDE7E5BB5FFD}"/>
    <cellStyle name="Good" xfId="5" builtinId="26"/>
    <cellStyle name="Grandmaster" xfId="19" xr:uid="{29A9180A-D0A1-4A9B-A484-37EE5DE89C04}"/>
    <cellStyle name="Neutral" xfId="7" builtinId="28"/>
    <cellStyle name="Normal" xfId="0" builtinId="0"/>
    <cellStyle name="Percent" xfId="4" builtinId="5"/>
    <cellStyle name="Platinum" xfId="17" xr:uid="{19FE0F81-89CF-4424-B2C9-AF55C4317877}"/>
    <cellStyle name="Sivler" xfId="16" xr:uid="{01F65A9B-EF4E-40DD-9003-08CB43D16588}"/>
    <cellStyle name="Stijl 1" xfId="20" xr:uid="{6B43FA93-773D-42DF-B033-D349A6E9C7FB}"/>
    <cellStyle name="Stijl 2" xfId="21" xr:uid="{87EAA530-5F4E-4CAE-A214-8D418B51531C}"/>
    <cellStyle name="Total" xfId="1" builtinId="25"/>
  </cellStyles>
  <dxfs count="374">
    <dxf>
      <numFmt numFmtId="2" formatCode="0.00"/>
    </dxf>
    <dxf>
      <numFmt numFmtId="2" formatCode="0.00"/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border diagonalUp="0" diagonalDown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indexed="64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</dxf>
    <dxf>
      <numFmt numFmtId="2" formatCode="0.00"/>
    </dxf>
    <dxf>
      <numFmt numFmtId="1" formatCode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0" formatCode="General"/>
    </dxf>
    <dxf>
      <numFmt numFmtId="13" formatCode="0%"/>
    </dxf>
    <dxf>
      <numFmt numFmtId="0" formatCode="General"/>
    </dxf>
    <dxf>
      <numFmt numFmtId="14" formatCode="0.00%"/>
    </dxf>
    <dxf>
      <numFmt numFmtId="0" formatCode="General"/>
    </dxf>
    <dxf>
      <fill>
        <gradientFill type="path" left="0.5" right="0.5" top="0.5" bottom="0.5">
          <stop position="0">
            <color theme="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CBB04"/>
          </stop>
        </gradientFill>
      </fill>
    </dxf>
    <dxf>
      <fill>
        <gradientFill type="path" left="1" right="1">
          <stop position="0">
            <color theme="0"/>
          </stop>
          <stop position="1">
            <color theme="0" tint="-0.1490218817712943"/>
          </stop>
        </gradientFill>
      </fill>
    </dxf>
    <dxf>
      <fill>
        <gradientFill degree="90">
          <stop position="0">
            <color theme="0"/>
          </stop>
          <stop position="1">
            <color theme="7" tint="-0.49803155613879818"/>
          </stop>
        </gradientFill>
      </fill>
    </dxf>
    <dxf>
      <font>
        <b/>
        <i val="0"/>
        <strike val="0"/>
      </font>
      <fill>
        <gradientFill type="path" left="1" right="1" top="1" bottom="1">
          <stop position="0">
            <color rgb="FFCC99FF"/>
          </stop>
          <stop position="1">
            <color rgb="FF9966FF"/>
          </stop>
        </gradientFill>
      </fill>
      <border>
        <left style="dashDotDot">
          <color theme="7" tint="0.39994506668294322"/>
        </left>
        <right style="dashDotDot">
          <color theme="7" tint="0.39994506668294322"/>
        </right>
        <top style="dashDotDot">
          <color theme="7" tint="0.39994506668294322"/>
        </top>
        <bottom style="dashDotDot">
          <color theme="7" tint="0.39994506668294322"/>
        </bottom>
        <vertical/>
        <horizontal/>
      </border>
    </dxf>
    <dxf>
      <fill>
        <gradientFill type="path" left="0.5" right="0.5" top="0.5" bottom="0.5">
          <stop position="0">
            <color theme="4" tint="0.59999389629810485"/>
          </stop>
          <stop position="1">
            <color theme="4" tint="-0.25098422193060094"/>
          </stop>
        </gradientFill>
      </fill>
      <border>
        <left style="dashDot">
          <color rgb="FFCC99FF"/>
        </left>
        <right style="dashDot">
          <color rgb="FFCC99FF"/>
        </right>
        <top style="dashDot">
          <color rgb="FFCC99FF"/>
        </top>
        <bottom style="dashDot">
          <color rgb="FFCC99FF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vertic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border>
        <bottom style="medium">
          <color rgb="FF000000"/>
        </bottom>
      </border>
    </dxf>
    <dxf>
      <border diagonalUp="0" diagonalDown="0"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/>
      </font>
      <fill>
        <gradientFill type="path" left="0.5" right="0.5" top="0.5" bottom="0.5">
          <stop position="0">
            <color theme="4" tint="0.40000610370189521"/>
          </stop>
          <stop position="1">
            <color theme="4" tint="-0.25098422193060094"/>
          </stop>
        </gradient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1"/>
      </font>
      <fill>
        <gradientFill>
          <stop position="0">
            <color theme="0" tint="-0.25098422193060094"/>
          </stop>
          <stop position="1">
            <color theme="0" tint="-5.0965910824915313E-2"/>
          </stop>
        </gradientFill>
      </fill>
    </dxf>
    <dxf>
      <font>
        <color theme="0"/>
      </font>
      <fill>
        <patternFill patternType="solid">
          <fgColor rgb="FFAB8855"/>
          <bgColor rgb="FF996633"/>
        </patternFill>
      </fill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vertic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gradientFill type="path" left="0.5" right="0.5" top="0.5" bottom="0.5">
          <stop position="0">
            <color theme="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CBB04"/>
          </stop>
        </gradientFill>
      </fill>
    </dxf>
    <dxf>
      <fill>
        <gradientFill type="path" left="1" right="1">
          <stop position="0">
            <color theme="0"/>
          </stop>
          <stop position="1">
            <color theme="0" tint="-0.1490218817712943"/>
          </stop>
        </gradientFill>
      </fill>
    </dxf>
    <dxf>
      <fill>
        <gradientFill degree="90">
          <stop position="0">
            <color theme="0"/>
          </stop>
          <stop position="1">
            <color theme="7" tint="-0.49803155613879818"/>
          </stop>
        </gradientFill>
      </fill>
    </dxf>
    <dxf>
      <font>
        <b/>
        <i val="0"/>
        <strike val="0"/>
      </font>
      <fill>
        <gradientFill type="path" left="1" right="1" top="1" bottom="1">
          <stop position="0">
            <color rgb="FFCC99FF"/>
          </stop>
          <stop position="1">
            <color rgb="FF9966FF"/>
          </stop>
        </gradientFill>
      </fill>
      <border>
        <left style="dashDotDot">
          <color theme="7" tint="0.39994506668294322"/>
        </left>
        <right style="dashDotDot">
          <color theme="7" tint="0.39994506668294322"/>
        </right>
        <top style="dashDotDot">
          <color theme="7" tint="0.39994506668294322"/>
        </top>
        <bottom style="dashDotDot">
          <color theme="7" tint="0.39994506668294322"/>
        </bottom>
        <vertical/>
        <horizontal/>
      </border>
    </dxf>
    <dxf>
      <fill>
        <gradientFill type="path" left="0.5" right="0.5" top="0.5" bottom="0.5">
          <stop position="0">
            <color theme="4" tint="0.59999389629810485"/>
          </stop>
          <stop position="1">
            <color theme="4" tint="-0.25098422193060094"/>
          </stop>
        </gradientFill>
      </fill>
      <border>
        <left style="dashDot">
          <color rgb="FFCC99FF"/>
        </left>
        <right style="dashDot">
          <color rgb="FFCC99FF"/>
        </right>
        <top style="dashDot">
          <color rgb="FFCC99FF"/>
        </top>
        <bottom style="dashDot">
          <color rgb="FFCC99FF"/>
        </bottom>
        <vertical/>
        <horizontal/>
      </border>
    </dxf>
    <dxf>
      <numFmt numFmtId="166" formatCode="[$-F400]h:mm:ss\ AM/PM"/>
      <border diagonalUp="0" diagonalDown="0">
        <left/>
        <right style="thin">
          <color indexed="64"/>
        </right>
        <top/>
        <bottom/>
      </border>
    </dxf>
    <dxf>
      <numFmt numFmtId="166" formatCode="[$-F400]h:mm:ss\ AM/PM"/>
    </dxf>
    <dxf>
      <numFmt numFmtId="166" formatCode="[$-F400]h:mm:ss\ AM/PM"/>
    </dxf>
    <dxf>
      <numFmt numFmtId="0" formatCode="General"/>
      <border diagonalUp="0" diagonalDown="0" outline="0">
        <left style="thin">
          <color indexed="64"/>
        </left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outline="0">
        <left style="thin">
          <color indexed="64"/>
        </left>
      </border>
    </dxf>
    <dxf>
      <numFmt numFmtId="14" formatCode="0.00%"/>
      <border diagonalUp="0" diagonalDown="0">
        <left/>
        <right style="thin">
          <color indexed="64"/>
        </right>
        <top/>
        <bottom/>
      </border>
    </dxf>
    <dxf>
      <numFmt numFmtId="14" formatCode="0.00%"/>
    </dxf>
    <dxf>
      <numFmt numFmtId="14" formatCode="0.00%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8" formatCode="mm:ss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d/mm/yyyy\ hh:mm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ill>
        <gradientFill degree="135">
          <stop position="0">
            <color rgb="FF9966FF"/>
          </stop>
          <stop position="0.5">
            <color rgb="FFCC99FF"/>
          </stop>
          <stop position="1">
            <color rgb="FF9966FF"/>
          </stop>
        </gradientFill>
      </fill>
      <border>
        <left style="thin">
          <color rgb="FF9A009A"/>
        </left>
        <right style="thin">
          <color rgb="FF9A009A"/>
        </right>
        <top style="thin">
          <color rgb="FF9A009A"/>
        </top>
        <bottom style="thin">
          <color rgb="FF9A009A"/>
        </bottom>
      </border>
    </dxf>
    <dxf>
      <fill>
        <gradientFill degree="135">
          <stop position="0">
            <color rgb="FF9966FF"/>
          </stop>
          <stop position="0.5">
            <color rgb="FFCC99FF"/>
          </stop>
          <stop position="1">
            <color rgb="FF9966FF"/>
          </stop>
        </gradientFill>
      </fill>
      <border>
        <left style="thin">
          <color rgb="FF9A009A"/>
        </left>
        <right style="thin">
          <color rgb="FF9A009A"/>
        </right>
        <top style="thin">
          <color rgb="FF9A009A"/>
        </top>
        <bottom style="thin">
          <color rgb="FF9A009A"/>
        </bottom>
      </border>
    </dxf>
    <dxf>
      <fill>
        <gradientFill degree="135">
          <stop position="0">
            <color rgb="FF9966FF"/>
          </stop>
          <stop position="0.5">
            <color rgb="FFCC99FF"/>
          </stop>
          <stop position="1">
            <color rgb="FF9966FF"/>
          </stop>
        </gradientFill>
      </fill>
      <border>
        <left style="thin">
          <color rgb="FF9A009A"/>
        </left>
        <right style="thin">
          <color rgb="FF9A009A"/>
        </right>
        <top style="thin">
          <color rgb="FF9A009A"/>
        </top>
        <bottom style="thin">
          <color rgb="FF9A009A"/>
        </bottom>
      </border>
    </dxf>
    <dxf>
      <fill>
        <gradientFill degree="135">
          <stop position="0">
            <color rgb="FF9966FF"/>
          </stop>
          <stop position="0.5">
            <color rgb="FFCC99FF"/>
          </stop>
          <stop position="1">
            <color rgb="FF9966FF"/>
          </stop>
        </gradientFill>
      </fill>
      <border>
        <left style="thin">
          <color rgb="FF9A009A"/>
        </left>
        <right style="thin">
          <color rgb="FF9A009A"/>
        </right>
        <top style="thin">
          <color rgb="FF9A009A"/>
        </top>
        <bottom style="thin">
          <color rgb="FF9A009A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CCC"/>
      </font>
      <fill>
        <patternFill>
          <bgColor rgb="FFFF3300"/>
        </patternFill>
      </fill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0"/>
      </font>
      <fill>
        <gradientFill type="path" left="0.5" right="0.5" top="0.5" bottom="0.5">
          <stop position="0">
            <color theme="4" tint="0.59999389629810485"/>
          </stop>
          <stop position="1">
            <color theme="4" tint="-0.25098422193060094"/>
          </stop>
        </gradient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 patternType="solid">
          <bgColor theme="7"/>
        </patternFill>
      </fill>
    </dxf>
    <dxf>
      <font>
        <color theme="1"/>
      </font>
      <fill>
        <gradientFill>
          <stop position="0">
            <color theme="0" tint="-0.25098422193060094"/>
          </stop>
          <stop position="1">
            <color theme="0" tint="-5.0965910824915313E-2"/>
          </stop>
        </gradientFill>
      </fill>
    </dxf>
    <dxf>
      <font>
        <color theme="0"/>
      </font>
      <fill>
        <patternFill patternType="solid">
          <fgColor rgb="FFAB8855"/>
          <bgColor rgb="FF996633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CBB04"/>
          </stop>
        </gradientFill>
      </fill>
    </dxf>
    <dxf>
      <fill>
        <gradientFill type="path" left="1" right="1">
          <stop position="0">
            <color theme="0"/>
          </stop>
          <stop position="1">
            <color theme="0" tint="-0.1490218817712943"/>
          </stop>
        </gradientFill>
      </fill>
    </dxf>
    <dxf>
      <fill>
        <gradientFill degree="90">
          <stop position="0">
            <color theme="0"/>
          </stop>
          <stop position="1">
            <color theme="7" tint="-0.49803155613879818"/>
          </stop>
        </gradientFill>
      </fill>
    </dxf>
    <dxf>
      <font>
        <b/>
        <i val="0"/>
        <strike val="0"/>
      </font>
      <fill>
        <gradientFill type="path" left="1" right="1" top="1" bottom="1">
          <stop position="0">
            <color rgb="FFCC99FF"/>
          </stop>
          <stop position="1">
            <color rgb="FF9966FF"/>
          </stop>
        </gradientFill>
      </fill>
      <border>
        <left style="dashDotDot">
          <color theme="7" tint="0.39994506668294322"/>
        </left>
        <right style="dashDotDot">
          <color theme="7" tint="0.39994506668294322"/>
        </right>
        <top style="dashDotDot">
          <color theme="7" tint="0.39994506668294322"/>
        </top>
        <bottom style="dashDotDot">
          <color theme="7" tint="0.39994506668294322"/>
        </bottom>
        <vertical/>
        <horizontal/>
      </border>
    </dxf>
    <dxf>
      <fill>
        <gradientFill type="path" left="0.5" right="0.5" top="0.5" bottom="0.5">
          <stop position="0">
            <color theme="4" tint="0.59999389629810485"/>
          </stop>
          <stop position="1">
            <color theme="4" tint="-0.25098422193060094"/>
          </stop>
        </gradientFill>
      </fill>
      <border>
        <left style="dashDot">
          <color rgb="FFCC99FF"/>
        </left>
        <right style="dashDot">
          <color rgb="FFCC99FF"/>
        </right>
        <top style="dashDot">
          <color rgb="FFCC99FF"/>
        </top>
        <bottom style="dashDot">
          <color rgb="FFCC99FF"/>
        </bottom>
        <vertical/>
        <horizontal/>
      </border>
    </dxf>
    <dxf>
      <numFmt numFmtId="166" formatCode="[$-F400]h:mm:ss\ AM/PM"/>
      <border diagonalUp="0" diagonalDown="0">
        <left/>
        <right style="thin">
          <color indexed="64"/>
        </right>
        <top/>
        <bottom/>
      </border>
    </dxf>
    <dxf>
      <numFmt numFmtId="166" formatCode="[$-F400]h:mm:ss\ AM/PM"/>
    </dxf>
    <dxf>
      <numFmt numFmtId="166" formatCode="[$-F400]h:mm:ss\ AM/PM"/>
    </dxf>
    <dxf>
      <numFmt numFmtId="0" formatCode="General"/>
      <border diagonalUp="0" diagonalDown="0" outline="0">
        <left style="thin">
          <color indexed="64"/>
        </left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outline="0">
        <left style="thin">
          <color indexed="64"/>
        </left>
      </border>
    </dxf>
    <dxf>
      <numFmt numFmtId="14" formatCode="0.00%"/>
      <border diagonalUp="0" diagonalDown="0">
        <left/>
        <right style="thin">
          <color indexed="64"/>
        </right>
        <top/>
        <bottom/>
      </border>
    </dxf>
    <dxf>
      <numFmt numFmtId="14" formatCode="0.00%"/>
    </dxf>
    <dxf>
      <numFmt numFmtId="14" formatCode="0.00%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8" formatCode="mm:ss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d/mm/yyyy\ hh:mm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ill>
        <gradientFill degree="135">
          <stop position="0">
            <color rgb="FF9966FF"/>
          </stop>
          <stop position="0.5">
            <color rgb="FFCC99FF"/>
          </stop>
          <stop position="1">
            <color rgb="FF9966FF"/>
          </stop>
        </gradientFill>
      </fill>
      <border>
        <left style="thin">
          <color rgb="FF9A009A"/>
        </left>
        <right style="thin">
          <color rgb="FF9A009A"/>
        </right>
        <top style="thin">
          <color rgb="FF9A009A"/>
        </top>
        <bottom style="thin">
          <color rgb="FF9A009A"/>
        </bottom>
      </border>
    </dxf>
    <dxf>
      <fill>
        <gradientFill degree="135">
          <stop position="0">
            <color rgb="FF9966FF"/>
          </stop>
          <stop position="0.5">
            <color rgb="FFCC99FF"/>
          </stop>
          <stop position="1">
            <color rgb="FF9966FF"/>
          </stop>
        </gradientFill>
      </fill>
      <border>
        <left style="thin">
          <color rgb="FF9A009A"/>
        </left>
        <right style="thin">
          <color rgb="FF9A009A"/>
        </right>
        <top style="thin">
          <color rgb="FF9A009A"/>
        </top>
        <bottom style="thin">
          <color rgb="FF9A009A"/>
        </bottom>
      </border>
    </dxf>
    <dxf>
      <fill>
        <gradientFill degree="135">
          <stop position="0">
            <color rgb="FF9966FF"/>
          </stop>
          <stop position="0.5">
            <color rgb="FFCC99FF"/>
          </stop>
          <stop position="1">
            <color rgb="FF9966FF"/>
          </stop>
        </gradientFill>
      </fill>
      <border>
        <left style="thin">
          <color rgb="FF9A009A"/>
        </left>
        <right style="thin">
          <color rgb="FF9A009A"/>
        </right>
        <top style="thin">
          <color rgb="FF9A009A"/>
        </top>
        <bottom style="thin">
          <color rgb="FF9A009A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CCC"/>
      </font>
      <fill>
        <patternFill>
          <bgColor rgb="FFFF3300"/>
        </patternFill>
      </fill>
    </dxf>
    <dxf>
      <fill>
        <patternFill patternType="solid">
          <fgColor rgb="FFFFF2CC"/>
          <bgColor rgb="FFFFFFFF"/>
        </patternFill>
      </fill>
    </dxf>
    <dxf>
      <numFmt numFmtId="166" formatCode="[$-F400]h:mm:ss\ AM/PM"/>
      <border diagonalUp="0" diagonalDown="0">
        <left/>
        <right style="thin">
          <color indexed="64"/>
        </right>
        <top/>
        <bottom/>
      </border>
    </dxf>
    <dxf>
      <numFmt numFmtId="166" formatCode="[$-F400]h:mm:ss\ AM/PM"/>
    </dxf>
    <dxf>
      <numFmt numFmtId="166" formatCode="[$-F400]h:mm:ss\ AM/PM"/>
    </dxf>
    <dxf>
      <numFmt numFmtId="0" formatCode="General"/>
      <border diagonalUp="0" diagonalDown="0" outline="0">
        <left style="thin">
          <color indexed="64"/>
        </left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outline="0">
        <left style="thin">
          <color indexed="64"/>
        </left>
      </border>
    </dxf>
    <dxf>
      <numFmt numFmtId="14" formatCode="0.00%"/>
      <border diagonalUp="0" diagonalDown="0">
        <left/>
        <right style="thin">
          <color indexed="64"/>
        </right>
        <top/>
        <bottom/>
      </border>
    </dxf>
    <dxf>
      <numFmt numFmtId="14" formatCode="0.00%"/>
    </dxf>
    <dxf>
      <numFmt numFmtId="14" formatCode="0.00%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938962981048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8" formatCode="mm:ss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d/mm/yyyy\ hh:mm"/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CCC"/>
      </font>
      <fill>
        <patternFill>
          <bgColor rgb="FFFF3300"/>
        </patternFill>
      </fill>
    </dxf>
    <dxf>
      <fill>
        <patternFill patternType="solid">
          <fgColor indexed="64"/>
          <bgColor theme="8" tint="0.599993896298104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CCC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CCC"/>
      </font>
      <fill>
        <patternFill>
          <bgColor rgb="FFFF33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0" formatCode="General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0" formatCode="General"/>
      <fill>
        <patternFill patternType="solid">
          <fgColor indexed="64"/>
          <bgColor rgb="FFFFC7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0" formatCode="General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0" formatCode="General"/>
      <fill>
        <patternFill patternType="solid">
          <fgColor indexed="64"/>
          <bgColor rgb="FFFFC7CE"/>
        </patternFill>
      </fill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0" formatCode="General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0" formatCode="General"/>
      <fill>
        <patternFill patternType="solid">
          <fgColor indexed="64"/>
          <bgColor rgb="FFFFC7CE"/>
        </patternFill>
      </fill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numFmt numFmtId="14" formatCode="0.00%"/>
      <fill>
        <patternFill patternType="solid">
          <fgColor indexed="64"/>
          <bgColor rgb="FFC6EFCE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numFmt numFmtId="14" formatCode="0.00%"/>
      <fill>
        <patternFill patternType="solid">
          <fgColor indexed="64"/>
          <bgColor rgb="FFFFC7CE"/>
        </patternFill>
      </fill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EB9C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theme="4" tint="0.39997558519241921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</dxf>
    <dxf>
      <fill>
        <gradientFill degree="135">
          <stop position="0">
            <color rgb="FF9966FF"/>
          </stop>
          <stop position="0.5">
            <color rgb="FFCC99FF"/>
          </stop>
          <stop position="1">
            <color rgb="FF9966FF"/>
          </stop>
        </gradientFill>
      </fill>
      <border>
        <left style="thin">
          <color rgb="FF9A009A"/>
        </left>
        <right style="thin">
          <color rgb="FF9A009A"/>
        </right>
        <top style="thin">
          <color rgb="FF9A009A"/>
        </top>
        <bottom style="thin">
          <color rgb="FF9A009A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CCC"/>
      </font>
      <fill>
        <patternFill>
          <bgColor rgb="FFFF33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CCC"/>
      </font>
      <fill>
        <patternFill>
          <bgColor rgb="FFFF3300"/>
        </patternFill>
      </fill>
    </dxf>
  </dxfs>
  <tableStyles count="0" defaultTableStyle="TableStyleMedium2" defaultPivotStyle="PivotStyleLight16"/>
  <colors>
    <mruColors>
      <color rgb="FFCC99FF"/>
      <color rgb="FFFCBB04"/>
      <color rgb="FFFFCCFF"/>
      <color rgb="FF9966FF"/>
      <color rgb="FF996633"/>
      <color rgb="FFAB8855"/>
      <color rgb="FF9A009A"/>
      <color rgb="FFFFFFFF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314325</xdr:colOff>
          <xdr:row>1</xdr:row>
          <xdr:rowOff>85725</xdr:rowOff>
        </xdr:from>
        <xdr:to>
          <xdr:col>36</xdr:col>
          <xdr:colOff>695325</xdr:colOff>
          <xdr:row>3</xdr:row>
          <xdr:rowOff>152400</xdr:rowOff>
        </xdr:to>
        <xdr:sp macro="" textlink="">
          <xdr:nvSpPr>
            <xdr:cNvPr id="6145" name="CommandButton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6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333375</xdr:colOff>
          <xdr:row>4</xdr:row>
          <xdr:rowOff>114300</xdr:rowOff>
        </xdr:from>
        <xdr:to>
          <xdr:col>36</xdr:col>
          <xdr:colOff>676275</xdr:colOff>
          <xdr:row>7</xdr:row>
          <xdr:rowOff>0</xdr:rowOff>
        </xdr:to>
        <xdr:sp macro="" textlink="">
          <xdr:nvSpPr>
            <xdr:cNvPr id="6146" name="CommandButton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6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E659FA-4E50-42B1-A0DF-8D07BB757E11}" name="Tabel3" displayName="Tabel3" ref="A1:O672" totalsRowShown="0" headerRowDxfId="366">
  <autoFilter ref="A1:O672" xr:uid="{CD801B64-56BC-4B7F-A6D7-BF91767C2817}"/>
  <tableColumns count="15">
    <tableColumn id="1" xr3:uid="{2A35920A-FE91-45FA-AF86-D9FFB2DD49EA}" name="Match ID"/>
    <tableColumn id="2" xr3:uid="{4F4D2D60-83CA-4A5A-851B-BF9E1677EFE5}" name="Rood Verdediging"/>
    <tableColumn id="3" xr3:uid="{7F798AD9-FC71-4002-AC7A-8840E63E441C}" name="Rood Aanval"/>
    <tableColumn id="4" xr3:uid="{D70D665B-26E0-43E1-9C74-FEDFA03BF8FE}" name="Groen Verdediging"/>
    <tableColumn id="5" xr3:uid="{0DE68CE2-E227-463E-9205-9F852DB7764C}" name="Groen Aanval"/>
    <tableColumn id="6" xr3:uid="{89CBBA66-7041-46E8-A90F-5F0D770ADDC7}" name="Rood Score" dataDxfId="365"/>
    <tableColumn id="7" xr3:uid="{F92BCDBD-1278-41B1-8128-C7FCA14C009B}" name="Groen Score" dataDxfId="364"/>
    <tableColumn id="8" xr3:uid="{2DD3E397-F715-4396-8CE0-717BFD85BB6D}" name="Kleur winnaar"/>
    <tableColumn id="9" xr3:uid="{E3FAE599-145E-4224-BC86-8F36BA3129D9}" name="Winnaar 1"/>
    <tableColumn id="10" xr3:uid="{FDF6CBB4-2EB3-4980-AE38-C6E1A52ECE1C}" name="Winnaar 2"/>
    <tableColumn id="11" xr3:uid="{472BC189-9C3D-4866-99A4-8F0BA52DE535}" name="Team Rood" dataDxfId="363">
      <calculatedColumnFormula>Tabel3[[#This Row],[Rood Verdediging]]&amp;Tabel3[[#This Row],[Rood Aanval]]</calculatedColumnFormula>
    </tableColumn>
    <tableColumn id="12" xr3:uid="{F5E78298-FD68-40E5-900B-5BDDCD4C3593}" name="Team Groen" dataDxfId="362">
      <calculatedColumnFormula>Tabel3[[#This Row],[Groen Verdediging]]&amp;Tabel3[[#This Row],[Groen Aanval]]</calculatedColumnFormula>
    </tableColumn>
    <tableColumn id="13" xr3:uid="{14860694-224B-4546-A3F6-D207E076F593}" name="Winnaars" dataDxfId="361">
      <calculatedColumnFormula>Tabel3[[#This Row],[Winnaar 1]]&amp;Tabel3[[#This Row],[Winnaar 2]]</calculatedColumnFormula>
    </tableColumn>
    <tableColumn id="14" xr3:uid="{12DFB261-184E-4882-B950-C003C632FD0A}" name="Winaar rood" dataDxfId="360">
      <calculatedColumnFormula>IF(Tabel3[[#This Row],[Team Rood]]=Tabel3[[#This Row],[Winnaars]],Tabel3[[#This Row],[Team Rood]])</calculatedColumnFormula>
    </tableColumn>
    <tableColumn id="15" xr3:uid="{908BF8AF-5611-4286-BFBF-972A342C862A}" name="Winnaar Groen" dataDxfId="359">
      <calculatedColumnFormula>IF(Tabel3[[#This Row],[Team Groen]]=Tabel3[[#This Row],[Winnaars]],Tabel3[[#This Row],[Team Groen]])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F846D33-1C79-4B42-AE90-CE7BD282A43E}" name="Tabel11" displayName="Tabel11" ref="A1:M14" totalsRowShown="0" headerRowDxfId="358">
  <autoFilter ref="A1:M14" xr:uid="{3902DB26-66DD-4E3C-99A4-35E9248E1026}"/>
  <sortState xmlns:xlrd2="http://schemas.microsoft.com/office/spreadsheetml/2017/richdata2" ref="A2:M14">
    <sortCondition descending="1" ref="I1:I14"/>
  </sortState>
  <tableColumns count="13">
    <tableColumn id="1" xr3:uid="{537DCE22-2705-4C9E-9CDE-C4716212392B}" name="Player "/>
    <tableColumn id="2" xr3:uid="{069CDDF2-DDC2-4EFF-958C-5E1BEA688AE2}" name="Aantal rood verdediger">
      <calculatedColumnFormula>COUNTIF('All Time'!$B$2:B15947,Tabel11[[#This Row],[Player ]])</calculatedColumnFormula>
    </tableColumn>
    <tableColumn id="3" xr3:uid="{B4F05FAB-3DED-4F15-A9A1-B4C78BD75A64}" name="Aantal rood aanvaller">
      <calculatedColumnFormula>COUNTIF('All Time'!$C$2:C15947,Tabel11[[#This Row],[Player ]])</calculatedColumnFormula>
    </tableColumn>
    <tableColumn id="4" xr3:uid="{D720F281-76C4-4050-A8F1-4D37A5A99CD7}" name="Aantal groen verdediger">
      <calculatedColumnFormula>COUNTIF('All Time'!$D$2:D15947,Tabel11[[#This Row],[Player ]])</calculatedColumnFormula>
    </tableColumn>
    <tableColumn id="5" xr3:uid="{AD6BB89E-E9D5-4E27-BE69-A4ACC7B61F79}" name="Aantal groen aanvaller">
      <calculatedColumnFormula>COUNTIF('All Time'!$E$2:E15947,Tabel11[[#This Row],[Player ]])</calculatedColumnFormula>
    </tableColumn>
    <tableColumn id="6" xr3:uid="{DF0B8098-5578-4D76-AB66-5F671558C316}" name="Aantal matches">
      <calculatedColumnFormula>SUM(B2:E2)</calculatedColumnFormula>
    </tableColumn>
    <tableColumn id="7" xr3:uid="{7206ECB4-783B-4D0A-A80E-9C8C91F4FDC2}" name="Aantal wins">
      <calculatedColumnFormula>COUNTIF('All Time'!$I$2:$J$15946,Tabel11[[#This Row],[Player ]])</calculatedColumnFormula>
    </tableColumn>
    <tableColumn id="8" xr3:uid="{FBB44D6E-BDF2-4424-AA92-4242A5EC4C7D}" name="Aantal losses">
      <calculatedColumnFormula>F2-G2</calculatedColumnFormula>
    </tableColumn>
    <tableColumn id="9" xr3:uid="{CD4B9C6D-912C-4A5F-998A-A44C8218AF0E}" name="Win%" dataDxfId="357"/>
    <tableColumn id="14" xr3:uid="{2A9F94B3-0C27-48EF-869D-8DE3C69EF247}" name="Wins def" dataDxfId="356">
      <calculatedColumnFormula>COUNTIF(Tabel3[Winnaar 1],Tabel11[[#This Row],[Player ]])</calculatedColumnFormula>
    </tableColumn>
    <tableColumn id="13" xr3:uid="{FA64B348-8122-41BA-8683-D24AEE82FE48}" name="Wins aanv" dataDxfId="355">
      <calculatedColumnFormula>COUNTIF(Tabel3[Winnaar 2],Tabel11[[#This Row],[Player ]])</calculatedColumnFormula>
    </tableColumn>
    <tableColumn id="10" xr3:uid="{35B8F98B-73DD-4FBE-AC76-77620D9A13A4}" name="Win% Def">
      <calculatedColumnFormula>IF(Tabel11[[#This Row],[Wins def]]/(Tabel11[[#This Row],[Aantal rood verdediger]]+Tabel11[[#This Row],[Aantal groen verdediger]])=1,0.5,Tabel11[[#This Row],[Wins def]]/(Tabel11[[#This Row],[Aantal rood verdediger]]+Tabel11[[#This Row],[Aantal groen verdediger]]))</calculatedColumnFormula>
    </tableColumn>
    <tableColumn id="11" xr3:uid="{B858F5EA-EF96-4044-A37C-A18A05694312}" name="Win % Aan">
      <calculatedColumnFormula>Tabel11[[#This Row],[Wins aanv]]/IF((Tabel11[[#This Row],[Aantal rood aanvaller]]+Tabel11[[#This Row],[Aantal groen aanvaller]])=0,10000000000000,(Tabel11[[#This Row],[Aantal rood aanvaller]]+Tabel11[[#This Row],[Aantal groen aanvaller]]))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7BC9C0-B226-4DFB-907A-E70E0F2E4D7D}" name="Tabel12" displayName="Tabel12" ref="O1:AC157" totalsRowShown="0" headerRowDxfId="354" headerRowBorderDxfId="353" tableBorderDxfId="352">
  <autoFilter ref="O1:AC157" xr:uid="{E4EC843D-4472-41C6-B988-FC6B9B5B9781}"/>
  <sortState xmlns:xlrd2="http://schemas.microsoft.com/office/spreadsheetml/2017/richdata2" ref="O2:AC157">
    <sortCondition descending="1" ref="T1:T157"/>
  </sortState>
  <tableColumns count="15">
    <tableColumn id="1" xr3:uid="{9A39B49A-DC3E-4C50-A76E-B04C3D4BA37C}" name="Verdediger" dataDxfId="351"/>
    <tableColumn id="2" xr3:uid="{739C8038-6896-4EE4-B1AD-391CCA092B08}" name="Aanvaller" dataDxfId="350"/>
    <tableColumn id="3" xr3:uid="{BACBC40B-1236-4F9E-92CC-DAD47A40FF5D}" name="Team" dataDxfId="349">
      <calculatedColumnFormula>O2&amp;P2</calculatedColumnFormula>
    </tableColumn>
    <tableColumn id="4" xr3:uid="{0EDFE336-3485-4C92-8C59-3EBCE75BB6D7}" name="Win% Rood" dataDxfId="348">
      <calculatedColumnFormula>IF(Tabel12[[#This Row],[Aantal Games Rood]]=0,0,(Tabel12[[#This Row],[Wins Rood]])/Tabel12[[#This Row],[Aantal Games Rood]])</calculatedColumnFormula>
    </tableColumn>
    <tableColumn id="5" xr3:uid="{493CDA7B-9532-4D95-AA21-CC5AA25A0D72}" name="Win% Groen" dataDxfId="347">
      <calculatedColumnFormula>IF(Tabel12[[#This Row],[Aantal Games Groen]]=0,0,(Tabel12[[#This Row],[Wins Groen]])/Tabel12[[#This Row],[Aantal Games Groen]])</calculatedColumnFormula>
    </tableColumn>
    <tableColumn id="6" xr3:uid="{5C2AE786-E906-4082-B41D-F73F2ED0AE03}" name="Win% Alg" dataDxfId="346">
      <calculatedColumnFormula>IF(Tabel12[[#This Row],[Aantal games Alg]]=0,0,(Tabel12[[#This Row],[Wins Alg]])/Tabel12[[#This Row],[Aantal games Alg]])</calculatedColumnFormula>
    </tableColumn>
    <tableColumn id="7" xr3:uid="{DAD16F3F-3102-4038-89C7-8A415FAA40FC}" name="Wins Rood" dataDxfId="345">
      <calculatedColumnFormula>COUNTIF(Tabel3[Winaar rood],Tabel12[[#This Row],[Team]])</calculatedColumnFormula>
    </tableColumn>
    <tableColumn id="8" xr3:uid="{2655CEC3-CD66-41D7-8832-F9168D4C899A}" name="Wins Groen" dataDxfId="344">
      <calculatedColumnFormula>COUNTIF(Tabel3[Winnaar Groen],Tabel12[[#This Row],[Team]])</calculatedColumnFormula>
    </tableColumn>
    <tableColumn id="9" xr3:uid="{DCB9B2A3-D8AB-4434-A4EF-1CBAAAB7FEED}" name="Wins Alg" dataDxfId="343">
      <calculatedColumnFormula>COUNTIF(Tabel3[Winnaars],Tabel12[[#This Row],[Team]])</calculatedColumnFormula>
    </tableColumn>
    <tableColumn id="10" xr3:uid="{A0462C16-E653-49CB-BD27-B1B21CADE929}" name="Losses Rood" dataDxfId="342">
      <calculatedColumnFormula>Tabel12[[#This Row],[Aantal Games Rood]]-Tabel5[[#This Row],[Wins Rood]]</calculatedColumnFormula>
    </tableColumn>
    <tableColumn id="11" xr3:uid="{916AB160-6882-48C5-82EB-57A1785C7E57}" name="Losses Groen" dataDxfId="341">
      <calculatedColumnFormula>Tabel12[[#This Row],[Aantal Games Groen]]-Tabel5[[#This Row],[Wins Groen]]</calculatedColumnFormula>
    </tableColumn>
    <tableColumn id="12" xr3:uid="{37F7B15A-E95C-4132-B1A7-87C049233624}" name="Losses Alg" dataDxfId="340">
      <calculatedColumnFormula>Tabel12[[#This Row],[Aantal games Alg]]-Tabel5[[#This Row],[Wins Alg]]</calculatedColumnFormula>
    </tableColumn>
    <tableColumn id="13" xr3:uid="{BDA56F78-2F75-4FD8-8B49-5932C8E10AD1}" name="Aantal Games Rood" dataDxfId="339">
      <calculatedColumnFormula>COUNTIF(Tabel3[Team Rood],Tabel12[[#This Row],[Team]])</calculatedColumnFormula>
    </tableColumn>
    <tableColumn id="14" xr3:uid="{7390345B-D289-4D12-AD88-63B9D7711156}" name="Aantal Games Groen" dataDxfId="338">
      <calculatedColumnFormula>COUNTIF(Tabel3[Team Groen],Tabel12[[#This Row],[Team]])</calculatedColumnFormula>
    </tableColumn>
    <tableColumn id="15" xr3:uid="{1F24E2BE-B11F-4C18-B71C-60E9931FD4B5}" name="Aantal games Alg" dataDxfId="337">
      <calculatedColumnFormula>Tabel12[[#This Row],[Aantal Games Rood]]+Tabel12[[#This Row],[Aantal Games Groen]]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4441F3-6308-49F6-8413-B4D50B45D15C}" name="Tabel2" displayName="Tabel2" ref="A1:J1048344" totalsRowShown="0" headerRowDxfId="330">
  <autoFilter ref="A1:J1048344" xr:uid="{4A31B0C7-61A8-4EDF-91FA-91A394D65ABE}"/>
  <tableColumns count="10">
    <tableColumn id="1" xr3:uid="{8F98A63F-2381-4101-95A6-FDCA00E3393F}" name="Match ID"/>
    <tableColumn id="2" xr3:uid="{43EC7483-805B-4BC8-912B-0CBCD079944E}" name="Rood Verdediging"/>
    <tableColumn id="3" xr3:uid="{926F7DA3-6A1C-4478-B5E2-349DA1F18800}" name="Rood Aanval"/>
    <tableColumn id="4" xr3:uid="{2143E84B-4B84-47EA-9ABA-1A7B5D1A8C3E}" name="Groen Verdediging"/>
    <tableColumn id="5" xr3:uid="{D3FA41EA-80DD-4B74-A285-739110B9B8B3}" name="Groen Aanval"/>
    <tableColumn id="6" xr3:uid="{B793AE18-2CBB-44B5-8C6D-01C44D4DF62C}" name="Rood Score"/>
    <tableColumn id="7" xr3:uid="{20354F9A-3923-4989-8884-CCF744FC0338}" name="Groen Score"/>
    <tableColumn id="8" xr3:uid="{6E8D4AA0-69E0-4CC4-932C-0288F285298A}" name="Kleur winnaar"/>
    <tableColumn id="9" xr3:uid="{25F0D715-8E07-489A-97B5-94852FA23784}" name="Winnaar 1"/>
    <tableColumn id="10" xr3:uid="{EE020A0E-90E6-4B98-8B5D-04EEB03FA45C}" name="Winnaar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1F2FBA-0E23-49E3-AD28-2359B0137DBA}" name="Tabel158" displayName="Tabel158" ref="A1:W304" totalsRowShown="0" headerRowBorderDxfId="326" tableBorderDxfId="325">
  <autoFilter ref="A1:W304" xr:uid="{12B3CC2B-E968-4C1D-958C-3187E4524ADE}"/>
  <tableColumns count="23">
    <tableColumn id="18" xr3:uid="{09EF6C09-E367-470E-B068-CE0BA5FB6B45}" name="Datum" dataDxfId="324">
      <calculatedColumnFormula>IF(Tabel158[[#This Row],[Rood Verdediging]]&lt;&gt;"",IF(A2="",NOW(),A2),"")</calculatedColumnFormula>
    </tableColumn>
    <tableColumn id="15" xr3:uid="{FC420D89-0CDD-4874-AB4C-C101AC8A032A}" name="Starttijd" dataDxfId="323">
      <calculatedColumnFormula>IF(Tabel158[[#This Row],[Rood Verdediging]]&lt;&gt;"",IF(B2="",NOW(),B2),"")</calculatedColumnFormula>
    </tableColumn>
    <tableColumn id="16" xr3:uid="{014CF8CA-7D1A-4912-8FD5-9A9DEE0E5BE3}" name="Eindtijd" dataDxfId="322">
      <calculatedColumnFormula>IF(Tabel158[[#This Row],[Score]]&lt;&gt;"",IF(C2="",NOW(),C2),"")</calculatedColumnFormula>
    </tableColumn>
    <tableColumn id="17" xr3:uid="{A3B36019-78A4-41EB-ABF8-FA2227853885}" name="ET" dataDxfId="321">
      <calculatedColumnFormula>IF(OR(Tabel158[[#This Row],[Starttijd]]="",Tabel158[[#This Row],[Eindtijd]]=""),"",Tabel158[[#This Row],[Eindtijd]]-Tabel158[[#This Row],[Starttijd]])</calculatedColumnFormula>
    </tableColumn>
    <tableColumn id="1" xr3:uid="{FE7E4B09-ED02-4CC1-9CA0-77C94F6768DB}" name="Match ID" dataDxfId="320"/>
    <tableColumn id="2" xr3:uid="{D40BAD7C-5EE5-45A3-BB30-F695C59AFD30}" name="Rood Verdediging" dataDxfId="319"/>
    <tableColumn id="3" xr3:uid="{E5B078DB-2733-493B-B538-21DCDF15F721}" name="Score" dataDxfId="318"/>
    <tableColumn id="4" xr3:uid="{39D49526-D7CD-4DED-B1E8-9E9CF0BC8734}" name="Rood Aanval" dataDxfId="317"/>
    <tableColumn id="5" xr3:uid="{31C17531-EECF-4EA7-A06D-D9ED66F0E106}" name="Score2" dataDxfId="316"/>
    <tableColumn id="6" xr3:uid="{A5ADC456-C97C-4834-B315-1A9DB4232B6F}" name="Groen Verdediging" dataDxfId="315"/>
    <tableColumn id="7" xr3:uid="{9B3A29F7-9233-42C4-A285-666D3F49AB44}" name="Score3" dataDxfId="314"/>
    <tableColumn id="8" xr3:uid="{E0025A72-984B-4744-A463-2991209277D2}" name="Groen Aanval" dataDxfId="313"/>
    <tableColumn id="9" xr3:uid="{9A21EC59-192A-4068-804E-2DF26E07803B}" name="Score4" dataDxfId="312"/>
    <tableColumn id="10" xr3:uid="{FEC0B67A-0054-427C-9E1A-69530776693E}" name="Rood Score" dataDxfId="311">
      <calculatedColumnFormula>IF(ISBLANK(F2),"",SUM(G2,I2))</calculatedColumnFormula>
    </tableColumn>
    <tableColumn id="11" xr3:uid="{6911177A-6C92-46FC-BCC6-AF56EBA4A56D}" name="Groen Score" dataDxfId="310">
      <calculatedColumnFormula>IF(ISBLANK(F2),"",SUM(K2,M2))</calculatedColumnFormula>
    </tableColumn>
    <tableColumn id="12" xr3:uid="{E05DAAF9-CFD8-4661-A71E-5D619699982C}" name="Kleur winnaar" dataDxfId="309">
      <calculatedColumnFormula>IF(N2&gt;O2,"ROOD",IF(N2=O2,"","GROEN"))</calculatedColumnFormula>
    </tableColumn>
    <tableColumn id="13" xr3:uid="{89C9BC72-CFE6-43AA-A880-A7FDDA7966FD}" name="Winnaar 1" dataDxfId="308">
      <calculatedColumnFormula>IF(N2&gt;O2,F2,IF(N2="","",J2))</calculatedColumnFormula>
    </tableColumn>
    <tableColumn id="14" xr3:uid="{64D21633-9A00-42DD-93A5-979A1B6C47E6}" name="Winnaar 2" dataDxfId="307">
      <calculatedColumnFormula>IF(N2&gt;O2,H2,IF(N2="","",L2))</calculatedColumnFormula>
    </tableColumn>
    <tableColumn id="19" xr3:uid="{226AD6D5-3518-441C-924A-A83383EB807D}" name="Team Rood" dataDxfId="306">
      <calculatedColumnFormula>Tabel158[[#This Row],[Rood Verdediging]]&amp;Tabel158[[#This Row],[Rood Aanval]]</calculatedColumnFormula>
    </tableColumn>
    <tableColumn id="20" xr3:uid="{FBFF6E45-7A34-4330-873E-1E7A7B2EFD88}" name="Team Groen" dataDxfId="305">
      <calculatedColumnFormula>Tabel158[[#This Row],[Groen Verdediging]]&amp;Tabel158[[#This Row],[Groen Aanval]]</calculatedColumnFormula>
    </tableColumn>
    <tableColumn id="21" xr3:uid="{8135B6E4-9455-4AF4-AB1F-CA48A3F1BF69}" name="Winnaars" dataDxfId="304">
      <calculatedColumnFormula>Tabel158[[#This Row],[Winnaar 1]]&amp;Tabel158[[#This Row],[Winnaar 2]]</calculatedColumnFormula>
    </tableColumn>
    <tableColumn id="22" xr3:uid="{C51516C7-1A9A-4AE7-AF94-42DFFA280585}" name="Winaar rood" dataDxfId="303">
      <calculatedColumnFormula>IF(Tabel158[[#This Row],[Team Rood]]=Tabel158[[#This Row],[Winnaars]],Tabel158[[#This Row],[Team Rood]])</calculatedColumnFormula>
    </tableColumn>
    <tableColumn id="23" xr3:uid="{01D87775-3DA3-4802-9F52-249A03B64D68}" name="Winnaar Groen" dataDxfId="302">
      <calculatedColumnFormula>IF(Tabel158[[#This Row],[Team Groen]]=Tabel158[[#This Row],[Winnaars]],Tabel158[[#This Row],[Team Groen]])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3F1D92-DB83-4E21-A4EA-99D3341D4842}" name="Tabel59" displayName="Tabel59" ref="AH1:BJ157" totalsRowShown="0" headerRowDxfId="301" headerRowBorderDxfId="300" tableBorderDxfId="299">
  <autoFilter ref="AH1:BJ157" xr:uid="{281790B5-3D0A-43E3-B1E4-E726F718220A}"/>
  <sortState xmlns:xlrd2="http://schemas.microsoft.com/office/spreadsheetml/2017/richdata2" ref="AH2:BJ157">
    <sortCondition descending="1" ref="AM1:AM157"/>
  </sortState>
  <tableColumns count="29">
    <tableColumn id="1" xr3:uid="{15B03DE8-06D0-48DE-A9BA-9EF966522E16}" name="Verdediger" dataDxfId="298"/>
    <tableColumn id="2" xr3:uid="{4D14CE79-65CC-449B-A6D3-9F9355631126}" name="Aanvaller" dataDxfId="297"/>
    <tableColumn id="3" xr3:uid="{FE3069A8-C0C1-4E02-B9B3-3F34571209C1}" name="Team" dataDxfId="296">
      <calculatedColumnFormula>AH2&amp;AI2</calculatedColumnFormula>
    </tableColumn>
    <tableColumn id="4" xr3:uid="{D167439F-6120-4C2A-9F91-D536750CDBDD}" name="Win% Rood" dataDxfId="295">
      <calculatedColumnFormula>IF(Tabel59[[#This Row],[Aantal Games Rood]]=0,0,(Tabel59[[#This Row],[Wins Rood]])/Tabel59[[#This Row],[Aantal Games Rood]])</calculatedColumnFormula>
    </tableColumn>
    <tableColumn id="5" xr3:uid="{38638743-EF99-4313-885A-0A3C19507212}" name="Win% Groen" dataDxfId="294">
      <calculatedColumnFormula>IF(Tabel59[[#This Row],[Aantal Games Groen]]=0,0,(Tabel59[[#This Row],[Wins Groen]])/Tabel59[[#This Row],[Aantal Games Groen]])</calculatedColumnFormula>
    </tableColumn>
    <tableColumn id="6" xr3:uid="{F53FED49-AD73-4BBA-BBED-FCCAEB37BA04}" name="Win% Alg" dataDxfId="293">
      <calculatedColumnFormula>IF(Tabel59[[#This Row],[Aantal games Alg]]=0,0,(Tabel59[[#This Row],[Wins Alg]])/Tabel59[[#This Row],[Aantal games Alg]])</calculatedColumnFormula>
    </tableColumn>
    <tableColumn id="7" xr3:uid="{3D695B0B-EB2A-4711-BF49-81CDD01B4CE2}" name="Wins Rood" dataDxfId="292">
      <calculatedColumnFormula>COUNTIF(Tabel158[Winaar rood],Tabel59[[#This Row],[Team]])</calculatedColumnFormula>
    </tableColumn>
    <tableColumn id="8" xr3:uid="{804DFA24-B34F-46E5-9E7D-9E0687562979}" name="Wins Groen" dataDxfId="291">
      <calculatedColumnFormula>COUNTIF(Tabel158[Winnaar Groen],Tabel59[[#This Row],[Team]])</calculatedColumnFormula>
    </tableColumn>
    <tableColumn id="9" xr3:uid="{EAE5AEDA-0830-4D8B-AE97-E771FE68CEFA}" name="Wins Alg" dataDxfId="290">
      <calculatedColumnFormula>COUNTIF(Tabel158[Winnaars],Tabel59[[#This Row],[Team]])</calculatedColumnFormula>
    </tableColumn>
    <tableColumn id="10" xr3:uid="{FF8A2B54-C03D-499A-9268-E5A79ACD2B76}" name="Losses Rood" dataDxfId="289">
      <calculatedColumnFormula>Tabel59[[#This Row],[Aantal Games Rood]]-Tabel59[[#This Row],[Wins Rood]]</calculatedColumnFormula>
    </tableColumn>
    <tableColumn id="11" xr3:uid="{CBDFDC1E-5BC1-4857-A748-708C8380DA71}" name="Losses Groen" dataDxfId="288">
      <calculatedColumnFormula>Tabel59[[#This Row],[Aantal Games Groen]]-Tabel59[[#This Row],[Wins Groen]]</calculatedColumnFormula>
    </tableColumn>
    <tableColumn id="12" xr3:uid="{A680913F-5D95-47A8-A1FD-0191DBF3C380}" name="Losses Alg" dataDxfId="287">
      <calculatedColumnFormula>Tabel59[[#This Row],[Aantal games Alg]]-Tabel59[[#This Row],[Wins Alg]]</calculatedColumnFormula>
    </tableColumn>
    <tableColumn id="13" xr3:uid="{D1D3DA8F-BEB6-4C90-A568-318B823B789C}" name="Aantal Games Rood" dataDxfId="286">
      <calculatedColumnFormula>COUNTIF(Tabel158[Team Rood],Tabel59[[#This Row],[Team]])</calculatedColumnFormula>
    </tableColumn>
    <tableColumn id="14" xr3:uid="{AC064D7B-3910-4C96-8CC7-4F62661B1EF8}" name="Aantal Games Groen" dataDxfId="285">
      <calculatedColumnFormula>COUNTIF(Tabel158[Team Groen],Tabel59[[#This Row],[Team]])</calculatedColumnFormula>
    </tableColumn>
    <tableColumn id="15" xr3:uid="{554F1AF7-1F23-43B3-87C0-12C9BB09AC18}" name="Aantal games Alg" dataDxfId="284">
      <calculatedColumnFormula>Tabel59[[#This Row],[Aantal Games Rood]]+Tabel59[[#This Row],[Aantal Games Groen]]</calculatedColumnFormula>
    </tableColumn>
    <tableColumn id="16" xr3:uid="{4440AE51-92E2-4E0A-A059-E8DE2F0CFDB7}" name="Goals Verdediger" dataDxfId="283">
      <calculatedColumnFormula>SUMIF(Tabel158[Team Rood],Tabel59[[#This Row],[Team]],Tabel158[Score])</calculatedColumnFormula>
    </tableColumn>
    <tableColumn id="24" xr3:uid="{46CF013C-946C-4ED6-9ABC-9A223D6269A0}" name="Goals Aanvaller" dataDxfId="282">
      <calculatedColumnFormula>SUMIF(Tabel158[Team Rood],Tabel59[[#This Row],[Team]],Tabel158[Score2])</calculatedColumnFormula>
    </tableColumn>
    <tableColumn id="17" xr3:uid="{5104D181-D7A4-4129-AD0F-CA83823B4AC1}" name="Goals DefG">
      <calculatedColumnFormula>SUMIF(Tabel158[Team Groen],Tabel59[[#This Row],[Team]],Tabel158[Score3])</calculatedColumnFormula>
    </tableColumn>
    <tableColumn id="25" xr3:uid="{55759FEB-E9AD-48AF-9872-2D90E8A28C42}" name="Goals OffG" dataDxfId="281">
      <calculatedColumnFormula>SUMIF(Tabel158[Team Groen],Tabel59[[#This Row],[Team]],Tabel158[Score4])</calculatedColumnFormula>
    </tableColumn>
    <tableColumn id="26" xr3:uid="{C15843CA-7280-4045-9F60-16F4E37E3DB2}" name="Goals DefA" dataDxfId="280">
      <calculatedColumnFormula>SUM(Tabel59[[#This Row],[Goals Verdediger]]+Tabel59[[#This Row],[Goals DefG]])</calculatedColumnFormula>
    </tableColumn>
    <tableColumn id="29" xr3:uid="{98998409-D52F-415F-929F-D5C40A891C71}" name="Goals DefA gem" dataDxfId="279">
      <calculatedColumnFormula>IF(Tabel59[[#This Row],[Aantal games Alg]]=0,0,Tabel59[[#This Row],[Goals DefA]]/Tabel59[[#This Row],[Aantal games Alg]])</calculatedColumnFormula>
    </tableColumn>
    <tableColumn id="27" xr3:uid="{C45BC9D1-891B-472E-99D1-060F365790DD}" name="Goals OffA" dataDxfId="278">
      <calculatedColumnFormula>SUM(Tabel59[[#This Row],[Goals Aanvaller]]+Tabel59[[#This Row],[Goals OffG]])</calculatedColumnFormula>
    </tableColumn>
    <tableColumn id="30" xr3:uid="{D8DDB440-F8A3-450F-B259-BDC19D99A217}" name="Goals OffA gem" dataDxfId="277">
      <calculatedColumnFormula>IF(Tabel59[[#This Row],[Aantal games Alg]]=0,0,Tabel59[[#This Row],[Goals OffA]]/Tabel59[[#This Row],[Aantal games Alg]])</calculatedColumnFormula>
    </tableColumn>
    <tableColumn id="18" xr3:uid="{8ED5A98F-D003-4DA4-8E24-EE9B73444859}" name="Goals Alg" dataDxfId="276">
      <calculatedColumnFormula>Tabel59[[#This Row],[Goals DefA]]+Tabel59[[#This Row],[Goals OffA]]</calculatedColumnFormula>
    </tableColumn>
    <tableColumn id="28" xr3:uid="{8E640D7D-5276-4C8E-BBA5-7B8C86238A52}" name="Goals Gem" dataDxfId="275">
      <calculatedColumnFormula>IF(Tabel59[[#This Row],[Aantal games Alg]]=0,0,Tabel59[[#This Row],[Goals Alg]]/Tabel59[[#This Row],[Aantal games Alg]])</calculatedColumnFormula>
    </tableColumn>
    <tableColumn id="19" xr3:uid="{80CED0B8-4730-4513-9AA1-350762F531B9}" name="ET Rood tot" dataDxfId="274">
      <calculatedColumnFormula>SUMIF(Tabel158[Team Rood],Tabel59[[#This Row],[Team]],Tabel158[ET])</calculatedColumnFormula>
    </tableColumn>
    <tableColumn id="20" xr3:uid="{C4F07A7E-8535-4102-BBD5-DD9344B84B47}" name="ET Groen tot" dataDxfId="273">
      <calculatedColumnFormula>SUMIF(Tabel158[Team Groen],Tabel59[[#This Row],[Team]],Tabel158[ET])</calculatedColumnFormula>
    </tableColumn>
    <tableColumn id="21" xr3:uid="{906BE7A3-1949-4037-A1E5-5459AE9B62AF}" name="ET tot" dataDxfId="272">
      <calculatedColumnFormula>SUM(Tabel59[[#This Row],[ET Groen tot]],Tabel59[[#This Row],[ET Rood tot]])</calculatedColumnFormula>
    </tableColumn>
    <tableColumn id="22" xr3:uid="{4412ABA7-EEB3-4AE0-9585-414B0CA7DE7D}" name="ET gem" dataDxfId="271">
      <calculatedColumnFormula>IF(Tabel59[[#This Row],[Aantal games Alg]]=0,0,Tabel59[[#This Row],[ET tot]]/Tabel59[[#This Row],[Aantal games Alg]])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535290-11DA-43A0-9923-828500337932}" name="Tabel15" displayName="Tabel15" ref="A1:AA305" totalsRowShown="0" headerRowBorderDxfId="263" tableBorderDxfId="262">
  <autoFilter ref="A1:AA305" xr:uid="{12B3CC2B-E968-4C1D-958C-3187E4524ADE}"/>
  <tableColumns count="27">
    <tableColumn id="18" xr3:uid="{C248B674-DA2F-46B3-878D-FEB8D4263853}" name="Datum" dataDxfId="261">
      <calculatedColumnFormula>IF(Tabel15[[#This Row],[Rood Verdediging]]&lt;&gt;"",IF(A2="",NOW(),A2),"")</calculatedColumnFormula>
    </tableColumn>
    <tableColumn id="15" xr3:uid="{62328B62-64F7-4270-8862-2DCBC7621081}" name="Starttijd" dataDxfId="260">
      <calculatedColumnFormula>IF(Tabel15[[#This Row],[Rood Verdediging]]&lt;&gt;"",IF(B2="",NOW(),B2),"")</calculatedColumnFormula>
    </tableColumn>
    <tableColumn id="16" xr3:uid="{D44D69D2-654A-4DED-B034-EBD7D19D1D31}" name="Eindtijd" dataDxfId="259">
      <calculatedColumnFormula>IF(Tabel15[[#This Row],[Score]]&lt;&gt;"",IF(C2="",NOW(),C2),"")</calculatedColumnFormula>
    </tableColumn>
    <tableColumn id="17" xr3:uid="{85C70348-E27A-4C7F-A9E6-D71DD45A750F}" name="ET" dataDxfId="258">
      <calculatedColumnFormula>IF(OR(Tabel15[[#This Row],[Starttijd]]="",Tabel15[[#This Row],[Eindtijd]]=""),"",Tabel15[[#This Row],[Eindtijd]]-Tabel15[[#This Row],[Starttijd]])</calculatedColumnFormula>
    </tableColumn>
    <tableColumn id="1" xr3:uid="{6579D846-9439-418C-81DF-65456C57BD2E}" name="Match ID" dataDxfId="257"/>
    <tableColumn id="2" xr3:uid="{A428F3A9-3F47-426D-A829-AEC2AB440678}" name="Rood Verdediging" dataDxfId="256"/>
    <tableColumn id="3" xr3:uid="{5E0CE82B-00E7-4188-BC5B-E47AA1A02A14}" name="Score" dataDxfId="255"/>
    <tableColumn id="4" xr3:uid="{052360C4-627F-48F4-9CC9-507FF234C772}" name="Rood Aanval" dataDxfId="254"/>
    <tableColumn id="5" xr3:uid="{FFEDD282-1B3A-42F6-9210-4F40AC29F2D6}" name="Score2" dataDxfId="253"/>
    <tableColumn id="6" xr3:uid="{6D63D6D0-F3F1-477D-9E3E-0B3A828EAB45}" name="Groen Verdediging" dataDxfId="252"/>
    <tableColumn id="7" xr3:uid="{255F9FDC-88D1-4908-B0FB-4932FFF54588}" name="Score3" dataDxfId="251"/>
    <tableColumn id="8" xr3:uid="{9B373A23-BD0D-48EF-B3D3-DE4B7888592C}" name="Groen Aanval" dataDxfId="250"/>
    <tableColumn id="9" xr3:uid="{67107947-7A39-4F0B-B683-A2232E0F2249}" name="Score4" dataDxfId="249"/>
    <tableColumn id="10" xr3:uid="{8D26A4E8-5D0D-43DB-B26E-BB2DB7BF4FBE}" name="Rood Score" dataDxfId="248"/>
    <tableColumn id="11" xr3:uid="{85519C6D-2483-4953-9FE8-C6B57267595C}" name="Groen Score" dataDxfId="247"/>
    <tableColumn id="12" xr3:uid="{1B46E7C7-EAE4-4877-B7C6-ED59B56F7D99}" name="Kleur winnaar" dataDxfId="246">
      <calculatedColumnFormula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Row],[Score4]]&lt;&gt;""),IF(AND(N2&gt;O2,N2&gt;=11),"ROOD",IF(AND(O2&gt;=11,N2&lt;&gt;O2),"GROEN","")),"")</calculatedColumnFormula>
    </tableColumn>
    <tableColumn id="13" xr3:uid="{3A37A58B-1949-4E24-A195-B645D33AE6DB}" name="Winnaar 1" dataDxfId="245"/>
    <tableColumn id="14" xr3:uid="{59B20C29-6AF9-4F0C-A2E7-6CD1F3F06604}" name="Winnaar 2" dataDxfId="244"/>
    <tableColumn id="19" xr3:uid="{B0D823A1-6F1E-47BB-856E-EA6ABB2888F3}" name="Team Rood" dataDxfId="243">
      <calculatedColumnFormula>Tabel15[[#This Row],[Rood Verdediging]]&amp;Tabel15[[#This Row],[Rood Aanval]]</calculatedColumnFormula>
    </tableColumn>
    <tableColumn id="20" xr3:uid="{27F7BC20-9428-4987-BDCA-44C109D86B3F}" name="Team Groen" dataDxfId="242">
      <calculatedColumnFormula>Tabel15[[#This Row],[Groen Verdediging]]&amp;Tabel15[[#This Row],[Groen Aanval]]</calculatedColumnFormula>
    </tableColumn>
    <tableColumn id="21" xr3:uid="{D4BAB4C0-9DDC-432D-B937-F1BB41705C0A}" name="Winnaars" dataDxfId="241">
      <calculatedColumnFormula>Tabel15[[#This Row],[Winnaar 1]]&amp;Tabel15[[#This Row],[Winnaar 2]]</calculatedColumnFormula>
    </tableColumn>
    <tableColumn id="22" xr3:uid="{5C29BB48-9B3F-426C-AB90-597D139BBE02}" name="Winaar rood" dataDxfId="240">
      <calculatedColumnFormula>IF(Tabel15[[#This Row],[Team Rood]]=Tabel15[[#This Row],[Winnaars]],Tabel15[[#This Row],[Team Rood]])</calculatedColumnFormula>
    </tableColumn>
    <tableColumn id="23" xr3:uid="{2E428E00-EE59-443E-B19C-E17DC171245F}" name="Winnaar Groen" dataDxfId="239">
      <calculatedColumnFormula>IF(Tabel15[[#This Row],[Team Groen]]=Tabel15[[#This Row],[Winnaars]],Tabel15[[#This Row],[Team Groen]])</calculatedColumnFormula>
    </tableColumn>
    <tableColumn id="24" xr3:uid="{E6CC8F6E-F70D-4D62-9829-A9603754AF8B}" name="ELO gains/loss" dataDxfId="238"/>
    <tableColumn id="25" xr3:uid="{6B8523BB-B0A9-4C7C-AC64-C1CDEBF7C8B9}" name="ELO gains/loss2" dataDxfId="237"/>
    <tableColumn id="26" xr3:uid="{514D0735-E2C7-4B40-A9C8-E9E5F5DE32DE}" name="ELO gains/loss3" dataDxfId="236"/>
    <tableColumn id="27" xr3:uid="{A7F655BD-99C9-4DB6-ADA6-8A73A42797B6}" name="ELO gains/loss4" dataDxfId="2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3E7333-3531-4B52-B8E1-F6982F79B295}" name="Tabel5" displayName="Tabel5" ref="AL1:BN157" totalsRowShown="0" headerRowDxfId="234" headerRowBorderDxfId="233" tableBorderDxfId="232">
  <autoFilter ref="AL1:BN157" xr:uid="{281790B5-3D0A-43E3-B1E4-E726F718220A}"/>
  <sortState xmlns:xlrd2="http://schemas.microsoft.com/office/spreadsheetml/2017/richdata2" ref="AL2:BN157">
    <sortCondition ref="AN1:AN157"/>
  </sortState>
  <tableColumns count="29">
    <tableColumn id="1" xr3:uid="{51D4458F-569E-498D-A083-0100AF84C7C1}" name="Verdediger" dataDxfId="231"/>
    <tableColumn id="2" xr3:uid="{34EEA00A-B5CC-4832-AFB2-8E43C7689A06}" name="Aanvaller" dataDxfId="230"/>
    <tableColumn id="3" xr3:uid="{2B2B46D0-5323-4D14-84CE-3C0D11277363}" name="Team" dataDxfId="229">
      <calculatedColumnFormula>AL2&amp;AM2</calculatedColumnFormula>
    </tableColumn>
    <tableColumn id="4" xr3:uid="{7E957073-4771-40EB-9BDC-054C85C83254}" name="Win% Rood" dataDxfId="228">
      <calculatedColumnFormula>IF(Tabel5[[#This Row],[Aantal Games Rood]]=0,0,(Tabel5[[#This Row],[Wins Rood]])/Tabel5[[#This Row],[Aantal Games Rood]])</calculatedColumnFormula>
    </tableColumn>
    <tableColumn id="5" xr3:uid="{3414775C-E8A5-454C-8DD6-3D9206A4350D}" name="Win% Groen" dataDxfId="227">
      <calculatedColumnFormula>IF(Tabel5[[#This Row],[Aantal Games Groen]]=0,0,(Tabel5[[#This Row],[Wins Groen]])/Tabel5[[#This Row],[Aantal Games Groen]])</calculatedColumnFormula>
    </tableColumn>
    <tableColumn id="6" xr3:uid="{D528A667-8F45-47D9-A50E-A9629B8973E4}" name="Win% Alg" dataDxfId="226">
      <calculatedColumnFormula>IF(Tabel5[[#This Row],[Aantal games Alg]]=0,0,(Tabel5[[#This Row],[Wins Alg]])/Tabel5[[#This Row],[Aantal games Alg]])</calculatedColumnFormula>
    </tableColumn>
    <tableColumn id="7" xr3:uid="{B8A9F078-9B8A-4D67-A811-4B16D213BA63}" name="Wins Rood" dataDxfId="225">
      <calculatedColumnFormula>COUNTIF(Tabel15[Winaar rood],Tabel5[[#This Row],[Team]])</calculatedColumnFormula>
    </tableColumn>
    <tableColumn id="8" xr3:uid="{7BB99D6F-EB62-4F24-8DE5-4EEFDDCECDEB}" name="Wins Groen" dataDxfId="224">
      <calculatedColumnFormula>COUNTIF(Tabel15[Winnaar Groen],Tabel5[[#This Row],[Team]])</calculatedColumnFormula>
    </tableColumn>
    <tableColumn id="9" xr3:uid="{5140E4D4-2412-4C2B-AE1F-585DB96641EF}" name="Wins Alg" dataDxfId="223">
      <calculatedColumnFormula>COUNTIF(Tabel15[Winnaars],Tabel5[[#This Row],[Team]])</calculatedColumnFormula>
    </tableColumn>
    <tableColumn id="10" xr3:uid="{27A2455E-6207-4136-B054-C4B90706D405}" name="Losses Rood" dataDxfId="222">
      <calculatedColumnFormula>Tabel5[[#This Row],[Aantal Games Rood]]-Tabel5[[#This Row],[Wins Rood]]</calculatedColumnFormula>
    </tableColumn>
    <tableColumn id="11" xr3:uid="{691A02B7-F3EC-41D1-AD19-B4242D05FB61}" name="Losses Groen" dataDxfId="221">
      <calculatedColumnFormula>Tabel5[[#This Row],[Aantal Games Groen]]-Tabel5[[#This Row],[Wins Groen]]</calculatedColumnFormula>
    </tableColumn>
    <tableColumn id="12" xr3:uid="{6F3477AA-388E-4D2A-8AC3-EA46674C21B5}" name="Losses Alg" dataDxfId="220">
      <calculatedColumnFormula>Tabel5[[#This Row],[Aantal games Alg]]-Tabel5[[#This Row],[Wins Alg]]</calculatedColumnFormula>
    </tableColumn>
    <tableColumn id="13" xr3:uid="{3371F3C8-A348-4F0F-B7B5-5F3C6BD56604}" name="Aantal Games Rood" dataDxfId="219">
      <calculatedColumnFormula>COUNTIF(Tabel15[Team Rood],Tabel5[[#This Row],[Team]])</calculatedColumnFormula>
    </tableColumn>
    <tableColumn id="14" xr3:uid="{4443EAA3-240D-4725-81D1-5B9238DB64C9}" name="Aantal Games Groen" dataDxfId="218">
      <calculatedColumnFormula>COUNTIF(Tabel15[Team Groen],Tabel5[[#This Row],[Team]])</calculatedColumnFormula>
    </tableColumn>
    <tableColumn id="15" xr3:uid="{FD7FFE51-B3C0-47FD-9A2B-D67954484C43}" name="Aantal games Alg" dataDxfId="217">
      <calculatedColumnFormula>Tabel5[[#This Row],[Aantal Games Rood]]+Tabel5[[#This Row],[Aantal Games Groen]]</calculatedColumnFormula>
    </tableColumn>
    <tableColumn id="16" xr3:uid="{C0F64B5D-68AF-4B33-BF00-F743F247728A}" name="Goals Verdediger" dataDxfId="216">
      <calculatedColumnFormula>SUMIF(Tabel15[Team Rood],Tabel5[[#This Row],[Team]],Tabel15[Score])</calculatedColumnFormula>
    </tableColumn>
    <tableColumn id="24" xr3:uid="{0609EB77-AE41-4E11-A51A-98401358827B}" name="Goals Aanvaller" dataDxfId="215">
      <calculatedColumnFormula>SUMIF(Tabel15[Team Rood],Tabel5[[#This Row],[Team]],Tabel15[Score2])</calculatedColumnFormula>
    </tableColumn>
    <tableColumn id="17" xr3:uid="{B643BC24-A781-4953-8AF6-ECD27DD6F536}" name="Goals DefG">
      <calculatedColumnFormula>SUMIF(Tabel15[Team Groen],Tabel5[[#This Row],[Team]],Tabel15[Score3])</calculatedColumnFormula>
    </tableColumn>
    <tableColumn id="25" xr3:uid="{B627C5DA-8F5E-46C5-A1A0-8A3EECBA7A65}" name="Goals OffG" dataDxfId="214">
      <calculatedColumnFormula>SUMIF(Tabel15[Team Groen],Tabel5[[#This Row],[Team]],Tabel15[Score4])</calculatedColumnFormula>
    </tableColumn>
    <tableColumn id="26" xr3:uid="{FEA513E6-0A38-4E67-9362-91ADB5315075}" name="Goals DefA" dataDxfId="213">
      <calculatedColumnFormula>SUM(Tabel5[[#This Row],[Goals Verdediger]]+Tabel5[[#This Row],[Goals DefG]])</calculatedColumnFormula>
    </tableColumn>
    <tableColumn id="29" xr3:uid="{5142E980-9DD5-45BD-BDFB-945E2F8D1533}" name="Goals DefA gem" dataDxfId="212">
      <calculatedColumnFormula>IF(Tabel5[[#This Row],[Aantal games Alg]]=0,0,Tabel5[[#This Row],[Goals DefA]]/Tabel5[[#This Row],[Aantal games Alg]])</calculatedColumnFormula>
    </tableColumn>
    <tableColumn id="27" xr3:uid="{8039931A-1854-4EEA-BB1D-A754AA73F17F}" name="Goals OffA" dataDxfId="211">
      <calculatedColumnFormula>SUM(Tabel5[[#This Row],[Goals Aanvaller]]+Tabel5[[#This Row],[Goals OffG]])</calculatedColumnFormula>
    </tableColumn>
    <tableColumn id="30" xr3:uid="{24FF338A-EFC2-4C16-8126-741122F1DDC1}" name="Goals OffA gem" dataDxfId="210">
      <calculatedColumnFormula>IF(Tabel5[[#This Row],[Aantal games Alg]]=0,0,Tabel5[[#This Row],[Goals OffA]]/Tabel5[[#This Row],[Aantal games Alg]])</calculatedColumnFormula>
    </tableColumn>
    <tableColumn id="18" xr3:uid="{25780B54-A102-4588-BBDD-964E1A3DC423}" name="Goals Alg" dataDxfId="209">
      <calculatedColumnFormula>Tabel5[[#This Row],[Goals DefA]]+Tabel5[[#This Row],[Goals OffA]]</calculatedColumnFormula>
    </tableColumn>
    <tableColumn id="28" xr3:uid="{E9AC5D55-7092-4BF0-84ED-0C81C43C516E}" name="Goals Gem" dataDxfId="208">
      <calculatedColumnFormula>IF(Tabel5[[#This Row],[Aantal games Alg]]=0,0,Tabel5[[#This Row],[Goals Alg]]/Tabel5[[#This Row],[Aantal games Alg]])</calculatedColumnFormula>
    </tableColumn>
    <tableColumn id="19" xr3:uid="{3E47CDA8-A02B-403C-A89E-E26FE9FAA0B3}" name="ET Rood tot" dataDxfId="207">
      <calculatedColumnFormula>SUMIF(Tabel15[Team Rood],Tabel5[[#This Row],[Team]],Tabel15[ET])</calculatedColumnFormula>
    </tableColumn>
    <tableColumn id="20" xr3:uid="{22E2B25D-C3F7-4885-A595-DD9F0AE91D25}" name="ET Groen tot" dataDxfId="206">
      <calculatedColumnFormula>SUMIF(Tabel15[Team Groen],Tabel5[[#This Row],[Team]],Tabel15[ET])</calculatedColumnFormula>
    </tableColumn>
    <tableColumn id="21" xr3:uid="{027BEC94-AC1A-49E9-880B-8778E26B7C35}" name="ET tot" dataDxfId="205">
      <calculatedColumnFormula>SUM(Tabel5[[#This Row],[ET Groen tot]],Tabel5[[#This Row],[ET Rood tot]])</calculatedColumnFormula>
    </tableColumn>
    <tableColumn id="22" xr3:uid="{08CC60B1-3AEB-402E-85DC-9C07EA67B694}" name="ET gem" dataDxfId="204">
      <calculatedColumnFormula>IF(Tabel5[[#This Row],[Aantal games Alg]]=0,0,Tabel5[[#This Row],[ET tot]]/Tabel5[[#This Row],[Aantal games Alg]])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F35B7B-A615-4F25-9E76-03F2913D7126}" name="Tabel6" displayName="Tabel6" ref="K4:Z39" totalsRowShown="0" headerRowDxfId="190" headerRowBorderDxfId="189">
  <autoFilter ref="K4:Z39" xr:uid="{1CEFCA8B-78BE-42D6-9E9B-37467CE0D95B}"/>
  <tableColumns count="16">
    <tableColumn id="1" xr3:uid="{08738475-27F1-4CCC-A5A6-1340DDBD90C5}" name="Division"/>
    <tableColumn id="2" xr3:uid="{36FA8C3C-59DC-47C4-88C1-64F4E9D1BC56}" name="Rank"/>
    <tableColumn id="3" xr3:uid="{8EFF15A0-A4C0-4AF3-A9C3-5970876BBD91}" name="Score"/>
    <tableColumn id="4" xr3:uid="{4F4CAB2E-E592-4AD2-8BB6-11BC56041B99}" name="Stef*" dataDxfId="188">
      <calculatedColumnFormula>_xlfn.XLOOKUP(Tabel6[[#This Row],[Score]],'ELO rekenblad'!$H$25,'ELO rekenblad'!$A$25,"")</calculatedColumnFormula>
    </tableColumn>
    <tableColumn id="5" xr3:uid="{A6B1654C-4838-4CB1-802F-2F2EF2959C12}" name="Tobi*" dataDxfId="187">
      <calculatedColumnFormula>_xlfn.XLOOKUP(Tabel6[[#This Row],[Score]],'ELO rekenblad'!$H$26,'ELO rekenblad'!$A$26,"")</calculatedColumnFormula>
    </tableColumn>
    <tableColumn id="6" xr3:uid="{8AA3A250-6246-420E-815B-0379BBA3B2B2}" name="Arno*" dataDxfId="186">
      <calculatedColumnFormula>_xlfn.XLOOKUP(Tabel6[[#This Row],[Score]],'ELO rekenblad'!$H$27,'ELO rekenblad'!$A$27,"")</calculatedColumnFormula>
    </tableColumn>
    <tableColumn id="7" xr3:uid="{1DC6A649-F538-4B10-B677-95B76E897173}" name="Coghe*" dataDxfId="185">
      <calculatedColumnFormula>_xlfn.XLOOKUP(Tabel6[[#This Row],[Score]],'ELO rekenblad'!$H$28,'ELO rekenblad'!$A$28,"")</calculatedColumnFormula>
    </tableColumn>
    <tableColumn id="8" xr3:uid="{9975541B-11CA-44D4-9803-A2F930F62044}" name="Karel*" dataDxfId="184">
      <calculatedColumnFormula>_xlfn.XLOOKUP(Tabel6[[#This Row],[Score]],'ELO rekenblad'!$H$29,'ELO rekenblad'!$A$29,"")</calculatedColumnFormula>
    </tableColumn>
    <tableColumn id="9" xr3:uid="{33FA4600-BC19-41C1-B19A-36558BC347E9}" name="Bert*" dataDxfId="183">
      <calculatedColumnFormula>_xlfn.XLOOKUP(Tabel6[[#This Row],[Score]],'ELO rekenblad'!$H$30,'ELO rekenblad'!$A$30,"")</calculatedColumnFormula>
    </tableColumn>
    <tableColumn id="10" xr3:uid="{1C8E69B5-B7DB-4FC2-B1D3-85A6697AB799}" name="Tiemen*" dataDxfId="182">
      <calculatedColumnFormula>_xlfn.XLOOKUP(Tabel6[[#This Row],[Score]],'ELO rekenblad'!$H$31,'ELO rekenblad'!$A$31,"")</calculatedColumnFormula>
    </tableColumn>
    <tableColumn id="11" xr3:uid="{8E81F333-A205-4FBC-9168-E84D59ED9BD0}" name="Jonas*" dataDxfId="181">
      <calculatedColumnFormula>_xlfn.XLOOKUP(Tabel6[[#This Row],[Score]],'ELO rekenblad'!$H$32,'ELO rekenblad'!$A$32,"")</calculatedColumnFormula>
    </tableColumn>
    <tableColumn id="12" xr3:uid="{0887E48A-532B-4199-BABE-AA9BB39C4650}" name="Louis*" dataDxfId="180">
      <calculatedColumnFormula>_xlfn.XLOOKUP(Tabel6[[#This Row],[Score]],'ELO rekenblad'!$H$33,'ELO rekenblad'!$A$33,"")</calculatedColumnFormula>
    </tableColumn>
    <tableColumn id="13" xr3:uid="{4CE9C800-26F0-4DCD-A4FE-F1766349B951}" name="Matthijs*" dataDxfId="179">
      <calculatedColumnFormula>_xlfn.XLOOKUP(Tabel6[[#This Row],[Score]],'ELO rekenblad'!$H$34,'ELO rekenblad'!$A$34,"")</calculatedColumnFormula>
    </tableColumn>
    <tableColumn id="14" xr3:uid="{6B82A30E-D77E-48BC-A407-DAE197BE293E}" name="Nico*" dataDxfId="178">
      <calculatedColumnFormula>_xlfn.XLOOKUP(Tabel6[[#This Row],[Score]],'ELO rekenblad'!$H$35,'ELO rekenblad'!$A$35,"")</calculatedColumnFormula>
    </tableColumn>
    <tableColumn id="15" xr3:uid="{8F32CE0C-4E73-4CB6-AAF3-94D0D5C9271B}" name="Alexander*" dataDxfId="177">
      <calculatedColumnFormula>_xlfn.XLOOKUP(Tabel6[[#This Row],[Score]],'ELO rekenblad'!$H$36,'ELO rekenblad'!$A$36,"")</calculatedColumnFormula>
    </tableColumn>
    <tableColumn id="16" xr3:uid="{E794696A-0EB3-4F8A-AEAC-60B649CE7973}" name="Stijn*" dataDxfId="176">
      <calculatedColumnFormula>_xlfn.XLOOKUP(Tabel6[[#This Row],[Score]],'ELO rekenblad'!$H$37,'ELO rekenblad'!$A$37,"")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B41CA0-6229-4DEE-B675-8F3FD2075122}" name="Tabel152" displayName="Tabel152" ref="A1:AA305" totalsRowShown="0" headerRowBorderDxfId="168" tableBorderDxfId="167">
  <autoFilter ref="A1:AA305" xr:uid="{12B3CC2B-E968-4C1D-958C-3187E4524ADE}"/>
  <tableColumns count="27">
    <tableColumn id="18" xr3:uid="{71A03025-CC67-4411-8124-4D58A9027983}" name="Datum" dataDxfId="166">
      <calculatedColumnFormula>IF(Tabel152[[#This Row],[Rood Verdediging]]&lt;&gt;"",IF(A2="",NOW(),A2),"")</calculatedColumnFormula>
    </tableColumn>
    <tableColumn id="15" xr3:uid="{00080186-AB57-400E-B6D4-5F2722304024}" name="Starttijd" dataDxfId="165">
      <calculatedColumnFormula>IF(Tabel152[[#This Row],[Rood Verdediging]]&lt;&gt;"",IF(B2="",NOW(),B2),"")</calculatedColumnFormula>
    </tableColumn>
    <tableColumn id="16" xr3:uid="{0E2007BA-3A08-4669-95D8-0E25704E946E}" name="Eindtijd" dataDxfId="164">
      <calculatedColumnFormula>IF(Tabel152[[#This Row],[Score]]&lt;&gt;"",IF(C2="",NOW(),C2),"")</calculatedColumnFormula>
    </tableColumn>
    <tableColumn id="17" xr3:uid="{D2736D88-E031-4D60-840E-18BDDF07DDFC}" name="ET" dataDxfId="163">
      <calculatedColumnFormula>IF(OR(Tabel152[[#This Row],[Starttijd]]="",Tabel152[[#This Row],[Eindtijd]]=""),"",Tabel152[[#This Row],[Eindtijd]]-Tabel152[[#This Row],[Starttijd]])</calculatedColumnFormula>
    </tableColumn>
    <tableColumn id="1" xr3:uid="{D65BCA96-3CA8-48ED-9F9C-7E2CCCEEC69C}" name="Match ID" dataDxfId="162"/>
    <tableColumn id="2" xr3:uid="{3A1580A8-F4F7-4CBB-A475-EA22913EB521}" name="Rood Verdediging" dataDxfId="161"/>
    <tableColumn id="3" xr3:uid="{9171890C-B764-4DF4-9D25-48743835C8BB}" name="Score" dataDxfId="160"/>
    <tableColumn id="4" xr3:uid="{14CBA8E6-384A-487E-9F9C-A4067FE69AFA}" name="Rood Aanval" dataDxfId="159"/>
    <tableColumn id="5" xr3:uid="{C1E8CBE6-C703-4166-B406-F7396E0DEF66}" name="Score2" dataDxfId="158"/>
    <tableColumn id="6" xr3:uid="{5FA5D151-46C8-453C-AF5A-6E34BFBE1D6E}" name="Groen Verdediging" dataDxfId="157"/>
    <tableColumn id="7" xr3:uid="{DB5AD609-6D79-4DFC-8DF8-86EA3E909D50}" name="Score3" dataDxfId="156"/>
    <tableColumn id="8" xr3:uid="{983FDE2D-41F6-4D63-BB80-C4383C09AE7B}" name="Groen Aanval" dataDxfId="155"/>
    <tableColumn id="9" xr3:uid="{E0939977-106C-4D2A-A5B7-293AE8731C26}" name="Score4" dataDxfId="154"/>
    <tableColumn id="10" xr3:uid="{A542A1EE-70CE-4A1C-8748-F4D72EF04093}" name="Rood Score" dataDxfId="153">
      <calculatedColumnFormula>Tabel152[[#This Row],[Score]]+Tabel152[[#This Row],[Score2]]</calculatedColumnFormula>
    </tableColumn>
    <tableColumn id="11" xr3:uid="{87D52493-6A77-4482-AAFA-2541AD88A9D3}" name="Groen Score" dataDxfId="152">
      <calculatedColumnFormula>Tabel152[[#This Row],[Score3]]+Tabel152[[#This Row],[Score4]]</calculatedColumnFormula>
    </tableColumn>
    <tableColumn id="12" xr3:uid="{887CB644-3233-4D0A-8165-A88FC9D1113F}" name="Kleur winnaar" dataDxfId="151">
      <calculatedColumnFormula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Row],[Score4]]&lt;&gt;""),IF(AND(N2&gt;O2,N2&gt;=11),"ROOD",IF(AND(O2&gt;=11,N2&lt;&gt;O2),"GROEN","")),"")</calculatedColumnFormula>
    </tableColumn>
    <tableColumn id="13" xr3:uid="{373B4FA1-983A-4653-9D54-9DE38C09B455}" name="Winnaar 1" dataDxfId="150">
      <calculatedColumnFormula>IF(N2&gt;O2,F2,IF(N2="","",J2))</calculatedColumnFormula>
    </tableColumn>
    <tableColumn id="14" xr3:uid="{8754B231-B4C7-4FAD-9286-DC2211EE096F}" name="Winnaar 2" dataDxfId="149">
      <calculatedColumnFormula>IF(N2&gt;O2,H2,IF(N2="","",L2))</calculatedColumnFormula>
    </tableColumn>
    <tableColumn id="19" xr3:uid="{758081F4-214A-4551-99E6-38536CCBE30B}" name="Team Rood" dataDxfId="148">
      <calculatedColumnFormula>Tabel152[[#This Row],[Rood Verdediging]]&amp;Tabel152[[#This Row],[Rood Aanval]]</calculatedColumnFormula>
    </tableColumn>
    <tableColumn id="20" xr3:uid="{F9B158CB-34D0-49FD-B354-E7BF03F4AB21}" name="Team Groen" dataDxfId="147">
      <calculatedColumnFormula>Tabel152[[#This Row],[Groen Verdediging]]&amp;Tabel152[[#This Row],[Groen Aanval]]</calculatedColumnFormula>
    </tableColumn>
    <tableColumn id="21" xr3:uid="{69EBD8D2-F0C9-4429-B6DE-3646E91667A8}" name="Winnaars" dataDxfId="146">
      <calculatedColumnFormula>Tabel152[[#This Row],[Winnaar 1]]&amp;Tabel152[[#This Row],[Winnaar 2]]</calculatedColumnFormula>
    </tableColumn>
    <tableColumn id="22" xr3:uid="{68E973CE-50B3-49C2-9C31-64D068E828E1}" name="Winaar rood" dataDxfId="145">
      <calculatedColumnFormula>IF(Tabel152[[#This Row],[Team Rood]]=Tabel152[[#This Row],[Winnaars]],Tabel152[[#This Row],[Team Rood]])</calculatedColumnFormula>
    </tableColumn>
    <tableColumn id="23" xr3:uid="{6360633F-F098-45B9-9BD7-FC3356E817C0}" name="Winnaar Groen" dataDxfId="144">
      <calculatedColumnFormula>IF(Tabel152[[#This Row],[Team Groen]]=Tabel152[[#This Row],[Winnaars]],Tabel152[[#This Row],[Team Groen]])</calculatedColumnFormula>
    </tableColumn>
    <tableColumn id="24" xr3:uid="{5C96527D-3BA0-40B2-A2FF-AC2E950E224C}" name="ELO gains/loss" dataDxfId="143"/>
    <tableColumn id="25" xr3:uid="{F4EFB6F3-E657-4AE4-A97A-9619EA9E5CA1}" name="ELO gains/loss2" dataDxfId="142"/>
    <tableColumn id="26" xr3:uid="{8164D17C-41BF-4157-9532-E4B60C64AE74}" name="ELO gains/loss3" dataDxfId="141"/>
    <tableColumn id="27" xr3:uid="{8B138BEF-B169-465F-BED8-410B83C5A216}" name="ELO gains/loss4" dataDxfId="14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599F74-5D72-4E62-A486-6ED3EFCBD6EF}" name="Tabel511" displayName="Tabel511" ref="AL1:BN157" totalsRowShown="0" headerRowDxfId="139" headerRowBorderDxfId="138" tableBorderDxfId="137">
  <autoFilter ref="AL1:BN157" xr:uid="{281790B5-3D0A-43E3-B1E4-E726F718220A}"/>
  <sortState xmlns:xlrd2="http://schemas.microsoft.com/office/spreadsheetml/2017/richdata2" ref="AL2:BN157">
    <sortCondition ref="AN1:AN157"/>
  </sortState>
  <tableColumns count="29">
    <tableColumn id="1" xr3:uid="{6E9708D4-ABAF-4DD2-B473-71C71E81614D}" name="Verdediger" dataDxfId="136"/>
    <tableColumn id="2" xr3:uid="{2A750B6F-0BE2-4D13-89FF-AB3A0CC6C912}" name="Aanvaller" dataDxfId="135"/>
    <tableColumn id="3" xr3:uid="{AE810B55-2F2F-4CE6-811A-030C4B10A33F}" name="Team" dataDxfId="134">
      <calculatedColumnFormula>AL2&amp;AM2</calculatedColumnFormula>
    </tableColumn>
    <tableColumn id="4" xr3:uid="{B4D328A6-E4D4-4146-AD95-5DC8E7C3D6C4}" name="Win% Rood" dataDxfId="133">
      <calculatedColumnFormula>IF(Tabel511[[#This Row],[Aantal Games Rood]]=0,0,(Tabel511[[#This Row],[Wins Rood]])/Tabel511[[#This Row],[Aantal Games Rood]])</calculatedColumnFormula>
    </tableColumn>
    <tableColumn id="5" xr3:uid="{140E5169-4C06-468A-AD73-33D5BA0A834F}" name="Win% Groen" dataDxfId="132">
      <calculatedColumnFormula>IF(Tabel511[[#This Row],[Aantal Games Groen]]=0,0,(Tabel511[[#This Row],[Wins Groen]])/Tabel511[[#This Row],[Aantal Games Groen]])</calculatedColumnFormula>
    </tableColumn>
    <tableColumn id="6" xr3:uid="{36543D61-3E54-4FB7-AE60-1DD7B15A0634}" name="Win% Alg" dataDxfId="131">
      <calculatedColumnFormula>IF(Tabel511[[#This Row],[Aantal games Alg]]=0,0,(Tabel511[[#This Row],[Wins Alg]])/Tabel511[[#This Row],[Aantal games Alg]])</calculatedColumnFormula>
    </tableColumn>
    <tableColumn id="7" xr3:uid="{03AF2FF9-4558-4AA7-9D55-0AA6D408CB86}" name="Wins Rood" dataDxfId="130">
      <calculatedColumnFormula>COUNTIF(Tabel152[Winaar rood],Tabel511[[#This Row],[Team]])</calculatedColumnFormula>
    </tableColumn>
    <tableColumn id="8" xr3:uid="{B011F64B-2EE5-4625-AF58-D67D328002BA}" name="Wins Groen" dataDxfId="129">
      <calculatedColumnFormula>COUNTIF(Tabel152[Winnaar Groen],Tabel511[[#This Row],[Team]])</calculatedColumnFormula>
    </tableColumn>
    <tableColumn id="9" xr3:uid="{C1F54CF6-CF07-465C-B76D-351DDFDFDACC}" name="Wins Alg" dataDxfId="128">
      <calculatedColumnFormula>COUNTIF(Tabel152[Winnaars],Tabel511[[#This Row],[Team]])</calculatedColumnFormula>
    </tableColumn>
    <tableColumn id="10" xr3:uid="{7CD64DFB-6778-4226-B3D7-125771BAD99E}" name="Losses Rood" dataDxfId="127">
      <calculatedColumnFormula>Tabel511[[#This Row],[Aantal Games Rood]]-Tabel511[[#This Row],[Wins Rood]]</calculatedColumnFormula>
    </tableColumn>
    <tableColumn id="11" xr3:uid="{E25A47B8-ED7D-4957-AD3F-D8B3AB3A0D96}" name="Losses Groen" dataDxfId="126">
      <calculatedColumnFormula>Tabel511[[#This Row],[Aantal Games Groen]]-Tabel511[[#This Row],[Wins Groen]]</calculatedColumnFormula>
    </tableColumn>
    <tableColumn id="12" xr3:uid="{B07E55E9-F868-4655-AEBD-15A10643E00B}" name="Losses Alg" dataDxfId="125">
      <calculatedColumnFormula>Tabel511[[#This Row],[Aantal games Alg]]-Tabel511[[#This Row],[Wins Alg]]</calculatedColumnFormula>
    </tableColumn>
    <tableColumn id="13" xr3:uid="{278AEE77-C47F-416F-8C5D-94A120BF2974}" name="Aantal Games Rood" dataDxfId="124">
      <calculatedColumnFormula>COUNTIF(Tabel152[Team Rood],Tabel511[[#This Row],[Team]])</calculatedColumnFormula>
    </tableColumn>
    <tableColumn id="14" xr3:uid="{7AA6C1B5-6029-4872-BBD7-8CFF9D05EF29}" name="Aantal Games Groen" dataDxfId="123">
      <calculatedColumnFormula>COUNTIF(Tabel152[Team Groen],Tabel511[[#This Row],[Team]])</calculatedColumnFormula>
    </tableColumn>
    <tableColumn id="15" xr3:uid="{439A45DB-53CC-43BC-9496-22DD05116FFB}" name="Aantal games Alg" dataDxfId="122">
      <calculatedColumnFormula>Tabel511[[#This Row],[Aantal Games Rood]]+Tabel511[[#This Row],[Aantal Games Groen]]</calculatedColumnFormula>
    </tableColumn>
    <tableColumn id="16" xr3:uid="{251DA9DC-BD85-40BA-8083-175E92059E48}" name="Goals Verdediger" dataDxfId="121">
      <calculatedColumnFormula>SUMIF(Tabel152[Team Rood],Tabel511[[#This Row],[Team]],Tabel152[Score])</calculatedColumnFormula>
    </tableColumn>
    <tableColumn id="24" xr3:uid="{8CCD6D27-A2C4-440C-90E1-10B641285F9D}" name="Goals Aanvaller" dataDxfId="120">
      <calculatedColumnFormula>SUMIF(Tabel152[Team Rood],Tabel511[[#This Row],[Team]],Tabel152[Score2])</calculatedColumnFormula>
    </tableColumn>
    <tableColumn id="17" xr3:uid="{99A73825-9F66-471B-A48B-1470A91219A6}" name="Goals DefG">
      <calculatedColumnFormula>SUMIF(Tabel152[Team Groen],Tabel511[[#This Row],[Team]],Tabel152[Score3])</calculatedColumnFormula>
    </tableColumn>
    <tableColumn id="25" xr3:uid="{48EC484C-2E67-473C-AEC9-9BFCA2A49045}" name="Goals OffG" dataDxfId="119">
      <calculatedColumnFormula>SUMIF(Tabel152[Team Groen],Tabel511[[#This Row],[Team]],Tabel152[Score4])</calculatedColumnFormula>
    </tableColumn>
    <tableColumn id="26" xr3:uid="{748131A4-6934-4E1D-A458-A310C8361213}" name="Goals DefA" dataDxfId="118">
      <calculatedColumnFormula>SUM(Tabel511[[#This Row],[Goals Verdediger]]+Tabel511[[#This Row],[Goals DefG]])</calculatedColumnFormula>
    </tableColumn>
    <tableColumn id="29" xr3:uid="{0784EFBD-6CA4-4739-855B-FD52CDB6E220}" name="Goals DefA gem" dataDxfId="117">
      <calculatedColumnFormula>IF(Tabel511[[#This Row],[Aantal games Alg]]=0,0,Tabel511[[#This Row],[Goals DefA]]/Tabel511[[#This Row],[Aantal games Alg]])</calculatedColumnFormula>
    </tableColumn>
    <tableColumn id="27" xr3:uid="{610A0E54-6A9D-4B8C-900F-0415B63AAA4A}" name="Goals OffA" dataDxfId="116">
      <calculatedColumnFormula>SUM(Tabel511[[#This Row],[Goals Aanvaller]]+Tabel511[[#This Row],[Goals OffG]])</calculatedColumnFormula>
    </tableColumn>
    <tableColumn id="30" xr3:uid="{3755C48A-2E8D-489E-B001-D4654C7C973E}" name="Goals OffA gem" dataDxfId="115">
      <calculatedColumnFormula>IF(Tabel511[[#This Row],[Aantal games Alg]]=0,0,Tabel511[[#This Row],[Goals OffA]]/Tabel511[[#This Row],[Aantal games Alg]])</calculatedColumnFormula>
    </tableColumn>
    <tableColumn id="18" xr3:uid="{57CD8A84-F749-447A-BB71-D6B5FFBABEC7}" name="Goals Alg" dataDxfId="114">
      <calculatedColumnFormula>Tabel511[[#This Row],[Goals DefA]]+Tabel511[[#This Row],[Goals OffA]]</calculatedColumnFormula>
    </tableColumn>
    <tableColumn id="28" xr3:uid="{742E5F20-CA0C-4EEC-9910-6E035CE17BDE}" name="Goals Gem" dataDxfId="113">
      <calculatedColumnFormula>IF(Tabel511[[#This Row],[Aantal games Alg]]=0,0,Tabel511[[#This Row],[Goals Alg]]/Tabel511[[#This Row],[Aantal games Alg]])</calculatedColumnFormula>
    </tableColumn>
    <tableColumn id="19" xr3:uid="{3C1D704E-E7CA-469E-8696-319745A33134}" name="ET Rood tot" dataDxfId="112">
      <calculatedColumnFormula>SUMIF(Tabel152[Team Rood],Tabel511[[#This Row],[Team]],Tabel152[ET])</calculatedColumnFormula>
    </tableColumn>
    <tableColumn id="20" xr3:uid="{16F8EA5C-C476-4408-B48A-EE2CD2D55B0C}" name="ET Groen tot" dataDxfId="111">
      <calculatedColumnFormula>SUMIF(Tabel152[Team Groen],Tabel511[[#This Row],[Team]],Tabel152[ET])</calculatedColumnFormula>
    </tableColumn>
    <tableColumn id="21" xr3:uid="{47AE7244-7164-4CE1-8A87-35AC9510D15F}" name="ET tot" dataDxfId="110">
      <calculatedColumnFormula>SUM(Tabel511[[#This Row],[ET Groen tot]],Tabel511[[#This Row],[ET Rood tot]])</calculatedColumnFormula>
    </tableColumn>
    <tableColumn id="22" xr3:uid="{EBEAC80B-019C-4CF7-9F3B-4E35025C5EE7}" name="ET gem" dataDxfId="109">
      <calculatedColumnFormula>IF(Tabel511[[#This Row],[Aantal games Alg]]=0,0,Tabel511[[#This Row],[ET tot]]/Tabel511[[#This Row],[Aantal games Alg]])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68EA8E-E609-4B18-BA9F-CE7FAB1BAD66}" name="Tabel18" displayName="Tabel18" ref="A1:X12" totalsRowShown="0" headerRowDxfId="102" dataDxfId="101" tableBorderDxfId="100">
  <autoFilter ref="A1:X12" xr:uid="{3168EA8E-E609-4B18-BA9F-CE7FAB1BAD66}"/>
  <sortState xmlns:xlrd2="http://schemas.microsoft.com/office/spreadsheetml/2017/richdata2" ref="A2:X12">
    <sortCondition descending="1" ref="N1:N12"/>
  </sortState>
  <tableColumns count="24">
    <tableColumn id="1" xr3:uid="{5DBB3C4B-AE4E-44D5-94ED-BA03B9893B48}" name="Player " dataDxfId="99"/>
    <tableColumn id="2" xr3:uid="{7CDAD384-7FEB-4222-A6EB-075FF740779E}" name="Aantal rood verdediger" dataDxfId="98">
      <calculatedColumnFormula>COUNTIF('Season 4'!$F$2:$F$304,A2)</calculatedColumnFormula>
    </tableColumn>
    <tableColumn id="3" xr3:uid="{72808CD5-FCCA-4434-8D18-25970D395D65}" name="Aantal rood aanvaller" dataDxfId="97">
      <calculatedColumnFormula>COUNTIF('Season 4'!$H$2:$H$304,A2)</calculatedColumnFormula>
    </tableColumn>
    <tableColumn id="4" xr3:uid="{6DEE55D8-DDED-45AC-ABED-D7EF07236B9E}" name="Aantal groen verdediger" dataDxfId="96">
      <calculatedColumnFormula>COUNTIF('Season 4'!$J$2:$J$304,A2)</calculatedColumnFormula>
    </tableColumn>
    <tableColumn id="5" xr3:uid="{FD567987-A797-40A1-BD91-25C9D202C440}" name="Aantal groen aanvaller" dataDxfId="95">
      <calculatedColumnFormula>COUNTIF('Season 4'!$L$2:$L$304,A2)</calculatedColumnFormula>
    </tableColumn>
    <tableColumn id="6" xr3:uid="{5AB0F955-ECCF-4DFA-A1A8-649DFF0094E6}" name="Aantal matches" dataDxfId="94">
      <calculatedColumnFormula>SUM(B2:E2)</calculatedColumnFormula>
    </tableColumn>
    <tableColumn id="7" xr3:uid="{9BA77221-C474-4F00-9C59-247829742515}" name="Aantal wins" dataDxfId="93">
      <calculatedColumnFormula>COUNTIF('Season 4'!$Q$2:$R$304,A2)</calculatedColumnFormula>
    </tableColumn>
    <tableColumn id="8" xr3:uid="{2AF17A01-33B5-4084-864A-2304E34D1427}" name="Aantal losses" dataDxfId="92">
      <calculatedColumnFormula>F2-G2</calculatedColumnFormula>
    </tableColumn>
    <tableColumn id="26" xr3:uid="{9113C9AB-7FE1-4169-A052-770E6E3F45C7}" name="Wins def" dataDxfId="91">
      <calculatedColumnFormula>COUNTIF(Tabel152[Winnaar 1],Tabel18[[#This Row],[Player ]])</calculatedColumnFormula>
    </tableColumn>
    <tableColumn id="25" xr3:uid="{4218837B-07FE-450F-9FBD-0EA26EFAD1F3}" name="Wins aanv" dataDxfId="90">
      <calculatedColumnFormula>COUNTIF(Tabel152[Winnaar 2],Tabel18[[#This Row],[Player ]])</calculatedColumnFormula>
    </tableColumn>
    <tableColumn id="24" xr3:uid="{63AC9A1D-E785-4892-9B25-308EA39A1BD9}" name="Win% Def" dataDxfId="89">
      <calculatedColumnFormula>IF((Tabel18[[#This Row],[Aantal rood verdediger]]+Tabel18[[#This Row],[Aantal groen verdediger]])=0,0,Tabel18[[#This Row],[Wins def]]/(Tabel18[[#This Row],[Aantal rood verdediger]]+Tabel18[[#This Row],[Aantal groen verdediger]]))</calculatedColumnFormula>
    </tableColumn>
    <tableColumn id="23" xr3:uid="{0F69E9C1-1443-47D4-B871-A20FC2B9890A}" name="Win % Aan" dataDxfId="88">
      <calculatedColumnFormula>IF((Tabel18[[#This Row],[Aantal rood aanvaller]]+Tabel18[[#This Row],[Aantal groen aanvaller]])=0,0,(Tabel18[[#This Row],[Wins aanv]]/(Tabel18[[#This Row],[Aantal rood aanvaller]]+Tabel18[[#This Row],[Aantal groen aanvaller]])))</calculatedColumnFormula>
    </tableColumn>
    <tableColumn id="9" xr3:uid="{DD1885D5-8A10-4BF7-84FE-82F5E8869624}" name="Win%" dataDxfId="87">
      <calculatedColumnFormula>IF(F2=0,"",G2/F2)</calculatedColumnFormula>
    </tableColumn>
    <tableColumn id="10" xr3:uid="{CE4FD4EA-A124-4D6E-A5D2-23077D924136}" name="ELO" dataDxfId="86">
      <calculatedColumnFormula>_xlfn.XLOOKUP(A2,Tabel2015[Players],Tabel2015[ELO Tot])</calculatedColumnFormula>
    </tableColumn>
    <tableColumn id="11" xr3:uid="{0866BC75-E83E-457B-ABDF-4F2363363180}" name="Rank" dataDxfId="85">
      <calculatedColumnFormula>_xlfn.XLOOKUP(N2,Tabel2015[ELO Tot],Tabel2015[Rank])</calculatedColumnFormula>
    </tableColumn>
    <tableColumn id="12" xr3:uid="{79A4D99C-021F-4237-AECB-19D9600C6DB3}" name="Player 2" dataDxfId="84">
      <calculatedColumnFormula>A2</calculatedColumnFormula>
    </tableColumn>
    <tableColumn id="13" xr3:uid="{DE3C0A27-0EC1-419C-BE73-D1FCDCC3C039}" name="# Goals" dataDxfId="83">
      <calculatedColumnFormula>R2+T2</calculatedColumnFormula>
    </tableColumn>
    <tableColumn id="14" xr3:uid="{2C8B2AED-6FA5-4F98-A966-1F0CD6C41A56}" name="# Goals Def." dataDxfId="82">
      <calculatedColumnFormula>SUMIF('Season 4'!$AB$2:$AF$14,'Player Stats S4'!$A2,'Season 4'!$AC$2:$AC$14)+SUMIF('Season 4'!$AB$2:$AF$14,'Player Stats S4'!$A2,'Season 4'!$AE$2:$AE$14)</calculatedColumnFormula>
    </tableColumn>
    <tableColumn id="15" xr3:uid="{959CB4EC-FD55-4973-9A65-F0B98068943B}" name="#Goals Def. %" dataDxfId="81">
      <calculatedColumnFormula>IF(Q2 = 0, 0, R2/Q2)</calculatedColumnFormula>
    </tableColumn>
    <tableColumn id="16" xr3:uid="{4ED60637-BA33-4CFB-AEE0-365648D12E76}" name="# Goals Off." dataDxfId="80">
      <calculatedColumnFormula>SUMIF('Season 4'!$AB$2:$AF$14,'Player Stats S4'!$A2,'Season 4'!$AD$2:$AD$14)+SUMIF('Season 4'!$AB$2:$AF$14,'Player Stats S4'!$A2,'Season 4'!$AF$2:$AF$14)</calculatedColumnFormula>
    </tableColumn>
    <tableColumn id="17" xr3:uid="{14E2A71A-69A7-48E0-BF24-A94DEB95E2CB}" name="#Goals Off. %" dataDxfId="79">
      <calculatedColumnFormula>IF(Q2 = 0, 0, T2/Q2)</calculatedColumnFormula>
    </tableColumn>
    <tableColumn id="18" xr3:uid="{922F7F56-9E26-4B48-84D3-195112039917}" name="# Goals / Match" dataDxfId="78">
      <calculatedColumnFormula>IF(F2 =0,0,Q2/F2)</calculatedColumnFormula>
    </tableColumn>
    <tableColumn id="19" xr3:uid="{ED4B8799-C48E-4171-9372-26060B4397B3}" name="# Goals Def. / Match" dataDxfId="77">
      <calculatedColumnFormula>IF(SUM(B2+D2) = 0,0,R2/SUM(B2+D2))</calculatedColumnFormula>
    </tableColumn>
    <tableColumn id="20" xr3:uid="{FB66B225-43F2-43D1-86A6-A4EDD750F979}" name="# Goals Off. / Match" dataDxfId="76">
      <calculatedColumnFormula>IF(SUM(C2,E2) = 0,0,T2/SUM(C2,E2))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625CF3F-9C76-443B-AF7A-DE1B4B3F454D}" name="Tabel614" displayName="Tabel614" ref="K4:Z39" totalsRowShown="0" headerRowDxfId="68" headerRowBorderDxfId="67">
  <autoFilter ref="K4:Z39" xr:uid="{1CEFCA8B-78BE-42D6-9E9B-37467CE0D95B}"/>
  <tableColumns count="16">
    <tableColumn id="1" xr3:uid="{E72E8863-369A-48F3-BF69-493D28CF5E86}" name="Division"/>
    <tableColumn id="2" xr3:uid="{1EEE24BE-AE8A-44E2-BD31-54D58F1B66CC}" name="Rank"/>
    <tableColumn id="3" xr3:uid="{983A07A9-19AD-4466-ABBC-732EC1DA7A59}" name="Score"/>
    <tableColumn id="4" xr3:uid="{F38E3CA4-6B9C-46FE-AFBC-758E9D720C4B}" name="Stef*" dataDxfId="66">
      <calculatedColumnFormula>_xlfn.XLOOKUP(Tabel614[[#This Row],[Score]],'ELO rekenblad'!$H$43,'ELO rekenblad'!$A$43,"")</calculatedColumnFormula>
    </tableColumn>
    <tableColumn id="5" xr3:uid="{2535D129-FD92-4364-9B46-3B6FB66A6960}" name="Tobi*" dataDxfId="65">
      <calculatedColumnFormula>_xlfn.XLOOKUP(Tabel614[[#This Row],[Score]],'ELO rekenblad'!$H$44,'ELO rekenblad'!$A$44,"")</calculatedColumnFormula>
    </tableColumn>
    <tableColumn id="6" xr3:uid="{A7223843-35CA-4505-9F33-5B1A81C8057B}" name="Arno*" dataDxfId="64">
      <calculatedColumnFormula>_xlfn.XLOOKUP(Tabel614[[#This Row],[Score]],'ELO rekenblad'!$H$45,'ELO rekenblad'!$A$45,"")</calculatedColumnFormula>
    </tableColumn>
    <tableColumn id="7" xr3:uid="{F37BE709-8A95-48EF-B557-F462FD956CE0}" name="Coghe*" dataDxfId="63">
      <calculatedColumnFormula>_xlfn.XLOOKUP(Tabel614[[#This Row],[Score]],'ELO rekenblad'!$H$46,'ELO rekenblad'!$A$46,"")</calculatedColumnFormula>
    </tableColumn>
    <tableColumn id="8" xr3:uid="{4C20451B-CB11-4FBF-A81A-C24C3485FCB4}" name="Karel*" dataDxfId="62">
      <calculatedColumnFormula>_xlfn.XLOOKUP(Tabel614[[#This Row],[Score]],'ELO rekenblad'!$H$47,'ELO rekenblad'!$A$47,"")</calculatedColumnFormula>
    </tableColumn>
    <tableColumn id="9" xr3:uid="{64C2B277-A04B-46BB-B63C-F85E9F9D72C7}" name="Bert*" dataDxfId="61">
      <calculatedColumnFormula>_xlfn.XLOOKUP(Tabel614[[#This Row],[Score]],'ELO rekenblad'!$H$48,'ELO rekenblad'!$A$48,"")</calculatedColumnFormula>
    </tableColumn>
    <tableColumn id="10" xr3:uid="{98D721FF-12C9-4105-BCDB-00F6CDB4DBF7}" name="Tiemen*" dataDxfId="60">
      <calculatedColumnFormula>_xlfn.XLOOKUP(Tabel614[[#This Row],[Score]],'ELO rekenblad'!$H$49,'ELO rekenblad'!$A$49,"")</calculatedColumnFormula>
    </tableColumn>
    <tableColumn id="11" xr3:uid="{05B38AB0-5DBC-4C5C-8BA2-1ED5C4206581}" name="Jonas*" dataDxfId="59">
      <calculatedColumnFormula>_xlfn.XLOOKUP(Tabel614[[#This Row],[Score]],'ELO rekenblad'!$H$50,'ELO rekenblad'!$A$50,"")</calculatedColumnFormula>
    </tableColumn>
    <tableColumn id="12" xr3:uid="{4B4B8636-EC93-416E-BAD7-EA4BC025BC65}" name="Louis*" dataDxfId="58">
      <calculatedColumnFormula>_xlfn.XLOOKUP(Tabel614[[#This Row],[Score]],'ELO rekenblad'!$H$51,'ELO rekenblad'!$A$51,"")</calculatedColumnFormula>
    </tableColumn>
    <tableColumn id="13" xr3:uid="{AC32D07C-3DCE-4FD4-9B22-DF158CE66FF9}" name="Matthijs*" dataDxfId="57">
      <calculatedColumnFormula>_xlfn.XLOOKUP(Tabel614[[#This Row],[Score]],'ELO rekenblad'!$H$52,'ELO rekenblad'!$A$52,"")</calculatedColumnFormula>
    </tableColumn>
    <tableColumn id="14" xr3:uid="{A4641572-B630-401E-8A5A-E9FE64E85149}" name="Nico*" dataDxfId="56">
      <calculatedColumnFormula>_xlfn.XLOOKUP(Tabel614[[#This Row],[Score]],'ELO rekenblad'!$H$53,'ELO rekenblad'!$A$53,"")</calculatedColumnFormula>
    </tableColumn>
    <tableColumn id="15" xr3:uid="{BF6775A1-DD4A-4429-9224-472006A0840E}" name="Alexander*" dataDxfId="55">
      <calculatedColumnFormula>_xlfn.XLOOKUP(Tabel614[[#This Row],[Score]],'ELO rekenblad'!$H$54,'ELO rekenblad'!$A$54,"")</calculatedColumnFormula>
    </tableColumn>
    <tableColumn id="16" xr3:uid="{328637FD-3F20-424A-9D50-078DD6F9D43F}" name="Stijn*" dataDxfId="54">
      <calculatedColumnFormula>_xlfn.XLOOKUP(Tabel614[[#This Row],[Score]],'ELO rekenblad'!$H$55,'ELO rekenblad'!$A$55,"")</calculatedColumnFormula>
    </tableColumn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F4C75A0-2B67-41F6-A696-FE1A7C31F847}" name="Tabel16" displayName="Tabel16" ref="A2:G4" totalsRowShown="0">
  <autoFilter ref="A2:G4" xr:uid="{DFFB720F-93FE-46A9-845A-2DF4E8174063}"/>
  <tableColumns count="7">
    <tableColumn id="1" xr3:uid="{72CF9F79-1D83-40A3-8588-353C3826E2A3}" name="Speler"/>
    <tableColumn id="7" xr3:uid="{1498DA55-9BF5-4BB3-82EE-9D17C30DF133}" name="Kolom1" dataDxfId="47">
      <calculatedColumnFormula array="1">Naam(C3)</calculatedColumnFormula>
    </tableColumn>
    <tableColumn id="2" xr3:uid="{62050E02-3356-4AD7-A4E1-CA220FDDFB0A}" name="Naam"/>
    <tableColumn id="3" xr3:uid="{17E1E2E9-D894-4AC8-8B23-B86CF2430701}" name="Percentage" dataDxfId="46">
      <calculatedColumnFormula>IF(_xlfn.XLOOKUP(B3,Tabel18[[Player ]],Tabel18[Win% Def])=0,0.5,IF(_xlfn.XLOOKUP(B3,Tabel18[[Player ]],Tabel18[Win% Def])=1,0.5,_xlfn.XLOOKUP(B3,Tabel18[[Player ]],Tabel18[Win% Def])))</calculatedColumnFormula>
    </tableColumn>
    <tableColumn id="4" xr3:uid="{72D5287E-27F3-4271-A5E3-632F995D85A4}" name="Winkans"/>
    <tableColumn id="5" xr3:uid="{8E5F9CF2-6F8E-4E01-ABA5-BE1109E3B9C3}" name="Elo gain/Loss" dataDxfId="45">
      <calculatedColumnFormula>IF(Tabel16[[#This Row],[Kolom1]]=$B$14,F11+(Tabel16[[#This Row],[50%]]*F11)+F65,G11+(Tabel16[[#This Row],[50%]]*ABS(G11))+F65)</calculatedColumnFormula>
    </tableColumn>
    <tableColumn id="6" xr3:uid="{1EBC6E99-D6E6-4C2D-B8B6-99D87DCF713A}" name="50%" dataDxfId="44">
      <calculatedColumnFormula>0.5-Tabel16[[#This Row],[Winkans]]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A6F9998-A534-444D-9DCA-A0E4A57A4713}" name="Tabel17" displayName="Tabel17" ref="A10:G12" totalsRowShown="0">
  <autoFilter ref="A10:G12" xr:uid="{751BC104-ECA0-4073-A4AC-6D3D55BAA01F}"/>
  <tableColumns count="7">
    <tableColumn id="1" xr3:uid="{56B580FA-1DF3-46D8-B174-E3560BBACB9C}" name="Team Kleur"/>
    <tableColumn id="7" xr3:uid="{2F302CFD-3B87-48EF-837C-75D75E975373}" name="Kolom1" dataDxfId="43">
      <calculatedColumnFormula>B3&amp;B7</calculatedColumnFormula>
    </tableColumn>
    <tableColumn id="2" xr3:uid="{2D1A0B9B-F7D3-4A63-A698-81C10EC529B7}" name="Team">
      <calculatedColumnFormula>C3&amp;C7</calculatedColumnFormula>
    </tableColumn>
    <tableColumn id="3" xr3:uid="{4AFBF7A5-09B0-47ED-91C9-BEDA5BE17DCF}" name="Percentage" dataDxfId="42">
      <calculatedColumnFormula>IF(IF(_xlfn.XLOOKUP(B11,Tabel511[Team],Tabel511[Win% Alg]) = 0, 0.5, IF(_xlfn.XLOOKUP(B11,Tabel511[Team],Tabel511[Win% Alg])=1,0.5,_xlfn.XLOOKUP(B11,Tabel511[Team],Tabel511[Win% Alg])))&lt;0.35,0.35,IF(IF(_xlfn.XLOOKUP(B11,Tabel511[Team],Tabel511[Win% Alg]) = 0, 0.5, IF(_xlfn.XLOOKUP(B11,Tabel511[Team],Tabel511[Win% Alg])=1,0.5,_xlfn.XLOOKUP(B11,Tabel511[Team],Tabel511[Win% Alg])))&gt;0.65,0.65,IF(_xlfn.XLOOKUP(B11,Tabel511[Team],Tabel511[Win% Alg]) = 0, 0.5, IF(_xlfn.XLOOKUP(B11,Tabel511[Team],Tabel511[Win% Alg])=1,0.5,_xlfn.XLOOKUP(B11,Tabel511[Team],Tabel511[Win% Alg])))))</calculatedColumnFormula>
    </tableColumn>
    <tableColumn id="4" xr3:uid="{0281E1EF-50E4-43EA-905F-FED2FB845353}" name="Winkans"/>
    <tableColumn id="5" xr3:uid="{BD8A546A-14BE-4E46-9617-6F3D004E9F80}" name="Win" dataDxfId="41">
      <calculatedColumnFormula>55*(1-Tabel17[[#This Row],[Winkans]])</calculatedColumnFormula>
    </tableColumn>
    <tableColumn id="6" xr3:uid="{6961EEEE-71B3-401A-A176-E195DB21B3EC}" name="Loss" dataDxfId="40">
      <calculatedColumnFormula>(55*(0-Tabel17[[#This Row],[Winkans]]))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0CED6A2-9C27-4DE6-8155-306C585B1A34}" name="Tabel19" displayName="Tabel19" ref="A6:G8" totalsRowShown="0" dataDxfId="38" headerRowBorderDxfId="39" tableBorderDxfId="37" totalsRowBorderDxfId="36">
  <autoFilter ref="A6:G8" xr:uid="{BCFCA996-1DFF-473F-A64E-C97DC36318D7}"/>
  <tableColumns count="7">
    <tableColumn id="1" xr3:uid="{6A558802-C1D6-4572-8F44-C6A5B5520667}" name="Speler" dataDxfId="35"/>
    <tableColumn id="7" xr3:uid="{29E6AD4C-C1EC-499D-9FD5-AB688206D9A8}" name="Kolom1" dataDxfId="34">
      <calculatedColumnFormula array="1">Naam(C7)</calculatedColumnFormula>
    </tableColumn>
    <tableColumn id="2" xr3:uid="{DB7641A6-9634-4667-AC6B-794DE29F7F80}" name="Naam" dataDxfId="33">
      <calculatedColumnFormula>'Season 3'!L1</calculatedColumnFormula>
    </tableColumn>
    <tableColumn id="3" xr3:uid="{58DA56F6-D833-4EED-9163-3349EB764D4D}" name="Percentage" dataDxfId="32">
      <calculatedColumnFormula>IF(_xlfn.XLOOKUP(B7,Tabel18[[Player ]],Tabel18[Win % Aan])=1,0.5,IF(_xlfn.XLOOKUP(B7,Tabel18[[Player ]],Tabel18[Win % Aan])=0,0.5,_xlfn.XLOOKUP(B7,Tabel18[[Player ]],Tabel18[Win % Aan])))</calculatedColumnFormula>
    </tableColumn>
    <tableColumn id="4" xr3:uid="{3A7D4AF0-3936-45B3-91DF-FD6F3CB7E296}" name="Winkans" dataDxfId="31">
      <calculatedColumnFormula>(1/(1 + POWER(10, ((((D6+D2)/2-D7)*2)))))</calculatedColumnFormula>
    </tableColumn>
    <tableColumn id="5" xr3:uid="{593F0063-E199-4010-9C3A-2BE6AA3594A6}" name="Elo gain/Loss" dataDxfId="30">
      <calculatedColumnFormula>IF(B7=$B$15,F11+(Tabel19[[#This Row],[50%]]*F11),G11+(Tabel19[[#This Row],[50%]]*ABS(G11)))</calculatedColumnFormula>
    </tableColumn>
    <tableColumn id="6" xr3:uid="{EA10635F-2AC3-4DF3-9537-42CDBCDAA5A2}" name="50%" dataDxfId="29">
      <calculatedColumnFormula>0.5-Tabel19[[#This Row],[Winkans]]</calculatedColumnFormula>
    </tableColumn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899221B-1634-4119-9337-2B318F425C86}" name="Tabel20" displayName="Tabel20" ref="A24:I37" totalsRowShown="0" tableBorderDxfId="28">
  <autoFilter ref="A24:I37" xr:uid="{E95F0875-8177-4200-816D-497EA1B2B958}"/>
  <sortState xmlns:xlrd2="http://schemas.microsoft.com/office/spreadsheetml/2017/richdata2" ref="A25:I37">
    <sortCondition descending="1" ref="G24:G37"/>
  </sortState>
  <tableColumns count="9">
    <tableColumn id="1" xr3:uid="{489B56F2-21E1-4B16-8DEF-ACB0641E9E6B}" name="Players" dataDxfId="27"/>
    <tableColumn id="2" xr3:uid="{B3860EAB-EDA9-4DC2-8BD7-15BF6C8A07A7}" name="ELO" dataDxfId="26">
      <calculatedColumnFormula>SUMIF(Tabel15[Rood Verdediging],Tabel20[[#This Row],[Players]],Tabel15[ELO gains/loss])+SUMIF(Tabel15[Rood Aanval],Tabel20[[#This Row],[Players]],Tabel15[ELO gains/loss2])</calculatedColumnFormula>
    </tableColumn>
    <tableColumn id="3" xr3:uid="{11DA0E7B-7985-4D1D-9A34-947149DF63B5}" name="ELO2" dataDxfId="25">
      <calculatedColumnFormula>SUMIF(Tabel15[Rood Aanval],Tabel20[[#This Row],[Players]],Tabel15[ELO gains/loss2])</calculatedColumnFormula>
    </tableColumn>
    <tableColumn id="4" xr3:uid="{3614B205-FEBB-4B0F-91ED-AFB6B46D26C2}" name="ELO3" dataDxfId="24">
      <calculatedColumnFormula>SUMIF(Tabel15[Groen Verdediging],Tabel20[[#This Row],[Players]],Tabel15[ELO gains/loss3])</calculatedColumnFormula>
    </tableColumn>
    <tableColumn id="5" xr3:uid="{F7B9CAC3-5AC2-4F3A-A008-59953B7EE485}" name="ELO4" dataDxfId="23">
      <calculatedColumnFormula>SUMIF(Tabel15[Groen Aanval],Tabel20[[#This Row],[Players]],Tabel15[ELO gains/loss4])</calculatedColumnFormula>
    </tableColumn>
    <tableColumn id="6" xr3:uid="{B71E6E41-F50A-448D-AFED-DBB2E36391F4}" name="ELO Total gain" dataDxfId="22">
      <calculatedColumnFormula>SUM(B25:E25)</calculatedColumnFormula>
    </tableColumn>
    <tableColumn id="7" xr3:uid="{FB98B612-CDB8-4E82-A8E1-C70531ABCF9F}" name="ELO Tot" dataDxfId="21">
      <calculatedColumnFormula>(_xlfn.XLOOKUP(Tabel20[[#This Row],[Players]],Tabel11[[Player ]],Tabel11[Win%])*2500)+( _xlfn.XLOOKUP(Tabel20[[#This Row],[Players]],Tabel11[[Player ]],Tabel11[Aantal matches])*2)+Tabel20[[#This Row],[ELO Total gain]]</calculatedColumnFormula>
    </tableColumn>
    <tableColumn id="8" xr3:uid="{A5F0B39F-5418-46EB-BA8A-0EE14D16D82B}" name="Kolom1" dataDxfId="20">
      <calculatedColumnFormula>_xlfn.FLOOR.MATH(Tabel20[[#This Row],[ELO Tot]],$Q$2)</calculatedColumnFormula>
    </tableColumn>
    <tableColumn id="9" xr3:uid="{DC1088BE-48D8-42CA-8B75-47B106299394}" name="Rank" dataDxfId="19">
      <calculatedColumnFormula>IF(Tabel20[[#This Row],[Kolom1]]&lt;'ELO S3'!M$10,'ELO S3'!K$5,IF(AND(Tabel20[[#This Row],[Kolom1]]&gt;='ELO S3'!M$10,Tabel20[[#This Row],[Kolom1]]&lt;'ELO S3'!M$15),'ELO S3'!K$10,IF(AND(Tabel20[[#This Row],[Kolom1]]&gt;='ELO S3'!M$15,Tabel20[[#This Row],[Kolom1]]&lt;'ELO S3'!M$20),'ELO S3'!K$15,IF(AND(Tabel20[[#This Row],[Kolom1]]&gt;='ELO S3'!M$20,Tabel20[[#This Row],[Kolom1]]&lt;'ELO S3'!M$25),'ELO S3'!K$20,IF(AND(Tabel20[[#This Row],[Kolom1]]&gt;='ELO S3'!M$25,Tabel20[[#This Row],[Kolom1]]&lt;'ELO S3'!M$30),'ELO S3'!K$25,IF(AND(Tabel20[[#This Row],[Kolom1]]&gt;='ELO S3'!M$30,Tabel20[[#This Row],[Kolom1]]&lt;MAX(Tabel20[ELO Tot])),'ELO S3'!K$30,IF(AND(Tabel20[[#This Row],[Kolom1]]&gt;='ELO S3'!M$30,Tabel20[[#This Row],[Kolom1]]=MAX(Tabel20[ELO Tot])),'ELO S3'!K$31,"")))))))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A91CF8-08ED-4DBA-B27B-6EC62407EBD8}" name="Tabel9" displayName="Tabel9" ref="P15:T28" totalsRowShown="0" headerRowDxfId="18" dataDxfId="16" headerRowBorderDxfId="17" tableBorderDxfId="15">
  <autoFilter ref="P15:T28" xr:uid="{F6034249-C09F-4C33-BE65-3258ABD6DC29}"/>
  <tableColumns count="5">
    <tableColumn id="1" xr3:uid="{03D35F22-F39D-4127-A62A-1D707AB88178}" name="Kolom1" dataDxfId="14"/>
    <tableColumn id="2" xr3:uid="{7D8130DD-0356-44D4-AA78-894E2CD1FD8F}" name="Kolom2" dataDxfId="13"/>
    <tableColumn id="3" xr3:uid="{984BCF2F-4131-4BE9-8B94-837D41DAF0C6}" name="Kolom3" dataDxfId="12"/>
    <tableColumn id="4" xr3:uid="{0018D859-F160-4442-BABF-7CFCE7B67005}" name="Kolom4" dataDxfId="11"/>
    <tableColumn id="5" xr3:uid="{4DE1FA24-28B2-449F-9628-2ADF76D7E86E}" name="Kolom5" dataDxfId="1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6EA895-0294-4055-B09B-56A8B7F0E1A8}" name="Tabel2015" displayName="Tabel2015" ref="A42:I55" totalsRowShown="0" tableBorderDxfId="9">
  <autoFilter ref="A42:I55" xr:uid="{966EA895-0294-4055-B09B-56A8B7F0E1A8}"/>
  <sortState xmlns:xlrd2="http://schemas.microsoft.com/office/spreadsheetml/2017/richdata2" ref="A43:I55">
    <sortCondition descending="1" ref="G24:G37"/>
  </sortState>
  <tableColumns count="9">
    <tableColumn id="1" xr3:uid="{7794242E-4DA3-487A-B63D-B3630C61FBF7}" name="Players" dataDxfId="8"/>
    <tableColumn id="2" xr3:uid="{CF450F0B-6158-4E3B-B21A-C8AF8704584D}" name="ELO" dataDxfId="7">
      <calculatedColumnFormula>SUMIF(Tabel152[Rood Verdediging],Tabel2015[[#This Row],[Players]],Tabel152[ELO gains/loss])+SUMIF(Tabel152[Rood Aanval],Tabel2015[[#This Row],[Players]],Tabel152[ELO gains/loss2])</calculatedColumnFormula>
    </tableColumn>
    <tableColumn id="3" xr3:uid="{5386BCB9-01AD-435F-BC00-38ECA422470A}" name="ELO2" dataDxfId="6">
      <calculatedColumnFormula>SUMIF(Tabel152[Rood Aanval],Tabel2015[[#This Row],[Players]],Tabel152[ELO gains/loss2])</calculatedColumnFormula>
    </tableColumn>
    <tableColumn id="4" xr3:uid="{397E667C-8B60-411C-8E72-F571DF4E25AF}" name="ELO3" dataDxfId="5">
      <calculatedColumnFormula>SUMIF(Tabel152[Groen Verdediging],Tabel2015[[#This Row],[Players]],Tabel152[ELO gains/loss3])</calculatedColumnFormula>
    </tableColumn>
    <tableColumn id="5" xr3:uid="{0F70466D-5035-4437-9E31-01E153E75738}" name="ELO4" dataDxfId="4">
      <calculatedColumnFormula>SUMIF(Tabel152[Groen Aanval],Tabel2015[[#This Row],[Players]],Tabel152[ELO gains/loss4])</calculatedColumnFormula>
    </tableColumn>
    <tableColumn id="6" xr3:uid="{DE38CE98-2230-42CD-BAEF-029F08C4169F}" name="ELO Total gain" dataDxfId="3">
      <calculatedColumnFormula>SUM(B43:E43)</calculatedColumnFormula>
    </tableColumn>
    <tableColumn id="7" xr3:uid="{1C875EB1-6D6A-4A5E-A48C-9268D0F61C31}" name="ELO Tot" dataDxfId="2">
      <calculatedColumnFormula>1850+Tabel2015[[#This Row],[ELO Total gain]]</calculatedColumnFormula>
    </tableColumn>
    <tableColumn id="8" xr3:uid="{BD9B0C62-4419-4EB3-922E-DB38B420DBFC}" name="Kolom1" dataDxfId="1">
      <calculatedColumnFormula>_xlfn.FLOOR.MATH(Tabel2015[[#This Row],[ELO Tot]],$Q$2)</calculatedColumnFormula>
    </tableColumn>
    <tableColumn id="9" xr3:uid="{D53BD453-B1C7-4662-A659-52F7568DBDF7}" name="Rank" dataDxfId="0">
      <calculatedColumnFormula>IF(Tabel2015[[#This Row],[Kolom1]]&lt;'ELO S4'!M$10,'ELO S4'!K$5,IF(AND(Tabel2015[[#This Row],[Kolom1]]&gt;='ELO S4'!M$10,Tabel2015[[#This Row],[Kolom1]]&lt;'ELO S4'!M$15),'ELO S4'!K$10,IF(AND(Tabel2015[[#This Row],[Kolom1]]&gt;='ELO S4'!M$15,Tabel2015[[#This Row],[Kolom1]]&lt;'ELO S4'!M$20),'ELO S4'!K$15,IF(AND(Tabel2015[[#This Row],[Kolom1]]&gt;='ELO S4'!M$20,Tabel2015[[#This Row],[Kolom1]]&lt;'ELO S4'!M$25),'ELO S4'!K$20,IF(AND(Tabel2015[[#This Row],[Kolom1]]&gt;='ELO S4'!M$25,Tabel2015[[#This Row],[Kolom1]]&lt;'ELO S4'!M$30),'ELO S4'!K$25,IF(AND(Tabel2015[[#This Row],[Kolom1]]&gt;='ELO S4'!M$30,Tabel2015[[#This Row],[Kolom1]]&lt;MAX(Tabel2015[ELO Tot])),'ELO S4'!K$30,IF(AND(Tabel2015[[#This Row],[Kolom1]]&gt;='ELO S4'!M$30,Tabel2015[[#This Row],[Kolom1]]=MAX(Tabel2015[ELO Tot])),'ELO S4'!K$31,"")))))))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O672"/>
  <sheetViews>
    <sheetView workbookViewId="0">
      <selection activeCell="B87" sqref="B87"/>
    </sheetView>
  </sheetViews>
  <sheetFormatPr defaultRowHeight="15" x14ac:dyDescent="0.25"/>
  <cols>
    <col min="1" max="1" width="11.140625" bestFit="1" customWidth="1"/>
    <col min="2" max="2" width="19" customWidth="1"/>
    <col min="3" max="3" width="14.140625" customWidth="1"/>
    <col min="4" max="4" width="20" customWidth="1"/>
    <col min="5" max="5" width="15.140625" customWidth="1"/>
    <col min="6" max="6" width="13" customWidth="1"/>
    <col min="7" max="7" width="14" customWidth="1"/>
    <col min="8" max="8" width="15.42578125" customWidth="1"/>
    <col min="9" max="10" width="12.140625" customWidth="1"/>
    <col min="11" max="11" width="17" hidden="1" customWidth="1"/>
    <col min="12" max="12" width="17.7109375" hidden="1" customWidth="1"/>
    <col min="13" max="13" width="16.28515625" hidden="1" customWidth="1"/>
    <col min="14" max="14" width="15.5703125" hidden="1" customWidth="1"/>
    <col min="15" max="15" width="17" hidden="1" customWidth="1"/>
  </cols>
  <sheetData>
    <row r="1" spans="1:15" ht="15.75" thickBot="1" x14ac:dyDescent="0.3">
      <c r="A1" s="8" t="s">
        <v>24</v>
      </c>
      <c r="B1" s="9" t="s">
        <v>25</v>
      </c>
      <c r="C1" s="9" t="s">
        <v>26</v>
      </c>
      <c r="D1" s="10" t="s">
        <v>27</v>
      </c>
      <c r="E1" s="10" t="s">
        <v>1</v>
      </c>
      <c r="F1" s="81" t="s">
        <v>28</v>
      </c>
      <c r="G1" s="81" t="s">
        <v>29</v>
      </c>
      <c r="H1" s="13" t="s">
        <v>30</v>
      </c>
      <c r="I1" s="13" t="s">
        <v>31</v>
      </c>
      <c r="J1" s="13" t="s">
        <v>32</v>
      </c>
      <c r="K1" s="231" t="s">
        <v>84</v>
      </c>
      <c r="L1" s="231" t="s">
        <v>85</v>
      </c>
      <c r="M1" s="231" t="s">
        <v>86</v>
      </c>
      <c r="N1" s="231" t="s">
        <v>87</v>
      </c>
      <c r="O1" s="231" t="s">
        <v>88</v>
      </c>
    </row>
    <row r="2" spans="1:15" x14ac:dyDescent="0.25">
      <c r="A2" s="14">
        <v>1</v>
      </c>
      <c r="B2" s="15" t="s">
        <v>6</v>
      </c>
      <c r="C2" s="16" t="s">
        <v>7</v>
      </c>
      <c r="D2" s="17" t="s">
        <v>0</v>
      </c>
      <c r="E2" s="18" t="s">
        <v>3</v>
      </c>
      <c r="F2" s="81">
        <v>6</v>
      </c>
      <c r="G2" s="81">
        <v>11</v>
      </c>
      <c r="H2" s="3" t="str">
        <f t="shared" ref="H2:H65" si="0">IF(F2&gt;G2,"ROOD",IF(F2=G2,"","GROEN"))</f>
        <v>GROEN</v>
      </c>
      <c r="I2" s="3" t="str">
        <f t="shared" ref="I2:I65" si="1">IF(F2&gt;G2,B2,IF(F2=0,"",D2))</f>
        <v>Jonas</v>
      </c>
      <c r="J2" s="4" t="str">
        <f t="shared" ref="J2:J65" si="2">IF(F2&gt;G2,C2,IF(F2=0,"",E2))</f>
        <v>Karel</v>
      </c>
      <c r="K2" s="213" t="str">
        <f>Tabel3[[#This Row],[Rood Verdediging]]&amp;Tabel3[[#This Row],[Rood Aanval]]</f>
        <v>Stef DTiemen</v>
      </c>
      <c r="L2" s="213" t="str">
        <f>Tabel3[[#This Row],[Groen Verdediging]]&amp;Tabel3[[#This Row],[Groen Aanval]]</f>
        <v>JonasKarel</v>
      </c>
      <c r="M2" s="213" t="str">
        <f>Tabel3[[#This Row],[Winnaar 1]]&amp;Tabel3[[#This Row],[Winnaar 2]]</f>
        <v>JonasKarel</v>
      </c>
      <c r="N2" s="147" t="b">
        <f>IF(Tabel3[[#This Row],[Team Rood]]=Tabel3[[#This Row],[Winnaars]],Tabel3[[#This Row],[Team Rood]])</f>
        <v>0</v>
      </c>
      <c r="O2" s="147" t="str">
        <f>IF(Tabel3[[#This Row],[Team Groen]]=Tabel3[[#This Row],[Winnaars]],Tabel3[[#This Row],[Team Groen]])</f>
        <v>JonasKarel</v>
      </c>
    </row>
    <row r="3" spans="1:15" x14ac:dyDescent="0.25">
      <c r="A3" s="14">
        <v>2</v>
      </c>
      <c r="B3" s="15" t="s">
        <v>8</v>
      </c>
      <c r="C3" s="16" t="s">
        <v>6</v>
      </c>
      <c r="D3" s="17" t="s">
        <v>0</v>
      </c>
      <c r="E3" s="18" t="s">
        <v>7</v>
      </c>
      <c r="F3" s="81">
        <v>7</v>
      </c>
      <c r="G3" s="81">
        <v>11</v>
      </c>
      <c r="H3" s="3" t="str">
        <f t="shared" si="0"/>
        <v>GROEN</v>
      </c>
      <c r="I3" s="3" t="str">
        <f t="shared" si="1"/>
        <v>Jonas</v>
      </c>
      <c r="J3" s="4" t="str">
        <f t="shared" si="2"/>
        <v>Tiemen</v>
      </c>
      <c r="K3" s="213" t="str">
        <f>Tabel3[[#This Row],[Rood Verdediging]]&amp;Tabel3[[#This Row],[Rood Aanval]]</f>
        <v>LouisStef D</v>
      </c>
      <c r="L3" s="213" t="str">
        <f>Tabel3[[#This Row],[Groen Verdediging]]&amp;Tabel3[[#This Row],[Groen Aanval]]</f>
        <v>JonasTiemen</v>
      </c>
      <c r="M3" s="213" t="str">
        <f>Tabel3[[#This Row],[Winnaar 1]]&amp;Tabel3[[#This Row],[Winnaar 2]]</f>
        <v>JonasTiemen</v>
      </c>
      <c r="N3" s="147" t="b">
        <f>IF(Tabel3[[#This Row],[Team Rood]]=Tabel3[[#This Row],[Winnaars]],Tabel3[[#This Row],[Team Rood]])</f>
        <v>0</v>
      </c>
      <c r="O3" s="147" t="str">
        <f>IF(Tabel3[[#This Row],[Team Groen]]=Tabel3[[#This Row],[Winnaars]],Tabel3[[#This Row],[Team Groen]])</f>
        <v>JonasTiemen</v>
      </c>
    </row>
    <row r="4" spans="1:15" x14ac:dyDescent="0.25">
      <c r="A4" s="14">
        <v>3</v>
      </c>
      <c r="B4" s="15" t="s">
        <v>0</v>
      </c>
      <c r="C4" s="16" t="s">
        <v>3</v>
      </c>
      <c r="D4" s="17" t="s">
        <v>8</v>
      </c>
      <c r="E4" s="18" t="s">
        <v>7</v>
      </c>
      <c r="F4" s="81">
        <v>9</v>
      </c>
      <c r="G4" s="81">
        <v>11</v>
      </c>
      <c r="H4" s="3" t="str">
        <f t="shared" si="0"/>
        <v>GROEN</v>
      </c>
      <c r="I4" s="3" t="str">
        <f t="shared" si="1"/>
        <v>Louis</v>
      </c>
      <c r="J4" s="4" t="str">
        <f t="shared" si="2"/>
        <v>Tiemen</v>
      </c>
      <c r="K4" s="213" t="str">
        <f>Tabel3[[#This Row],[Rood Verdediging]]&amp;Tabel3[[#This Row],[Rood Aanval]]</f>
        <v>JonasKarel</v>
      </c>
      <c r="L4" s="213" t="str">
        <f>Tabel3[[#This Row],[Groen Verdediging]]&amp;Tabel3[[#This Row],[Groen Aanval]]</f>
        <v>LouisTiemen</v>
      </c>
      <c r="M4" s="213" t="str">
        <f>Tabel3[[#This Row],[Winnaar 1]]&amp;Tabel3[[#This Row],[Winnaar 2]]</f>
        <v>LouisTiemen</v>
      </c>
      <c r="N4" s="147" t="b">
        <f>IF(Tabel3[[#This Row],[Team Rood]]=Tabel3[[#This Row],[Winnaars]],Tabel3[[#This Row],[Team Rood]])</f>
        <v>0</v>
      </c>
      <c r="O4" s="147" t="str">
        <f>IF(Tabel3[[#This Row],[Team Groen]]=Tabel3[[#This Row],[Winnaars]],Tabel3[[#This Row],[Team Groen]])</f>
        <v>LouisTiemen</v>
      </c>
    </row>
    <row r="5" spans="1:15" x14ac:dyDescent="0.25">
      <c r="A5" s="14">
        <v>4</v>
      </c>
      <c r="B5" s="15" t="s">
        <v>0</v>
      </c>
      <c r="C5" s="16" t="s">
        <v>7</v>
      </c>
      <c r="D5" s="17" t="s">
        <v>9</v>
      </c>
      <c r="E5" s="18" t="s">
        <v>6</v>
      </c>
      <c r="F5" s="81">
        <v>6</v>
      </c>
      <c r="G5" s="81">
        <v>11</v>
      </c>
      <c r="H5" s="3" t="str">
        <f t="shared" si="0"/>
        <v>GROEN</v>
      </c>
      <c r="I5" s="3" t="str">
        <f t="shared" si="1"/>
        <v>Stan</v>
      </c>
      <c r="J5" s="4" t="str">
        <f t="shared" si="2"/>
        <v>Stef D</v>
      </c>
      <c r="K5" s="213" t="str">
        <f>Tabel3[[#This Row],[Rood Verdediging]]&amp;Tabel3[[#This Row],[Rood Aanval]]</f>
        <v>JonasTiemen</v>
      </c>
      <c r="L5" s="213" t="str">
        <f>Tabel3[[#This Row],[Groen Verdediging]]&amp;Tabel3[[#This Row],[Groen Aanval]]</f>
        <v>StanStef D</v>
      </c>
      <c r="M5" s="213" t="str">
        <f>Tabel3[[#This Row],[Winnaar 1]]&amp;Tabel3[[#This Row],[Winnaar 2]]</f>
        <v>StanStef D</v>
      </c>
      <c r="N5" s="147" t="b">
        <f>IF(Tabel3[[#This Row],[Team Rood]]=Tabel3[[#This Row],[Winnaars]],Tabel3[[#This Row],[Team Rood]])</f>
        <v>0</v>
      </c>
      <c r="O5" s="147" t="str">
        <f>IF(Tabel3[[#This Row],[Team Groen]]=Tabel3[[#This Row],[Winnaars]],Tabel3[[#This Row],[Team Groen]])</f>
        <v>StanStef D</v>
      </c>
    </row>
    <row r="6" spans="1:15" x14ac:dyDescent="0.25">
      <c r="A6" s="14">
        <v>5</v>
      </c>
      <c r="B6" s="15" t="s">
        <v>10</v>
      </c>
      <c r="C6" s="16" t="s">
        <v>6</v>
      </c>
      <c r="D6" s="17" t="s">
        <v>8</v>
      </c>
      <c r="E6" s="18" t="s">
        <v>3</v>
      </c>
      <c r="F6" s="81">
        <v>5</v>
      </c>
      <c r="G6" s="81">
        <v>11</v>
      </c>
      <c r="H6" s="3" t="str">
        <f t="shared" si="0"/>
        <v>GROEN</v>
      </c>
      <c r="I6" s="3" t="str">
        <f t="shared" si="1"/>
        <v>Louis</v>
      </c>
      <c r="J6" s="4" t="str">
        <f t="shared" si="2"/>
        <v>Karel</v>
      </c>
      <c r="K6" s="213" t="str">
        <f>Tabel3[[#This Row],[Rood Verdediging]]&amp;Tabel3[[#This Row],[Rood Aanval]]</f>
        <v>MaximStef D</v>
      </c>
      <c r="L6" s="213" t="str">
        <f>Tabel3[[#This Row],[Groen Verdediging]]&amp;Tabel3[[#This Row],[Groen Aanval]]</f>
        <v>LouisKarel</v>
      </c>
      <c r="M6" s="213" t="str">
        <f>Tabel3[[#This Row],[Winnaar 1]]&amp;Tabel3[[#This Row],[Winnaar 2]]</f>
        <v>LouisKarel</v>
      </c>
      <c r="N6" s="147" t="b">
        <f>IF(Tabel3[[#This Row],[Team Rood]]=Tabel3[[#This Row],[Winnaars]],Tabel3[[#This Row],[Team Rood]])</f>
        <v>0</v>
      </c>
      <c r="O6" s="147" t="str">
        <f>IF(Tabel3[[#This Row],[Team Groen]]=Tabel3[[#This Row],[Winnaars]],Tabel3[[#This Row],[Team Groen]])</f>
        <v>LouisKarel</v>
      </c>
    </row>
    <row r="7" spans="1:15" x14ac:dyDescent="0.25">
      <c r="A7" s="14">
        <v>6</v>
      </c>
      <c r="B7" s="15" t="s">
        <v>3</v>
      </c>
      <c r="C7" s="16" t="s">
        <v>6</v>
      </c>
      <c r="D7" s="17" t="s">
        <v>0</v>
      </c>
      <c r="E7" s="18" t="s">
        <v>7</v>
      </c>
      <c r="F7" s="81">
        <v>11</v>
      </c>
      <c r="G7" s="81">
        <v>13</v>
      </c>
      <c r="H7" s="3" t="str">
        <f t="shared" si="0"/>
        <v>GROEN</v>
      </c>
      <c r="I7" s="3" t="str">
        <f t="shared" si="1"/>
        <v>Jonas</v>
      </c>
      <c r="J7" s="4" t="str">
        <f t="shared" si="2"/>
        <v>Tiemen</v>
      </c>
      <c r="K7" s="213" t="str">
        <f>Tabel3[[#This Row],[Rood Verdediging]]&amp;Tabel3[[#This Row],[Rood Aanval]]</f>
        <v>KarelStef D</v>
      </c>
      <c r="L7" s="213" t="str">
        <f>Tabel3[[#This Row],[Groen Verdediging]]&amp;Tabel3[[#This Row],[Groen Aanval]]</f>
        <v>JonasTiemen</v>
      </c>
      <c r="M7" s="213" t="str">
        <f>Tabel3[[#This Row],[Winnaar 1]]&amp;Tabel3[[#This Row],[Winnaar 2]]</f>
        <v>JonasTiemen</v>
      </c>
      <c r="N7" s="147" t="b">
        <f>IF(Tabel3[[#This Row],[Team Rood]]=Tabel3[[#This Row],[Winnaars]],Tabel3[[#This Row],[Team Rood]])</f>
        <v>0</v>
      </c>
      <c r="O7" s="147" t="str">
        <f>IF(Tabel3[[#This Row],[Team Groen]]=Tabel3[[#This Row],[Winnaars]],Tabel3[[#This Row],[Team Groen]])</f>
        <v>JonasTiemen</v>
      </c>
    </row>
    <row r="8" spans="1:15" x14ac:dyDescent="0.25">
      <c r="A8" s="14">
        <v>7</v>
      </c>
      <c r="B8" s="15" t="s">
        <v>8</v>
      </c>
      <c r="C8" s="16" t="s">
        <v>3</v>
      </c>
      <c r="D8" s="17" t="s">
        <v>0</v>
      </c>
      <c r="E8" s="18" t="s">
        <v>7</v>
      </c>
      <c r="F8" s="81">
        <v>5</v>
      </c>
      <c r="G8" s="81">
        <v>11</v>
      </c>
      <c r="H8" s="3" t="str">
        <f t="shared" si="0"/>
        <v>GROEN</v>
      </c>
      <c r="I8" s="3" t="str">
        <f t="shared" si="1"/>
        <v>Jonas</v>
      </c>
      <c r="J8" s="4" t="str">
        <f t="shared" si="2"/>
        <v>Tiemen</v>
      </c>
      <c r="K8" s="213" t="str">
        <f>Tabel3[[#This Row],[Rood Verdediging]]&amp;Tabel3[[#This Row],[Rood Aanval]]</f>
        <v>LouisKarel</v>
      </c>
      <c r="L8" s="213" t="str">
        <f>Tabel3[[#This Row],[Groen Verdediging]]&amp;Tabel3[[#This Row],[Groen Aanval]]</f>
        <v>JonasTiemen</v>
      </c>
      <c r="M8" s="213" t="str">
        <f>Tabel3[[#This Row],[Winnaar 1]]&amp;Tabel3[[#This Row],[Winnaar 2]]</f>
        <v>JonasTiemen</v>
      </c>
      <c r="N8" s="147" t="b">
        <f>IF(Tabel3[[#This Row],[Team Rood]]=Tabel3[[#This Row],[Winnaars]],Tabel3[[#This Row],[Team Rood]])</f>
        <v>0</v>
      </c>
      <c r="O8" s="147" t="str">
        <f>IF(Tabel3[[#This Row],[Team Groen]]=Tabel3[[#This Row],[Winnaars]],Tabel3[[#This Row],[Team Groen]])</f>
        <v>JonasTiemen</v>
      </c>
    </row>
    <row r="9" spans="1:15" x14ac:dyDescent="0.25">
      <c r="A9" s="14">
        <v>8</v>
      </c>
      <c r="B9" s="15" t="s">
        <v>3</v>
      </c>
      <c r="C9" s="16" t="s">
        <v>6</v>
      </c>
      <c r="D9" s="17" t="s">
        <v>10</v>
      </c>
      <c r="E9" s="18" t="s">
        <v>9</v>
      </c>
      <c r="F9" s="81">
        <v>11</v>
      </c>
      <c r="G9" s="81">
        <v>9</v>
      </c>
      <c r="H9" s="3" t="str">
        <f t="shared" si="0"/>
        <v>ROOD</v>
      </c>
      <c r="I9" s="3" t="str">
        <f t="shared" si="1"/>
        <v>Karel</v>
      </c>
      <c r="J9" s="4" t="str">
        <f t="shared" si="2"/>
        <v>Stef D</v>
      </c>
      <c r="K9" s="213" t="str">
        <f>Tabel3[[#This Row],[Rood Verdediging]]&amp;Tabel3[[#This Row],[Rood Aanval]]</f>
        <v>KarelStef D</v>
      </c>
      <c r="L9" s="213" t="str">
        <f>Tabel3[[#This Row],[Groen Verdediging]]&amp;Tabel3[[#This Row],[Groen Aanval]]</f>
        <v>MaximStan</v>
      </c>
      <c r="M9" s="213" t="str">
        <f>Tabel3[[#This Row],[Winnaar 1]]&amp;Tabel3[[#This Row],[Winnaar 2]]</f>
        <v>KarelStef D</v>
      </c>
      <c r="N9" s="147" t="str">
        <f>IF(Tabel3[[#This Row],[Team Rood]]=Tabel3[[#This Row],[Winnaars]],Tabel3[[#This Row],[Team Rood]])</f>
        <v>KarelStef D</v>
      </c>
      <c r="O9" s="147" t="b">
        <f>IF(Tabel3[[#This Row],[Team Groen]]=Tabel3[[#This Row],[Winnaars]],Tabel3[[#This Row],[Team Groen]])</f>
        <v>0</v>
      </c>
    </row>
    <row r="10" spans="1:15" x14ac:dyDescent="0.25">
      <c r="A10" s="14">
        <v>9</v>
      </c>
      <c r="B10" s="15" t="s">
        <v>0</v>
      </c>
      <c r="C10" s="16" t="s">
        <v>6</v>
      </c>
      <c r="D10" s="17" t="s">
        <v>8</v>
      </c>
      <c r="E10" s="18" t="s">
        <v>7</v>
      </c>
      <c r="F10" s="81">
        <v>11</v>
      </c>
      <c r="G10" s="81">
        <v>5</v>
      </c>
      <c r="H10" s="3" t="str">
        <f t="shared" si="0"/>
        <v>ROOD</v>
      </c>
      <c r="I10" s="3" t="str">
        <f t="shared" si="1"/>
        <v>Jonas</v>
      </c>
      <c r="J10" s="4" t="str">
        <f t="shared" si="2"/>
        <v>Stef D</v>
      </c>
      <c r="K10" s="213" t="str">
        <f>Tabel3[[#This Row],[Rood Verdediging]]&amp;Tabel3[[#This Row],[Rood Aanval]]</f>
        <v>JonasStef D</v>
      </c>
      <c r="L10" s="213" t="str">
        <f>Tabel3[[#This Row],[Groen Verdediging]]&amp;Tabel3[[#This Row],[Groen Aanval]]</f>
        <v>LouisTiemen</v>
      </c>
      <c r="M10" s="213" t="str">
        <f>Tabel3[[#This Row],[Winnaar 1]]&amp;Tabel3[[#This Row],[Winnaar 2]]</f>
        <v>JonasStef D</v>
      </c>
      <c r="N10" s="147" t="str">
        <f>IF(Tabel3[[#This Row],[Team Rood]]=Tabel3[[#This Row],[Winnaars]],Tabel3[[#This Row],[Team Rood]])</f>
        <v>JonasStef D</v>
      </c>
      <c r="O10" s="147" t="b">
        <f>IF(Tabel3[[#This Row],[Team Groen]]=Tabel3[[#This Row],[Winnaars]],Tabel3[[#This Row],[Team Groen]])</f>
        <v>0</v>
      </c>
    </row>
    <row r="11" spans="1:15" x14ac:dyDescent="0.25">
      <c r="A11" s="14">
        <v>10</v>
      </c>
      <c r="B11" s="15" t="s">
        <v>11</v>
      </c>
      <c r="C11" s="16" t="s">
        <v>3</v>
      </c>
      <c r="D11" s="17" t="s">
        <v>8</v>
      </c>
      <c r="E11" s="18" t="s">
        <v>7</v>
      </c>
      <c r="F11" s="81">
        <v>7</v>
      </c>
      <c r="G11" s="81">
        <v>11</v>
      </c>
      <c r="H11" s="3" t="str">
        <f t="shared" si="0"/>
        <v>GROEN</v>
      </c>
      <c r="I11" s="3" t="str">
        <f t="shared" si="1"/>
        <v>Louis</v>
      </c>
      <c r="J11" s="4" t="str">
        <f t="shared" si="2"/>
        <v>Tiemen</v>
      </c>
      <c r="K11" s="213" t="str">
        <f>Tabel3[[#This Row],[Rood Verdediging]]&amp;Tabel3[[#This Row],[Rood Aanval]]</f>
        <v>MatthijsKarel</v>
      </c>
      <c r="L11" s="213" t="str">
        <f>Tabel3[[#This Row],[Groen Verdediging]]&amp;Tabel3[[#This Row],[Groen Aanval]]</f>
        <v>LouisTiemen</v>
      </c>
      <c r="M11" s="213" t="str">
        <f>Tabel3[[#This Row],[Winnaar 1]]&amp;Tabel3[[#This Row],[Winnaar 2]]</f>
        <v>LouisTiemen</v>
      </c>
      <c r="N11" s="147" t="b">
        <f>IF(Tabel3[[#This Row],[Team Rood]]=Tabel3[[#This Row],[Winnaars]],Tabel3[[#This Row],[Team Rood]])</f>
        <v>0</v>
      </c>
      <c r="O11" s="147" t="str">
        <f>IF(Tabel3[[#This Row],[Team Groen]]=Tabel3[[#This Row],[Winnaars]],Tabel3[[#This Row],[Team Groen]])</f>
        <v>LouisTiemen</v>
      </c>
    </row>
    <row r="12" spans="1:15" x14ac:dyDescent="0.25">
      <c r="A12" s="14">
        <v>11</v>
      </c>
      <c r="B12" s="15" t="s">
        <v>6</v>
      </c>
      <c r="C12" s="16" t="s">
        <v>0</v>
      </c>
      <c r="D12" s="17" t="s">
        <v>3</v>
      </c>
      <c r="E12" s="18" t="s">
        <v>8</v>
      </c>
      <c r="F12" s="81">
        <v>11</v>
      </c>
      <c r="G12" s="81">
        <v>7</v>
      </c>
      <c r="H12" s="3" t="str">
        <f t="shared" si="0"/>
        <v>ROOD</v>
      </c>
      <c r="I12" s="3" t="str">
        <f t="shared" si="1"/>
        <v>Stef D</v>
      </c>
      <c r="J12" s="4" t="str">
        <f t="shared" si="2"/>
        <v>Jonas</v>
      </c>
      <c r="K12" s="213" t="str">
        <f>Tabel3[[#This Row],[Rood Verdediging]]&amp;Tabel3[[#This Row],[Rood Aanval]]</f>
        <v>Stef DJonas</v>
      </c>
      <c r="L12" s="213" t="str">
        <f>Tabel3[[#This Row],[Groen Verdediging]]&amp;Tabel3[[#This Row],[Groen Aanval]]</f>
        <v>KarelLouis</v>
      </c>
      <c r="M12" s="213" t="str">
        <f>Tabel3[[#This Row],[Winnaar 1]]&amp;Tabel3[[#This Row],[Winnaar 2]]</f>
        <v>Stef DJonas</v>
      </c>
      <c r="N12" s="147" t="str">
        <f>IF(Tabel3[[#This Row],[Team Rood]]=Tabel3[[#This Row],[Winnaars]],Tabel3[[#This Row],[Team Rood]])</f>
        <v>Stef DJonas</v>
      </c>
      <c r="O12" s="147" t="b">
        <f>IF(Tabel3[[#This Row],[Team Groen]]=Tabel3[[#This Row],[Winnaars]],Tabel3[[#This Row],[Team Groen]])</f>
        <v>0</v>
      </c>
    </row>
    <row r="13" spans="1:15" x14ac:dyDescent="0.25">
      <c r="A13" s="14">
        <v>12</v>
      </c>
      <c r="B13" s="15" t="s">
        <v>3</v>
      </c>
      <c r="C13" s="16" t="s">
        <v>7</v>
      </c>
      <c r="D13" s="17" t="s">
        <v>0</v>
      </c>
      <c r="E13" s="18" t="s">
        <v>11</v>
      </c>
      <c r="F13" s="81">
        <v>11</v>
      </c>
      <c r="G13" s="81">
        <v>9</v>
      </c>
      <c r="H13" s="3" t="str">
        <f t="shared" si="0"/>
        <v>ROOD</v>
      </c>
      <c r="I13" s="3" t="str">
        <f t="shared" si="1"/>
        <v>Karel</v>
      </c>
      <c r="J13" s="4" t="str">
        <f t="shared" si="2"/>
        <v>Tiemen</v>
      </c>
      <c r="K13" s="213" t="str">
        <f>Tabel3[[#This Row],[Rood Verdediging]]&amp;Tabel3[[#This Row],[Rood Aanval]]</f>
        <v>KarelTiemen</v>
      </c>
      <c r="L13" s="213" t="str">
        <f>Tabel3[[#This Row],[Groen Verdediging]]&amp;Tabel3[[#This Row],[Groen Aanval]]</f>
        <v>JonasMatthijs</v>
      </c>
      <c r="M13" s="213" t="str">
        <f>Tabel3[[#This Row],[Winnaar 1]]&amp;Tabel3[[#This Row],[Winnaar 2]]</f>
        <v>KarelTiemen</v>
      </c>
      <c r="N13" s="147" t="str">
        <f>IF(Tabel3[[#This Row],[Team Rood]]=Tabel3[[#This Row],[Winnaars]],Tabel3[[#This Row],[Team Rood]])</f>
        <v>KarelTiemen</v>
      </c>
      <c r="O13" s="147" t="b">
        <f>IF(Tabel3[[#This Row],[Team Groen]]=Tabel3[[#This Row],[Winnaars]],Tabel3[[#This Row],[Team Groen]])</f>
        <v>0</v>
      </c>
    </row>
    <row r="14" spans="1:15" x14ac:dyDescent="0.25">
      <c r="A14" s="14">
        <v>13</v>
      </c>
      <c r="B14" s="15" t="s">
        <v>11</v>
      </c>
      <c r="C14" s="16" t="s">
        <v>3</v>
      </c>
      <c r="D14" s="17" t="s">
        <v>6</v>
      </c>
      <c r="E14" s="18" t="s">
        <v>8</v>
      </c>
      <c r="F14" s="81">
        <v>3</v>
      </c>
      <c r="G14" s="81">
        <v>11</v>
      </c>
      <c r="H14" s="3" t="str">
        <f t="shared" si="0"/>
        <v>GROEN</v>
      </c>
      <c r="I14" s="3" t="str">
        <f t="shared" si="1"/>
        <v>Stef D</v>
      </c>
      <c r="J14" s="4" t="str">
        <f t="shared" si="2"/>
        <v>Louis</v>
      </c>
      <c r="K14" s="213" t="str">
        <f>Tabel3[[#This Row],[Rood Verdediging]]&amp;Tabel3[[#This Row],[Rood Aanval]]</f>
        <v>MatthijsKarel</v>
      </c>
      <c r="L14" s="213" t="str">
        <f>Tabel3[[#This Row],[Groen Verdediging]]&amp;Tabel3[[#This Row],[Groen Aanval]]</f>
        <v>Stef DLouis</v>
      </c>
      <c r="M14" s="213" t="str">
        <f>Tabel3[[#This Row],[Winnaar 1]]&amp;Tabel3[[#This Row],[Winnaar 2]]</f>
        <v>Stef DLouis</v>
      </c>
      <c r="N14" s="147" t="b">
        <f>IF(Tabel3[[#This Row],[Team Rood]]=Tabel3[[#This Row],[Winnaars]],Tabel3[[#This Row],[Team Rood]])</f>
        <v>0</v>
      </c>
      <c r="O14" s="147" t="str">
        <f>IF(Tabel3[[#This Row],[Team Groen]]=Tabel3[[#This Row],[Winnaars]],Tabel3[[#This Row],[Team Groen]])</f>
        <v>Stef DLouis</v>
      </c>
    </row>
    <row r="15" spans="1:15" x14ac:dyDescent="0.25">
      <c r="A15" s="14">
        <v>14</v>
      </c>
      <c r="B15" s="15" t="s">
        <v>8</v>
      </c>
      <c r="C15" s="16" t="s">
        <v>11</v>
      </c>
      <c r="D15" s="17" t="s">
        <v>6</v>
      </c>
      <c r="E15" s="18" t="s">
        <v>7</v>
      </c>
      <c r="F15" s="81">
        <v>12</v>
      </c>
      <c r="G15" s="81">
        <v>10</v>
      </c>
      <c r="H15" s="3" t="str">
        <f t="shared" si="0"/>
        <v>ROOD</v>
      </c>
      <c r="I15" s="3" t="str">
        <f t="shared" si="1"/>
        <v>Louis</v>
      </c>
      <c r="J15" s="4" t="str">
        <f t="shared" si="2"/>
        <v>Matthijs</v>
      </c>
      <c r="K15" s="213" t="str">
        <f>Tabel3[[#This Row],[Rood Verdediging]]&amp;Tabel3[[#This Row],[Rood Aanval]]</f>
        <v>LouisMatthijs</v>
      </c>
      <c r="L15" s="213" t="str">
        <f>Tabel3[[#This Row],[Groen Verdediging]]&amp;Tabel3[[#This Row],[Groen Aanval]]</f>
        <v>Stef DTiemen</v>
      </c>
      <c r="M15" s="213" t="str">
        <f>Tabel3[[#This Row],[Winnaar 1]]&amp;Tabel3[[#This Row],[Winnaar 2]]</f>
        <v>LouisMatthijs</v>
      </c>
      <c r="N15" s="147" t="str">
        <f>IF(Tabel3[[#This Row],[Team Rood]]=Tabel3[[#This Row],[Winnaars]],Tabel3[[#This Row],[Team Rood]])</f>
        <v>LouisMatthijs</v>
      </c>
      <c r="O15" s="147" t="b">
        <f>IF(Tabel3[[#This Row],[Team Groen]]=Tabel3[[#This Row],[Winnaars]],Tabel3[[#This Row],[Team Groen]])</f>
        <v>0</v>
      </c>
    </row>
    <row r="16" spans="1:15" x14ac:dyDescent="0.25">
      <c r="A16" s="14">
        <v>15</v>
      </c>
      <c r="B16" s="15" t="s">
        <v>0</v>
      </c>
      <c r="C16" s="16" t="s">
        <v>7</v>
      </c>
      <c r="D16" s="17" t="s">
        <v>3</v>
      </c>
      <c r="E16" s="18" t="s">
        <v>6</v>
      </c>
      <c r="F16" s="81">
        <v>9</v>
      </c>
      <c r="G16" s="81">
        <v>11</v>
      </c>
      <c r="H16" s="3" t="str">
        <f t="shared" si="0"/>
        <v>GROEN</v>
      </c>
      <c r="I16" s="3" t="str">
        <f t="shared" si="1"/>
        <v>Karel</v>
      </c>
      <c r="J16" s="4" t="str">
        <f t="shared" si="2"/>
        <v>Stef D</v>
      </c>
      <c r="K16" s="213" t="str">
        <f>Tabel3[[#This Row],[Rood Verdediging]]&amp;Tabel3[[#This Row],[Rood Aanval]]</f>
        <v>JonasTiemen</v>
      </c>
      <c r="L16" s="213" t="str">
        <f>Tabel3[[#This Row],[Groen Verdediging]]&amp;Tabel3[[#This Row],[Groen Aanval]]</f>
        <v>KarelStef D</v>
      </c>
      <c r="M16" s="213" t="str">
        <f>Tabel3[[#This Row],[Winnaar 1]]&amp;Tabel3[[#This Row],[Winnaar 2]]</f>
        <v>KarelStef D</v>
      </c>
      <c r="N16" s="147" t="b">
        <f>IF(Tabel3[[#This Row],[Team Rood]]=Tabel3[[#This Row],[Winnaars]],Tabel3[[#This Row],[Team Rood]])</f>
        <v>0</v>
      </c>
      <c r="O16" s="147" t="str">
        <f>IF(Tabel3[[#This Row],[Team Groen]]=Tabel3[[#This Row],[Winnaars]],Tabel3[[#This Row],[Team Groen]])</f>
        <v>KarelStef D</v>
      </c>
    </row>
    <row r="17" spans="1:15" x14ac:dyDescent="0.25">
      <c r="A17" s="14">
        <v>16</v>
      </c>
      <c r="B17" s="15" t="s">
        <v>6</v>
      </c>
      <c r="C17" s="16" t="s">
        <v>8</v>
      </c>
      <c r="D17" s="17" t="s">
        <v>0</v>
      </c>
      <c r="E17" s="18" t="s">
        <v>11</v>
      </c>
      <c r="F17" s="81">
        <v>11</v>
      </c>
      <c r="G17" s="81">
        <v>9</v>
      </c>
      <c r="H17" s="3" t="str">
        <f t="shared" si="0"/>
        <v>ROOD</v>
      </c>
      <c r="I17" s="3" t="str">
        <f t="shared" si="1"/>
        <v>Stef D</v>
      </c>
      <c r="J17" s="4" t="str">
        <f t="shared" si="2"/>
        <v>Louis</v>
      </c>
      <c r="K17" s="213" t="str">
        <f>Tabel3[[#This Row],[Rood Verdediging]]&amp;Tabel3[[#This Row],[Rood Aanval]]</f>
        <v>Stef DLouis</v>
      </c>
      <c r="L17" s="213" t="str">
        <f>Tabel3[[#This Row],[Groen Verdediging]]&amp;Tabel3[[#This Row],[Groen Aanval]]</f>
        <v>JonasMatthijs</v>
      </c>
      <c r="M17" s="213" t="str">
        <f>Tabel3[[#This Row],[Winnaar 1]]&amp;Tabel3[[#This Row],[Winnaar 2]]</f>
        <v>Stef DLouis</v>
      </c>
      <c r="N17" s="147" t="str">
        <f>IF(Tabel3[[#This Row],[Team Rood]]=Tabel3[[#This Row],[Winnaars]],Tabel3[[#This Row],[Team Rood]])</f>
        <v>Stef DLouis</v>
      </c>
      <c r="O17" s="147" t="b">
        <f>IF(Tabel3[[#This Row],[Team Groen]]=Tabel3[[#This Row],[Winnaars]],Tabel3[[#This Row],[Team Groen]])</f>
        <v>0</v>
      </c>
    </row>
    <row r="18" spans="1:15" x14ac:dyDescent="0.25">
      <c r="A18" s="14">
        <v>17</v>
      </c>
      <c r="B18" s="15" t="s">
        <v>8</v>
      </c>
      <c r="C18" s="16" t="s">
        <v>3</v>
      </c>
      <c r="D18" s="17" t="s">
        <v>11</v>
      </c>
      <c r="E18" s="18" t="s">
        <v>6</v>
      </c>
      <c r="F18" s="81">
        <v>5</v>
      </c>
      <c r="G18" s="81">
        <v>11</v>
      </c>
      <c r="H18" s="3" t="str">
        <f t="shared" si="0"/>
        <v>GROEN</v>
      </c>
      <c r="I18" s="3" t="str">
        <f t="shared" si="1"/>
        <v>Matthijs</v>
      </c>
      <c r="J18" s="4" t="str">
        <f t="shared" si="2"/>
        <v>Stef D</v>
      </c>
      <c r="K18" s="213" t="str">
        <f>Tabel3[[#This Row],[Rood Verdediging]]&amp;Tabel3[[#This Row],[Rood Aanval]]</f>
        <v>LouisKarel</v>
      </c>
      <c r="L18" s="213" t="str">
        <f>Tabel3[[#This Row],[Groen Verdediging]]&amp;Tabel3[[#This Row],[Groen Aanval]]</f>
        <v>MatthijsStef D</v>
      </c>
      <c r="M18" s="213" t="str">
        <f>Tabel3[[#This Row],[Winnaar 1]]&amp;Tabel3[[#This Row],[Winnaar 2]]</f>
        <v>MatthijsStef D</v>
      </c>
      <c r="N18" s="147" t="b">
        <f>IF(Tabel3[[#This Row],[Team Rood]]=Tabel3[[#This Row],[Winnaars]],Tabel3[[#This Row],[Team Rood]])</f>
        <v>0</v>
      </c>
      <c r="O18" s="147" t="str">
        <f>IF(Tabel3[[#This Row],[Team Groen]]=Tabel3[[#This Row],[Winnaars]],Tabel3[[#This Row],[Team Groen]])</f>
        <v>MatthijsStef D</v>
      </c>
    </row>
    <row r="19" spans="1:15" x14ac:dyDescent="0.25">
      <c r="A19" s="14">
        <v>18</v>
      </c>
      <c r="B19" s="15" t="s">
        <v>6</v>
      </c>
      <c r="C19" s="16" t="s">
        <v>11</v>
      </c>
      <c r="D19" s="17" t="s">
        <v>3</v>
      </c>
      <c r="E19" s="18" t="s">
        <v>7</v>
      </c>
      <c r="F19" s="81">
        <v>9</v>
      </c>
      <c r="G19" s="81">
        <v>11</v>
      </c>
      <c r="H19" s="3" t="str">
        <f t="shared" si="0"/>
        <v>GROEN</v>
      </c>
      <c r="I19" s="3" t="str">
        <f t="shared" si="1"/>
        <v>Karel</v>
      </c>
      <c r="J19" s="4" t="str">
        <f t="shared" si="2"/>
        <v>Tiemen</v>
      </c>
      <c r="K19" s="213" t="str">
        <f>Tabel3[[#This Row],[Rood Verdediging]]&amp;Tabel3[[#This Row],[Rood Aanval]]</f>
        <v>Stef DMatthijs</v>
      </c>
      <c r="L19" s="213" t="str">
        <f>Tabel3[[#This Row],[Groen Verdediging]]&amp;Tabel3[[#This Row],[Groen Aanval]]</f>
        <v>KarelTiemen</v>
      </c>
      <c r="M19" s="213" t="str">
        <f>Tabel3[[#This Row],[Winnaar 1]]&amp;Tabel3[[#This Row],[Winnaar 2]]</f>
        <v>KarelTiemen</v>
      </c>
      <c r="N19" s="147" t="b">
        <f>IF(Tabel3[[#This Row],[Team Rood]]=Tabel3[[#This Row],[Winnaars]],Tabel3[[#This Row],[Team Rood]])</f>
        <v>0</v>
      </c>
      <c r="O19" s="147" t="str">
        <f>IF(Tabel3[[#This Row],[Team Groen]]=Tabel3[[#This Row],[Winnaars]],Tabel3[[#This Row],[Team Groen]])</f>
        <v>KarelTiemen</v>
      </c>
    </row>
    <row r="20" spans="1:15" x14ac:dyDescent="0.25">
      <c r="A20" s="14">
        <v>19</v>
      </c>
      <c r="B20" s="15" t="s">
        <v>3</v>
      </c>
      <c r="C20" s="16" t="s">
        <v>6</v>
      </c>
      <c r="D20" s="17" t="s">
        <v>11</v>
      </c>
      <c r="E20" s="18" t="s">
        <v>7</v>
      </c>
      <c r="F20" s="81">
        <v>11</v>
      </c>
      <c r="G20" s="81">
        <v>6</v>
      </c>
      <c r="H20" s="3" t="str">
        <f t="shared" si="0"/>
        <v>ROOD</v>
      </c>
      <c r="I20" s="3" t="str">
        <f t="shared" si="1"/>
        <v>Karel</v>
      </c>
      <c r="J20" s="4" t="str">
        <f t="shared" si="2"/>
        <v>Stef D</v>
      </c>
      <c r="K20" s="213" t="str">
        <f>Tabel3[[#This Row],[Rood Verdediging]]&amp;Tabel3[[#This Row],[Rood Aanval]]</f>
        <v>KarelStef D</v>
      </c>
      <c r="L20" s="213" t="str">
        <f>Tabel3[[#This Row],[Groen Verdediging]]&amp;Tabel3[[#This Row],[Groen Aanval]]</f>
        <v>MatthijsTiemen</v>
      </c>
      <c r="M20" s="213" t="str">
        <f>Tabel3[[#This Row],[Winnaar 1]]&amp;Tabel3[[#This Row],[Winnaar 2]]</f>
        <v>KarelStef D</v>
      </c>
      <c r="N20" s="147" t="str">
        <f>IF(Tabel3[[#This Row],[Team Rood]]=Tabel3[[#This Row],[Winnaars]],Tabel3[[#This Row],[Team Rood]])</f>
        <v>KarelStef D</v>
      </c>
      <c r="O20" s="147" t="b">
        <f>IF(Tabel3[[#This Row],[Team Groen]]=Tabel3[[#This Row],[Winnaars]],Tabel3[[#This Row],[Team Groen]])</f>
        <v>0</v>
      </c>
    </row>
    <row r="21" spans="1:15" x14ac:dyDescent="0.25">
      <c r="A21" s="14">
        <v>20</v>
      </c>
      <c r="B21" s="15" t="s">
        <v>11</v>
      </c>
      <c r="C21" s="16" t="s">
        <v>3</v>
      </c>
      <c r="D21" s="17" t="s">
        <v>6</v>
      </c>
      <c r="E21" s="18" t="s">
        <v>7</v>
      </c>
      <c r="F21" s="81">
        <v>13</v>
      </c>
      <c r="G21" s="81">
        <v>11</v>
      </c>
      <c r="H21" s="3" t="str">
        <f t="shared" si="0"/>
        <v>ROOD</v>
      </c>
      <c r="I21" s="3" t="str">
        <f t="shared" si="1"/>
        <v>Matthijs</v>
      </c>
      <c r="J21" s="4" t="str">
        <f t="shared" si="2"/>
        <v>Karel</v>
      </c>
      <c r="K21" s="213" t="str">
        <f>Tabel3[[#This Row],[Rood Verdediging]]&amp;Tabel3[[#This Row],[Rood Aanval]]</f>
        <v>MatthijsKarel</v>
      </c>
      <c r="L21" s="213" t="str">
        <f>Tabel3[[#This Row],[Groen Verdediging]]&amp;Tabel3[[#This Row],[Groen Aanval]]</f>
        <v>Stef DTiemen</v>
      </c>
      <c r="M21" s="213" t="str">
        <f>Tabel3[[#This Row],[Winnaar 1]]&amp;Tabel3[[#This Row],[Winnaar 2]]</f>
        <v>MatthijsKarel</v>
      </c>
      <c r="N21" s="147" t="str">
        <f>IF(Tabel3[[#This Row],[Team Rood]]=Tabel3[[#This Row],[Winnaars]],Tabel3[[#This Row],[Team Rood]])</f>
        <v>MatthijsKarel</v>
      </c>
      <c r="O21" s="147" t="b">
        <f>IF(Tabel3[[#This Row],[Team Groen]]=Tabel3[[#This Row],[Winnaars]],Tabel3[[#This Row],[Team Groen]])</f>
        <v>0</v>
      </c>
    </row>
    <row r="22" spans="1:15" x14ac:dyDescent="0.25">
      <c r="A22" s="14">
        <v>21</v>
      </c>
      <c r="B22" s="15" t="s">
        <v>3</v>
      </c>
      <c r="C22" s="16" t="s">
        <v>6</v>
      </c>
      <c r="D22" s="17" t="s">
        <v>7</v>
      </c>
      <c r="E22" s="18" t="s">
        <v>11</v>
      </c>
      <c r="F22" s="81">
        <v>11</v>
      </c>
      <c r="G22" s="81">
        <v>4</v>
      </c>
      <c r="H22" s="3" t="str">
        <f t="shared" si="0"/>
        <v>ROOD</v>
      </c>
      <c r="I22" s="3" t="str">
        <f t="shared" si="1"/>
        <v>Karel</v>
      </c>
      <c r="J22" s="4" t="str">
        <f t="shared" si="2"/>
        <v>Stef D</v>
      </c>
      <c r="K22" s="213" t="str">
        <f>Tabel3[[#This Row],[Rood Verdediging]]&amp;Tabel3[[#This Row],[Rood Aanval]]</f>
        <v>KarelStef D</v>
      </c>
      <c r="L22" s="213" t="str">
        <f>Tabel3[[#This Row],[Groen Verdediging]]&amp;Tabel3[[#This Row],[Groen Aanval]]</f>
        <v>TiemenMatthijs</v>
      </c>
      <c r="M22" s="213" t="str">
        <f>Tabel3[[#This Row],[Winnaar 1]]&amp;Tabel3[[#This Row],[Winnaar 2]]</f>
        <v>KarelStef D</v>
      </c>
      <c r="N22" s="147" t="str">
        <f>IF(Tabel3[[#This Row],[Team Rood]]=Tabel3[[#This Row],[Winnaars]],Tabel3[[#This Row],[Team Rood]])</f>
        <v>KarelStef D</v>
      </c>
      <c r="O22" s="147" t="b">
        <f>IF(Tabel3[[#This Row],[Team Groen]]=Tabel3[[#This Row],[Winnaars]],Tabel3[[#This Row],[Team Groen]])</f>
        <v>0</v>
      </c>
    </row>
    <row r="23" spans="1:15" x14ac:dyDescent="0.25">
      <c r="A23" s="14">
        <v>22</v>
      </c>
      <c r="B23" s="15" t="s">
        <v>11</v>
      </c>
      <c r="C23" s="16" t="s">
        <v>6</v>
      </c>
      <c r="D23" s="17" t="s">
        <v>3</v>
      </c>
      <c r="E23" s="18" t="s">
        <v>7</v>
      </c>
      <c r="F23" s="81">
        <v>8</v>
      </c>
      <c r="G23" s="81">
        <v>11</v>
      </c>
      <c r="H23" s="3" t="str">
        <f t="shared" si="0"/>
        <v>GROEN</v>
      </c>
      <c r="I23" s="3" t="str">
        <f t="shared" si="1"/>
        <v>Karel</v>
      </c>
      <c r="J23" s="4" t="str">
        <f t="shared" si="2"/>
        <v>Tiemen</v>
      </c>
      <c r="K23" s="213" t="str">
        <f>Tabel3[[#This Row],[Rood Verdediging]]&amp;Tabel3[[#This Row],[Rood Aanval]]</f>
        <v>MatthijsStef D</v>
      </c>
      <c r="L23" s="213" t="str">
        <f>Tabel3[[#This Row],[Groen Verdediging]]&amp;Tabel3[[#This Row],[Groen Aanval]]</f>
        <v>KarelTiemen</v>
      </c>
      <c r="M23" s="213" t="str">
        <f>Tabel3[[#This Row],[Winnaar 1]]&amp;Tabel3[[#This Row],[Winnaar 2]]</f>
        <v>KarelTiemen</v>
      </c>
      <c r="N23" s="147" t="b">
        <f>IF(Tabel3[[#This Row],[Team Rood]]=Tabel3[[#This Row],[Winnaars]],Tabel3[[#This Row],[Team Rood]])</f>
        <v>0</v>
      </c>
      <c r="O23" s="147" t="str">
        <f>IF(Tabel3[[#This Row],[Team Groen]]=Tabel3[[#This Row],[Winnaars]],Tabel3[[#This Row],[Team Groen]])</f>
        <v>KarelTiemen</v>
      </c>
    </row>
    <row r="24" spans="1:15" x14ac:dyDescent="0.25">
      <c r="A24" s="14">
        <v>23</v>
      </c>
      <c r="B24" s="15" t="s">
        <v>3</v>
      </c>
      <c r="C24" s="16" t="s">
        <v>11</v>
      </c>
      <c r="D24" s="17" t="s">
        <v>7</v>
      </c>
      <c r="E24" s="18" t="s">
        <v>6</v>
      </c>
      <c r="F24" s="81">
        <v>7</v>
      </c>
      <c r="G24" s="81">
        <v>11</v>
      </c>
      <c r="H24" s="3" t="str">
        <f t="shared" si="0"/>
        <v>GROEN</v>
      </c>
      <c r="I24" s="3" t="str">
        <f t="shared" si="1"/>
        <v>Tiemen</v>
      </c>
      <c r="J24" s="4" t="str">
        <f t="shared" si="2"/>
        <v>Stef D</v>
      </c>
      <c r="K24" s="213" t="str">
        <f>Tabel3[[#This Row],[Rood Verdediging]]&amp;Tabel3[[#This Row],[Rood Aanval]]</f>
        <v>KarelMatthijs</v>
      </c>
      <c r="L24" s="213" t="str">
        <f>Tabel3[[#This Row],[Groen Verdediging]]&amp;Tabel3[[#This Row],[Groen Aanval]]</f>
        <v>TiemenStef D</v>
      </c>
      <c r="M24" s="213" t="str">
        <f>Tabel3[[#This Row],[Winnaar 1]]&amp;Tabel3[[#This Row],[Winnaar 2]]</f>
        <v>TiemenStef D</v>
      </c>
      <c r="N24" s="147" t="b">
        <f>IF(Tabel3[[#This Row],[Team Rood]]=Tabel3[[#This Row],[Winnaars]],Tabel3[[#This Row],[Team Rood]])</f>
        <v>0</v>
      </c>
      <c r="O24" s="147" t="str">
        <f>IF(Tabel3[[#This Row],[Team Groen]]=Tabel3[[#This Row],[Winnaars]],Tabel3[[#This Row],[Team Groen]])</f>
        <v>TiemenStef D</v>
      </c>
    </row>
    <row r="25" spans="1:15" x14ac:dyDescent="0.25">
      <c r="A25" s="14">
        <v>24</v>
      </c>
      <c r="B25" s="15" t="s">
        <v>11</v>
      </c>
      <c r="C25" s="16" t="s">
        <v>7</v>
      </c>
      <c r="D25" s="17" t="s">
        <v>6</v>
      </c>
      <c r="E25" s="18" t="s">
        <v>3</v>
      </c>
      <c r="F25" s="81">
        <v>11</v>
      </c>
      <c r="G25" s="81">
        <v>13</v>
      </c>
      <c r="H25" s="3" t="str">
        <f t="shared" si="0"/>
        <v>GROEN</v>
      </c>
      <c r="I25" s="3" t="str">
        <f t="shared" si="1"/>
        <v>Stef D</v>
      </c>
      <c r="J25" s="4" t="str">
        <f t="shared" si="2"/>
        <v>Karel</v>
      </c>
      <c r="K25" s="213" t="str">
        <f>Tabel3[[#This Row],[Rood Verdediging]]&amp;Tabel3[[#This Row],[Rood Aanval]]</f>
        <v>MatthijsTiemen</v>
      </c>
      <c r="L25" s="213" t="str">
        <f>Tabel3[[#This Row],[Groen Verdediging]]&amp;Tabel3[[#This Row],[Groen Aanval]]</f>
        <v>Stef DKarel</v>
      </c>
      <c r="M25" s="213" t="str">
        <f>Tabel3[[#This Row],[Winnaar 1]]&amp;Tabel3[[#This Row],[Winnaar 2]]</f>
        <v>Stef DKarel</v>
      </c>
      <c r="N25" s="147" t="b">
        <f>IF(Tabel3[[#This Row],[Team Rood]]=Tabel3[[#This Row],[Winnaars]],Tabel3[[#This Row],[Team Rood]])</f>
        <v>0</v>
      </c>
      <c r="O25" s="147" t="str">
        <f>IF(Tabel3[[#This Row],[Team Groen]]=Tabel3[[#This Row],[Winnaars]],Tabel3[[#This Row],[Team Groen]])</f>
        <v>Stef DKarel</v>
      </c>
    </row>
    <row r="26" spans="1:15" x14ac:dyDescent="0.25">
      <c r="A26" s="14">
        <v>25</v>
      </c>
      <c r="B26" s="15" t="s">
        <v>6</v>
      </c>
      <c r="C26" s="16" t="s">
        <v>3</v>
      </c>
      <c r="D26" s="17" t="s">
        <v>11</v>
      </c>
      <c r="E26" s="18" t="s">
        <v>0</v>
      </c>
      <c r="F26" s="81">
        <v>11</v>
      </c>
      <c r="G26" s="81">
        <v>8</v>
      </c>
      <c r="H26" s="3" t="str">
        <f t="shared" si="0"/>
        <v>ROOD</v>
      </c>
      <c r="I26" s="3" t="str">
        <f t="shared" si="1"/>
        <v>Stef D</v>
      </c>
      <c r="J26" s="4" t="str">
        <f t="shared" si="2"/>
        <v>Karel</v>
      </c>
      <c r="K26" s="213" t="str">
        <f>Tabel3[[#This Row],[Rood Verdediging]]&amp;Tabel3[[#This Row],[Rood Aanval]]</f>
        <v>Stef DKarel</v>
      </c>
      <c r="L26" s="213" t="str">
        <f>Tabel3[[#This Row],[Groen Verdediging]]&amp;Tabel3[[#This Row],[Groen Aanval]]</f>
        <v>MatthijsJonas</v>
      </c>
      <c r="M26" s="213" t="str">
        <f>Tabel3[[#This Row],[Winnaar 1]]&amp;Tabel3[[#This Row],[Winnaar 2]]</f>
        <v>Stef DKarel</v>
      </c>
      <c r="N26" s="147" t="str">
        <f>IF(Tabel3[[#This Row],[Team Rood]]=Tabel3[[#This Row],[Winnaars]],Tabel3[[#This Row],[Team Rood]])</f>
        <v>Stef DKarel</v>
      </c>
      <c r="O26" s="147" t="b">
        <f>IF(Tabel3[[#This Row],[Team Groen]]=Tabel3[[#This Row],[Winnaars]],Tabel3[[#This Row],[Team Groen]])</f>
        <v>0</v>
      </c>
    </row>
    <row r="27" spans="1:15" x14ac:dyDescent="0.25">
      <c r="A27" s="14">
        <v>26</v>
      </c>
      <c r="B27" s="15" t="s">
        <v>3</v>
      </c>
      <c r="C27" s="16" t="s">
        <v>11</v>
      </c>
      <c r="D27" s="17" t="s">
        <v>0</v>
      </c>
      <c r="E27" s="18" t="s">
        <v>6</v>
      </c>
      <c r="F27" s="81">
        <v>8</v>
      </c>
      <c r="G27" s="81">
        <v>11</v>
      </c>
      <c r="H27" s="3" t="str">
        <f t="shared" si="0"/>
        <v>GROEN</v>
      </c>
      <c r="I27" s="3" t="str">
        <f t="shared" si="1"/>
        <v>Jonas</v>
      </c>
      <c r="J27" s="4" t="str">
        <f t="shared" si="2"/>
        <v>Stef D</v>
      </c>
      <c r="K27" s="213" t="str">
        <f>Tabel3[[#This Row],[Rood Verdediging]]&amp;Tabel3[[#This Row],[Rood Aanval]]</f>
        <v>KarelMatthijs</v>
      </c>
      <c r="L27" s="213" t="str">
        <f>Tabel3[[#This Row],[Groen Verdediging]]&amp;Tabel3[[#This Row],[Groen Aanval]]</f>
        <v>JonasStef D</v>
      </c>
      <c r="M27" s="213" t="str">
        <f>Tabel3[[#This Row],[Winnaar 1]]&amp;Tabel3[[#This Row],[Winnaar 2]]</f>
        <v>JonasStef D</v>
      </c>
      <c r="N27" s="147" t="b">
        <f>IF(Tabel3[[#This Row],[Team Rood]]=Tabel3[[#This Row],[Winnaars]],Tabel3[[#This Row],[Team Rood]])</f>
        <v>0</v>
      </c>
      <c r="O27" s="147" t="str">
        <f>IF(Tabel3[[#This Row],[Team Groen]]=Tabel3[[#This Row],[Winnaars]],Tabel3[[#This Row],[Team Groen]])</f>
        <v>JonasStef D</v>
      </c>
    </row>
    <row r="28" spans="1:15" x14ac:dyDescent="0.25">
      <c r="A28" s="14">
        <v>27</v>
      </c>
      <c r="B28" s="15" t="s">
        <v>11</v>
      </c>
      <c r="C28" s="16" t="s">
        <v>6</v>
      </c>
      <c r="D28" s="17" t="s">
        <v>0</v>
      </c>
      <c r="E28" s="18" t="s">
        <v>3</v>
      </c>
      <c r="F28" s="81">
        <v>11</v>
      </c>
      <c r="G28" s="81">
        <v>8</v>
      </c>
      <c r="H28" s="3" t="str">
        <f t="shared" si="0"/>
        <v>ROOD</v>
      </c>
      <c r="I28" s="3" t="str">
        <f t="shared" si="1"/>
        <v>Matthijs</v>
      </c>
      <c r="J28" s="4" t="str">
        <f t="shared" si="2"/>
        <v>Stef D</v>
      </c>
      <c r="K28" s="213" t="str">
        <f>Tabel3[[#This Row],[Rood Verdediging]]&amp;Tabel3[[#This Row],[Rood Aanval]]</f>
        <v>MatthijsStef D</v>
      </c>
      <c r="L28" s="213" t="str">
        <f>Tabel3[[#This Row],[Groen Verdediging]]&amp;Tabel3[[#This Row],[Groen Aanval]]</f>
        <v>JonasKarel</v>
      </c>
      <c r="M28" s="213" t="str">
        <f>Tabel3[[#This Row],[Winnaar 1]]&amp;Tabel3[[#This Row],[Winnaar 2]]</f>
        <v>MatthijsStef D</v>
      </c>
      <c r="N28" s="147" t="str">
        <f>IF(Tabel3[[#This Row],[Team Rood]]=Tabel3[[#This Row],[Winnaars]],Tabel3[[#This Row],[Team Rood]])</f>
        <v>MatthijsStef D</v>
      </c>
      <c r="O28" s="147" t="b">
        <f>IF(Tabel3[[#This Row],[Team Groen]]=Tabel3[[#This Row],[Winnaars]],Tabel3[[#This Row],[Team Groen]])</f>
        <v>0</v>
      </c>
    </row>
    <row r="29" spans="1:15" x14ac:dyDescent="0.25">
      <c r="A29" s="14">
        <v>28</v>
      </c>
      <c r="B29" s="15" t="s">
        <v>3</v>
      </c>
      <c r="C29" s="16" t="s">
        <v>6</v>
      </c>
      <c r="D29" s="17" t="s">
        <v>0</v>
      </c>
      <c r="E29" s="18" t="s">
        <v>11</v>
      </c>
      <c r="F29" s="81">
        <v>11</v>
      </c>
      <c r="G29" s="81">
        <v>4</v>
      </c>
      <c r="H29" s="3" t="str">
        <f t="shared" si="0"/>
        <v>ROOD</v>
      </c>
      <c r="I29" s="3" t="str">
        <f t="shared" si="1"/>
        <v>Karel</v>
      </c>
      <c r="J29" s="4" t="str">
        <f t="shared" si="2"/>
        <v>Stef D</v>
      </c>
      <c r="K29" s="213" t="str">
        <f>Tabel3[[#This Row],[Rood Verdediging]]&amp;Tabel3[[#This Row],[Rood Aanval]]</f>
        <v>KarelStef D</v>
      </c>
      <c r="L29" s="213" t="str">
        <f>Tabel3[[#This Row],[Groen Verdediging]]&amp;Tabel3[[#This Row],[Groen Aanval]]</f>
        <v>JonasMatthijs</v>
      </c>
      <c r="M29" s="213" t="str">
        <f>Tabel3[[#This Row],[Winnaar 1]]&amp;Tabel3[[#This Row],[Winnaar 2]]</f>
        <v>KarelStef D</v>
      </c>
      <c r="N29" s="147" t="str">
        <f>IF(Tabel3[[#This Row],[Team Rood]]=Tabel3[[#This Row],[Winnaars]],Tabel3[[#This Row],[Team Rood]])</f>
        <v>KarelStef D</v>
      </c>
      <c r="O29" s="147" t="b">
        <f>IF(Tabel3[[#This Row],[Team Groen]]=Tabel3[[#This Row],[Winnaars]],Tabel3[[#This Row],[Team Groen]])</f>
        <v>0</v>
      </c>
    </row>
    <row r="30" spans="1:15" x14ac:dyDescent="0.25">
      <c r="A30" s="14">
        <v>29</v>
      </c>
      <c r="B30" s="15" t="s">
        <v>11</v>
      </c>
      <c r="C30" s="16" t="s">
        <v>3</v>
      </c>
      <c r="D30" s="17" t="s">
        <v>6</v>
      </c>
      <c r="E30" s="18" t="s">
        <v>0</v>
      </c>
      <c r="F30" s="81">
        <v>12</v>
      </c>
      <c r="G30" s="81">
        <v>10</v>
      </c>
      <c r="H30" s="3" t="str">
        <f t="shared" si="0"/>
        <v>ROOD</v>
      </c>
      <c r="I30" s="3" t="str">
        <f t="shared" si="1"/>
        <v>Matthijs</v>
      </c>
      <c r="J30" s="4" t="str">
        <f t="shared" si="2"/>
        <v>Karel</v>
      </c>
      <c r="K30" s="213" t="str">
        <f>Tabel3[[#This Row],[Rood Verdediging]]&amp;Tabel3[[#This Row],[Rood Aanval]]</f>
        <v>MatthijsKarel</v>
      </c>
      <c r="L30" s="213" t="str">
        <f>Tabel3[[#This Row],[Groen Verdediging]]&amp;Tabel3[[#This Row],[Groen Aanval]]</f>
        <v>Stef DJonas</v>
      </c>
      <c r="M30" s="213" t="str">
        <f>Tabel3[[#This Row],[Winnaar 1]]&amp;Tabel3[[#This Row],[Winnaar 2]]</f>
        <v>MatthijsKarel</v>
      </c>
      <c r="N30" s="147" t="str">
        <f>IF(Tabel3[[#This Row],[Team Rood]]=Tabel3[[#This Row],[Winnaars]],Tabel3[[#This Row],[Team Rood]])</f>
        <v>MatthijsKarel</v>
      </c>
      <c r="O30" s="147" t="b">
        <f>IF(Tabel3[[#This Row],[Team Groen]]=Tabel3[[#This Row],[Winnaars]],Tabel3[[#This Row],[Team Groen]])</f>
        <v>0</v>
      </c>
    </row>
    <row r="31" spans="1:15" x14ac:dyDescent="0.25">
      <c r="A31" s="14">
        <v>30</v>
      </c>
      <c r="B31" s="15" t="s">
        <v>6</v>
      </c>
      <c r="C31" s="16" t="s">
        <v>11</v>
      </c>
      <c r="D31" s="17" t="s">
        <v>3</v>
      </c>
      <c r="E31" s="18" t="s">
        <v>0</v>
      </c>
      <c r="F31" s="81">
        <v>11</v>
      </c>
      <c r="G31" s="81">
        <v>8</v>
      </c>
      <c r="H31" s="3" t="str">
        <f t="shared" si="0"/>
        <v>ROOD</v>
      </c>
      <c r="I31" s="3" t="str">
        <f t="shared" si="1"/>
        <v>Stef D</v>
      </c>
      <c r="J31" s="4" t="str">
        <f t="shared" si="2"/>
        <v>Matthijs</v>
      </c>
      <c r="K31" s="213" t="str">
        <f>Tabel3[[#This Row],[Rood Verdediging]]&amp;Tabel3[[#This Row],[Rood Aanval]]</f>
        <v>Stef DMatthijs</v>
      </c>
      <c r="L31" s="213" t="str">
        <f>Tabel3[[#This Row],[Groen Verdediging]]&amp;Tabel3[[#This Row],[Groen Aanval]]</f>
        <v>KarelJonas</v>
      </c>
      <c r="M31" s="213" t="str">
        <f>Tabel3[[#This Row],[Winnaar 1]]&amp;Tabel3[[#This Row],[Winnaar 2]]</f>
        <v>Stef DMatthijs</v>
      </c>
      <c r="N31" s="147" t="str">
        <f>IF(Tabel3[[#This Row],[Team Rood]]=Tabel3[[#This Row],[Winnaars]],Tabel3[[#This Row],[Team Rood]])</f>
        <v>Stef DMatthijs</v>
      </c>
      <c r="O31" s="147" t="b">
        <f>IF(Tabel3[[#This Row],[Team Groen]]=Tabel3[[#This Row],[Winnaars]],Tabel3[[#This Row],[Team Groen]])</f>
        <v>0</v>
      </c>
    </row>
    <row r="32" spans="1:15" x14ac:dyDescent="0.25">
      <c r="A32" s="14">
        <v>31</v>
      </c>
      <c r="B32" s="15" t="s">
        <v>0</v>
      </c>
      <c r="C32" s="16" t="s">
        <v>6</v>
      </c>
      <c r="D32" s="17" t="s">
        <v>8</v>
      </c>
      <c r="E32" s="18" t="s">
        <v>12</v>
      </c>
      <c r="F32" s="81">
        <v>11</v>
      </c>
      <c r="G32" s="81">
        <v>5</v>
      </c>
      <c r="H32" s="3" t="str">
        <f t="shared" si="0"/>
        <v>ROOD</v>
      </c>
      <c r="I32" s="3" t="str">
        <f t="shared" si="1"/>
        <v>Jonas</v>
      </c>
      <c r="J32" s="4" t="str">
        <f t="shared" si="2"/>
        <v>Stef D</v>
      </c>
      <c r="K32" s="213" t="str">
        <f>Tabel3[[#This Row],[Rood Verdediging]]&amp;Tabel3[[#This Row],[Rood Aanval]]</f>
        <v>JonasStef D</v>
      </c>
      <c r="L32" s="213" t="str">
        <f>Tabel3[[#This Row],[Groen Verdediging]]&amp;Tabel3[[#This Row],[Groen Aanval]]</f>
        <v>LouisAlexander</v>
      </c>
      <c r="M32" s="213" t="str">
        <f>Tabel3[[#This Row],[Winnaar 1]]&amp;Tabel3[[#This Row],[Winnaar 2]]</f>
        <v>JonasStef D</v>
      </c>
      <c r="N32" s="147" t="str">
        <f>IF(Tabel3[[#This Row],[Team Rood]]=Tabel3[[#This Row],[Winnaars]],Tabel3[[#This Row],[Team Rood]])</f>
        <v>JonasStef D</v>
      </c>
      <c r="O32" s="147" t="b">
        <f>IF(Tabel3[[#This Row],[Team Groen]]=Tabel3[[#This Row],[Winnaars]],Tabel3[[#This Row],[Team Groen]])</f>
        <v>0</v>
      </c>
    </row>
    <row r="33" spans="1:15" x14ac:dyDescent="0.25">
      <c r="A33" s="14">
        <v>32</v>
      </c>
      <c r="B33" s="15" t="s">
        <v>0</v>
      </c>
      <c r="C33" s="16" t="s">
        <v>12</v>
      </c>
      <c r="D33" s="17" t="s">
        <v>8</v>
      </c>
      <c r="E33" s="18" t="s">
        <v>6</v>
      </c>
      <c r="F33" s="81">
        <v>4</v>
      </c>
      <c r="G33" s="81">
        <v>11</v>
      </c>
      <c r="H33" s="3" t="str">
        <f t="shared" si="0"/>
        <v>GROEN</v>
      </c>
      <c r="I33" s="3" t="str">
        <f t="shared" si="1"/>
        <v>Louis</v>
      </c>
      <c r="J33" s="4" t="str">
        <f t="shared" si="2"/>
        <v>Stef D</v>
      </c>
      <c r="K33" s="213" t="str">
        <f>Tabel3[[#This Row],[Rood Verdediging]]&amp;Tabel3[[#This Row],[Rood Aanval]]</f>
        <v>JonasAlexander</v>
      </c>
      <c r="L33" s="213" t="str">
        <f>Tabel3[[#This Row],[Groen Verdediging]]&amp;Tabel3[[#This Row],[Groen Aanval]]</f>
        <v>LouisStef D</v>
      </c>
      <c r="M33" s="213" t="str">
        <f>Tabel3[[#This Row],[Winnaar 1]]&amp;Tabel3[[#This Row],[Winnaar 2]]</f>
        <v>LouisStef D</v>
      </c>
      <c r="N33" s="147" t="b">
        <f>IF(Tabel3[[#This Row],[Team Rood]]=Tabel3[[#This Row],[Winnaars]],Tabel3[[#This Row],[Team Rood]])</f>
        <v>0</v>
      </c>
      <c r="O33" s="147" t="str">
        <f>IF(Tabel3[[#This Row],[Team Groen]]=Tabel3[[#This Row],[Winnaars]],Tabel3[[#This Row],[Team Groen]])</f>
        <v>LouisStef D</v>
      </c>
    </row>
    <row r="34" spans="1:15" x14ac:dyDescent="0.25">
      <c r="A34" s="14">
        <v>33</v>
      </c>
      <c r="B34" s="15" t="s">
        <v>8</v>
      </c>
      <c r="C34" s="16" t="s">
        <v>0</v>
      </c>
      <c r="D34" s="17" t="s">
        <v>6</v>
      </c>
      <c r="E34" s="18" t="s">
        <v>12</v>
      </c>
      <c r="F34" s="81">
        <v>7</v>
      </c>
      <c r="G34" s="81">
        <v>11</v>
      </c>
      <c r="H34" s="3" t="str">
        <f t="shared" si="0"/>
        <v>GROEN</v>
      </c>
      <c r="I34" s="3" t="str">
        <f t="shared" si="1"/>
        <v>Stef D</v>
      </c>
      <c r="J34" s="4" t="str">
        <f t="shared" si="2"/>
        <v>Alexander</v>
      </c>
      <c r="K34" s="213" t="str">
        <f>Tabel3[[#This Row],[Rood Verdediging]]&amp;Tabel3[[#This Row],[Rood Aanval]]</f>
        <v>LouisJonas</v>
      </c>
      <c r="L34" s="213" t="str">
        <f>Tabel3[[#This Row],[Groen Verdediging]]&amp;Tabel3[[#This Row],[Groen Aanval]]</f>
        <v>Stef DAlexander</v>
      </c>
      <c r="M34" s="213" t="str">
        <f>Tabel3[[#This Row],[Winnaar 1]]&amp;Tabel3[[#This Row],[Winnaar 2]]</f>
        <v>Stef DAlexander</v>
      </c>
      <c r="N34" s="147" t="b">
        <f>IF(Tabel3[[#This Row],[Team Rood]]=Tabel3[[#This Row],[Winnaars]],Tabel3[[#This Row],[Team Rood]])</f>
        <v>0</v>
      </c>
      <c r="O34" s="147" t="str">
        <f>IF(Tabel3[[#This Row],[Team Groen]]=Tabel3[[#This Row],[Winnaars]],Tabel3[[#This Row],[Team Groen]])</f>
        <v>Stef DAlexander</v>
      </c>
    </row>
    <row r="35" spans="1:15" x14ac:dyDescent="0.25">
      <c r="A35" s="14">
        <v>34</v>
      </c>
      <c r="B35" s="15" t="s">
        <v>12</v>
      </c>
      <c r="C35" s="16" t="s">
        <v>8</v>
      </c>
      <c r="D35" s="17" t="s">
        <v>3</v>
      </c>
      <c r="E35" s="18" t="s">
        <v>6</v>
      </c>
      <c r="F35" s="81">
        <v>3</v>
      </c>
      <c r="G35" s="81">
        <v>11</v>
      </c>
      <c r="H35" s="3" t="str">
        <f t="shared" si="0"/>
        <v>GROEN</v>
      </c>
      <c r="I35" s="3" t="str">
        <f t="shared" si="1"/>
        <v>Karel</v>
      </c>
      <c r="J35" s="4" t="str">
        <f t="shared" si="2"/>
        <v>Stef D</v>
      </c>
      <c r="K35" s="213" t="str">
        <f>Tabel3[[#This Row],[Rood Verdediging]]&amp;Tabel3[[#This Row],[Rood Aanval]]</f>
        <v>AlexanderLouis</v>
      </c>
      <c r="L35" s="213" t="str">
        <f>Tabel3[[#This Row],[Groen Verdediging]]&amp;Tabel3[[#This Row],[Groen Aanval]]</f>
        <v>KarelStef D</v>
      </c>
      <c r="M35" s="213" t="str">
        <f>Tabel3[[#This Row],[Winnaar 1]]&amp;Tabel3[[#This Row],[Winnaar 2]]</f>
        <v>KarelStef D</v>
      </c>
      <c r="N35" s="147" t="b">
        <f>IF(Tabel3[[#This Row],[Team Rood]]=Tabel3[[#This Row],[Winnaars]],Tabel3[[#This Row],[Team Rood]])</f>
        <v>0</v>
      </c>
      <c r="O35" s="147" t="str">
        <f>IF(Tabel3[[#This Row],[Team Groen]]=Tabel3[[#This Row],[Winnaars]],Tabel3[[#This Row],[Team Groen]])</f>
        <v>KarelStef D</v>
      </c>
    </row>
    <row r="36" spans="1:15" x14ac:dyDescent="0.25">
      <c r="A36" s="14">
        <v>35</v>
      </c>
      <c r="B36" s="15" t="s">
        <v>0</v>
      </c>
      <c r="C36" s="16" t="s">
        <v>8</v>
      </c>
      <c r="D36" s="17" t="s">
        <v>3</v>
      </c>
      <c r="E36" s="18" t="s">
        <v>12</v>
      </c>
      <c r="F36" s="81">
        <v>11</v>
      </c>
      <c r="G36" s="81">
        <v>7</v>
      </c>
      <c r="H36" s="3" t="str">
        <f t="shared" si="0"/>
        <v>ROOD</v>
      </c>
      <c r="I36" s="3" t="str">
        <f t="shared" si="1"/>
        <v>Jonas</v>
      </c>
      <c r="J36" s="4" t="str">
        <f t="shared" si="2"/>
        <v>Louis</v>
      </c>
      <c r="K36" s="213" t="str">
        <f>Tabel3[[#This Row],[Rood Verdediging]]&amp;Tabel3[[#This Row],[Rood Aanval]]</f>
        <v>JonasLouis</v>
      </c>
      <c r="L36" s="213" t="str">
        <f>Tabel3[[#This Row],[Groen Verdediging]]&amp;Tabel3[[#This Row],[Groen Aanval]]</f>
        <v>KarelAlexander</v>
      </c>
      <c r="M36" s="213" t="str">
        <f>Tabel3[[#This Row],[Winnaar 1]]&amp;Tabel3[[#This Row],[Winnaar 2]]</f>
        <v>JonasLouis</v>
      </c>
      <c r="N36" s="147" t="str">
        <f>IF(Tabel3[[#This Row],[Team Rood]]=Tabel3[[#This Row],[Winnaars]],Tabel3[[#This Row],[Team Rood]])</f>
        <v>JonasLouis</v>
      </c>
      <c r="O36" s="147" t="b">
        <f>IF(Tabel3[[#This Row],[Team Groen]]=Tabel3[[#This Row],[Winnaars]],Tabel3[[#This Row],[Team Groen]])</f>
        <v>0</v>
      </c>
    </row>
    <row r="37" spans="1:15" x14ac:dyDescent="0.25">
      <c r="A37" s="14">
        <v>36</v>
      </c>
      <c r="B37" s="15" t="s">
        <v>0</v>
      </c>
      <c r="C37" s="16" t="s">
        <v>3</v>
      </c>
      <c r="D37" s="17" t="s">
        <v>6</v>
      </c>
      <c r="E37" s="18" t="s">
        <v>8</v>
      </c>
      <c r="F37" s="81">
        <v>11</v>
      </c>
      <c r="G37" s="81">
        <v>7</v>
      </c>
      <c r="H37" s="3" t="str">
        <f t="shared" si="0"/>
        <v>ROOD</v>
      </c>
      <c r="I37" s="3" t="str">
        <f t="shared" si="1"/>
        <v>Jonas</v>
      </c>
      <c r="J37" s="4" t="str">
        <f t="shared" si="2"/>
        <v>Karel</v>
      </c>
      <c r="K37" s="213" t="str">
        <f>Tabel3[[#This Row],[Rood Verdediging]]&amp;Tabel3[[#This Row],[Rood Aanval]]</f>
        <v>JonasKarel</v>
      </c>
      <c r="L37" s="213" t="str">
        <f>Tabel3[[#This Row],[Groen Verdediging]]&amp;Tabel3[[#This Row],[Groen Aanval]]</f>
        <v>Stef DLouis</v>
      </c>
      <c r="M37" s="213" t="str">
        <f>Tabel3[[#This Row],[Winnaar 1]]&amp;Tabel3[[#This Row],[Winnaar 2]]</f>
        <v>JonasKarel</v>
      </c>
      <c r="N37" s="147" t="str">
        <f>IF(Tabel3[[#This Row],[Team Rood]]=Tabel3[[#This Row],[Winnaars]],Tabel3[[#This Row],[Team Rood]])</f>
        <v>JonasKarel</v>
      </c>
      <c r="O37" s="147" t="b">
        <f>IF(Tabel3[[#This Row],[Team Groen]]=Tabel3[[#This Row],[Winnaars]],Tabel3[[#This Row],[Team Groen]])</f>
        <v>0</v>
      </c>
    </row>
    <row r="38" spans="1:15" x14ac:dyDescent="0.25">
      <c r="A38" s="14">
        <v>37</v>
      </c>
      <c r="B38" s="15" t="s">
        <v>3</v>
      </c>
      <c r="C38" s="16" t="s">
        <v>12</v>
      </c>
      <c r="D38" s="17" t="s">
        <v>0</v>
      </c>
      <c r="E38" s="18" t="s">
        <v>6</v>
      </c>
      <c r="F38" s="81">
        <v>3</v>
      </c>
      <c r="G38" s="81">
        <v>11</v>
      </c>
      <c r="H38" s="3" t="str">
        <f t="shared" si="0"/>
        <v>GROEN</v>
      </c>
      <c r="I38" s="3" t="str">
        <f t="shared" si="1"/>
        <v>Jonas</v>
      </c>
      <c r="J38" s="4" t="str">
        <f t="shared" si="2"/>
        <v>Stef D</v>
      </c>
      <c r="K38" s="213" t="str">
        <f>Tabel3[[#This Row],[Rood Verdediging]]&amp;Tabel3[[#This Row],[Rood Aanval]]</f>
        <v>KarelAlexander</v>
      </c>
      <c r="L38" s="213" t="str">
        <f>Tabel3[[#This Row],[Groen Verdediging]]&amp;Tabel3[[#This Row],[Groen Aanval]]</f>
        <v>JonasStef D</v>
      </c>
      <c r="M38" s="213" t="str">
        <f>Tabel3[[#This Row],[Winnaar 1]]&amp;Tabel3[[#This Row],[Winnaar 2]]</f>
        <v>JonasStef D</v>
      </c>
      <c r="N38" s="147" t="b">
        <f>IF(Tabel3[[#This Row],[Team Rood]]=Tabel3[[#This Row],[Winnaars]],Tabel3[[#This Row],[Team Rood]])</f>
        <v>0</v>
      </c>
      <c r="O38" s="147" t="str">
        <f>IF(Tabel3[[#This Row],[Team Groen]]=Tabel3[[#This Row],[Winnaars]],Tabel3[[#This Row],[Team Groen]])</f>
        <v>JonasStef D</v>
      </c>
    </row>
    <row r="39" spans="1:15" x14ac:dyDescent="0.25">
      <c r="A39" s="14">
        <v>38</v>
      </c>
      <c r="B39" s="15" t="s">
        <v>8</v>
      </c>
      <c r="C39" s="16" t="s">
        <v>0</v>
      </c>
      <c r="D39" s="17" t="s">
        <v>12</v>
      </c>
      <c r="E39" s="18" t="s">
        <v>6</v>
      </c>
      <c r="F39" s="81">
        <v>11</v>
      </c>
      <c r="G39" s="81">
        <v>7</v>
      </c>
      <c r="H39" s="3" t="str">
        <f t="shared" si="0"/>
        <v>ROOD</v>
      </c>
      <c r="I39" s="3" t="str">
        <f t="shared" si="1"/>
        <v>Louis</v>
      </c>
      <c r="J39" s="4" t="str">
        <f t="shared" si="2"/>
        <v>Jonas</v>
      </c>
      <c r="K39" s="213" t="str">
        <f>Tabel3[[#This Row],[Rood Verdediging]]&amp;Tabel3[[#This Row],[Rood Aanval]]</f>
        <v>LouisJonas</v>
      </c>
      <c r="L39" s="213" t="str">
        <f>Tabel3[[#This Row],[Groen Verdediging]]&amp;Tabel3[[#This Row],[Groen Aanval]]</f>
        <v>AlexanderStef D</v>
      </c>
      <c r="M39" s="213" t="str">
        <f>Tabel3[[#This Row],[Winnaar 1]]&amp;Tabel3[[#This Row],[Winnaar 2]]</f>
        <v>LouisJonas</v>
      </c>
      <c r="N39" s="147" t="str">
        <f>IF(Tabel3[[#This Row],[Team Rood]]=Tabel3[[#This Row],[Winnaars]],Tabel3[[#This Row],[Team Rood]])</f>
        <v>LouisJonas</v>
      </c>
      <c r="O39" s="147" t="b">
        <f>IF(Tabel3[[#This Row],[Team Groen]]=Tabel3[[#This Row],[Winnaars]],Tabel3[[#This Row],[Team Groen]])</f>
        <v>0</v>
      </c>
    </row>
    <row r="40" spans="1:15" x14ac:dyDescent="0.25">
      <c r="A40" s="14">
        <v>39</v>
      </c>
      <c r="B40" s="15" t="s">
        <v>3</v>
      </c>
      <c r="C40" s="16" t="s">
        <v>6</v>
      </c>
      <c r="D40" s="17" t="s">
        <v>8</v>
      </c>
      <c r="E40" s="18" t="s">
        <v>12</v>
      </c>
      <c r="F40" s="81">
        <v>11</v>
      </c>
      <c r="G40" s="81">
        <v>6</v>
      </c>
      <c r="H40" s="3" t="str">
        <f t="shared" si="0"/>
        <v>ROOD</v>
      </c>
      <c r="I40" s="3" t="str">
        <f t="shared" si="1"/>
        <v>Karel</v>
      </c>
      <c r="J40" s="4" t="str">
        <f t="shared" si="2"/>
        <v>Stef D</v>
      </c>
      <c r="K40" s="213" t="str">
        <f>Tabel3[[#This Row],[Rood Verdediging]]&amp;Tabel3[[#This Row],[Rood Aanval]]</f>
        <v>KarelStef D</v>
      </c>
      <c r="L40" s="213" t="str">
        <f>Tabel3[[#This Row],[Groen Verdediging]]&amp;Tabel3[[#This Row],[Groen Aanval]]</f>
        <v>LouisAlexander</v>
      </c>
      <c r="M40" s="213" t="str">
        <f>Tabel3[[#This Row],[Winnaar 1]]&amp;Tabel3[[#This Row],[Winnaar 2]]</f>
        <v>KarelStef D</v>
      </c>
      <c r="N40" s="147" t="str">
        <f>IF(Tabel3[[#This Row],[Team Rood]]=Tabel3[[#This Row],[Winnaars]],Tabel3[[#This Row],[Team Rood]])</f>
        <v>KarelStef D</v>
      </c>
      <c r="O40" s="147" t="b">
        <f>IF(Tabel3[[#This Row],[Team Groen]]=Tabel3[[#This Row],[Winnaars]],Tabel3[[#This Row],[Team Groen]])</f>
        <v>0</v>
      </c>
    </row>
    <row r="41" spans="1:15" x14ac:dyDescent="0.25">
      <c r="A41" s="14">
        <v>40</v>
      </c>
      <c r="B41" s="15" t="s">
        <v>0</v>
      </c>
      <c r="C41" s="16" t="s">
        <v>8</v>
      </c>
      <c r="D41" s="17" t="s">
        <v>3</v>
      </c>
      <c r="E41" s="18" t="s">
        <v>12</v>
      </c>
      <c r="F41" s="81">
        <v>7</v>
      </c>
      <c r="G41" s="81">
        <v>11</v>
      </c>
      <c r="H41" s="3" t="str">
        <f t="shared" si="0"/>
        <v>GROEN</v>
      </c>
      <c r="I41" s="3" t="str">
        <f t="shared" si="1"/>
        <v>Karel</v>
      </c>
      <c r="J41" s="4" t="str">
        <f t="shared" si="2"/>
        <v>Alexander</v>
      </c>
      <c r="K41" s="213" t="str">
        <f>Tabel3[[#This Row],[Rood Verdediging]]&amp;Tabel3[[#This Row],[Rood Aanval]]</f>
        <v>JonasLouis</v>
      </c>
      <c r="L41" s="213" t="str">
        <f>Tabel3[[#This Row],[Groen Verdediging]]&amp;Tabel3[[#This Row],[Groen Aanval]]</f>
        <v>KarelAlexander</v>
      </c>
      <c r="M41" s="213" t="str">
        <f>Tabel3[[#This Row],[Winnaar 1]]&amp;Tabel3[[#This Row],[Winnaar 2]]</f>
        <v>KarelAlexander</v>
      </c>
      <c r="N41" s="147" t="b">
        <f>IF(Tabel3[[#This Row],[Team Rood]]=Tabel3[[#This Row],[Winnaars]],Tabel3[[#This Row],[Team Rood]])</f>
        <v>0</v>
      </c>
      <c r="O41" s="147" t="str">
        <f>IF(Tabel3[[#This Row],[Team Groen]]=Tabel3[[#This Row],[Winnaars]],Tabel3[[#This Row],[Team Groen]])</f>
        <v>KarelAlexander</v>
      </c>
    </row>
    <row r="42" spans="1:15" x14ac:dyDescent="0.25">
      <c r="A42" s="14">
        <v>42</v>
      </c>
      <c r="B42" s="15" t="s">
        <v>6</v>
      </c>
      <c r="C42" s="16" t="s">
        <v>3</v>
      </c>
      <c r="D42" s="17" t="s">
        <v>0</v>
      </c>
      <c r="E42" s="18" t="s">
        <v>12</v>
      </c>
      <c r="F42" s="81">
        <v>11</v>
      </c>
      <c r="G42" s="81">
        <v>3</v>
      </c>
      <c r="H42" s="3" t="str">
        <f t="shared" si="0"/>
        <v>ROOD</v>
      </c>
      <c r="I42" s="3" t="str">
        <f t="shared" si="1"/>
        <v>Stef D</v>
      </c>
      <c r="J42" s="4" t="str">
        <f t="shared" si="2"/>
        <v>Karel</v>
      </c>
      <c r="K42" s="213" t="str">
        <f>Tabel3[[#This Row],[Rood Verdediging]]&amp;Tabel3[[#This Row],[Rood Aanval]]</f>
        <v>Stef DKarel</v>
      </c>
      <c r="L42" s="213" t="str">
        <f>Tabel3[[#This Row],[Groen Verdediging]]&amp;Tabel3[[#This Row],[Groen Aanval]]</f>
        <v>JonasAlexander</v>
      </c>
      <c r="M42" s="213" t="str">
        <f>Tabel3[[#This Row],[Winnaar 1]]&amp;Tabel3[[#This Row],[Winnaar 2]]</f>
        <v>Stef DKarel</v>
      </c>
      <c r="N42" s="147" t="str">
        <f>IF(Tabel3[[#This Row],[Team Rood]]=Tabel3[[#This Row],[Winnaars]],Tabel3[[#This Row],[Team Rood]])</f>
        <v>Stef DKarel</v>
      </c>
      <c r="O42" s="147" t="b">
        <f>IF(Tabel3[[#This Row],[Team Groen]]=Tabel3[[#This Row],[Winnaars]],Tabel3[[#This Row],[Team Groen]])</f>
        <v>0</v>
      </c>
    </row>
    <row r="43" spans="1:15" x14ac:dyDescent="0.25">
      <c r="A43" s="14">
        <v>43</v>
      </c>
      <c r="B43" s="15" t="s">
        <v>8</v>
      </c>
      <c r="C43" s="16" t="s">
        <v>6</v>
      </c>
      <c r="D43" s="17" t="s">
        <v>3</v>
      </c>
      <c r="E43" s="18" t="s">
        <v>7</v>
      </c>
      <c r="F43" s="81">
        <v>11</v>
      </c>
      <c r="G43" s="81">
        <v>9</v>
      </c>
      <c r="H43" s="3" t="str">
        <f t="shared" si="0"/>
        <v>ROOD</v>
      </c>
      <c r="I43" s="3" t="str">
        <f t="shared" si="1"/>
        <v>Louis</v>
      </c>
      <c r="J43" s="4" t="str">
        <f t="shared" si="2"/>
        <v>Stef D</v>
      </c>
      <c r="K43" s="213" t="str">
        <f>Tabel3[[#This Row],[Rood Verdediging]]&amp;Tabel3[[#This Row],[Rood Aanval]]</f>
        <v>LouisStef D</v>
      </c>
      <c r="L43" s="213" t="str">
        <f>Tabel3[[#This Row],[Groen Verdediging]]&amp;Tabel3[[#This Row],[Groen Aanval]]</f>
        <v>KarelTiemen</v>
      </c>
      <c r="M43" s="213" t="str">
        <f>Tabel3[[#This Row],[Winnaar 1]]&amp;Tabel3[[#This Row],[Winnaar 2]]</f>
        <v>LouisStef D</v>
      </c>
      <c r="N43" s="147" t="str">
        <f>IF(Tabel3[[#This Row],[Team Rood]]=Tabel3[[#This Row],[Winnaars]],Tabel3[[#This Row],[Team Rood]])</f>
        <v>LouisStef D</v>
      </c>
      <c r="O43" s="147" t="b">
        <f>IF(Tabel3[[#This Row],[Team Groen]]=Tabel3[[#This Row],[Winnaars]],Tabel3[[#This Row],[Team Groen]])</f>
        <v>0</v>
      </c>
    </row>
    <row r="44" spans="1:15" x14ac:dyDescent="0.25">
      <c r="A44" s="14">
        <v>44</v>
      </c>
      <c r="B44" s="15" t="s">
        <v>8</v>
      </c>
      <c r="C44" s="16" t="s">
        <v>7</v>
      </c>
      <c r="D44" s="17" t="s">
        <v>3</v>
      </c>
      <c r="E44" s="18" t="s">
        <v>6</v>
      </c>
      <c r="F44" s="81">
        <v>5</v>
      </c>
      <c r="G44" s="81">
        <v>11</v>
      </c>
      <c r="H44" s="3" t="str">
        <f t="shared" si="0"/>
        <v>GROEN</v>
      </c>
      <c r="I44" s="3" t="str">
        <f t="shared" si="1"/>
        <v>Karel</v>
      </c>
      <c r="J44" s="4" t="str">
        <f t="shared" si="2"/>
        <v>Stef D</v>
      </c>
      <c r="K44" s="213" t="str">
        <f>Tabel3[[#This Row],[Rood Verdediging]]&amp;Tabel3[[#This Row],[Rood Aanval]]</f>
        <v>LouisTiemen</v>
      </c>
      <c r="L44" s="213" t="str">
        <f>Tabel3[[#This Row],[Groen Verdediging]]&amp;Tabel3[[#This Row],[Groen Aanval]]</f>
        <v>KarelStef D</v>
      </c>
      <c r="M44" s="213" t="str">
        <f>Tabel3[[#This Row],[Winnaar 1]]&amp;Tabel3[[#This Row],[Winnaar 2]]</f>
        <v>KarelStef D</v>
      </c>
      <c r="N44" s="147" t="b">
        <f>IF(Tabel3[[#This Row],[Team Rood]]=Tabel3[[#This Row],[Winnaars]],Tabel3[[#This Row],[Team Rood]])</f>
        <v>0</v>
      </c>
      <c r="O44" s="147" t="str">
        <f>IF(Tabel3[[#This Row],[Team Groen]]=Tabel3[[#This Row],[Winnaars]],Tabel3[[#This Row],[Team Groen]])</f>
        <v>KarelStef D</v>
      </c>
    </row>
    <row r="45" spans="1:15" x14ac:dyDescent="0.25">
      <c r="A45" s="14">
        <v>45</v>
      </c>
      <c r="B45" s="15" t="s">
        <v>6</v>
      </c>
      <c r="C45" s="16" t="s">
        <v>7</v>
      </c>
      <c r="D45" s="17" t="s">
        <v>8</v>
      </c>
      <c r="E45" s="18" t="s">
        <v>3</v>
      </c>
      <c r="F45" s="81">
        <v>11</v>
      </c>
      <c r="G45" s="81">
        <v>9</v>
      </c>
      <c r="H45" s="3" t="str">
        <f t="shared" si="0"/>
        <v>ROOD</v>
      </c>
      <c r="I45" s="3" t="str">
        <f t="shared" si="1"/>
        <v>Stef D</v>
      </c>
      <c r="J45" s="4" t="str">
        <f t="shared" si="2"/>
        <v>Tiemen</v>
      </c>
      <c r="K45" s="213" t="str">
        <f>Tabel3[[#This Row],[Rood Verdediging]]&amp;Tabel3[[#This Row],[Rood Aanval]]</f>
        <v>Stef DTiemen</v>
      </c>
      <c r="L45" s="213" t="str">
        <f>Tabel3[[#This Row],[Groen Verdediging]]&amp;Tabel3[[#This Row],[Groen Aanval]]</f>
        <v>LouisKarel</v>
      </c>
      <c r="M45" s="213" t="str">
        <f>Tabel3[[#This Row],[Winnaar 1]]&amp;Tabel3[[#This Row],[Winnaar 2]]</f>
        <v>Stef DTiemen</v>
      </c>
      <c r="N45" s="147" t="str">
        <f>IF(Tabel3[[#This Row],[Team Rood]]=Tabel3[[#This Row],[Winnaars]],Tabel3[[#This Row],[Team Rood]])</f>
        <v>Stef DTiemen</v>
      </c>
      <c r="O45" s="147" t="b">
        <f>IF(Tabel3[[#This Row],[Team Groen]]=Tabel3[[#This Row],[Winnaars]],Tabel3[[#This Row],[Team Groen]])</f>
        <v>0</v>
      </c>
    </row>
    <row r="46" spans="1:15" x14ac:dyDescent="0.25">
      <c r="A46" s="14">
        <v>46</v>
      </c>
      <c r="B46" s="15" t="s">
        <v>3</v>
      </c>
      <c r="C46" s="16" t="s">
        <v>7</v>
      </c>
      <c r="D46" s="17" t="s">
        <v>8</v>
      </c>
      <c r="E46" s="18" t="s">
        <v>13</v>
      </c>
      <c r="F46" s="81">
        <v>11</v>
      </c>
      <c r="G46" s="81">
        <v>8</v>
      </c>
      <c r="H46" s="3" t="str">
        <f t="shared" si="0"/>
        <v>ROOD</v>
      </c>
      <c r="I46" s="3" t="str">
        <f t="shared" si="1"/>
        <v>Karel</v>
      </c>
      <c r="J46" s="4" t="str">
        <f t="shared" si="2"/>
        <v>Tiemen</v>
      </c>
      <c r="K46" s="213" t="str">
        <f>Tabel3[[#This Row],[Rood Verdediging]]&amp;Tabel3[[#This Row],[Rood Aanval]]</f>
        <v>KarelTiemen</v>
      </c>
      <c r="L46" s="213" t="str">
        <f>Tabel3[[#This Row],[Groen Verdediging]]&amp;Tabel3[[#This Row],[Groen Aanval]]</f>
        <v>LouisBert</v>
      </c>
      <c r="M46" s="213" t="str">
        <f>Tabel3[[#This Row],[Winnaar 1]]&amp;Tabel3[[#This Row],[Winnaar 2]]</f>
        <v>KarelTiemen</v>
      </c>
      <c r="N46" s="147" t="str">
        <f>IF(Tabel3[[#This Row],[Team Rood]]=Tabel3[[#This Row],[Winnaars]],Tabel3[[#This Row],[Team Rood]])</f>
        <v>KarelTiemen</v>
      </c>
      <c r="O46" s="147" t="b">
        <f>IF(Tabel3[[#This Row],[Team Groen]]=Tabel3[[#This Row],[Winnaars]],Tabel3[[#This Row],[Team Groen]])</f>
        <v>0</v>
      </c>
    </row>
    <row r="47" spans="1:15" x14ac:dyDescent="0.25">
      <c r="A47" s="14">
        <v>47</v>
      </c>
      <c r="B47" s="15" t="s">
        <v>8</v>
      </c>
      <c r="C47" s="16" t="s">
        <v>6</v>
      </c>
      <c r="D47" s="17" t="s">
        <v>3</v>
      </c>
      <c r="E47" s="18" t="s">
        <v>13</v>
      </c>
      <c r="F47" s="81">
        <v>8</v>
      </c>
      <c r="G47" s="81">
        <v>11</v>
      </c>
      <c r="H47" s="3" t="str">
        <f t="shared" si="0"/>
        <v>GROEN</v>
      </c>
      <c r="I47" s="3" t="str">
        <f t="shared" si="1"/>
        <v>Karel</v>
      </c>
      <c r="J47" s="4" t="str">
        <f t="shared" si="2"/>
        <v>Bert</v>
      </c>
      <c r="K47" s="213" t="str">
        <f>Tabel3[[#This Row],[Rood Verdediging]]&amp;Tabel3[[#This Row],[Rood Aanval]]</f>
        <v>LouisStef D</v>
      </c>
      <c r="L47" s="213" t="str">
        <f>Tabel3[[#This Row],[Groen Verdediging]]&amp;Tabel3[[#This Row],[Groen Aanval]]</f>
        <v>KarelBert</v>
      </c>
      <c r="M47" s="213" t="str">
        <f>Tabel3[[#This Row],[Winnaar 1]]&amp;Tabel3[[#This Row],[Winnaar 2]]</f>
        <v>KarelBert</v>
      </c>
      <c r="N47" s="147" t="b">
        <f>IF(Tabel3[[#This Row],[Team Rood]]=Tabel3[[#This Row],[Winnaars]],Tabel3[[#This Row],[Team Rood]])</f>
        <v>0</v>
      </c>
      <c r="O47" s="147" t="str">
        <f>IF(Tabel3[[#This Row],[Team Groen]]=Tabel3[[#This Row],[Winnaars]],Tabel3[[#This Row],[Team Groen]])</f>
        <v>KarelBert</v>
      </c>
    </row>
    <row r="48" spans="1:15" x14ac:dyDescent="0.25">
      <c r="A48" s="14">
        <v>48</v>
      </c>
      <c r="B48" s="15" t="s">
        <v>3</v>
      </c>
      <c r="C48" s="16" t="s">
        <v>6</v>
      </c>
      <c r="D48" s="17" t="s">
        <v>8</v>
      </c>
      <c r="E48" s="18" t="s">
        <v>7</v>
      </c>
      <c r="F48" s="81">
        <v>11</v>
      </c>
      <c r="G48" s="81">
        <v>6</v>
      </c>
      <c r="H48" s="3" t="str">
        <f t="shared" si="0"/>
        <v>ROOD</v>
      </c>
      <c r="I48" s="3" t="str">
        <f t="shared" si="1"/>
        <v>Karel</v>
      </c>
      <c r="J48" s="4" t="str">
        <f t="shared" si="2"/>
        <v>Stef D</v>
      </c>
      <c r="K48" s="213" t="str">
        <f>Tabel3[[#This Row],[Rood Verdediging]]&amp;Tabel3[[#This Row],[Rood Aanval]]</f>
        <v>KarelStef D</v>
      </c>
      <c r="L48" s="213" t="str">
        <f>Tabel3[[#This Row],[Groen Verdediging]]&amp;Tabel3[[#This Row],[Groen Aanval]]</f>
        <v>LouisTiemen</v>
      </c>
      <c r="M48" s="213" t="str">
        <f>Tabel3[[#This Row],[Winnaar 1]]&amp;Tabel3[[#This Row],[Winnaar 2]]</f>
        <v>KarelStef D</v>
      </c>
      <c r="N48" s="147" t="str">
        <f>IF(Tabel3[[#This Row],[Team Rood]]=Tabel3[[#This Row],[Winnaars]],Tabel3[[#This Row],[Team Rood]])</f>
        <v>KarelStef D</v>
      </c>
      <c r="O48" s="147" t="b">
        <f>IF(Tabel3[[#This Row],[Team Groen]]=Tabel3[[#This Row],[Winnaars]],Tabel3[[#This Row],[Team Groen]])</f>
        <v>0</v>
      </c>
    </row>
    <row r="49" spans="1:15" x14ac:dyDescent="0.25">
      <c r="A49" s="14">
        <v>49</v>
      </c>
      <c r="B49" s="15" t="s">
        <v>6</v>
      </c>
      <c r="C49" s="16" t="s">
        <v>13</v>
      </c>
      <c r="D49" s="17" t="s">
        <v>7</v>
      </c>
      <c r="E49" s="18" t="s">
        <v>3</v>
      </c>
      <c r="F49" s="81">
        <v>11</v>
      </c>
      <c r="G49" s="81">
        <v>3</v>
      </c>
      <c r="H49" s="3" t="str">
        <f t="shared" si="0"/>
        <v>ROOD</v>
      </c>
      <c r="I49" s="3" t="str">
        <f t="shared" si="1"/>
        <v>Stef D</v>
      </c>
      <c r="J49" s="4" t="str">
        <f t="shared" si="2"/>
        <v>Bert</v>
      </c>
      <c r="K49" s="213" t="str">
        <f>Tabel3[[#This Row],[Rood Verdediging]]&amp;Tabel3[[#This Row],[Rood Aanval]]</f>
        <v>Stef DBert</v>
      </c>
      <c r="L49" s="213" t="str">
        <f>Tabel3[[#This Row],[Groen Verdediging]]&amp;Tabel3[[#This Row],[Groen Aanval]]</f>
        <v>TiemenKarel</v>
      </c>
      <c r="M49" s="213" t="str">
        <f>Tabel3[[#This Row],[Winnaar 1]]&amp;Tabel3[[#This Row],[Winnaar 2]]</f>
        <v>Stef DBert</v>
      </c>
      <c r="N49" s="147" t="str">
        <f>IF(Tabel3[[#This Row],[Team Rood]]=Tabel3[[#This Row],[Winnaars]],Tabel3[[#This Row],[Team Rood]])</f>
        <v>Stef DBert</v>
      </c>
      <c r="O49" s="147" t="b">
        <f>IF(Tabel3[[#This Row],[Team Groen]]=Tabel3[[#This Row],[Winnaars]],Tabel3[[#This Row],[Team Groen]])</f>
        <v>0</v>
      </c>
    </row>
    <row r="50" spans="1:15" x14ac:dyDescent="0.25">
      <c r="A50" s="14">
        <v>50</v>
      </c>
      <c r="B50" s="15" t="s">
        <v>3</v>
      </c>
      <c r="C50" s="16" t="s">
        <v>8</v>
      </c>
      <c r="D50" s="17" t="s">
        <v>13</v>
      </c>
      <c r="E50" s="18" t="s">
        <v>7</v>
      </c>
      <c r="F50" s="81">
        <v>11</v>
      </c>
      <c r="G50" s="81">
        <v>9</v>
      </c>
      <c r="H50" s="3" t="str">
        <f t="shared" si="0"/>
        <v>ROOD</v>
      </c>
      <c r="I50" s="3" t="str">
        <f t="shared" si="1"/>
        <v>Karel</v>
      </c>
      <c r="J50" s="4" t="str">
        <f t="shared" si="2"/>
        <v>Louis</v>
      </c>
      <c r="K50" s="213" t="str">
        <f>Tabel3[[#This Row],[Rood Verdediging]]&amp;Tabel3[[#This Row],[Rood Aanval]]</f>
        <v>KarelLouis</v>
      </c>
      <c r="L50" s="213" t="str">
        <f>Tabel3[[#This Row],[Groen Verdediging]]&amp;Tabel3[[#This Row],[Groen Aanval]]</f>
        <v>BertTiemen</v>
      </c>
      <c r="M50" s="213" t="str">
        <f>Tabel3[[#This Row],[Winnaar 1]]&amp;Tabel3[[#This Row],[Winnaar 2]]</f>
        <v>KarelLouis</v>
      </c>
      <c r="N50" s="147" t="str">
        <f>IF(Tabel3[[#This Row],[Team Rood]]=Tabel3[[#This Row],[Winnaars]],Tabel3[[#This Row],[Team Rood]])</f>
        <v>KarelLouis</v>
      </c>
      <c r="O50" s="147" t="b">
        <f>IF(Tabel3[[#This Row],[Team Groen]]=Tabel3[[#This Row],[Winnaars]],Tabel3[[#This Row],[Team Groen]])</f>
        <v>0</v>
      </c>
    </row>
    <row r="51" spans="1:15" x14ac:dyDescent="0.25">
      <c r="A51" s="14">
        <v>51</v>
      </c>
      <c r="B51" s="15" t="s">
        <v>6</v>
      </c>
      <c r="C51" s="16" t="s">
        <v>13</v>
      </c>
      <c r="D51" s="17" t="s">
        <v>3</v>
      </c>
      <c r="E51" s="18" t="s">
        <v>8</v>
      </c>
      <c r="F51" s="81">
        <v>11</v>
      </c>
      <c r="G51" s="81">
        <v>7</v>
      </c>
      <c r="H51" s="3" t="str">
        <f t="shared" si="0"/>
        <v>ROOD</v>
      </c>
      <c r="I51" s="3" t="str">
        <f t="shared" si="1"/>
        <v>Stef D</v>
      </c>
      <c r="J51" s="4" t="str">
        <f t="shared" si="2"/>
        <v>Bert</v>
      </c>
      <c r="K51" s="213" t="str">
        <f>Tabel3[[#This Row],[Rood Verdediging]]&amp;Tabel3[[#This Row],[Rood Aanval]]</f>
        <v>Stef DBert</v>
      </c>
      <c r="L51" s="213" t="str">
        <f>Tabel3[[#This Row],[Groen Verdediging]]&amp;Tabel3[[#This Row],[Groen Aanval]]</f>
        <v>KarelLouis</v>
      </c>
      <c r="M51" s="213" t="str">
        <f>Tabel3[[#This Row],[Winnaar 1]]&amp;Tabel3[[#This Row],[Winnaar 2]]</f>
        <v>Stef DBert</v>
      </c>
      <c r="N51" s="147" t="str">
        <f>IF(Tabel3[[#This Row],[Team Rood]]=Tabel3[[#This Row],[Winnaars]],Tabel3[[#This Row],[Team Rood]])</f>
        <v>Stef DBert</v>
      </c>
      <c r="O51" s="147" t="b">
        <f>IF(Tabel3[[#This Row],[Team Groen]]=Tabel3[[#This Row],[Winnaars]],Tabel3[[#This Row],[Team Groen]])</f>
        <v>0</v>
      </c>
    </row>
    <row r="52" spans="1:15" x14ac:dyDescent="0.25">
      <c r="A52" s="14">
        <v>52</v>
      </c>
      <c r="B52" s="15" t="s">
        <v>6</v>
      </c>
      <c r="C52" s="16" t="s">
        <v>13</v>
      </c>
      <c r="D52" s="17" t="s">
        <v>0</v>
      </c>
      <c r="E52" s="18" t="s">
        <v>8</v>
      </c>
      <c r="F52" s="81">
        <v>12</v>
      </c>
      <c r="G52" s="81">
        <v>10</v>
      </c>
      <c r="H52" s="3" t="str">
        <f t="shared" si="0"/>
        <v>ROOD</v>
      </c>
      <c r="I52" s="3" t="str">
        <f t="shared" si="1"/>
        <v>Stef D</v>
      </c>
      <c r="J52" s="4" t="str">
        <f t="shared" si="2"/>
        <v>Bert</v>
      </c>
      <c r="K52" s="213" t="str">
        <f>Tabel3[[#This Row],[Rood Verdediging]]&amp;Tabel3[[#This Row],[Rood Aanval]]</f>
        <v>Stef DBert</v>
      </c>
      <c r="L52" s="213" t="str">
        <f>Tabel3[[#This Row],[Groen Verdediging]]&amp;Tabel3[[#This Row],[Groen Aanval]]</f>
        <v>JonasLouis</v>
      </c>
      <c r="M52" s="213" t="str">
        <f>Tabel3[[#This Row],[Winnaar 1]]&amp;Tabel3[[#This Row],[Winnaar 2]]</f>
        <v>Stef DBert</v>
      </c>
      <c r="N52" s="147" t="str">
        <f>IF(Tabel3[[#This Row],[Team Rood]]=Tabel3[[#This Row],[Winnaars]],Tabel3[[#This Row],[Team Rood]])</f>
        <v>Stef DBert</v>
      </c>
      <c r="O52" s="147" t="b">
        <f>IF(Tabel3[[#This Row],[Team Groen]]=Tabel3[[#This Row],[Winnaars]],Tabel3[[#This Row],[Team Groen]])</f>
        <v>0</v>
      </c>
    </row>
    <row r="53" spans="1:15" x14ac:dyDescent="0.25">
      <c r="A53" s="14">
        <v>53</v>
      </c>
      <c r="B53" s="15" t="s">
        <v>8</v>
      </c>
      <c r="C53" s="16" t="s">
        <v>6</v>
      </c>
      <c r="D53" s="17" t="s">
        <v>0</v>
      </c>
      <c r="E53" s="18" t="s">
        <v>13</v>
      </c>
      <c r="F53" s="81">
        <v>11</v>
      </c>
      <c r="G53" s="81">
        <v>3</v>
      </c>
      <c r="H53" s="3" t="str">
        <f t="shared" si="0"/>
        <v>ROOD</v>
      </c>
      <c r="I53" s="3" t="str">
        <f t="shared" si="1"/>
        <v>Louis</v>
      </c>
      <c r="J53" s="4" t="str">
        <f t="shared" si="2"/>
        <v>Stef D</v>
      </c>
      <c r="K53" s="213" t="str">
        <f>Tabel3[[#This Row],[Rood Verdediging]]&amp;Tabel3[[#This Row],[Rood Aanval]]</f>
        <v>LouisStef D</v>
      </c>
      <c r="L53" s="213" t="str">
        <f>Tabel3[[#This Row],[Groen Verdediging]]&amp;Tabel3[[#This Row],[Groen Aanval]]</f>
        <v>JonasBert</v>
      </c>
      <c r="M53" s="213" t="str">
        <f>Tabel3[[#This Row],[Winnaar 1]]&amp;Tabel3[[#This Row],[Winnaar 2]]</f>
        <v>LouisStef D</v>
      </c>
      <c r="N53" s="147" t="str">
        <f>IF(Tabel3[[#This Row],[Team Rood]]=Tabel3[[#This Row],[Winnaars]],Tabel3[[#This Row],[Team Rood]])</f>
        <v>LouisStef D</v>
      </c>
      <c r="O53" s="147" t="b">
        <f>IF(Tabel3[[#This Row],[Team Groen]]=Tabel3[[#This Row],[Winnaars]],Tabel3[[#This Row],[Team Groen]])</f>
        <v>0</v>
      </c>
    </row>
    <row r="54" spans="1:15" x14ac:dyDescent="0.25">
      <c r="A54" s="14">
        <v>54</v>
      </c>
      <c r="B54" s="15" t="s">
        <v>8</v>
      </c>
      <c r="C54" s="16" t="s">
        <v>13</v>
      </c>
      <c r="D54" s="17" t="s">
        <v>0</v>
      </c>
      <c r="E54" s="18" t="s">
        <v>6</v>
      </c>
      <c r="F54" s="81">
        <v>15</v>
      </c>
      <c r="G54" s="81">
        <v>17</v>
      </c>
      <c r="H54" s="3" t="str">
        <f t="shared" si="0"/>
        <v>GROEN</v>
      </c>
      <c r="I54" s="3" t="str">
        <f t="shared" si="1"/>
        <v>Jonas</v>
      </c>
      <c r="J54" s="4" t="str">
        <f t="shared" si="2"/>
        <v>Stef D</v>
      </c>
      <c r="K54" s="213" t="str">
        <f>Tabel3[[#This Row],[Rood Verdediging]]&amp;Tabel3[[#This Row],[Rood Aanval]]</f>
        <v>LouisBert</v>
      </c>
      <c r="L54" s="213" t="str">
        <f>Tabel3[[#This Row],[Groen Verdediging]]&amp;Tabel3[[#This Row],[Groen Aanval]]</f>
        <v>JonasStef D</v>
      </c>
      <c r="M54" s="213" t="str">
        <f>Tabel3[[#This Row],[Winnaar 1]]&amp;Tabel3[[#This Row],[Winnaar 2]]</f>
        <v>JonasStef D</v>
      </c>
      <c r="N54" s="147" t="b">
        <f>IF(Tabel3[[#This Row],[Team Rood]]=Tabel3[[#This Row],[Winnaars]],Tabel3[[#This Row],[Team Rood]])</f>
        <v>0</v>
      </c>
      <c r="O54" s="147" t="str">
        <f>IF(Tabel3[[#This Row],[Team Groen]]=Tabel3[[#This Row],[Winnaars]],Tabel3[[#This Row],[Team Groen]])</f>
        <v>JonasStef D</v>
      </c>
    </row>
    <row r="55" spans="1:15" x14ac:dyDescent="0.25">
      <c r="A55" s="14">
        <v>55</v>
      </c>
      <c r="B55" s="15" t="s">
        <v>13</v>
      </c>
      <c r="C55" s="16" t="s">
        <v>6</v>
      </c>
      <c r="D55" s="17" t="s">
        <v>8</v>
      </c>
      <c r="E55" s="18" t="s">
        <v>0</v>
      </c>
      <c r="F55" s="81">
        <v>11</v>
      </c>
      <c r="G55" s="81">
        <v>8</v>
      </c>
      <c r="H55" s="3" t="str">
        <f t="shared" si="0"/>
        <v>ROOD</v>
      </c>
      <c r="I55" s="3" t="str">
        <f t="shared" si="1"/>
        <v>Bert</v>
      </c>
      <c r="J55" s="4" t="str">
        <f t="shared" si="2"/>
        <v>Stef D</v>
      </c>
      <c r="K55" s="213" t="str">
        <f>Tabel3[[#This Row],[Rood Verdediging]]&amp;Tabel3[[#This Row],[Rood Aanval]]</f>
        <v>BertStef D</v>
      </c>
      <c r="L55" s="213" t="str">
        <f>Tabel3[[#This Row],[Groen Verdediging]]&amp;Tabel3[[#This Row],[Groen Aanval]]</f>
        <v>LouisJonas</v>
      </c>
      <c r="M55" s="213" t="str">
        <f>Tabel3[[#This Row],[Winnaar 1]]&amp;Tabel3[[#This Row],[Winnaar 2]]</f>
        <v>BertStef D</v>
      </c>
      <c r="N55" s="147" t="str">
        <f>IF(Tabel3[[#This Row],[Team Rood]]=Tabel3[[#This Row],[Winnaars]],Tabel3[[#This Row],[Team Rood]])</f>
        <v>BertStef D</v>
      </c>
      <c r="O55" s="147" t="b">
        <f>IF(Tabel3[[#This Row],[Team Groen]]=Tabel3[[#This Row],[Winnaars]],Tabel3[[#This Row],[Team Groen]])</f>
        <v>0</v>
      </c>
    </row>
    <row r="56" spans="1:15" x14ac:dyDescent="0.25">
      <c r="A56" s="14">
        <v>56</v>
      </c>
      <c r="B56" s="15" t="s">
        <v>6</v>
      </c>
      <c r="C56" s="16" t="s">
        <v>13</v>
      </c>
      <c r="D56" s="17" t="s">
        <v>11</v>
      </c>
      <c r="E56" s="18" t="s">
        <v>3</v>
      </c>
      <c r="F56" s="81">
        <v>15</v>
      </c>
      <c r="G56" s="81">
        <v>17</v>
      </c>
      <c r="H56" s="3" t="str">
        <f t="shared" si="0"/>
        <v>GROEN</v>
      </c>
      <c r="I56" s="3" t="str">
        <f t="shared" si="1"/>
        <v>Matthijs</v>
      </c>
      <c r="J56" s="4" t="str">
        <f t="shared" si="2"/>
        <v>Karel</v>
      </c>
      <c r="K56" s="213" t="str">
        <f>Tabel3[[#This Row],[Rood Verdediging]]&amp;Tabel3[[#This Row],[Rood Aanval]]</f>
        <v>Stef DBert</v>
      </c>
      <c r="L56" s="213" t="str">
        <f>Tabel3[[#This Row],[Groen Verdediging]]&amp;Tabel3[[#This Row],[Groen Aanval]]</f>
        <v>MatthijsKarel</v>
      </c>
      <c r="M56" s="213" t="str">
        <f>Tabel3[[#This Row],[Winnaar 1]]&amp;Tabel3[[#This Row],[Winnaar 2]]</f>
        <v>MatthijsKarel</v>
      </c>
      <c r="N56" s="147" t="b">
        <f>IF(Tabel3[[#This Row],[Team Rood]]=Tabel3[[#This Row],[Winnaars]],Tabel3[[#This Row],[Team Rood]])</f>
        <v>0</v>
      </c>
      <c r="O56" s="147" t="str">
        <f>IF(Tabel3[[#This Row],[Team Groen]]=Tabel3[[#This Row],[Winnaars]],Tabel3[[#This Row],[Team Groen]])</f>
        <v>MatthijsKarel</v>
      </c>
    </row>
    <row r="57" spans="1:15" x14ac:dyDescent="0.25">
      <c r="A57" s="14">
        <v>57</v>
      </c>
      <c r="B57" s="15" t="s">
        <v>3</v>
      </c>
      <c r="C57" s="16" t="s">
        <v>6</v>
      </c>
      <c r="D57" s="17" t="s">
        <v>13</v>
      </c>
      <c r="E57" s="18" t="s">
        <v>7</v>
      </c>
      <c r="F57" s="81">
        <v>11</v>
      </c>
      <c r="G57" s="81">
        <v>3</v>
      </c>
      <c r="H57" s="3" t="str">
        <f t="shared" si="0"/>
        <v>ROOD</v>
      </c>
      <c r="I57" s="3" t="str">
        <f t="shared" si="1"/>
        <v>Karel</v>
      </c>
      <c r="J57" s="4" t="str">
        <f t="shared" si="2"/>
        <v>Stef D</v>
      </c>
      <c r="K57" s="213" t="str">
        <f>Tabel3[[#This Row],[Rood Verdediging]]&amp;Tabel3[[#This Row],[Rood Aanval]]</f>
        <v>KarelStef D</v>
      </c>
      <c r="L57" s="213" t="str">
        <f>Tabel3[[#This Row],[Groen Verdediging]]&amp;Tabel3[[#This Row],[Groen Aanval]]</f>
        <v>BertTiemen</v>
      </c>
      <c r="M57" s="213" t="str">
        <f>Tabel3[[#This Row],[Winnaar 1]]&amp;Tabel3[[#This Row],[Winnaar 2]]</f>
        <v>KarelStef D</v>
      </c>
      <c r="N57" s="147" t="str">
        <f>IF(Tabel3[[#This Row],[Team Rood]]=Tabel3[[#This Row],[Winnaars]],Tabel3[[#This Row],[Team Rood]])</f>
        <v>KarelStef D</v>
      </c>
      <c r="O57" s="147" t="b">
        <f>IF(Tabel3[[#This Row],[Team Groen]]=Tabel3[[#This Row],[Winnaars]],Tabel3[[#This Row],[Team Groen]])</f>
        <v>0</v>
      </c>
    </row>
    <row r="58" spans="1:15" x14ac:dyDescent="0.25">
      <c r="A58" s="14">
        <v>58</v>
      </c>
      <c r="B58" s="15" t="s">
        <v>13</v>
      </c>
      <c r="C58" s="16" t="s">
        <v>11</v>
      </c>
      <c r="D58" s="17" t="s">
        <v>3</v>
      </c>
      <c r="E58" s="18" t="s">
        <v>7</v>
      </c>
      <c r="F58" s="81">
        <v>7</v>
      </c>
      <c r="G58" s="81">
        <v>11</v>
      </c>
      <c r="H58" s="3" t="str">
        <f t="shared" si="0"/>
        <v>GROEN</v>
      </c>
      <c r="I58" s="3" t="str">
        <f t="shared" si="1"/>
        <v>Karel</v>
      </c>
      <c r="J58" s="4" t="str">
        <f t="shared" si="2"/>
        <v>Tiemen</v>
      </c>
      <c r="K58" s="213" t="str">
        <f>Tabel3[[#This Row],[Rood Verdediging]]&amp;Tabel3[[#This Row],[Rood Aanval]]</f>
        <v>BertMatthijs</v>
      </c>
      <c r="L58" s="213" t="str">
        <f>Tabel3[[#This Row],[Groen Verdediging]]&amp;Tabel3[[#This Row],[Groen Aanval]]</f>
        <v>KarelTiemen</v>
      </c>
      <c r="M58" s="213" t="str">
        <f>Tabel3[[#This Row],[Winnaar 1]]&amp;Tabel3[[#This Row],[Winnaar 2]]</f>
        <v>KarelTiemen</v>
      </c>
      <c r="N58" s="147" t="b">
        <f>IF(Tabel3[[#This Row],[Team Rood]]=Tabel3[[#This Row],[Winnaars]],Tabel3[[#This Row],[Team Rood]])</f>
        <v>0</v>
      </c>
      <c r="O58" s="147" t="str">
        <f>IF(Tabel3[[#This Row],[Team Groen]]=Tabel3[[#This Row],[Winnaars]],Tabel3[[#This Row],[Team Groen]])</f>
        <v>KarelTiemen</v>
      </c>
    </row>
    <row r="59" spans="1:15" x14ac:dyDescent="0.25">
      <c r="A59" s="14">
        <v>59</v>
      </c>
      <c r="B59" s="15" t="s">
        <v>7</v>
      </c>
      <c r="C59" s="16" t="s">
        <v>13</v>
      </c>
      <c r="D59" s="17" t="s">
        <v>11</v>
      </c>
      <c r="E59" s="18" t="s">
        <v>6</v>
      </c>
      <c r="F59" s="81">
        <v>11</v>
      </c>
      <c r="G59" s="81">
        <v>9</v>
      </c>
      <c r="H59" s="3" t="str">
        <f t="shared" si="0"/>
        <v>ROOD</v>
      </c>
      <c r="I59" s="3" t="str">
        <f t="shared" si="1"/>
        <v>Tiemen</v>
      </c>
      <c r="J59" s="4" t="str">
        <f t="shared" si="2"/>
        <v>Bert</v>
      </c>
      <c r="K59" s="213" t="str">
        <f>Tabel3[[#This Row],[Rood Verdediging]]&amp;Tabel3[[#This Row],[Rood Aanval]]</f>
        <v>TiemenBert</v>
      </c>
      <c r="L59" s="213" t="str">
        <f>Tabel3[[#This Row],[Groen Verdediging]]&amp;Tabel3[[#This Row],[Groen Aanval]]</f>
        <v>MatthijsStef D</v>
      </c>
      <c r="M59" s="213" t="str">
        <f>Tabel3[[#This Row],[Winnaar 1]]&amp;Tabel3[[#This Row],[Winnaar 2]]</f>
        <v>TiemenBert</v>
      </c>
      <c r="N59" s="147" t="str">
        <f>IF(Tabel3[[#This Row],[Team Rood]]=Tabel3[[#This Row],[Winnaars]],Tabel3[[#This Row],[Team Rood]])</f>
        <v>TiemenBert</v>
      </c>
      <c r="O59" s="147" t="b">
        <f>IF(Tabel3[[#This Row],[Team Groen]]=Tabel3[[#This Row],[Winnaars]],Tabel3[[#This Row],[Team Groen]])</f>
        <v>0</v>
      </c>
    </row>
    <row r="60" spans="1:15" x14ac:dyDescent="0.25">
      <c r="A60" s="14">
        <v>60</v>
      </c>
      <c r="B60" s="15" t="s">
        <v>3</v>
      </c>
      <c r="C60" s="16" t="s">
        <v>11</v>
      </c>
      <c r="D60" s="17" t="s">
        <v>6</v>
      </c>
      <c r="E60" s="18" t="s">
        <v>7</v>
      </c>
      <c r="F60" s="81">
        <v>11</v>
      </c>
      <c r="G60" s="81">
        <v>7</v>
      </c>
      <c r="H60" s="3" t="str">
        <f t="shared" si="0"/>
        <v>ROOD</v>
      </c>
      <c r="I60" s="3" t="str">
        <f t="shared" si="1"/>
        <v>Karel</v>
      </c>
      <c r="J60" s="4" t="str">
        <f t="shared" si="2"/>
        <v>Matthijs</v>
      </c>
      <c r="K60" s="213" t="str">
        <f>Tabel3[[#This Row],[Rood Verdediging]]&amp;Tabel3[[#This Row],[Rood Aanval]]</f>
        <v>KarelMatthijs</v>
      </c>
      <c r="L60" s="213" t="str">
        <f>Tabel3[[#This Row],[Groen Verdediging]]&amp;Tabel3[[#This Row],[Groen Aanval]]</f>
        <v>Stef DTiemen</v>
      </c>
      <c r="M60" s="213" t="str">
        <f>Tabel3[[#This Row],[Winnaar 1]]&amp;Tabel3[[#This Row],[Winnaar 2]]</f>
        <v>KarelMatthijs</v>
      </c>
      <c r="N60" s="147" t="str">
        <f>IF(Tabel3[[#This Row],[Team Rood]]=Tabel3[[#This Row],[Winnaars]],Tabel3[[#This Row],[Team Rood]])</f>
        <v>KarelMatthijs</v>
      </c>
      <c r="O60" s="147" t="b">
        <f>IF(Tabel3[[#This Row],[Team Groen]]=Tabel3[[#This Row],[Winnaars]],Tabel3[[#This Row],[Team Groen]])</f>
        <v>0</v>
      </c>
    </row>
    <row r="61" spans="1:15" x14ac:dyDescent="0.25">
      <c r="A61" s="14">
        <v>61</v>
      </c>
      <c r="B61" s="15" t="s">
        <v>11</v>
      </c>
      <c r="C61" s="16" t="s">
        <v>6</v>
      </c>
      <c r="D61" s="17" t="s">
        <v>3</v>
      </c>
      <c r="E61" s="18" t="s">
        <v>13</v>
      </c>
      <c r="F61" s="81">
        <v>11</v>
      </c>
      <c r="G61" s="81">
        <v>13</v>
      </c>
      <c r="H61" s="3" t="str">
        <f t="shared" si="0"/>
        <v>GROEN</v>
      </c>
      <c r="I61" s="3" t="str">
        <f t="shared" si="1"/>
        <v>Karel</v>
      </c>
      <c r="J61" s="4" t="str">
        <f t="shared" si="2"/>
        <v>Bert</v>
      </c>
      <c r="K61" s="213" t="str">
        <f>Tabel3[[#This Row],[Rood Verdediging]]&amp;Tabel3[[#This Row],[Rood Aanval]]</f>
        <v>MatthijsStef D</v>
      </c>
      <c r="L61" s="213" t="str">
        <f>Tabel3[[#This Row],[Groen Verdediging]]&amp;Tabel3[[#This Row],[Groen Aanval]]</f>
        <v>KarelBert</v>
      </c>
      <c r="M61" s="213" t="str">
        <f>Tabel3[[#This Row],[Winnaar 1]]&amp;Tabel3[[#This Row],[Winnaar 2]]</f>
        <v>KarelBert</v>
      </c>
      <c r="N61" s="147" t="b">
        <f>IF(Tabel3[[#This Row],[Team Rood]]=Tabel3[[#This Row],[Winnaars]],Tabel3[[#This Row],[Team Rood]])</f>
        <v>0</v>
      </c>
      <c r="O61" s="147" t="str">
        <f>IF(Tabel3[[#This Row],[Team Groen]]=Tabel3[[#This Row],[Winnaars]],Tabel3[[#This Row],[Team Groen]])</f>
        <v>KarelBert</v>
      </c>
    </row>
    <row r="62" spans="1:15" x14ac:dyDescent="0.25">
      <c r="A62" s="14">
        <v>62</v>
      </c>
      <c r="B62" s="15" t="s">
        <v>3</v>
      </c>
      <c r="C62" s="16" t="s">
        <v>6</v>
      </c>
      <c r="D62" s="17" t="s">
        <v>7</v>
      </c>
      <c r="E62" s="18" t="s">
        <v>13</v>
      </c>
      <c r="F62" s="81">
        <v>11</v>
      </c>
      <c r="G62" s="81">
        <v>6</v>
      </c>
      <c r="H62" s="3" t="str">
        <f t="shared" si="0"/>
        <v>ROOD</v>
      </c>
      <c r="I62" s="3" t="str">
        <f t="shared" si="1"/>
        <v>Karel</v>
      </c>
      <c r="J62" s="4" t="str">
        <f t="shared" si="2"/>
        <v>Stef D</v>
      </c>
      <c r="K62" s="213" t="str">
        <f>Tabel3[[#This Row],[Rood Verdediging]]&amp;Tabel3[[#This Row],[Rood Aanval]]</f>
        <v>KarelStef D</v>
      </c>
      <c r="L62" s="213" t="str">
        <f>Tabel3[[#This Row],[Groen Verdediging]]&amp;Tabel3[[#This Row],[Groen Aanval]]</f>
        <v>TiemenBert</v>
      </c>
      <c r="M62" s="213" t="str">
        <f>Tabel3[[#This Row],[Winnaar 1]]&amp;Tabel3[[#This Row],[Winnaar 2]]</f>
        <v>KarelStef D</v>
      </c>
      <c r="N62" s="147" t="str">
        <f>IF(Tabel3[[#This Row],[Team Rood]]=Tabel3[[#This Row],[Winnaars]],Tabel3[[#This Row],[Team Rood]])</f>
        <v>KarelStef D</v>
      </c>
      <c r="O62" s="147" t="b">
        <f>IF(Tabel3[[#This Row],[Team Groen]]=Tabel3[[#This Row],[Winnaars]],Tabel3[[#This Row],[Team Groen]])</f>
        <v>0</v>
      </c>
    </row>
    <row r="63" spans="1:15" x14ac:dyDescent="0.25">
      <c r="A63" s="14">
        <v>63</v>
      </c>
      <c r="B63" s="15" t="s">
        <v>13</v>
      </c>
      <c r="C63" s="16" t="s">
        <v>6</v>
      </c>
      <c r="D63" s="17" t="s">
        <v>11</v>
      </c>
      <c r="E63" s="18" t="s">
        <v>7</v>
      </c>
      <c r="F63" s="81">
        <v>11</v>
      </c>
      <c r="G63" s="81">
        <v>2</v>
      </c>
      <c r="H63" s="3" t="str">
        <f t="shared" si="0"/>
        <v>ROOD</v>
      </c>
      <c r="I63" s="3" t="str">
        <f t="shared" si="1"/>
        <v>Bert</v>
      </c>
      <c r="J63" s="4" t="str">
        <f t="shared" si="2"/>
        <v>Stef D</v>
      </c>
      <c r="K63" s="213" t="str">
        <f>Tabel3[[#This Row],[Rood Verdediging]]&amp;Tabel3[[#This Row],[Rood Aanval]]</f>
        <v>BertStef D</v>
      </c>
      <c r="L63" s="213" t="str">
        <f>Tabel3[[#This Row],[Groen Verdediging]]&amp;Tabel3[[#This Row],[Groen Aanval]]</f>
        <v>MatthijsTiemen</v>
      </c>
      <c r="M63" s="213" t="str">
        <f>Tabel3[[#This Row],[Winnaar 1]]&amp;Tabel3[[#This Row],[Winnaar 2]]</f>
        <v>BertStef D</v>
      </c>
      <c r="N63" s="147" t="str">
        <f>IF(Tabel3[[#This Row],[Team Rood]]=Tabel3[[#This Row],[Winnaars]],Tabel3[[#This Row],[Team Rood]])</f>
        <v>BertStef D</v>
      </c>
      <c r="O63" s="147" t="b">
        <f>IF(Tabel3[[#This Row],[Team Groen]]=Tabel3[[#This Row],[Winnaars]],Tabel3[[#This Row],[Team Groen]])</f>
        <v>0</v>
      </c>
    </row>
    <row r="64" spans="1:15" x14ac:dyDescent="0.25">
      <c r="A64" s="14">
        <v>64</v>
      </c>
      <c r="B64" s="15" t="s">
        <v>3</v>
      </c>
      <c r="C64" s="16" t="s">
        <v>7</v>
      </c>
      <c r="D64" s="17" t="s">
        <v>13</v>
      </c>
      <c r="E64" s="18" t="s">
        <v>11</v>
      </c>
      <c r="F64" s="81">
        <v>7</v>
      </c>
      <c r="G64" s="81">
        <v>11</v>
      </c>
      <c r="H64" s="3" t="str">
        <f t="shared" si="0"/>
        <v>GROEN</v>
      </c>
      <c r="I64" s="3" t="str">
        <f t="shared" si="1"/>
        <v>Bert</v>
      </c>
      <c r="J64" s="4" t="str">
        <f t="shared" si="2"/>
        <v>Matthijs</v>
      </c>
      <c r="K64" s="213" t="str">
        <f>Tabel3[[#This Row],[Rood Verdediging]]&amp;Tabel3[[#This Row],[Rood Aanval]]</f>
        <v>KarelTiemen</v>
      </c>
      <c r="L64" s="213" t="str">
        <f>Tabel3[[#This Row],[Groen Verdediging]]&amp;Tabel3[[#This Row],[Groen Aanval]]</f>
        <v>BertMatthijs</v>
      </c>
      <c r="M64" s="213" t="str">
        <f>Tabel3[[#This Row],[Winnaar 1]]&amp;Tabel3[[#This Row],[Winnaar 2]]</f>
        <v>BertMatthijs</v>
      </c>
      <c r="N64" s="147" t="b">
        <f>IF(Tabel3[[#This Row],[Team Rood]]=Tabel3[[#This Row],[Winnaars]],Tabel3[[#This Row],[Team Rood]])</f>
        <v>0</v>
      </c>
      <c r="O64" s="147" t="str">
        <f>IF(Tabel3[[#This Row],[Team Groen]]=Tabel3[[#This Row],[Winnaars]],Tabel3[[#This Row],[Team Groen]])</f>
        <v>BertMatthijs</v>
      </c>
    </row>
    <row r="65" spans="1:15" x14ac:dyDescent="0.25">
      <c r="A65" s="14">
        <v>65</v>
      </c>
      <c r="B65" s="15" t="s">
        <v>11</v>
      </c>
      <c r="C65" s="16" t="s">
        <v>3</v>
      </c>
      <c r="D65" s="17" t="s">
        <v>7</v>
      </c>
      <c r="E65" s="18" t="s">
        <v>6</v>
      </c>
      <c r="F65" s="81">
        <v>5</v>
      </c>
      <c r="G65" s="81">
        <v>11</v>
      </c>
      <c r="H65" s="3" t="str">
        <f t="shared" si="0"/>
        <v>GROEN</v>
      </c>
      <c r="I65" s="3" t="str">
        <f t="shared" si="1"/>
        <v>Tiemen</v>
      </c>
      <c r="J65" s="4" t="str">
        <f t="shared" si="2"/>
        <v>Stef D</v>
      </c>
      <c r="K65" s="213" t="str">
        <f>Tabel3[[#This Row],[Rood Verdediging]]&amp;Tabel3[[#This Row],[Rood Aanval]]</f>
        <v>MatthijsKarel</v>
      </c>
      <c r="L65" s="213" t="str">
        <f>Tabel3[[#This Row],[Groen Verdediging]]&amp;Tabel3[[#This Row],[Groen Aanval]]</f>
        <v>TiemenStef D</v>
      </c>
      <c r="M65" s="213" t="str">
        <f>Tabel3[[#This Row],[Winnaar 1]]&amp;Tabel3[[#This Row],[Winnaar 2]]</f>
        <v>TiemenStef D</v>
      </c>
      <c r="N65" s="147" t="b">
        <f>IF(Tabel3[[#This Row],[Team Rood]]=Tabel3[[#This Row],[Winnaars]],Tabel3[[#This Row],[Team Rood]])</f>
        <v>0</v>
      </c>
      <c r="O65" s="147" t="str">
        <f>IF(Tabel3[[#This Row],[Team Groen]]=Tabel3[[#This Row],[Winnaars]],Tabel3[[#This Row],[Team Groen]])</f>
        <v>TiemenStef D</v>
      </c>
    </row>
    <row r="66" spans="1:15" x14ac:dyDescent="0.25">
      <c r="A66" s="14">
        <v>66</v>
      </c>
      <c r="B66" s="15" t="s">
        <v>3</v>
      </c>
      <c r="C66" s="16" t="s">
        <v>7</v>
      </c>
      <c r="D66" s="17" t="s">
        <v>13</v>
      </c>
      <c r="E66" s="18" t="s">
        <v>6</v>
      </c>
      <c r="F66" s="81">
        <v>12</v>
      </c>
      <c r="G66" s="81">
        <v>10</v>
      </c>
      <c r="H66" s="3" t="str">
        <f t="shared" ref="H66:H129" si="3">IF(F66&gt;G66,"ROOD",IF(F66=G66,"","GROEN"))</f>
        <v>ROOD</v>
      </c>
      <c r="I66" s="3" t="str">
        <f t="shared" ref="I66:I129" si="4">IF(F66&gt;G66,B66,IF(F66=0,"",D66))</f>
        <v>Karel</v>
      </c>
      <c r="J66" s="4" t="str">
        <f t="shared" ref="J66:J129" si="5">IF(F66&gt;G66,C66,IF(F66=0,"",E66))</f>
        <v>Tiemen</v>
      </c>
      <c r="K66" s="213" t="str">
        <f>Tabel3[[#This Row],[Rood Verdediging]]&amp;Tabel3[[#This Row],[Rood Aanval]]</f>
        <v>KarelTiemen</v>
      </c>
      <c r="L66" s="213" t="str">
        <f>Tabel3[[#This Row],[Groen Verdediging]]&amp;Tabel3[[#This Row],[Groen Aanval]]</f>
        <v>BertStef D</v>
      </c>
      <c r="M66" s="213" t="str">
        <f>Tabel3[[#This Row],[Winnaar 1]]&amp;Tabel3[[#This Row],[Winnaar 2]]</f>
        <v>KarelTiemen</v>
      </c>
      <c r="N66" s="147" t="str">
        <f>IF(Tabel3[[#This Row],[Team Rood]]=Tabel3[[#This Row],[Winnaars]],Tabel3[[#This Row],[Team Rood]])</f>
        <v>KarelTiemen</v>
      </c>
      <c r="O66" s="147" t="b">
        <f>IF(Tabel3[[#This Row],[Team Groen]]=Tabel3[[#This Row],[Winnaars]],Tabel3[[#This Row],[Team Groen]])</f>
        <v>0</v>
      </c>
    </row>
    <row r="67" spans="1:15" x14ac:dyDescent="0.25">
      <c r="A67" s="14">
        <v>67</v>
      </c>
      <c r="B67" s="15" t="s">
        <v>11</v>
      </c>
      <c r="C67" s="16" t="s">
        <v>6</v>
      </c>
      <c r="D67" s="17" t="s">
        <v>3</v>
      </c>
      <c r="E67" s="18" t="s">
        <v>13</v>
      </c>
      <c r="F67" s="81">
        <v>14</v>
      </c>
      <c r="G67" s="81">
        <v>12</v>
      </c>
      <c r="H67" s="3" t="str">
        <f t="shared" si="3"/>
        <v>ROOD</v>
      </c>
      <c r="I67" s="3" t="str">
        <f t="shared" si="4"/>
        <v>Matthijs</v>
      </c>
      <c r="J67" s="4" t="str">
        <f t="shared" si="5"/>
        <v>Stef D</v>
      </c>
      <c r="K67" s="213" t="str">
        <f>Tabel3[[#This Row],[Rood Verdediging]]&amp;Tabel3[[#This Row],[Rood Aanval]]</f>
        <v>MatthijsStef D</v>
      </c>
      <c r="L67" s="213" t="str">
        <f>Tabel3[[#This Row],[Groen Verdediging]]&amp;Tabel3[[#This Row],[Groen Aanval]]</f>
        <v>KarelBert</v>
      </c>
      <c r="M67" s="213" t="str">
        <f>Tabel3[[#This Row],[Winnaar 1]]&amp;Tabel3[[#This Row],[Winnaar 2]]</f>
        <v>MatthijsStef D</v>
      </c>
      <c r="N67" s="147" t="str">
        <f>IF(Tabel3[[#This Row],[Team Rood]]=Tabel3[[#This Row],[Winnaars]],Tabel3[[#This Row],[Team Rood]])</f>
        <v>MatthijsStef D</v>
      </c>
      <c r="O67" s="147" t="b">
        <f>IF(Tabel3[[#This Row],[Team Groen]]=Tabel3[[#This Row],[Winnaars]],Tabel3[[#This Row],[Team Groen]])</f>
        <v>0</v>
      </c>
    </row>
    <row r="68" spans="1:15" x14ac:dyDescent="0.25">
      <c r="A68" s="14">
        <v>68</v>
      </c>
      <c r="B68" s="15" t="s">
        <v>3</v>
      </c>
      <c r="C68" s="16" t="s">
        <v>6</v>
      </c>
      <c r="D68" s="17" t="s">
        <v>11</v>
      </c>
      <c r="E68" s="18" t="s">
        <v>7</v>
      </c>
      <c r="F68" s="81">
        <v>11</v>
      </c>
      <c r="G68" s="81">
        <v>6</v>
      </c>
      <c r="H68" s="3" t="str">
        <f t="shared" si="3"/>
        <v>ROOD</v>
      </c>
      <c r="I68" s="3" t="str">
        <f t="shared" si="4"/>
        <v>Karel</v>
      </c>
      <c r="J68" s="4" t="str">
        <f t="shared" si="5"/>
        <v>Stef D</v>
      </c>
      <c r="K68" s="213" t="str">
        <f>Tabel3[[#This Row],[Rood Verdediging]]&amp;Tabel3[[#This Row],[Rood Aanval]]</f>
        <v>KarelStef D</v>
      </c>
      <c r="L68" s="213" t="str">
        <f>Tabel3[[#This Row],[Groen Verdediging]]&amp;Tabel3[[#This Row],[Groen Aanval]]</f>
        <v>MatthijsTiemen</v>
      </c>
      <c r="M68" s="213" t="str">
        <f>Tabel3[[#This Row],[Winnaar 1]]&amp;Tabel3[[#This Row],[Winnaar 2]]</f>
        <v>KarelStef D</v>
      </c>
      <c r="N68" s="147" t="str">
        <f>IF(Tabel3[[#This Row],[Team Rood]]=Tabel3[[#This Row],[Winnaars]],Tabel3[[#This Row],[Team Rood]])</f>
        <v>KarelStef D</v>
      </c>
      <c r="O68" s="147" t="b">
        <f>IF(Tabel3[[#This Row],[Team Groen]]=Tabel3[[#This Row],[Winnaars]],Tabel3[[#This Row],[Team Groen]])</f>
        <v>0</v>
      </c>
    </row>
    <row r="69" spans="1:15" x14ac:dyDescent="0.25">
      <c r="A69" s="14">
        <v>69</v>
      </c>
      <c r="B69" s="15" t="s">
        <v>6</v>
      </c>
      <c r="C69" s="16" t="s">
        <v>11</v>
      </c>
      <c r="D69" s="17" t="s">
        <v>0</v>
      </c>
      <c r="E69" s="18" t="s">
        <v>7</v>
      </c>
      <c r="F69" s="81">
        <v>11</v>
      </c>
      <c r="G69" s="81">
        <v>6</v>
      </c>
      <c r="H69" s="3" t="str">
        <f t="shared" si="3"/>
        <v>ROOD</v>
      </c>
      <c r="I69" s="3" t="str">
        <f t="shared" si="4"/>
        <v>Stef D</v>
      </c>
      <c r="J69" s="4" t="str">
        <f t="shared" si="5"/>
        <v>Matthijs</v>
      </c>
      <c r="K69" s="213" t="str">
        <f>Tabel3[[#This Row],[Rood Verdediging]]&amp;Tabel3[[#This Row],[Rood Aanval]]</f>
        <v>Stef DMatthijs</v>
      </c>
      <c r="L69" s="213" t="str">
        <f>Tabel3[[#This Row],[Groen Verdediging]]&amp;Tabel3[[#This Row],[Groen Aanval]]</f>
        <v>JonasTiemen</v>
      </c>
      <c r="M69" s="213" t="str">
        <f>Tabel3[[#This Row],[Winnaar 1]]&amp;Tabel3[[#This Row],[Winnaar 2]]</f>
        <v>Stef DMatthijs</v>
      </c>
      <c r="N69" s="147" t="str">
        <f>IF(Tabel3[[#This Row],[Team Rood]]=Tabel3[[#This Row],[Winnaars]],Tabel3[[#This Row],[Team Rood]])</f>
        <v>Stef DMatthijs</v>
      </c>
      <c r="O69" s="147" t="b">
        <f>IF(Tabel3[[#This Row],[Team Groen]]=Tabel3[[#This Row],[Winnaars]],Tabel3[[#This Row],[Team Groen]])</f>
        <v>0</v>
      </c>
    </row>
    <row r="70" spans="1:15" x14ac:dyDescent="0.25">
      <c r="A70" s="14">
        <v>70</v>
      </c>
      <c r="B70" s="15" t="s">
        <v>11</v>
      </c>
      <c r="C70" s="16" t="s">
        <v>6</v>
      </c>
      <c r="D70" s="17" t="s">
        <v>7</v>
      </c>
      <c r="E70" s="18" t="s">
        <v>0</v>
      </c>
      <c r="F70" s="81">
        <v>12</v>
      </c>
      <c r="G70" s="81">
        <v>10</v>
      </c>
      <c r="H70" s="3" t="str">
        <f t="shared" si="3"/>
        <v>ROOD</v>
      </c>
      <c r="I70" s="3" t="str">
        <f t="shared" si="4"/>
        <v>Matthijs</v>
      </c>
      <c r="J70" s="4" t="str">
        <f t="shared" si="5"/>
        <v>Stef D</v>
      </c>
      <c r="K70" s="213" t="str">
        <f>Tabel3[[#This Row],[Rood Verdediging]]&amp;Tabel3[[#This Row],[Rood Aanval]]</f>
        <v>MatthijsStef D</v>
      </c>
      <c r="L70" s="213" t="str">
        <f>Tabel3[[#This Row],[Groen Verdediging]]&amp;Tabel3[[#This Row],[Groen Aanval]]</f>
        <v>TiemenJonas</v>
      </c>
      <c r="M70" s="213" t="str">
        <f>Tabel3[[#This Row],[Winnaar 1]]&amp;Tabel3[[#This Row],[Winnaar 2]]</f>
        <v>MatthijsStef D</v>
      </c>
      <c r="N70" s="147" t="str">
        <f>IF(Tabel3[[#This Row],[Team Rood]]=Tabel3[[#This Row],[Winnaars]],Tabel3[[#This Row],[Team Rood]])</f>
        <v>MatthijsStef D</v>
      </c>
      <c r="O70" s="147" t="b">
        <f>IF(Tabel3[[#This Row],[Team Groen]]=Tabel3[[#This Row],[Winnaars]],Tabel3[[#This Row],[Team Groen]])</f>
        <v>0</v>
      </c>
    </row>
    <row r="71" spans="1:15" x14ac:dyDescent="0.25">
      <c r="A71" s="14">
        <v>71</v>
      </c>
      <c r="B71" s="15" t="s">
        <v>0</v>
      </c>
      <c r="C71" s="16" t="s">
        <v>6</v>
      </c>
      <c r="D71" s="17" t="s">
        <v>11</v>
      </c>
      <c r="E71" s="18" t="s">
        <v>7</v>
      </c>
      <c r="F71" s="81">
        <v>11</v>
      </c>
      <c r="G71" s="81">
        <v>7</v>
      </c>
      <c r="H71" s="3" t="str">
        <f t="shared" si="3"/>
        <v>ROOD</v>
      </c>
      <c r="I71" s="3" t="str">
        <f t="shared" si="4"/>
        <v>Jonas</v>
      </c>
      <c r="J71" s="4" t="str">
        <f t="shared" si="5"/>
        <v>Stef D</v>
      </c>
      <c r="K71" s="213" t="str">
        <f>Tabel3[[#This Row],[Rood Verdediging]]&amp;Tabel3[[#This Row],[Rood Aanval]]</f>
        <v>JonasStef D</v>
      </c>
      <c r="L71" s="213" t="str">
        <f>Tabel3[[#This Row],[Groen Verdediging]]&amp;Tabel3[[#This Row],[Groen Aanval]]</f>
        <v>MatthijsTiemen</v>
      </c>
      <c r="M71" s="213" t="str">
        <f>Tabel3[[#This Row],[Winnaar 1]]&amp;Tabel3[[#This Row],[Winnaar 2]]</f>
        <v>JonasStef D</v>
      </c>
      <c r="N71" s="147" t="str">
        <f>IF(Tabel3[[#This Row],[Team Rood]]=Tabel3[[#This Row],[Winnaars]],Tabel3[[#This Row],[Team Rood]])</f>
        <v>JonasStef D</v>
      </c>
      <c r="O71" s="147" t="b">
        <f>IF(Tabel3[[#This Row],[Team Groen]]=Tabel3[[#This Row],[Winnaars]],Tabel3[[#This Row],[Team Groen]])</f>
        <v>0</v>
      </c>
    </row>
    <row r="72" spans="1:15" x14ac:dyDescent="0.25">
      <c r="A72" s="14">
        <v>72</v>
      </c>
      <c r="B72" s="15" t="s">
        <v>6</v>
      </c>
      <c r="C72" s="16" t="s">
        <v>0</v>
      </c>
      <c r="D72" s="17" t="s">
        <v>7</v>
      </c>
      <c r="E72" s="18" t="s">
        <v>11</v>
      </c>
      <c r="F72" s="81">
        <v>11</v>
      </c>
      <c r="G72" s="81">
        <v>5</v>
      </c>
      <c r="H72" s="3" t="str">
        <f t="shared" si="3"/>
        <v>ROOD</v>
      </c>
      <c r="I72" s="3" t="str">
        <f t="shared" si="4"/>
        <v>Stef D</v>
      </c>
      <c r="J72" s="4" t="str">
        <f t="shared" si="5"/>
        <v>Jonas</v>
      </c>
      <c r="K72" s="213" t="str">
        <f>Tabel3[[#This Row],[Rood Verdediging]]&amp;Tabel3[[#This Row],[Rood Aanval]]</f>
        <v>Stef DJonas</v>
      </c>
      <c r="L72" s="213" t="str">
        <f>Tabel3[[#This Row],[Groen Verdediging]]&amp;Tabel3[[#This Row],[Groen Aanval]]</f>
        <v>TiemenMatthijs</v>
      </c>
      <c r="M72" s="213" t="str">
        <f>Tabel3[[#This Row],[Winnaar 1]]&amp;Tabel3[[#This Row],[Winnaar 2]]</f>
        <v>Stef DJonas</v>
      </c>
      <c r="N72" s="147" t="str">
        <f>IF(Tabel3[[#This Row],[Team Rood]]=Tabel3[[#This Row],[Winnaars]],Tabel3[[#This Row],[Team Rood]])</f>
        <v>Stef DJonas</v>
      </c>
      <c r="O72" s="147" t="b">
        <f>IF(Tabel3[[#This Row],[Team Groen]]=Tabel3[[#This Row],[Winnaars]],Tabel3[[#This Row],[Team Groen]])</f>
        <v>0</v>
      </c>
    </row>
    <row r="73" spans="1:15" x14ac:dyDescent="0.25">
      <c r="A73" s="14">
        <v>73</v>
      </c>
      <c r="B73" s="15" t="s">
        <v>11</v>
      </c>
      <c r="C73" s="16" t="s">
        <v>0</v>
      </c>
      <c r="D73" s="17" t="s">
        <v>6</v>
      </c>
      <c r="E73" s="18" t="s">
        <v>7</v>
      </c>
      <c r="F73" s="81">
        <v>8</v>
      </c>
      <c r="G73" s="81">
        <v>11</v>
      </c>
      <c r="H73" s="3" t="str">
        <f t="shared" si="3"/>
        <v>GROEN</v>
      </c>
      <c r="I73" s="3" t="str">
        <f t="shared" si="4"/>
        <v>Stef D</v>
      </c>
      <c r="J73" s="4" t="str">
        <f t="shared" si="5"/>
        <v>Tiemen</v>
      </c>
      <c r="K73" s="213" t="str">
        <f>Tabel3[[#This Row],[Rood Verdediging]]&amp;Tabel3[[#This Row],[Rood Aanval]]</f>
        <v>MatthijsJonas</v>
      </c>
      <c r="L73" s="213" t="str">
        <f>Tabel3[[#This Row],[Groen Verdediging]]&amp;Tabel3[[#This Row],[Groen Aanval]]</f>
        <v>Stef DTiemen</v>
      </c>
      <c r="M73" s="213" t="str">
        <f>Tabel3[[#This Row],[Winnaar 1]]&amp;Tabel3[[#This Row],[Winnaar 2]]</f>
        <v>Stef DTiemen</v>
      </c>
      <c r="N73" s="147" t="b">
        <f>IF(Tabel3[[#This Row],[Team Rood]]=Tabel3[[#This Row],[Winnaars]],Tabel3[[#This Row],[Team Rood]])</f>
        <v>0</v>
      </c>
      <c r="O73" s="147" t="str">
        <f>IF(Tabel3[[#This Row],[Team Groen]]=Tabel3[[#This Row],[Winnaars]],Tabel3[[#This Row],[Team Groen]])</f>
        <v>Stef DTiemen</v>
      </c>
    </row>
    <row r="74" spans="1:15" x14ac:dyDescent="0.25">
      <c r="A74" s="14">
        <v>74</v>
      </c>
      <c r="B74" s="15" t="s">
        <v>0</v>
      </c>
      <c r="C74" s="16" t="s">
        <v>11</v>
      </c>
      <c r="D74" s="17" t="s">
        <v>7</v>
      </c>
      <c r="E74" s="18" t="s">
        <v>6</v>
      </c>
      <c r="F74" s="81">
        <v>9</v>
      </c>
      <c r="G74" s="81">
        <v>11</v>
      </c>
      <c r="H74" s="3" t="str">
        <f t="shared" si="3"/>
        <v>GROEN</v>
      </c>
      <c r="I74" s="3" t="str">
        <f t="shared" si="4"/>
        <v>Tiemen</v>
      </c>
      <c r="J74" s="4" t="str">
        <f t="shared" si="5"/>
        <v>Stef D</v>
      </c>
      <c r="K74" s="213" t="str">
        <f>Tabel3[[#This Row],[Rood Verdediging]]&amp;Tabel3[[#This Row],[Rood Aanval]]</f>
        <v>JonasMatthijs</v>
      </c>
      <c r="L74" s="213" t="str">
        <f>Tabel3[[#This Row],[Groen Verdediging]]&amp;Tabel3[[#This Row],[Groen Aanval]]</f>
        <v>TiemenStef D</v>
      </c>
      <c r="M74" s="213" t="str">
        <f>Tabel3[[#This Row],[Winnaar 1]]&amp;Tabel3[[#This Row],[Winnaar 2]]</f>
        <v>TiemenStef D</v>
      </c>
      <c r="N74" s="147" t="b">
        <f>IF(Tabel3[[#This Row],[Team Rood]]=Tabel3[[#This Row],[Winnaars]],Tabel3[[#This Row],[Team Rood]])</f>
        <v>0</v>
      </c>
      <c r="O74" s="147" t="str">
        <f>IF(Tabel3[[#This Row],[Team Groen]]=Tabel3[[#This Row],[Winnaars]],Tabel3[[#This Row],[Team Groen]])</f>
        <v>TiemenStef D</v>
      </c>
    </row>
    <row r="75" spans="1:15" x14ac:dyDescent="0.25">
      <c r="A75" s="14">
        <v>75</v>
      </c>
      <c r="B75" s="15" t="s">
        <v>6</v>
      </c>
      <c r="C75" s="16" t="s">
        <v>11</v>
      </c>
      <c r="D75" s="17" t="s">
        <v>0</v>
      </c>
      <c r="E75" s="18" t="s">
        <v>3</v>
      </c>
      <c r="F75" s="81">
        <v>2</v>
      </c>
      <c r="G75" s="81">
        <v>11</v>
      </c>
      <c r="H75" s="3" t="str">
        <f t="shared" si="3"/>
        <v>GROEN</v>
      </c>
      <c r="I75" s="3" t="str">
        <f t="shared" si="4"/>
        <v>Jonas</v>
      </c>
      <c r="J75" s="4" t="str">
        <f t="shared" si="5"/>
        <v>Karel</v>
      </c>
      <c r="K75" s="213" t="str">
        <f>Tabel3[[#This Row],[Rood Verdediging]]&amp;Tabel3[[#This Row],[Rood Aanval]]</f>
        <v>Stef DMatthijs</v>
      </c>
      <c r="L75" s="213" t="str">
        <f>Tabel3[[#This Row],[Groen Verdediging]]&amp;Tabel3[[#This Row],[Groen Aanval]]</f>
        <v>JonasKarel</v>
      </c>
      <c r="M75" s="213" t="str">
        <f>Tabel3[[#This Row],[Winnaar 1]]&amp;Tabel3[[#This Row],[Winnaar 2]]</f>
        <v>JonasKarel</v>
      </c>
      <c r="N75" s="147" t="b">
        <f>IF(Tabel3[[#This Row],[Team Rood]]=Tabel3[[#This Row],[Winnaars]],Tabel3[[#This Row],[Team Rood]])</f>
        <v>0</v>
      </c>
      <c r="O75" s="147" t="str">
        <f>IF(Tabel3[[#This Row],[Team Groen]]=Tabel3[[#This Row],[Winnaars]],Tabel3[[#This Row],[Team Groen]])</f>
        <v>JonasKarel</v>
      </c>
    </row>
    <row r="76" spans="1:15" x14ac:dyDescent="0.25">
      <c r="A76" s="14">
        <v>76</v>
      </c>
      <c r="B76" s="15" t="s">
        <v>11</v>
      </c>
      <c r="C76" s="16" t="s">
        <v>6</v>
      </c>
      <c r="D76" s="17" t="s">
        <v>3</v>
      </c>
      <c r="E76" s="18" t="s">
        <v>0</v>
      </c>
      <c r="F76" s="81">
        <v>8</v>
      </c>
      <c r="G76" s="81">
        <v>11</v>
      </c>
      <c r="H76" s="3" t="str">
        <f t="shared" si="3"/>
        <v>GROEN</v>
      </c>
      <c r="I76" s="3" t="str">
        <f t="shared" si="4"/>
        <v>Karel</v>
      </c>
      <c r="J76" s="4" t="str">
        <f t="shared" si="5"/>
        <v>Jonas</v>
      </c>
      <c r="K76" s="213" t="str">
        <f>Tabel3[[#This Row],[Rood Verdediging]]&amp;Tabel3[[#This Row],[Rood Aanval]]</f>
        <v>MatthijsStef D</v>
      </c>
      <c r="L76" s="213" t="str">
        <f>Tabel3[[#This Row],[Groen Verdediging]]&amp;Tabel3[[#This Row],[Groen Aanval]]</f>
        <v>KarelJonas</v>
      </c>
      <c r="M76" s="213" t="str">
        <f>Tabel3[[#This Row],[Winnaar 1]]&amp;Tabel3[[#This Row],[Winnaar 2]]</f>
        <v>KarelJonas</v>
      </c>
      <c r="N76" s="147" t="b">
        <f>IF(Tabel3[[#This Row],[Team Rood]]=Tabel3[[#This Row],[Winnaars]],Tabel3[[#This Row],[Team Rood]])</f>
        <v>0</v>
      </c>
      <c r="O76" s="147" t="str">
        <f>IF(Tabel3[[#This Row],[Team Groen]]=Tabel3[[#This Row],[Winnaars]],Tabel3[[#This Row],[Team Groen]])</f>
        <v>KarelJonas</v>
      </c>
    </row>
    <row r="77" spans="1:15" x14ac:dyDescent="0.25">
      <c r="A77" s="14">
        <v>77</v>
      </c>
      <c r="B77" s="15" t="s">
        <v>11</v>
      </c>
      <c r="C77" s="16" t="s">
        <v>0</v>
      </c>
      <c r="D77" s="17" t="s">
        <v>3</v>
      </c>
      <c r="E77" s="18" t="s">
        <v>6</v>
      </c>
      <c r="F77" s="81">
        <v>6</v>
      </c>
      <c r="G77" s="81">
        <v>11</v>
      </c>
      <c r="H77" s="3" t="str">
        <f t="shared" si="3"/>
        <v>GROEN</v>
      </c>
      <c r="I77" s="3" t="str">
        <f t="shared" si="4"/>
        <v>Karel</v>
      </c>
      <c r="J77" s="4" t="str">
        <f t="shared" si="5"/>
        <v>Stef D</v>
      </c>
      <c r="K77" s="213" t="str">
        <f>Tabel3[[#This Row],[Rood Verdediging]]&amp;Tabel3[[#This Row],[Rood Aanval]]</f>
        <v>MatthijsJonas</v>
      </c>
      <c r="L77" s="213" t="str">
        <f>Tabel3[[#This Row],[Groen Verdediging]]&amp;Tabel3[[#This Row],[Groen Aanval]]</f>
        <v>KarelStef D</v>
      </c>
      <c r="M77" s="213" t="str">
        <f>Tabel3[[#This Row],[Winnaar 1]]&amp;Tabel3[[#This Row],[Winnaar 2]]</f>
        <v>KarelStef D</v>
      </c>
      <c r="N77" s="147" t="b">
        <f>IF(Tabel3[[#This Row],[Team Rood]]=Tabel3[[#This Row],[Winnaars]],Tabel3[[#This Row],[Team Rood]])</f>
        <v>0</v>
      </c>
      <c r="O77" s="147" t="str">
        <f>IF(Tabel3[[#This Row],[Team Groen]]=Tabel3[[#This Row],[Winnaars]],Tabel3[[#This Row],[Team Groen]])</f>
        <v>KarelStef D</v>
      </c>
    </row>
    <row r="78" spans="1:15" x14ac:dyDescent="0.25">
      <c r="A78" s="14">
        <v>78</v>
      </c>
      <c r="B78" s="15" t="s">
        <v>0</v>
      </c>
      <c r="C78" s="16" t="s">
        <v>11</v>
      </c>
      <c r="D78" s="17" t="s">
        <v>6</v>
      </c>
      <c r="E78" s="18" t="s">
        <v>3</v>
      </c>
      <c r="F78" s="81">
        <v>5</v>
      </c>
      <c r="G78" s="81">
        <v>11</v>
      </c>
      <c r="H78" s="3" t="str">
        <f t="shared" si="3"/>
        <v>GROEN</v>
      </c>
      <c r="I78" s="3" t="str">
        <f t="shared" si="4"/>
        <v>Stef D</v>
      </c>
      <c r="J78" s="4" t="str">
        <f t="shared" si="5"/>
        <v>Karel</v>
      </c>
      <c r="K78" s="213" t="str">
        <f>Tabel3[[#This Row],[Rood Verdediging]]&amp;Tabel3[[#This Row],[Rood Aanval]]</f>
        <v>JonasMatthijs</v>
      </c>
      <c r="L78" s="213" t="str">
        <f>Tabel3[[#This Row],[Groen Verdediging]]&amp;Tabel3[[#This Row],[Groen Aanval]]</f>
        <v>Stef DKarel</v>
      </c>
      <c r="M78" s="213" t="str">
        <f>Tabel3[[#This Row],[Winnaar 1]]&amp;Tabel3[[#This Row],[Winnaar 2]]</f>
        <v>Stef DKarel</v>
      </c>
      <c r="N78" s="147" t="b">
        <f>IF(Tabel3[[#This Row],[Team Rood]]=Tabel3[[#This Row],[Winnaars]],Tabel3[[#This Row],[Team Rood]])</f>
        <v>0</v>
      </c>
      <c r="O78" s="147" t="str">
        <f>IF(Tabel3[[#This Row],[Team Groen]]=Tabel3[[#This Row],[Winnaars]],Tabel3[[#This Row],[Team Groen]])</f>
        <v>Stef DKarel</v>
      </c>
    </row>
    <row r="79" spans="1:15" x14ac:dyDescent="0.25">
      <c r="A79" s="14">
        <v>79</v>
      </c>
      <c r="B79" s="15" t="s">
        <v>3</v>
      </c>
      <c r="C79" s="16" t="s">
        <v>11</v>
      </c>
      <c r="D79" s="17" t="s">
        <v>0</v>
      </c>
      <c r="E79" s="18" t="s">
        <v>6</v>
      </c>
      <c r="F79" s="81">
        <v>8</v>
      </c>
      <c r="G79" s="81">
        <v>11</v>
      </c>
      <c r="H79" s="3" t="str">
        <f t="shared" si="3"/>
        <v>GROEN</v>
      </c>
      <c r="I79" s="3" t="str">
        <f t="shared" si="4"/>
        <v>Jonas</v>
      </c>
      <c r="J79" s="4" t="str">
        <f t="shared" si="5"/>
        <v>Stef D</v>
      </c>
      <c r="K79" s="213" t="str">
        <f>Tabel3[[#This Row],[Rood Verdediging]]&amp;Tabel3[[#This Row],[Rood Aanval]]</f>
        <v>KarelMatthijs</v>
      </c>
      <c r="L79" s="213" t="str">
        <f>Tabel3[[#This Row],[Groen Verdediging]]&amp;Tabel3[[#This Row],[Groen Aanval]]</f>
        <v>JonasStef D</v>
      </c>
      <c r="M79" s="213" t="str">
        <f>Tabel3[[#This Row],[Winnaar 1]]&amp;Tabel3[[#This Row],[Winnaar 2]]</f>
        <v>JonasStef D</v>
      </c>
      <c r="N79" s="147" t="b">
        <f>IF(Tabel3[[#This Row],[Team Rood]]=Tabel3[[#This Row],[Winnaars]],Tabel3[[#This Row],[Team Rood]])</f>
        <v>0</v>
      </c>
      <c r="O79" s="147" t="str">
        <f>IF(Tabel3[[#This Row],[Team Groen]]=Tabel3[[#This Row],[Winnaars]],Tabel3[[#This Row],[Team Groen]])</f>
        <v>JonasStef D</v>
      </c>
    </row>
    <row r="80" spans="1:15" x14ac:dyDescent="0.25">
      <c r="A80" s="14">
        <v>80</v>
      </c>
      <c r="B80" s="15" t="s">
        <v>11</v>
      </c>
      <c r="C80" s="16" t="s">
        <v>3</v>
      </c>
      <c r="D80" s="17" t="s">
        <v>6</v>
      </c>
      <c r="E80" s="18" t="s">
        <v>0</v>
      </c>
      <c r="F80" s="81">
        <v>4</v>
      </c>
      <c r="G80" s="81">
        <v>11</v>
      </c>
      <c r="H80" s="3" t="str">
        <f t="shared" si="3"/>
        <v>GROEN</v>
      </c>
      <c r="I80" s="3" t="str">
        <f t="shared" si="4"/>
        <v>Stef D</v>
      </c>
      <c r="J80" s="4" t="str">
        <f t="shared" si="5"/>
        <v>Jonas</v>
      </c>
      <c r="K80" s="213" t="str">
        <f>Tabel3[[#This Row],[Rood Verdediging]]&amp;Tabel3[[#This Row],[Rood Aanval]]</f>
        <v>MatthijsKarel</v>
      </c>
      <c r="L80" s="213" t="str">
        <f>Tabel3[[#This Row],[Groen Verdediging]]&amp;Tabel3[[#This Row],[Groen Aanval]]</f>
        <v>Stef DJonas</v>
      </c>
      <c r="M80" s="213" t="str">
        <f>Tabel3[[#This Row],[Winnaar 1]]&amp;Tabel3[[#This Row],[Winnaar 2]]</f>
        <v>Stef DJonas</v>
      </c>
      <c r="N80" s="147" t="b">
        <f>IF(Tabel3[[#This Row],[Team Rood]]=Tabel3[[#This Row],[Winnaars]],Tabel3[[#This Row],[Team Rood]])</f>
        <v>0</v>
      </c>
      <c r="O80" s="147" t="str">
        <f>IF(Tabel3[[#This Row],[Team Groen]]=Tabel3[[#This Row],[Winnaars]],Tabel3[[#This Row],[Team Groen]])</f>
        <v>Stef DJonas</v>
      </c>
    </row>
    <row r="81" spans="1:15" x14ac:dyDescent="0.25">
      <c r="A81" s="14">
        <v>81</v>
      </c>
      <c r="B81" s="15" t="s">
        <v>3</v>
      </c>
      <c r="C81" s="16" t="s">
        <v>0</v>
      </c>
      <c r="D81" s="17" t="s">
        <v>6</v>
      </c>
      <c r="E81" s="18" t="s">
        <v>11</v>
      </c>
      <c r="F81" s="81">
        <v>6</v>
      </c>
      <c r="G81" s="81">
        <v>11</v>
      </c>
      <c r="H81" s="3" t="str">
        <f t="shared" si="3"/>
        <v>GROEN</v>
      </c>
      <c r="I81" s="3" t="str">
        <f t="shared" si="4"/>
        <v>Stef D</v>
      </c>
      <c r="J81" s="4" t="str">
        <f t="shared" si="5"/>
        <v>Matthijs</v>
      </c>
      <c r="K81" s="213" t="str">
        <f>Tabel3[[#This Row],[Rood Verdediging]]&amp;Tabel3[[#This Row],[Rood Aanval]]</f>
        <v>KarelJonas</v>
      </c>
      <c r="L81" s="213" t="str">
        <f>Tabel3[[#This Row],[Groen Verdediging]]&amp;Tabel3[[#This Row],[Groen Aanval]]</f>
        <v>Stef DMatthijs</v>
      </c>
      <c r="M81" s="213" t="str">
        <f>Tabel3[[#This Row],[Winnaar 1]]&amp;Tabel3[[#This Row],[Winnaar 2]]</f>
        <v>Stef DMatthijs</v>
      </c>
      <c r="N81" s="147" t="b">
        <f>IF(Tabel3[[#This Row],[Team Rood]]=Tabel3[[#This Row],[Winnaars]],Tabel3[[#This Row],[Team Rood]])</f>
        <v>0</v>
      </c>
      <c r="O81" s="147" t="str">
        <f>IF(Tabel3[[#This Row],[Team Groen]]=Tabel3[[#This Row],[Winnaars]],Tabel3[[#This Row],[Team Groen]])</f>
        <v>Stef DMatthijs</v>
      </c>
    </row>
    <row r="82" spans="1:15" x14ac:dyDescent="0.25">
      <c r="A82" s="14">
        <v>82</v>
      </c>
      <c r="B82" s="15" t="s">
        <v>0</v>
      </c>
      <c r="C82" s="16" t="s">
        <v>3</v>
      </c>
      <c r="D82" s="17" t="s">
        <v>11</v>
      </c>
      <c r="E82" s="18" t="s">
        <v>6</v>
      </c>
      <c r="F82" s="81">
        <v>12</v>
      </c>
      <c r="G82" s="81">
        <v>14</v>
      </c>
      <c r="H82" s="3" t="str">
        <f t="shared" si="3"/>
        <v>GROEN</v>
      </c>
      <c r="I82" s="3" t="str">
        <f t="shared" si="4"/>
        <v>Matthijs</v>
      </c>
      <c r="J82" s="4" t="str">
        <f t="shared" si="5"/>
        <v>Stef D</v>
      </c>
      <c r="K82" s="213" t="str">
        <f>Tabel3[[#This Row],[Rood Verdediging]]&amp;Tabel3[[#This Row],[Rood Aanval]]</f>
        <v>JonasKarel</v>
      </c>
      <c r="L82" s="213" t="str">
        <f>Tabel3[[#This Row],[Groen Verdediging]]&amp;Tabel3[[#This Row],[Groen Aanval]]</f>
        <v>MatthijsStef D</v>
      </c>
      <c r="M82" s="213" t="str">
        <f>Tabel3[[#This Row],[Winnaar 1]]&amp;Tabel3[[#This Row],[Winnaar 2]]</f>
        <v>MatthijsStef D</v>
      </c>
      <c r="N82" s="147" t="b">
        <f>IF(Tabel3[[#This Row],[Team Rood]]=Tabel3[[#This Row],[Winnaars]],Tabel3[[#This Row],[Team Rood]])</f>
        <v>0</v>
      </c>
      <c r="O82" s="147" t="str">
        <f>IF(Tabel3[[#This Row],[Team Groen]]=Tabel3[[#This Row],[Winnaars]],Tabel3[[#This Row],[Team Groen]])</f>
        <v>MatthijsStef D</v>
      </c>
    </row>
    <row r="83" spans="1:15" x14ac:dyDescent="0.25">
      <c r="A83" s="14">
        <v>83</v>
      </c>
      <c r="B83" s="15" t="s">
        <v>6</v>
      </c>
      <c r="C83" s="16" t="s">
        <v>3</v>
      </c>
      <c r="D83" s="17" t="s">
        <v>11</v>
      </c>
      <c r="E83" s="18" t="s">
        <v>0</v>
      </c>
      <c r="F83" s="81">
        <v>12</v>
      </c>
      <c r="G83" s="81">
        <v>10</v>
      </c>
      <c r="H83" s="3" t="str">
        <f t="shared" si="3"/>
        <v>ROOD</v>
      </c>
      <c r="I83" s="3" t="str">
        <f t="shared" si="4"/>
        <v>Stef D</v>
      </c>
      <c r="J83" s="4" t="str">
        <f t="shared" si="5"/>
        <v>Karel</v>
      </c>
      <c r="K83" s="213" t="str">
        <f>Tabel3[[#This Row],[Rood Verdediging]]&amp;Tabel3[[#This Row],[Rood Aanval]]</f>
        <v>Stef DKarel</v>
      </c>
      <c r="L83" s="213" t="str">
        <f>Tabel3[[#This Row],[Groen Verdediging]]&amp;Tabel3[[#This Row],[Groen Aanval]]</f>
        <v>MatthijsJonas</v>
      </c>
      <c r="M83" s="213" t="str">
        <f>Tabel3[[#This Row],[Winnaar 1]]&amp;Tabel3[[#This Row],[Winnaar 2]]</f>
        <v>Stef DKarel</v>
      </c>
      <c r="N83" s="147" t="str">
        <f>IF(Tabel3[[#This Row],[Team Rood]]=Tabel3[[#This Row],[Winnaars]],Tabel3[[#This Row],[Team Rood]])</f>
        <v>Stef DKarel</v>
      </c>
      <c r="O83" s="147" t="b">
        <f>IF(Tabel3[[#This Row],[Team Groen]]=Tabel3[[#This Row],[Winnaars]],Tabel3[[#This Row],[Team Groen]])</f>
        <v>0</v>
      </c>
    </row>
    <row r="84" spans="1:15" x14ac:dyDescent="0.25">
      <c r="A84" s="14">
        <v>84</v>
      </c>
      <c r="B84" s="15" t="s">
        <v>3</v>
      </c>
      <c r="C84" s="16" t="s">
        <v>6</v>
      </c>
      <c r="D84" s="17" t="s">
        <v>0</v>
      </c>
      <c r="E84" s="18" t="s">
        <v>11</v>
      </c>
      <c r="F84" s="81">
        <v>9</v>
      </c>
      <c r="G84" s="81">
        <v>11</v>
      </c>
      <c r="H84" s="3" t="str">
        <f t="shared" si="3"/>
        <v>GROEN</v>
      </c>
      <c r="I84" s="3" t="str">
        <f t="shared" si="4"/>
        <v>Jonas</v>
      </c>
      <c r="J84" s="4" t="str">
        <f t="shared" si="5"/>
        <v>Matthijs</v>
      </c>
      <c r="K84" s="213" t="str">
        <f>Tabel3[[#This Row],[Rood Verdediging]]&amp;Tabel3[[#This Row],[Rood Aanval]]</f>
        <v>KarelStef D</v>
      </c>
      <c r="L84" s="213" t="str">
        <f>Tabel3[[#This Row],[Groen Verdediging]]&amp;Tabel3[[#This Row],[Groen Aanval]]</f>
        <v>JonasMatthijs</v>
      </c>
      <c r="M84" s="213" t="str">
        <f>Tabel3[[#This Row],[Winnaar 1]]&amp;Tabel3[[#This Row],[Winnaar 2]]</f>
        <v>JonasMatthijs</v>
      </c>
      <c r="N84" s="147" t="b">
        <f>IF(Tabel3[[#This Row],[Team Rood]]=Tabel3[[#This Row],[Winnaars]],Tabel3[[#This Row],[Team Rood]])</f>
        <v>0</v>
      </c>
      <c r="O84" s="147" t="str">
        <f>IF(Tabel3[[#This Row],[Team Groen]]=Tabel3[[#This Row],[Winnaars]],Tabel3[[#This Row],[Team Groen]])</f>
        <v>JonasMatthijs</v>
      </c>
    </row>
    <row r="85" spans="1:15" x14ac:dyDescent="0.25">
      <c r="A85" s="14">
        <v>85</v>
      </c>
      <c r="B85" s="15" t="s">
        <v>0</v>
      </c>
      <c r="C85" s="16" t="s">
        <v>6</v>
      </c>
      <c r="D85" s="17" t="s">
        <v>11</v>
      </c>
      <c r="E85" s="18" t="s">
        <v>3</v>
      </c>
      <c r="F85" s="81">
        <v>11</v>
      </c>
      <c r="G85" s="81">
        <v>5</v>
      </c>
      <c r="H85" s="3" t="str">
        <f t="shared" si="3"/>
        <v>ROOD</v>
      </c>
      <c r="I85" s="3" t="str">
        <f t="shared" si="4"/>
        <v>Jonas</v>
      </c>
      <c r="J85" s="4" t="str">
        <f t="shared" si="5"/>
        <v>Stef D</v>
      </c>
      <c r="K85" s="213" t="str">
        <f>Tabel3[[#This Row],[Rood Verdediging]]&amp;Tabel3[[#This Row],[Rood Aanval]]</f>
        <v>JonasStef D</v>
      </c>
      <c r="L85" s="213" t="str">
        <f>Tabel3[[#This Row],[Groen Verdediging]]&amp;Tabel3[[#This Row],[Groen Aanval]]</f>
        <v>MatthijsKarel</v>
      </c>
      <c r="M85" s="213" t="str">
        <f>Tabel3[[#This Row],[Winnaar 1]]&amp;Tabel3[[#This Row],[Winnaar 2]]</f>
        <v>JonasStef D</v>
      </c>
      <c r="N85" s="147" t="str">
        <f>IF(Tabel3[[#This Row],[Team Rood]]=Tabel3[[#This Row],[Winnaars]],Tabel3[[#This Row],[Team Rood]])</f>
        <v>JonasStef D</v>
      </c>
      <c r="O85" s="147" t="b">
        <f>IF(Tabel3[[#This Row],[Team Groen]]=Tabel3[[#This Row],[Winnaars]],Tabel3[[#This Row],[Team Groen]])</f>
        <v>0</v>
      </c>
    </row>
    <row r="86" spans="1:15" x14ac:dyDescent="0.25">
      <c r="A86" s="14">
        <v>86</v>
      </c>
      <c r="B86" s="15" t="s">
        <v>6</v>
      </c>
      <c r="C86" s="16" t="s">
        <v>0</v>
      </c>
      <c r="D86" s="17" t="s">
        <v>3</v>
      </c>
      <c r="E86" s="18" t="s">
        <v>11</v>
      </c>
      <c r="F86" s="81">
        <v>11</v>
      </c>
      <c r="G86" s="81">
        <v>8</v>
      </c>
      <c r="H86" s="3" t="str">
        <f t="shared" si="3"/>
        <v>ROOD</v>
      </c>
      <c r="I86" s="3" t="str">
        <f t="shared" si="4"/>
        <v>Stef D</v>
      </c>
      <c r="J86" s="4" t="str">
        <f t="shared" si="5"/>
        <v>Jonas</v>
      </c>
      <c r="K86" s="213" t="str">
        <f>Tabel3[[#This Row],[Rood Verdediging]]&amp;Tabel3[[#This Row],[Rood Aanval]]</f>
        <v>Stef DJonas</v>
      </c>
      <c r="L86" s="213" t="str">
        <f>Tabel3[[#This Row],[Groen Verdediging]]&amp;Tabel3[[#This Row],[Groen Aanval]]</f>
        <v>KarelMatthijs</v>
      </c>
      <c r="M86" s="213" t="str">
        <f>Tabel3[[#This Row],[Winnaar 1]]&amp;Tabel3[[#This Row],[Winnaar 2]]</f>
        <v>Stef DJonas</v>
      </c>
      <c r="N86" s="147" t="str">
        <f>IF(Tabel3[[#This Row],[Team Rood]]=Tabel3[[#This Row],[Winnaars]],Tabel3[[#This Row],[Team Rood]])</f>
        <v>Stef DJonas</v>
      </c>
      <c r="O86" s="147" t="b">
        <f>IF(Tabel3[[#This Row],[Team Groen]]=Tabel3[[#This Row],[Winnaars]],Tabel3[[#This Row],[Team Groen]])</f>
        <v>0</v>
      </c>
    </row>
    <row r="87" spans="1:15" x14ac:dyDescent="0.25">
      <c r="A87" s="14">
        <v>87</v>
      </c>
      <c r="B87" s="15" t="s">
        <v>167</v>
      </c>
      <c r="C87" s="16" t="s">
        <v>6</v>
      </c>
      <c r="D87" s="17" t="s">
        <v>8</v>
      </c>
      <c r="E87" s="18" t="s">
        <v>13</v>
      </c>
      <c r="F87" s="81">
        <v>11</v>
      </c>
      <c r="G87" s="81">
        <v>6</v>
      </c>
      <c r="H87" s="3" t="str">
        <f t="shared" si="3"/>
        <v>ROOD</v>
      </c>
      <c r="I87" s="3" t="str">
        <f t="shared" si="4"/>
        <v>Coghe</v>
      </c>
      <c r="J87" s="4" t="str">
        <f t="shared" si="5"/>
        <v>Stef D</v>
      </c>
      <c r="K87" s="213" t="str">
        <f>Tabel3[[#This Row],[Rood Verdediging]]&amp;Tabel3[[#This Row],[Rood Aanval]]</f>
        <v>CogheStef D</v>
      </c>
      <c r="L87" s="213" t="str">
        <f>Tabel3[[#This Row],[Groen Verdediging]]&amp;Tabel3[[#This Row],[Groen Aanval]]</f>
        <v>LouisBert</v>
      </c>
      <c r="M87" s="213" t="str">
        <f>Tabel3[[#This Row],[Winnaar 1]]&amp;Tabel3[[#This Row],[Winnaar 2]]</f>
        <v>CogheStef D</v>
      </c>
      <c r="N87" s="147" t="str">
        <f>IF(Tabel3[[#This Row],[Team Rood]]=Tabel3[[#This Row],[Winnaars]],Tabel3[[#This Row],[Team Rood]])</f>
        <v>CogheStef D</v>
      </c>
      <c r="O87" s="147" t="b">
        <f>IF(Tabel3[[#This Row],[Team Groen]]=Tabel3[[#This Row],[Winnaars]],Tabel3[[#This Row],[Team Groen]])</f>
        <v>0</v>
      </c>
    </row>
    <row r="88" spans="1:15" x14ac:dyDescent="0.25">
      <c r="A88" s="14">
        <v>88</v>
      </c>
      <c r="B88" s="15" t="s">
        <v>0</v>
      </c>
      <c r="C88" s="16" t="s">
        <v>13</v>
      </c>
      <c r="D88" s="17" t="s">
        <v>167</v>
      </c>
      <c r="E88" s="18" t="s">
        <v>7</v>
      </c>
      <c r="F88" s="81">
        <v>11</v>
      </c>
      <c r="G88" s="81">
        <v>8</v>
      </c>
      <c r="H88" s="3" t="str">
        <f t="shared" si="3"/>
        <v>ROOD</v>
      </c>
      <c r="I88" s="3" t="str">
        <f t="shared" si="4"/>
        <v>Jonas</v>
      </c>
      <c r="J88" s="4" t="str">
        <f t="shared" si="5"/>
        <v>Bert</v>
      </c>
      <c r="K88" s="213" t="str">
        <f>Tabel3[[#This Row],[Rood Verdediging]]&amp;Tabel3[[#This Row],[Rood Aanval]]</f>
        <v>JonasBert</v>
      </c>
      <c r="L88" s="213" t="str">
        <f>Tabel3[[#This Row],[Groen Verdediging]]&amp;Tabel3[[#This Row],[Groen Aanval]]</f>
        <v>CogheTiemen</v>
      </c>
      <c r="M88" s="213" t="str">
        <f>Tabel3[[#This Row],[Winnaar 1]]&amp;Tabel3[[#This Row],[Winnaar 2]]</f>
        <v>JonasBert</v>
      </c>
      <c r="N88" s="147" t="str">
        <f>IF(Tabel3[[#This Row],[Team Rood]]=Tabel3[[#This Row],[Winnaars]],Tabel3[[#This Row],[Team Rood]])</f>
        <v>JonasBert</v>
      </c>
      <c r="O88" s="147" t="b">
        <f>IF(Tabel3[[#This Row],[Team Groen]]=Tabel3[[#This Row],[Winnaars]],Tabel3[[#This Row],[Team Groen]])</f>
        <v>0</v>
      </c>
    </row>
    <row r="89" spans="1:15" x14ac:dyDescent="0.25">
      <c r="A89" s="14">
        <v>89</v>
      </c>
      <c r="B89" s="15" t="s">
        <v>8</v>
      </c>
      <c r="C89" s="16" t="s">
        <v>7</v>
      </c>
      <c r="D89" s="17" t="s">
        <v>0</v>
      </c>
      <c r="E89" s="18" t="s">
        <v>6</v>
      </c>
      <c r="F89" s="81">
        <v>11</v>
      </c>
      <c r="G89" s="81">
        <v>3</v>
      </c>
      <c r="H89" s="3" t="str">
        <f t="shared" si="3"/>
        <v>ROOD</v>
      </c>
      <c r="I89" s="3" t="str">
        <f t="shared" si="4"/>
        <v>Louis</v>
      </c>
      <c r="J89" s="4" t="str">
        <f t="shared" si="5"/>
        <v>Tiemen</v>
      </c>
      <c r="K89" s="213" t="str">
        <f>Tabel3[[#This Row],[Rood Verdediging]]&amp;Tabel3[[#This Row],[Rood Aanval]]</f>
        <v>LouisTiemen</v>
      </c>
      <c r="L89" s="213" t="str">
        <f>Tabel3[[#This Row],[Groen Verdediging]]&amp;Tabel3[[#This Row],[Groen Aanval]]</f>
        <v>JonasStef D</v>
      </c>
      <c r="M89" s="213" t="str">
        <f>Tabel3[[#This Row],[Winnaar 1]]&amp;Tabel3[[#This Row],[Winnaar 2]]</f>
        <v>LouisTiemen</v>
      </c>
      <c r="N89" s="147" t="str">
        <f>IF(Tabel3[[#This Row],[Team Rood]]=Tabel3[[#This Row],[Winnaars]],Tabel3[[#This Row],[Team Rood]])</f>
        <v>LouisTiemen</v>
      </c>
      <c r="O89" s="147" t="b">
        <f>IF(Tabel3[[#This Row],[Team Groen]]=Tabel3[[#This Row],[Winnaars]],Tabel3[[#This Row],[Team Groen]])</f>
        <v>0</v>
      </c>
    </row>
    <row r="90" spans="1:15" x14ac:dyDescent="0.25">
      <c r="A90" s="14">
        <v>90</v>
      </c>
      <c r="B90" s="15" t="s">
        <v>7</v>
      </c>
      <c r="C90" s="16" t="s">
        <v>6</v>
      </c>
      <c r="D90" s="17" t="s">
        <v>0</v>
      </c>
      <c r="E90" s="18" t="s">
        <v>13</v>
      </c>
      <c r="F90" s="81">
        <v>9</v>
      </c>
      <c r="G90" s="81">
        <v>11</v>
      </c>
      <c r="H90" s="3" t="str">
        <f t="shared" si="3"/>
        <v>GROEN</v>
      </c>
      <c r="I90" s="3" t="str">
        <f t="shared" si="4"/>
        <v>Jonas</v>
      </c>
      <c r="J90" s="4" t="str">
        <f t="shared" si="5"/>
        <v>Bert</v>
      </c>
      <c r="K90" s="213" t="str">
        <f>Tabel3[[#This Row],[Rood Verdediging]]&amp;Tabel3[[#This Row],[Rood Aanval]]</f>
        <v>TiemenStef D</v>
      </c>
      <c r="L90" s="213" t="str">
        <f>Tabel3[[#This Row],[Groen Verdediging]]&amp;Tabel3[[#This Row],[Groen Aanval]]</f>
        <v>JonasBert</v>
      </c>
      <c r="M90" s="213" t="str">
        <f>Tabel3[[#This Row],[Winnaar 1]]&amp;Tabel3[[#This Row],[Winnaar 2]]</f>
        <v>JonasBert</v>
      </c>
      <c r="N90" s="147" t="b">
        <f>IF(Tabel3[[#This Row],[Team Rood]]=Tabel3[[#This Row],[Winnaars]],Tabel3[[#This Row],[Team Rood]])</f>
        <v>0</v>
      </c>
      <c r="O90" s="147" t="str">
        <f>IF(Tabel3[[#This Row],[Team Groen]]=Tabel3[[#This Row],[Winnaars]],Tabel3[[#This Row],[Team Groen]])</f>
        <v>JonasBert</v>
      </c>
    </row>
    <row r="91" spans="1:15" x14ac:dyDescent="0.25">
      <c r="A91" s="14">
        <v>91</v>
      </c>
      <c r="B91" s="15" t="s">
        <v>6</v>
      </c>
      <c r="C91" s="16" t="s">
        <v>13</v>
      </c>
      <c r="D91" s="17" t="s">
        <v>0</v>
      </c>
      <c r="E91" s="18" t="s">
        <v>8</v>
      </c>
      <c r="F91" s="81">
        <v>10</v>
      </c>
      <c r="G91" s="81">
        <v>12</v>
      </c>
      <c r="H91" s="3" t="str">
        <f t="shared" si="3"/>
        <v>GROEN</v>
      </c>
      <c r="I91" s="3" t="str">
        <f t="shared" si="4"/>
        <v>Jonas</v>
      </c>
      <c r="J91" s="4" t="str">
        <f t="shared" si="5"/>
        <v>Louis</v>
      </c>
      <c r="K91" s="213" t="str">
        <f>Tabel3[[#This Row],[Rood Verdediging]]&amp;Tabel3[[#This Row],[Rood Aanval]]</f>
        <v>Stef DBert</v>
      </c>
      <c r="L91" s="213" t="str">
        <f>Tabel3[[#This Row],[Groen Verdediging]]&amp;Tabel3[[#This Row],[Groen Aanval]]</f>
        <v>JonasLouis</v>
      </c>
      <c r="M91" s="213" t="str">
        <f>Tabel3[[#This Row],[Winnaar 1]]&amp;Tabel3[[#This Row],[Winnaar 2]]</f>
        <v>JonasLouis</v>
      </c>
      <c r="N91" s="147" t="b">
        <f>IF(Tabel3[[#This Row],[Team Rood]]=Tabel3[[#This Row],[Winnaars]],Tabel3[[#This Row],[Team Rood]])</f>
        <v>0</v>
      </c>
      <c r="O91" s="147" t="str">
        <f>IF(Tabel3[[#This Row],[Team Groen]]=Tabel3[[#This Row],[Winnaars]],Tabel3[[#This Row],[Team Groen]])</f>
        <v>JonasLouis</v>
      </c>
    </row>
    <row r="92" spans="1:15" x14ac:dyDescent="0.25">
      <c r="A92" s="14">
        <v>92</v>
      </c>
      <c r="B92" s="15" t="s">
        <v>6</v>
      </c>
      <c r="C92" s="16" t="s">
        <v>0</v>
      </c>
      <c r="D92" s="17" t="s">
        <v>13</v>
      </c>
      <c r="E92" s="18" t="s">
        <v>7</v>
      </c>
      <c r="F92" s="81">
        <v>10</v>
      </c>
      <c r="G92" s="81">
        <v>12</v>
      </c>
      <c r="H92" s="3" t="str">
        <f t="shared" si="3"/>
        <v>GROEN</v>
      </c>
      <c r="I92" s="3" t="str">
        <f t="shared" si="4"/>
        <v>Bert</v>
      </c>
      <c r="J92" s="4" t="str">
        <f t="shared" si="5"/>
        <v>Tiemen</v>
      </c>
      <c r="K92" s="213" t="str">
        <f>Tabel3[[#This Row],[Rood Verdediging]]&amp;Tabel3[[#This Row],[Rood Aanval]]</f>
        <v>Stef DJonas</v>
      </c>
      <c r="L92" s="213" t="str">
        <f>Tabel3[[#This Row],[Groen Verdediging]]&amp;Tabel3[[#This Row],[Groen Aanval]]</f>
        <v>BertTiemen</v>
      </c>
      <c r="M92" s="213" t="str">
        <f>Tabel3[[#This Row],[Winnaar 1]]&amp;Tabel3[[#This Row],[Winnaar 2]]</f>
        <v>BertTiemen</v>
      </c>
      <c r="N92" s="147" t="b">
        <f>IF(Tabel3[[#This Row],[Team Rood]]=Tabel3[[#This Row],[Winnaars]],Tabel3[[#This Row],[Team Rood]])</f>
        <v>0</v>
      </c>
      <c r="O92" s="147" t="str">
        <f>IF(Tabel3[[#This Row],[Team Groen]]=Tabel3[[#This Row],[Winnaars]],Tabel3[[#This Row],[Team Groen]])</f>
        <v>BertTiemen</v>
      </c>
    </row>
    <row r="93" spans="1:15" x14ac:dyDescent="0.25">
      <c r="A93" s="14">
        <v>93</v>
      </c>
      <c r="B93" s="15" t="s">
        <v>0</v>
      </c>
      <c r="C93" s="16" t="s">
        <v>6</v>
      </c>
      <c r="D93" s="17" t="s">
        <v>8</v>
      </c>
      <c r="E93" s="18" t="s">
        <v>13</v>
      </c>
      <c r="F93" s="81">
        <v>10</v>
      </c>
      <c r="G93" s="81">
        <v>12</v>
      </c>
      <c r="H93" s="3" t="str">
        <f t="shared" si="3"/>
        <v>GROEN</v>
      </c>
      <c r="I93" s="3" t="str">
        <f t="shared" si="4"/>
        <v>Louis</v>
      </c>
      <c r="J93" s="4" t="str">
        <f t="shared" si="5"/>
        <v>Bert</v>
      </c>
      <c r="K93" s="213" t="str">
        <f>Tabel3[[#This Row],[Rood Verdediging]]&amp;Tabel3[[#This Row],[Rood Aanval]]</f>
        <v>JonasStef D</v>
      </c>
      <c r="L93" s="213" t="str">
        <f>Tabel3[[#This Row],[Groen Verdediging]]&amp;Tabel3[[#This Row],[Groen Aanval]]</f>
        <v>LouisBert</v>
      </c>
      <c r="M93" s="213" t="str">
        <f>Tabel3[[#This Row],[Winnaar 1]]&amp;Tabel3[[#This Row],[Winnaar 2]]</f>
        <v>LouisBert</v>
      </c>
      <c r="N93" s="147" t="b">
        <f>IF(Tabel3[[#This Row],[Team Rood]]=Tabel3[[#This Row],[Winnaars]],Tabel3[[#This Row],[Team Rood]])</f>
        <v>0</v>
      </c>
      <c r="O93" s="147" t="str">
        <f>IF(Tabel3[[#This Row],[Team Groen]]=Tabel3[[#This Row],[Winnaars]],Tabel3[[#This Row],[Team Groen]])</f>
        <v>LouisBert</v>
      </c>
    </row>
    <row r="94" spans="1:15" x14ac:dyDescent="0.25">
      <c r="A94" s="14">
        <v>94</v>
      </c>
      <c r="B94" s="15" t="s">
        <v>8</v>
      </c>
      <c r="C94" s="16" t="s">
        <v>6</v>
      </c>
      <c r="D94" s="17" t="s">
        <v>0</v>
      </c>
      <c r="E94" s="18" t="s">
        <v>13</v>
      </c>
      <c r="F94" s="81">
        <v>11</v>
      </c>
      <c r="G94" s="81">
        <v>8</v>
      </c>
      <c r="H94" s="3" t="str">
        <f t="shared" si="3"/>
        <v>ROOD</v>
      </c>
      <c r="I94" s="3" t="str">
        <f t="shared" si="4"/>
        <v>Louis</v>
      </c>
      <c r="J94" s="4" t="str">
        <f t="shared" si="5"/>
        <v>Stef D</v>
      </c>
      <c r="K94" s="213" t="str">
        <f>Tabel3[[#This Row],[Rood Verdediging]]&amp;Tabel3[[#This Row],[Rood Aanval]]</f>
        <v>LouisStef D</v>
      </c>
      <c r="L94" s="213" t="str">
        <f>Tabel3[[#This Row],[Groen Verdediging]]&amp;Tabel3[[#This Row],[Groen Aanval]]</f>
        <v>JonasBert</v>
      </c>
      <c r="M94" s="213" t="str">
        <f>Tabel3[[#This Row],[Winnaar 1]]&amp;Tabel3[[#This Row],[Winnaar 2]]</f>
        <v>LouisStef D</v>
      </c>
      <c r="N94" s="147" t="str">
        <f>IF(Tabel3[[#This Row],[Team Rood]]=Tabel3[[#This Row],[Winnaars]],Tabel3[[#This Row],[Team Rood]])</f>
        <v>LouisStef D</v>
      </c>
      <c r="O94" s="147" t="b">
        <f>IF(Tabel3[[#This Row],[Team Groen]]=Tabel3[[#This Row],[Winnaars]],Tabel3[[#This Row],[Team Groen]])</f>
        <v>0</v>
      </c>
    </row>
    <row r="95" spans="1:15" x14ac:dyDescent="0.25">
      <c r="A95" s="14">
        <v>95</v>
      </c>
      <c r="B95" s="15" t="s">
        <v>8</v>
      </c>
      <c r="C95" s="16" t="s">
        <v>13</v>
      </c>
      <c r="D95" s="17" t="s">
        <v>0</v>
      </c>
      <c r="E95" s="18" t="s">
        <v>6</v>
      </c>
      <c r="F95" s="81">
        <v>10</v>
      </c>
      <c r="G95" s="81">
        <v>12</v>
      </c>
      <c r="H95" s="3" t="str">
        <f t="shared" si="3"/>
        <v>GROEN</v>
      </c>
      <c r="I95" s="3" t="str">
        <f t="shared" si="4"/>
        <v>Jonas</v>
      </c>
      <c r="J95" s="4" t="str">
        <f t="shared" si="5"/>
        <v>Stef D</v>
      </c>
      <c r="K95" s="213" t="str">
        <f>Tabel3[[#This Row],[Rood Verdediging]]&amp;Tabel3[[#This Row],[Rood Aanval]]</f>
        <v>LouisBert</v>
      </c>
      <c r="L95" s="213" t="str">
        <f>Tabel3[[#This Row],[Groen Verdediging]]&amp;Tabel3[[#This Row],[Groen Aanval]]</f>
        <v>JonasStef D</v>
      </c>
      <c r="M95" s="213" t="str">
        <f>Tabel3[[#This Row],[Winnaar 1]]&amp;Tabel3[[#This Row],[Winnaar 2]]</f>
        <v>JonasStef D</v>
      </c>
      <c r="N95" s="147" t="b">
        <f>IF(Tabel3[[#This Row],[Team Rood]]=Tabel3[[#This Row],[Winnaars]],Tabel3[[#This Row],[Team Rood]])</f>
        <v>0</v>
      </c>
      <c r="O95" s="147" t="str">
        <f>IF(Tabel3[[#This Row],[Team Groen]]=Tabel3[[#This Row],[Winnaars]],Tabel3[[#This Row],[Team Groen]])</f>
        <v>JonasStef D</v>
      </c>
    </row>
    <row r="96" spans="1:15" x14ac:dyDescent="0.25">
      <c r="A96" s="14">
        <v>96</v>
      </c>
      <c r="B96" s="15" t="s">
        <v>11</v>
      </c>
      <c r="C96" s="16" t="s">
        <v>6</v>
      </c>
      <c r="D96" s="17" t="s">
        <v>15</v>
      </c>
      <c r="E96" s="18" t="s">
        <v>8</v>
      </c>
      <c r="F96" s="81">
        <v>11</v>
      </c>
      <c r="G96" s="81">
        <v>5</v>
      </c>
      <c r="H96" s="3" t="str">
        <f t="shared" si="3"/>
        <v>ROOD</v>
      </c>
      <c r="I96" s="3" t="str">
        <f t="shared" si="4"/>
        <v>Matthijs</v>
      </c>
      <c r="J96" s="4" t="str">
        <f t="shared" si="5"/>
        <v>Stef D</v>
      </c>
      <c r="K96" s="213" t="str">
        <f>Tabel3[[#This Row],[Rood Verdediging]]&amp;Tabel3[[#This Row],[Rood Aanval]]</f>
        <v>MatthijsStef D</v>
      </c>
      <c r="L96" s="213" t="str">
        <f>Tabel3[[#This Row],[Groen Verdediging]]&amp;Tabel3[[#This Row],[Groen Aanval]]</f>
        <v>StijnLouis</v>
      </c>
      <c r="M96" s="213" t="str">
        <f>Tabel3[[#This Row],[Winnaar 1]]&amp;Tabel3[[#This Row],[Winnaar 2]]</f>
        <v>MatthijsStef D</v>
      </c>
      <c r="N96" s="147" t="str">
        <f>IF(Tabel3[[#This Row],[Team Rood]]=Tabel3[[#This Row],[Winnaars]],Tabel3[[#This Row],[Team Rood]])</f>
        <v>MatthijsStef D</v>
      </c>
      <c r="O96" s="147" t="b">
        <f>IF(Tabel3[[#This Row],[Team Groen]]=Tabel3[[#This Row],[Winnaars]],Tabel3[[#This Row],[Team Groen]])</f>
        <v>0</v>
      </c>
    </row>
    <row r="97" spans="1:15" x14ac:dyDescent="0.25">
      <c r="A97" s="14">
        <v>97</v>
      </c>
      <c r="B97" s="15" t="s">
        <v>3</v>
      </c>
      <c r="C97" s="16" t="s">
        <v>6</v>
      </c>
      <c r="D97" s="17" t="s">
        <v>8</v>
      </c>
      <c r="E97" s="18" t="s">
        <v>15</v>
      </c>
      <c r="F97" s="81">
        <v>11</v>
      </c>
      <c r="G97" s="81">
        <v>7</v>
      </c>
      <c r="H97" s="3" t="str">
        <f t="shared" si="3"/>
        <v>ROOD</v>
      </c>
      <c r="I97" s="3" t="str">
        <f t="shared" si="4"/>
        <v>Karel</v>
      </c>
      <c r="J97" s="4" t="str">
        <f t="shared" si="5"/>
        <v>Stef D</v>
      </c>
      <c r="K97" s="213" t="str">
        <f>Tabel3[[#This Row],[Rood Verdediging]]&amp;Tabel3[[#This Row],[Rood Aanval]]</f>
        <v>KarelStef D</v>
      </c>
      <c r="L97" s="213" t="str">
        <f>Tabel3[[#This Row],[Groen Verdediging]]&amp;Tabel3[[#This Row],[Groen Aanval]]</f>
        <v>LouisStijn</v>
      </c>
      <c r="M97" s="213" t="str">
        <f>Tabel3[[#This Row],[Winnaar 1]]&amp;Tabel3[[#This Row],[Winnaar 2]]</f>
        <v>KarelStef D</v>
      </c>
      <c r="N97" s="147" t="str">
        <f>IF(Tabel3[[#This Row],[Team Rood]]=Tabel3[[#This Row],[Winnaars]],Tabel3[[#This Row],[Team Rood]])</f>
        <v>KarelStef D</v>
      </c>
      <c r="O97" s="147" t="b">
        <f>IF(Tabel3[[#This Row],[Team Groen]]=Tabel3[[#This Row],[Winnaars]],Tabel3[[#This Row],[Team Groen]])</f>
        <v>0</v>
      </c>
    </row>
    <row r="98" spans="1:15" x14ac:dyDescent="0.25">
      <c r="A98" s="14">
        <v>98</v>
      </c>
      <c r="B98" s="15" t="s">
        <v>11</v>
      </c>
      <c r="C98" s="16" t="s">
        <v>6</v>
      </c>
      <c r="D98" s="17" t="s">
        <v>3</v>
      </c>
      <c r="E98" s="18" t="s">
        <v>8</v>
      </c>
      <c r="F98" s="81">
        <v>11</v>
      </c>
      <c r="G98" s="81">
        <v>6</v>
      </c>
      <c r="H98" s="3" t="str">
        <f t="shared" si="3"/>
        <v>ROOD</v>
      </c>
      <c r="I98" s="3" t="str">
        <f t="shared" si="4"/>
        <v>Matthijs</v>
      </c>
      <c r="J98" s="4" t="str">
        <f t="shared" si="5"/>
        <v>Stef D</v>
      </c>
      <c r="K98" s="213" t="str">
        <f>Tabel3[[#This Row],[Rood Verdediging]]&amp;Tabel3[[#This Row],[Rood Aanval]]</f>
        <v>MatthijsStef D</v>
      </c>
      <c r="L98" s="213" t="str">
        <f>Tabel3[[#This Row],[Groen Verdediging]]&amp;Tabel3[[#This Row],[Groen Aanval]]</f>
        <v>KarelLouis</v>
      </c>
      <c r="M98" s="213" t="str">
        <f>Tabel3[[#This Row],[Winnaar 1]]&amp;Tabel3[[#This Row],[Winnaar 2]]</f>
        <v>MatthijsStef D</v>
      </c>
      <c r="N98" s="147" t="str">
        <f>IF(Tabel3[[#This Row],[Team Rood]]=Tabel3[[#This Row],[Winnaars]],Tabel3[[#This Row],[Team Rood]])</f>
        <v>MatthijsStef D</v>
      </c>
      <c r="O98" s="147" t="b">
        <f>IF(Tabel3[[#This Row],[Team Groen]]=Tabel3[[#This Row],[Winnaars]],Tabel3[[#This Row],[Team Groen]])</f>
        <v>0</v>
      </c>
    </row>
    <row r="99" spans="1:15" x14ac:dyDescent="0.25">
      <c r="A99" s="14">
        <v>99</v>
      </c>
      <c r="B99" s="15" t="s">
        <v>11</v>
      </c>
      <c r="C99" s="16" t="s">
        <v>15</v>
      </c>
      <c r="D99" s="17" t="s">
        <v>6</v>
      </c>
      <c r="E99" s="18" t="s">
        <v>3</v>
      </c>
      <c r="F99" s="81">
        <v>3</v>
      </c>
      <c r="G99" s="81">
        <v>11</v>
      </c>
      <c r="H99" s="3" t="str">
        <f t="shared" si="3"/>
        <v>GROEN</v>
      </c>
      <c r="I99" s="3" t="str">
        <f t="shared" si="4"/>
        <v>Stef D</v>
      </c>
      <c r="J99" s="4" t="str">
        <f t="shared" si="5"/>
        <v>Karel</v>
      </c>
      <c r="K99" s="213" t="str">
        <f>Tabel3[[#This Row],[Rood Verdediging]]&amp;Tabel3[[#This Row],[Rood Aanval]]</f>
        <v>MatthijsStijn</v>
      </c>
      <c r="L99" s="213" t="str">
        <f>Tabel3[[#This Row],[Groen Verdediging]]&amp;Tabel3[[#This Row],[Groen Aanval]]</f>
        <v>Stef DKarel</v>
      </c>
      <c r="M99" s="213" t="str">
        <f>Tabel3[[#This Row],[Winnaar 1]]&amp;Tabel3[[#This Row],[Winnaar 2]]</f>
        <v>Stef DKarel</v>
      </c>
      <c r="N99" s="147" t="b">
        <f>IF(Tabel3[[#This Row],[Team Rood]]=Tabel3[[#This Row],[Winnaars]],Tabel3[[#This Row],[Team Rood]])</f>
        <v>0</v>
      </c>
      <c r="O99" s="147" t="str">
        <f>IF(Tabel3[[#This Row],[Team Groen]]=Tabel3[[#This Row],[Winnaars]],Tabel3[[#This Row],[Team Groen]])</f>
        <v>Stef DKarel</v>
      </c>
    </row>
    <row r="100" spans="1:15" x14ac:dyDescent="0.25">
      <c r="A100" s="14">
        <v>100</v>
      </c>
      <c r="B100" s="15" t="s">
        <v>15</v>
      </c>
      <c r="C100" s="16" t="s">
        <v>3</v>
      </c>
      <c r="D100" s="17" t="s">
        <v>8</v>
      </c>
      <c r="E100" s="18" t="s">
        <v>6</v>
      </c>
      <c r="F100" s="81">
        <v>9</v>
      </c>
      <c r="G100" s="81">
        <v>11</v>
      </c>
      <c r="H100" s="3" t="str">
        <f t="shared" si="3"/>
        <v>GROEN</v>
      </c>
      <c r="I100" s="3" t="str">
        <f t="shared" si="4"/>
        <v>Louis</v>
      </c>
      <c r="J100" s="4" t="str">
        <f t="shared" si="5"/>
        <v>Stef D</v>
      </c>
      <c r="K100" s="213" t="str">
        <f>Tabel3[[#This Row],[Rood Verdediging]]&amp;Tabel3[[#This Row],[Rood Aanval]]</f>
        <v>StijnKarel</v>
      </c>
      <c r="L100" s="213" t="str">
        <f>Tabel3[[#This Row],[Groen Verdediging]]&amp;Tabel3[[#This Row],[Groen Aanval]]</f>
        <v>LouisStef D</v>
      </c>
      <c r="M100" s="213" t="str">
        <f>Tabel3[[#This Row],[Winnaar 1]]&amp;Tabel3[[#This Row],[Winnaar 2]]</f>
        <v>LouisStef D</v>
      </c>
      <c r="N100" s="147" t="b">
        <f>IF(Tabel3[[#This Row],[Team Rood]]=Tabel3[[#This Row],[Winnaars]],Tabel3[[#This Row],[Team Rood]])</f>
        <v>0</v>
      </c>
      <c r="O100" s="147" t="str">
        <f>IF(Tabel3[[#This Row],[Team Groen]]=Tabel3[[#This Row],[Winnaars]],Tabel3[[#This Row],[Team Groen]])</f>
        <v>LouisStef D</v>
      </c>
    </row>
    <row r="101" spans="1:15" x14ac:dyDescent="0.25">
      <c r="A101" s="14">
        <v>101</v>
      </c>
      <c r="B101" s="15" t="s">
        <v>3</v>
      </c>
      <c r="C101" s="16" t="s">
        <v>15</v>
      </c>
      <c r="D101" s="17" t="s">
        <v>11</v>
      </c>
      <c r="E101" s="18" t="s">
        <v>8</v>
      </c>
      <c r="F101" s="81">
        <v>10</v>
      </c>
      <c r="G101" s="81">
        <v>12</v>
      </c>
      <c r="H101" s="3" t="str">
        <f t="shared" si="3"/>
        <v>GROEN</v>
      </c>
      <c r="I101" s="3" t="str">
        <f t="shared" si="4"/>
        <v>Matthijs</v>
      </c>
      <c r="J101" s="4" t="str">
        <f t="shared" si="5"/>
        <v>Louis</v>
      </c>
      <c r="K101" s="213" t="str">
        <f>Tabel3[[#This Row],[Rood Verdediging]]&amp;Tabel3[[#This Row],[Rood Aanval]]</f>
        <v>KarelStijn</v>
      </c>
      <c r="L101" s="213" t="str">
        <f>Tabel3[[#This Row],[Groen Verdediging]]&amp;Tabel3[[#This Row],[Groen Aanval]]</f>
        <v>MatthijsLouis</v>
      </c>
      <c r="M101" s="213" t="str">
        <f>Tabel3[[#This Row],[Winnaar 1]]&amp;Tabel3[[#This Row],[Winnaar 2]]</f>
        <v>MatthijsLouis</v>
      </c>
      <c r="N101" s="147" t="b">
        <f>IF(Tabel3[[#This Row],[Team Rood]]=Tabel3[[#This Row],[Winnaars]],Tabel3[[#This Row],[Team Rood]])</f>
        <v>0</v>
      </c>
      <c r="O101" s="147" t="str">
        <f>IF(Tabel3[[#This Row],[Team Groen]]=Tabel3[[#This Row],[Winnaars]],Tabel3[[#This Row],[Team Groen]])</f>
        <v>MatthijsLouis</v>
      </c>
    </row>
    <row r="102" spans="1:15" x14ac:dyDescent="0.25">
      <c r="A102" s="14">
        <v>102</v>
      </c>
      <c r="B102" s="15" t="s">
        <v>15</v>
      </c>
      <c r="C102" s="16" t="s">
        <v>3</v>
      </c>
      <c r="D102" s="17" t="s">
        <v>11</v>
      </c>
      <c r="E102" s="18" t="s">
        <v>8</v>
      </c>
      <c r="F102" s="81">
        <v>11</v>
      </c>
      <c r="G102" s="81">
        <v>7</v>
      </c>
      <c r="H102" s="3" t="str">
        <f t="shared" si="3"/>
        <v>ROOD</v>
      </c>
      <c r="I102" s="3" t="str">
        <f t="shared" si="4"/>
        <v>Stijn</v>
      </c>
      <c r="J102" s="4" t="str">
        <f t="shared" si="5"/>
        <v>Karel</v>
      </c>
      <c r="K102" s="213" t="str">
        <f>Tabel3[[#This Row],[Rood Verdediging]]&amp;Tabel3[[#This Row],[Rood Aanval]]</f>
        <v>StijnKarel</v>
      </c>
      <c r="L102" s="213" t="str">
        <f>Tabel3[[#This Row],[Groen Verdediging]]&amp;Tabel3[[#This Row],[Groen Aanval]]</f>
        <v>MatthijsLouis</v>
      </c>
      <c r="M102" s="213" t="str">
        <f>Tabel3[[#This Row],[Winnaar 1]]&amp;Tabel3[[#This Row],[Winnaar 2]]</f>
        <v>StijnKarel</v>
      </c>
      <c r="N102" s="147" t="str">
        <f>IF(Tabel3[[#This Row],[Team Rood]]=Tabel3[[#This Row],[Winnaars]],Tabel3[[#This Row],[Team Rood]])</f>
        <v>StijnKarel</v>
      </c>
      <c r="O102" s="147" t="b">
        <f>IF(Tabel3[[#This Row],[Team Groen]]=Tabel3[[#This Row],[Winnaars]],Tabel3[[#This Row],[Team Groen]])</f>
        <v>0</v>
      </c>
    </row>
    <row r="103" spans="1:15" x14ac:dyDescent="0.25">
      <c r="A103" s="14">
        <v>103</v>
      </c>
      <c r="B103" s="15" t="s">
        <v>167</v>
      </c>
      <c r="C103" s="16" t="s">
        <v>0</v>
      </c>
      <c r="D103" s="17" t="s">
        <v>7</v>
      </c>
      <c r="E103" s="18" t="s">
        <v>13</v>
      </c>
      <c r="F103" s="81">
        <v>11</v>
      </c>
      <c r="G103" s="81">
        <v>5</v>
      </c>
      <c r="H103" s="3" t="str">
        <f t="shared" si="3"/>
        <v>ROOD</v>
      </c>
      <c r="I103" s="3" t="str">
        <f t="shared" si="4"/>
        <v>Coghe</v>
      </c>
      <c r="J103" s="4" t="str">
        <f t="shared" si="5"/>
        <v>Jonas</v>
      </c>
      <c r="K103" s="213" t="str">
        <f>Tabel3[[#This Row],[Rood Verdediging]]&amp;Tabel3[[#This Row],[Rood Aanval]]</f>
        <v>CogheJonas</v>
      </c>
      <c r="L103" s="213" t="str">
        <f>Tabel3[[#This Row],[Groen Verdediging]]&amp;Tabel3[[#This Row],[Groen Aanval]]</f>
        <v>TiemenBert</v>
      </c>
      <c r="M103" s="213" t="str">
        <f>Tabel3[[#This Row],[Winnaar 1]]&amp;Tabel3[[#This Row],[Winnaar 2]]</f>
        <v>CogheJonas</v>
      </c>
      <c r="N103" s="147" t="str">
        <f>IF(Tabel3[[#This Row],[Team Rood]]=Tabel3[[#This Row],[Winnaars]],Tabel3[[#This Row],[Team Rood]])</f>
        <v>CogheJonas</v>
      </c>
      <c r="O103" s="147" t="b">
        <f>IF(Tabel3[[#This Row],[Team Groen]]=Tabel3[[#This Row],[Winnaars]],Tabel3[[#This Row],[Team Groen]])</f>
        <v>0</v>
      </c>
    </row>
    <row r="104" spans="1:15" x14ac:dyDescent="0.25">
      <c r="A104" s="14">
        <v>104</v>
      </c>
      <c r="B104" s="15" t="s">
        <v>6</v>
      </c>
      <c r="C104" s="16" t="s">
        <v>13</v>
      </c>
      <c r="D104" s="17" t="s">
        <v>0</v>
      </c>
      <c r="E104" s="18" t="s">
        <v>7</v>
      </c>
      <c r="F104" s="81">
        <v>6</v>
      </c>
      <c r="G104" s="81">
        <v>11</v>
      </c>
      <c r="H104" s="3" t="str">
        <f t="shared" si="3"/>
        <v>GROEN</v>
      </c>
      <c r="I104" s="3" t="str">
        <f t="shared" si="4"/>
        <v>Jonas</v>
      </c>
      <c r="J104" s="4" t="str">
        <f t="shared" si="5"/>
        <v>Tiemen</v>
      </c>
      <c r="K104" s="213" t="str">
        <f>Tabel3[[#This Row],[Rood Verdediging]]&amp;Tabel3[[#This Row],[Rood Aanval]]</f>
        <v>Stef DBert</v>
      </c>
      <c r="L104" s="213" t="str">
        <f>Tabel3[[#This Row],[Groen Verdediging]]&amp;Tabel3[[#This Row],[Groen Aanval]]</f>
        <v>JonasTiemen</v>
      </c>
      <c r="M104" s="213" t="str">
        <f>Tabel3[[#This Row],[Winnaar 1]]&amp;Tabel3[[#This Row],[Winnaar 2]]</f>
        <v>JonasTiemen</v>
      </c>
      <c r="N104" s="147" t="b">
        <f>IF(Tabel3[[#This Row],[Team Rood]]=Tabel3[[#This Row],[Winnaars]],Tabel3[[#This Row],[Team Rood]])</f>
        <v>0</v>
      </c>
      <c r="O104" s="147" t="str">
        <f>IF(Tabel3[[#This Row],[Team Groen]]=Tabel3[[#This Row],[Winnaars]],Tabel3[[#This Row],[Team Groen]])</f>
        <v>JonasTiemen</v>
      </c>
    </row>
    <row r="105" spans="1:15" x14ac:dyDescent="0.25">
      <c r="A105" s="14">
        <v>105</v>
      </c>
      <c r="B105" s="15" t="s">
        <v>167</v>
      </c>
      <c r="C105" s="16" t="s">
        <v>7</v>
      </c>
      <c r="D105" s="17" t="s">
        <v>0</v>
      </c>
      <c r="E105" s="18" t="s">
        <v>6</v>
      </c>
      <c r="F105" s="81">
        <v>11</v>
      </c>
      <c r="G105" s="81">
        <v>9</v>
      </c>
      <c r="H105" s="3" t="str">
        <f t="shared" si="3"/>
        <v>ROOD</v>
      </c>
      <c r="I105" s="3" t="str">
        <f t="shared" si="4"/>
        <v>Coghe</v>
      </c>
      <c r="J105" s="4" t="str">
        <f t="shared" si="5"/>
        <v>Tiemen</v>
      </c>
      <c r="K105" s="213" t="str">
        <f>Tabel3[[#This Row],[Rood Verdediging]]&amp;Tabel3[[#This Row],[Rood Aanval]]</f>
        <v>CogheTiemen</v>
      </c>
      <c r="L105" s="213" t="str">
        <f>Tabel3[[#This Row],[Groen Verdediging]]&amp;Tabel3[[#This Row],[Groen Aanval]]</f>
        <v>JonasStef D</v>
      </c>
      <c r="M105" s="213" t="str">
        <f>Tabel3[[#This Row],[Winnaar 1]]&amp;Tabel3[[#This Row],[Winnaar 2]]</f>
        <v>CogheTiemen</v>
      </c>
      <c r="N105" s="147" t="str">
        <f>IF(Tabel3[[#This Row],[Team Rood]]=Tabel3[[#This Row],[Winnaars]],Tabel3[[#This Row],[Team Rood]])</f>
        <v>CogheTiemen</v>
      </c>
      <c r="O105" s="147" t="b">
        <f>IF(Tabel3[[#This Row],[Team Groen]]=Tabel3[[#This Row],[Winnaars]],Tabel3[[#This Row],[Team Groen]])</f>
        <v>0</v>
      </c>
    </row>
    <row r="106" spans="1:15" x14ac:dyDescent="0.25">
      <c r="A106" s="14">
        <v>106</v>
      </c>
      <c r="B106" s="15" t="s">
        <v>3</v>
      </c>
      <c r="C106" s="16" t="s">
        <v>7</v>
      </c>
      <c r="D106" s="17" t="s">
        <v>0</v>
      </c>
      <c r="E106" s="18" t="s">
        <v>6</v>
      </c>
      <c r="F106" s="81">
        <v>9</v>
      </c>
      <c r="G106" s="81">
        <v>11</v>
      </c>
      <c r="H106" s="3" t="str">
        <f t="shared" si="3"/>
        <v>GROEN</v>
      </c>
      <c r="I106" s="3" t="str">
        <f t="shared" si="4"/>
        <v>Jonas</v>
      </c>
      <c r="J106" s="4" t="str">
        <f t="shared" si="5"/>
        <v>Stef D</v>
      </c>
      <c r="K106" s="213" t="str">
        <f>Tabel3[[#This Row],[Rood Verdediging]]&amp;Tabel3[[#This Row],[Rood Aanval]]</f>
        <v>KarelTiemen</v>
      </c>
      <c r="L106" s="213" t="str">
        <f>Tabel3[[#This Row],[Groen Verdediging]]&amp;Tabel3[[#This Row],[Groen Aanval]]</f>
        <v>JonasStef D</v>
      </c>
      <c r="M106" s="213" t="str">
        <f>Tabel3[[#This Row],[Winnaar 1]]&amp;Tabel3[[#This Row],[Winnaar 2]]</f>
        <v>JonasStef D</v>
      </c>
      <c r="N106" s="147" t="b">
        <f>IF(Tabel3[[#This Row],[Team Rood]]=Tabel3[[#This Row],[Winnaars]],Tabel3[[#This Row],[Team Rood]])</f>
        <v>0</v>
      </c>
      <c r="O106" s="147" t="str">
        <f>IF(Tabel3[[#This Row],[Team Groen]]=Tabel3[[#This Row],[Winnaars]],Tabel3[[#This Row],[Team Groen]])</f>
        <v>JonasStef D</v>
      </c>
    </row>
    <row r="107" spans="1:15" x14ac:dyDescent="0.25">
      <c r="A107" s="14">
        <v>107</v>
      </c>
      <c r="B107" s="15" t="s">
        <v>6</v>
      </c>
      <c r="C107" s="16" t="s">
        <v>0</v>
      </c>
      <c r="D107" s="17" t="s">
        <v>7</v>
      </c>
      <c r="E107" s="18" t="s">
        <v>3</v>
      </c>
      <c r="F107" s="81">
        <v>12</v>
      </c>
      <c r="G107" s="81">
        <v>10</v>
      </c>
      <c r="H107" s="3" t="str">
        <f t="shared" si="3"/>
        <v>ROOD</v>
      </c>
      <c r="I107" s="3" t="str">
        <f t="shared" si="4"/>
        <v>Stef D</v>
      </c>
      <c r="J107" s="4" t="str">
        <f t="shared" si="5"/>
        <v>Jonas</v>
      </c>
      <c r="K107" s="213" t="str">
        <f>Tabel3[[#This Row],[Rood Verdediging]]&amp;Tabel3[[#This Row],[Rood Aanval]]</f>
        <v>Stef DJonas</v>
      </c>
      <c r="L107" s="213" t="str">
        <f>Tabel3[[#This Row],[Groen Verdediging]]&amp;Tabel3[[#This Row],[Groen Aanval]]</f>
        <v>TiemenKarel</v>
      </c>
      <c r="M107" s="213" t="str">
        <f>Tabel3[[#This Row],[Winnaar 1]]&amp;Tabel3[[#This Row],[Winnaar 2]]</f>
        <v>Stef DJonas</v>
      </c>
      <c r="N107" s="147" t="str">
        <f>IF(Tabel3[[#This Row],[Team Rood]]=Tabel3[[#This Row],[Winnaars]],Tabel3[[#This Row],[Team Rood]])</f>
        <v>Stef DJonas</v>
      </c>
      <c r="O107" s="147" t="b">
        <f>IF(Tabel3[[#This Row],[Team Groen]]=Tabel3[[#This Row],[Winnaars]],Tabel3[[#This Row],[Team Groen]])</f>
        <v>0</v>
      </c>
    </row>
    <row r="108" spans="1:15" x14ac:dyDescent="0.25">
      <c r="A108" s="14">
        <v>108</v>
      </c>
      <c r="B108" s="15" t="s">
        <v>3</v>
      </c>
      <c r="C108" s="16" t="s">
        <v>6</v>
      </c>
      <c r="D108" s="17" t="s">
        <v>0</v>
      </c>
      <c r="E108" s="18" t="s">
        <v>7</v>
      </c>
      <c r="F108" s="81">
        <v>11</v>
      </c>
      <c r="G108" s="81">
        <v>2</v>
      </c>
      <c r="H108" s="3" t="str">
        <f t="shared" si="3"/>
        <v>ROOD</v>
      </c>
      <c r="I108" s="3" t="str">
        <f t="shared" si="4"/>
        <v>Karel</v>
      </c>
      <c r="J108" s="4" t="str">
        <f t="shared" si="5"/>
        <v>Stef D</v>
      </c>
      <c r="K108" s="213" t="str">
        <f>Tabel3[[#This Row],[Rood Verdediging]]&amp;Tabel3[[#This Row],[Rood Aanval]]</f>
        <v>KarelStef D</v>
      </c>
      <c r="L108" s="213" t="str">
        <f>Tabel3[[#This Row],[Groen Verdediging]]&amp;Tabel3[[#This Row],[Groen Aanval]]</f>
        <v>JonasTiemen</v>
      </c>
      <c r="M108" s="213" t="str">
        <f>Tabel3[[#This Row],[Winnaar 1]]&amp;Tabel3[[#This Row],[Winnaar 2]]</f>
        <v>KarelStef D</v>
      </c>
      <c r="N108" s="147" t="str">
        <f>IF(Tabel3[[#This Row],[Team Rood]]=Tabel3[[#This Row],[Winnaars]],Tabel3[[#This Row],[Team Rood]])</f>
        <v>KarelStef D</v>
      </c>
      <c r="O108" s="147" t="b">
        <f>IF(Tabel3[[#This Row],[Team Groen]]=Tabel3[[#This Row],[Winnaars]],Tabel3[[#This Row],[Team Groen]])</f>
        <v>0</v>
      </c>
    </row>
    <row r="109" spans="1:15" x14ac:dyDescent="0.25">
      <c r="A109" s="14">
        <v>109</v>
      </c>
      <c r="B109" s="15" t="s">
        <v>7</v>
      </c>
      <c r="C109" s="16" t="s">
        <v>0</v>
      </c>
      <c r="D109" s="17" t="s">
        <v>6</v>
      </c>
      <c r="E109" s="18" t="s">
        <v>3</v>
      </c>
      <c r="F109" s="81">
        <v>7</v>
      </c>
      <c r="G109" s="81">
        <v>11</v>
      </c>
      <c r="H109" s="3" t="str">
        <f t="shared" si="3"/>
        <v>GROEN</v>
      </c>
      <c r="I109" s="3" t="str">
        <f t="shared" si="4"/>
        <v>Stef D</v>
      </c>
      <c r="J109" s="4" t="str">
        <f t="shared" si="5"/>
        <v>Karel</v>
      </c>
      <c r="K109" s="213" t="str">
        <f>Tabel3[[#This Row],[Rood Verdediging]]&amp;Tabel3[[#This Row],[Rood Aanval]]</f>
        <v>TiemenJonas</v>
      </c>
      <c r="L109" s="213" t="str">
        <f>Tabel3[[#This Row],[Groen Verdediging]]&amp;Tabel3[[#This Row],[Groen Aanval]]</f>
        <v>Stef DKarel</v>
      </c>
      <c r="M109" s="213" t="str">
        <f>Tabel3[[#This Row],[Winnaar 1]]&amp;Tabel3[[#This Row],[Winnaar 2]]</f>
        <v>Stef DKarel</v>
      </c>
      <c r="N109" s="147" t="b">
        <f>IF(Tabel3[[#This Row],[Team Rood]]=Tabel3[[#This Row],[Winnaars]],Tabel3[[#This Row],[Team Rood]])</f>
        <v>0</v>
      </c>
      <c r="O109" s="147" t="str">
        <f>IF(Tabel3[[#This Row],[Team Groen]]=Tabel3[[#This Row],[Winnaars]],Tabel3[[#This Row],[Team Groen]])</f>
        <v>Stef DKarel</v>
      </c>
    </row>
    <row r="110" spans="1:15" x14ac:dyDescent="0.25">
      <c r="A110" s="14">
        <v>110</v>
      </c>
      <c r="B110" s="15" t="s">
        <v>0</v>
      </c>
      <c r="C110" s="16" t="s">
        <v>3</v>
      </c>
      <c r="D110" s="17" t="s">
        <v>6</v>
      </c>
      <c r="E110" s="18" t="s">
        <v>7</v>
      </c>
      <c r="F110" s="81">
        <v>11</v>
      </c>
      <c r="G110" s="81">
        <v>4</v>
      </c>
      <c r="H110" s="3" t="str">
        <f t="shared" si="3"/>
        <v>ROOD</v>
      </c>
      <c r="I110" s="3" t="str">
        <f t="shared" si="4"/>
        <v>Jonas</v>
      </c>
      <c r="J110" s="4" t="str">
        <f t="shared" si="5"/>
        <v>Karel</v>
      </c>
      <c r="K110" s="213" t="str">
        <f>Tabel3[[#This Row],[Rood Verdediging]]&amp;Tabel3[[#This Row],[Rood Aanval]]</f>
        <v>JonasKarel</v>
      </c>
      <c r="L110" s="213" t="str">
        <f>Tabel3[[#This Row],[Groen Verdediging]]&amp;Tabel3[[#This Row],[Groen Aanval]]</f>
        <v>Stef DTiemen</v>
      </c>
      <c r="M110" s="213" t="str">
        <f>Tabel3[[#This Row],[Winnaar 1]]&amp;Tabel3[[#This Row],[Winnaar 2]]</f>
        <v>JonasKarel</v>
      </c>
      <c r="N110" s="147" t="str">
        <f>IF(Tabel3[[#This Row],[Team Rood]]=Tabel3[[#This Row],[Winnaars]],Tabel3[[#This Row],[Team Rood]])</f>
        <v>JonasKarel</v>
      </c>
      <c r="O110" s="147" t="b">
        <f>IF(Tabel3[[#This Row],[Team Groen]]=Tabel3[[#This Row],[Winnaars]],Tabel3[[#This Row],[Team Groen]])</f>
        <v>0</v>
      </c>
    </row>
    <row r="111" spans="1:15" x14ac:dyDescent="0.25">
      <c r="A111" s="14">
        <v>111</v>
      </c>
      <c r="B111" s="15" t="s">
        <v>7</v>
      </c>
      <c r="C111" s="16" t="s">
        <v>6</v>
      </c>
      <c r="D111" s="17" t="s">
        <v>3</v>
      </c>
      <c r="E111" s="18" t="s">
        <v>0</v>
      </c>
      <c r="F111" s="81">
        <v>11</v>
      </c>
      <c r="G111" s="81">
        <v>9</v>
      </c>
      <c r="H111" s="3" t="str">
        <f t="shared" si="3"/>
        <v>ROOD</v>
      </c>
      <c r="I111" s="3" t="str">
        <f t="shared" si="4"/>
        <v>Tiemen</v>
      </c>
      <c r="J111" s="4" t="str">
        <f t="shared" si="5"/>
        <v>Stef D</v>
      </c>
      <c r="K111" s="213" t="str">
        <f>Tabel3[[#This Row],[Rood Verdediging]]&amp;Tabel3[[#This Row],[Rood Aanval]]</f>
        <v>TiemenStef D</v>
      </c>
      <c r="L111" s="213" t="str">
        <f>Tabel3[[#This Row],[Groen Verdediging]]&amp;Tabel3[[#This Row],[Groen Aanval]]</f>
        <v>KarelJonas</v>
      </c>
      <c r="M111" s="213" t="str">
        <f>Tabel3[[#This Row],[Winnaar 1]]&amp;Tabel3[[#This Row],[Winnaar 2]]</f>
        <v>TiemenStef D</v>
      </c>
      <c r="N111" s="147" t="str">
        <f>IF(Tabel3[[#This Row],[Team Rood]]=Tabel3[[#This Row],[Winnaars]],Tabel3[[#This Row],[Team Rood]])</f>
        <v>TiemenStef D</v>
      </c>
      <c r="O111" s="147" t="b">
        <f>IF(Tabel3[[#This Row],[Team Groen]]=Tabel3[[#This Row],[Winnaars]],Tabel3[[#This Row],[Team Groen]])</f>
        <v>0</v>
      </c>
    </row>
    <row r="112" spans="1:15" x14ac:dyDescent="0.25">
      <c r="A112" s="14">
        <v>112</v>
      </c>
      <c r="B112" s="15" t="s">
        <v>7</v>
      </c>
      <c r="C112" s="16" t="s">
        <v>3</v>
      </c>
      <c r="D112" s="17" t="s">
        <v>6</v>
      </c>
      <c r="E112" s="18" t="s">
        <v>0</v>
      </c>
      <c r="F112" s="81">
        <v>11</v>
      </c>
      <c r="G112" s="81">
        <v>9</v>
      </c>
      <c r="H112" s="3" t="str">
        <f t="shared" si="3"/>
        <v>ROOD</v>
      </c>
      <c r="I112" s="3" t="str">
        <f t="shared" si="4"/>
        <v>Tiemen</v>
      </c>
      <c r="J112" s="4" t="str">
        <f t="shared" si="5"/>
        <v>Karel</v>
      </c>
      <c r="K112" s="213" t="str">
        <f>Tabel3[[#This Row],[Rood Verdediging]]&amp;Tabel3[[#This Row],[Rood Aanval]]</f>
        <v>TiemenKarel</v>
      </c>
      <c r="L112" s="213" t="str">
        <f>Tabel3[[#This Row],[Groen Verdediging]]&amp;Tabel3[[#This Row],[Groen Aanval]]</f>
        <v>Stef DJonas</v>
      </c>
      <c r="M112" s="213" t="str">
        <f>Tabel3[[#This Row],[Winnaar 1]]&amp;Tabel3[[#This Row],[Winnaar 2]]</f>
        <v>TiemenKarel</v>
      </c>
      <c r="N112" s="147" t="str">
        <f>IF(Tabel3[[#This Row],[Team Rood]]=Tabel3[[#This Row],[Winnaars]],Tabel3[[#This Row],[Team Rood]])</f>
        <v>TiemenKarel</v>
      </c>
      <c r="O112" s="147" t="b">
        <f>IF(Tabel3[[#This Row],[Team Groen]]=Tabel3[[#This Row],[Winnaars]],Tabel3[[#This Row],[Team Groen]])</f>
        <v>0</v>
      </c>
    </row>
    <row r="113" spans="1:15" x14ac:dyDescent="0.25">
      <c r="A113" s="14">
        <v>113</v>
      </c>
      <c r="B113" s="15" t="s">
        <v>6</v>
      </c>
      <c r="C113" s="16" t="s">
        <v>0</v>
      </c>
      <c r="D113" s="17" t="s">
        <v>3</v>
      </c>
      <c r="E113" s="18" t="s">
        <v>7</v>
      </c>
      <c r="F113" s="81">
        <v>10</v>
      </c>
      <c r="G113" s="81">
        <v>12</v>
      </c>
      <c r="H113" s="3" t="str">
        <f t="shared" si="3"/>
        <v>GROEN</v>
      </c>
      <c r="I113" s="3" t="str">
        <f t="shared" si="4"/>
        <v>Karel</v>
      </c>
      <c r="J113" s="4" t="str">
        <f t="shared" si="5"/>
        <v>Tiemen</v>
      </c>
      <c r="K113" s="213" t="str">
        <f>Tabel3[[#This Row],[Rood Verdediging]]&amp;Tabel3[[#This Row],[Rood Aanval]]</f>
        <v>Stef DJonas</v>
      </c>
      <c r="L113" s="213" t="str">
        <f>Tabel3[[#This Row],[Groen Verdediging]]&amp;Tabel3[[#This Row],[Groen Aanval]]</f>
        <v>KarelTiemen</v>
      </c>
      <c r="M113" s="213" t="str">
        <f>Tabel3[[#This Row],[Winnaar 1]]&amp;Tabel3[[#This Row],[Winnaar 2]]</f>
        <v>KarelTiemen</v>
      </c>
      <c r="N113" s="147" t="b">
        <f>IF(Tabel3[[#This Row],[Team Rood]]=Tabel3[[#This Row],[Winnaars]],Tabel3[[#This Row],[Team Rood]])</f>
        <v>0</v>
      </c>
      <c r="O113" s="147" t="str">
        <f>IF(Tabel3[[#This Row],[Team Groen]]=Tabel3[[#This Row],[Winnaars]],Tabel3[[#This Row],[Team Groen]])</f>
        <v>KarelTiemen</v>
      </c>
    </row>
    <row r="114" spans="1:15" x14ac:dyDescent="0.25">
      <c r="A114" s="14">
        <v>114</v>
      </c>
      <c r="B114" s="15" t="s">
        <v>16</v>
      </c>
      <c r="C114" s="16" t="s">
        <v>6</v>
      </c>
      <c r="D114" s="17" t="s">
        <v>0</v>
      </c>
      <c r="E114" s="18" t="s">
        <v>17</v>
      </c>
      <c r="F114" s="81">
        <v>11</v>
      </c>
      <c r="G114" s="81">
        <v>9</v>
      </c>
      <c r="H114" s="3" t="str">
        <f t="shared" si="3"/>
        <v>ROOD</v>
      </c>
      <c r="I114" s="3" t="str">
        <f t="shared" si="4"/>
        <v xml:space="preserve">Karel </v>
      </c>
      <c r="J114" s="4" t="str">
        <f t="shared" si="5"/>
        <v>Stef D</v>
      </c>
      <c r="K114" s="213" t="str">
        <f>Tabel3[[#This Row],[Rood Verdediging]]&amp;Tabel3[[#This Row],[Rood Aanval]]</f>
        <v>Karel Stef D</v>
      </c>
      <c r="L114" s="213" t="str">
        <f>Tabel3[[#This Row],[Groen Verdediging]]&amp;Tabel3[[#This Row],[Groen Aanval]]</f>
        <v xml:space="preserve">JonasTiemen </v>
      </c>
      <c r="M114" s="213" t="str">
        <f>Tabel3[[#This Row],[Winnaar 1]]&amp;Tabel3[[#This Row],[Winnaar 2]]</f>
        <v>Karel Stef D</v>
      </c>
      <c r="N114" s="147" t="str">
        <f>IF(Tabel3[[#This Row],[Team Rood]]=Tabel3[[#This Row],[Winnaars]],Tabel3[[#This Row],[Team Rood]])</f>
        <v>Karel Stef D</v>
      </c>
      <c r="O114" s="147" t="b">
        <f>IF(Tabel3[[#This Row],[Team Groen]]=Tabel3[[#This Row],[Winnaars]],Tabel3[[#This Row],[Team Groen]])</f>
        <v>0</v>
      </c>
    </row>
    <row r="115" spans="1:15" x14ac:dyDescent="0.25">
      <c r="A115" s="14">
        <v>115</v>
      </c>
      <c r="B115" s="15" t="s">
        <v>0</v>
      </c>
      <c r="C115" s="16" t="s">
        <v>8</v>
      </c>
      <c r="D115" s="17" t="s">
        <v>6</v>
      </c>
      <c r="E115" s="18" t="s">
        <v>7</v>
      </c>
      <c r="F115" s="81">
        <v>11</v>
      </c>
      <c r="G115" s="81">
        <v>6</v>
      </c>
      <c r="H115" s="3" t="str">
        <f t="shared" si="3"/>
        <v>ROOD</v>
      </c>
      <c r="I115" s="3" t="str">
        <f t="shared" si="4"/>
        <v>Jonas</v>
      </c>
      <c r="J115" s="4" t="str">
        <f t="shared" si="5"/>
        <v>Louis</v>
      </c>
      <c r="K115" s="213" t="str">
        <f>Tabel3[[#This Row],[Rood Verdediging]]&amp;Tabel3[[#This Row],[Rood Aanval]]</f>
        <v>JonasLouis</v>
      </c>
      <c r="L115" s="213" t="str">
        <f>Tabel3[[#This Row],[Groen Verdediging]]&amp;Tabel3[[#This Row],[Groen Aanval]]</f>
        <v>Stef DTiemen</v>
      </c>
      <c r="M115" s="213" t="str">
        <f>Tabel3[[#This Row],[Winnaar 1]]&amp;Tabel3[[#This Row],[Winnaar 2]]</f>
        <v>JonasLouis</v>
      </c>
      <c r="N115" s="147" t="str">
        <f>IF(Tabel3[[#This Row],[Team Rood]]=Tabel3[[#This Row],[Winnaars]],Tabel3[[#This Row],[Team Rood]])</f>
        <v>JonasLouis</v>
      </c>
      <c r="O115" s="147" t="b">
        <f>IF(Tabel3[[#This Row],[Team Groen]]=Tabel3[[#This Row],[Winnaars]],Tabel3[[#This Row],[Team Groen]])</f>
        <v>0</v>
      </c>
    </row>
    <row r="116" spans="1:15" x14ac:dyDescent="0.25">
      <c r="A116" s="14">
        <v>116</v>
      </c>
      <c r="B116" s="15" t="s">
        <v>8</v>
      </c>
      <c r="C116" s="16" t="s">
        <v>0</v>
      </c>
      <c r="D116" s="17" t="s">
        <v>7</v>
      </c>
      <c r="E116" s="18" t="s">
        <v>3</v>
      </c>
      <c r="F116" s="81">
        <v>11</v>
      </c>
      <c r="G116" s="81">
        <v>4</v>
      </c>
      <c r="H116" s="3" t="str">
        <f t="shared" si="3"/>
        <v>ROOD</v>
      </c>
      <c r="I116" s="3" t="str">
        <f t="shared" si="4"/>
        <v>Louis</v>
      </c>
      <c r="J116" s="4" t="str">
        <f t="shared" si="5"/>
        <v>Jonas</v>
      </c>
      <c r="K116" s="213" t="str">
        <f>Tabel3[[#This Row],[Rood Verdediging]]&amp;Tabel3[[#This Row],[Rood Aanval]]</f>
        <v>LouisJonas</v>
      </c>
      <c r="L116" s="213" t="str">
        <f>Tabel3[[#This Row],[Groen Verdediging]]&amp;Tabel3[[#This Row],[Groen Aanval]]</f>
        <v>TiemenKarel</v>
      </c>
      <c r="M116" s="213" t="str">
        <f>Tabel3[[#This Row],[Winnaar 1]]&amp;Tabel3[[#This Row],[Winnaar 2]]</f>
        <v>LouisJonas</v>
      </c>
      <c r="N116" s="147" t="str">
        <f>IF(Tabel3[[#This Row],[Team Rood]]=Tabel3[[#This Row],[Winnaars]],Tabel3[[#This Row],[Team Rood]])</f>
        <v>LouisJonas</v>
      </c>
      <c r="O116" s="147" t="b">
        <f>IF(Tabel3[[#This Row],[Team Groen]]=Tabel3[[#This Row],[Winnaars]],Tabel3[[#This Row],[Team Groen]])</f>
        <v>0</v>
      </c>
    </row>
    <row r="117" spans="1:15" x14ac:dyDescent="0.25">
      <c r="A117" s="14">
        <v>117</v>
      </c>
      <c r="B117" s="15" t="s">
        <v>0</v>
      </c>
      <c r="C117" s="16" t="s">
        <v>6</v>
      </c>
      <c r="D117" s="17" t="s">
        <v>8</v>
      </c>
      <c r="E117" s="18" t="s">
        <v>3</v>
      </c>
      <c r="F117" s="81">
        <v>11</v>
      </c>
      <c r="G117" s="81">
        <v>9</v>
      </c>
      <c r="H117" s="3" t="str">
        <f t="shared" si="3"/>
        <v>ROOD</v>
      </c>
      <c r="I117" s="3" t="str">
        <f t="shared" si="4"/>
        <v>Jonas</v>
      </c>
      <c r="J117" s="4" t="str">
        <f t="shared" si="5"/>
        <v>Stef D</v>
      </c>
      <c r="K117" s="213" t="str">
        <f>Tabel3[[#This Row],[Rood Verdediging]]&amp;Tabel3[[#This Row],[Rood Aanval]]</f>
        <v>JonasStef D</v>
      </c>
      <c r="L117" s="213" t="str">
        <f>Tabel3[[#This Row],[Groen Verdediging]]&amp;Tabel3[[#This Row],[Groen Aanval]]</f>
        <v>LouisKarel</v>
      </c>
      <c r="M117" s="213" t="str">
        <f>Tabel3[[#This Row],[Winnaar 1]]&amp;Tabel3[[#This Row],[Winnaar 2]]</f>
        <v>JonasStef D</v>
      </c>
      <c r="N117" s="147" t="str">
        <f>IF(Tabel3[[#This Row],[Team Rood]]=Tabel3[[#This Row],[Winnaars]],Tabel3[[#This Row],[Team Rood]])</f>
        <v>JonasStef D</v>
      </c>
      <c r="O117" s="147" t="b">
        <f>IF(Tabel3[[#This Row],[Team Groen]]=Tabel3[[#This Row],[Winnaars]],Tabel3[[#This Row],[Team Groen]])</f>
        <v>0</v>
      </c>
    </row>
    <row r="118" spans="1:15" x14ac:dyDescent="0.25">
      <c r="A118" s="14">
        <v>118</v>
      </c>
      <c r="B118" s="15" t="s">
        <v>0</v>
      </c>
      <c r="C118" s="16" t="s">
        <v>7</v>
      </c>
      <c r="D118" s="17" t="s">
        <v>6</v>
      </c>
      <c r="E118" s="18" t="s">
        <v>13</v>
      </c>
      <c r="F118" s="81">
        <v>11</v>
      </c>
      <c r="G118" s="81">
        <v>8</v>
      </c>
      <c r="H118" s="3" t="str">
        <f t="shared" si="3"/>
        <v>ROOD</v>
      </c>
      <c r="I118" s="3" t="str">
        <f t="shared" si="4"/>
        <v>Jonas</v>
      </c>
      <c r="J118" s="4" t="str">
        <f t="shared" si="5"/>
        <v>Tiemen</v>
      </c>
      <c r="K118" s="213" t="str">
        <f>Tabel3[[#This Row],[Rood Verdediging]]&amp;Tabel3[[#This Row],[Rood Aanval]]</f>
        <v>JonasTiemen</v>
      </c>
      <c r="L118" s="213" t="str">
        <f>Tabel3[[#This Row],[Groen Verdediging]]&amp;Tabel3[[#This Row],[Groen Aanval]]</f>
        <v>Stef DBert</v>
      </c>
      <c r="M118" s="213" t="str">
        <f>Tabel3[[#This Row],[Winnaar 1]]&amp;Tabel3[[#This Row],[Winnaar 2]]</f>
        <v>JonasTiemen</v>
      </c>
      <c r="N118" s="147" t="str">
        <f>IF(Tabel3[[#This Row],[Team Rood]]=Tabel3[[#This Row],[Winnaars]],Tabel3[[#This Row],[Team Rood]])</f>
        <v>JonasTiemen</v>
      </c>
      <c r="O118" s="147" t="b">
        <f>IF(Tabel3[[#This Row],[Team Groen]]=Tabel3[[#This Row],[Winnaars]],Tabel3[[#This Row],[Team Groen]])</f>
        <v>0</v>
      </c>
    </row>
    <row r="119" spans="1:15" x14ac:dyDescent="0.25">
      <c r="A119" s="14">
        <v>119</v>
      </c>
      <c r="B119" s="15" t="s">
        <v>3</v>
      </c>
      <c r="C119" s="16" t="s">
        <v>7</v>
      </c>
      <c r="D119" s="17" t="s">
        <v>8</v>
      </c>
      <c r="E119" s="18" t="s">
        <v>13</v>
      </c>
      <c r="F119" s="81">
        <v>11</v>
      </c>
      <c r="G119" s="81">
        <v>9</v>
      </c>
      <c r="H119" s="3" t="str">
        <f t="shared" si="3"/>
        <v>ROOD</v>
      </c>
      <c r="I119" s="3" t="str">
        <f t="shared" si="4"/>
        <v>Karel</v>
      </c>
      <c r="J119" s="4" t="str">
        <f t="shared" si="5"/>
        <v>Tiemen</v>
      </c>
      <c r="K119" s="213" t="str">
        <f>Tabel3[[#This Row],[Rood Verdediging]]&amp;Tabel3[[#This Row],[Rood Aanval]]</f>
        <v>KarelTiemen</v>
      </c>
      <c r="L119" s="213" t="str">
        <f>Tabel3[[#This Row],[Groen Verdediging]]&amp;Tabel3[[#This Row],[Groen Aanval]]</f>
        <v>LouisBert</v>
      </c>
      <c r="M119" s="213" t="str">
        <f>Tabel3[[#This Row],[Winnaar 1]]&amp;Tabel3[[#This Row],[Winnaar 2]]</f>
        <v>KarelTiemen</v>
      </c>
      <c r="N119" s="147" t="str">
        <f>IF(Tabel3[[#This Row],[Team Rood]]=Tabel3[[#This Row],[Winnaars]],Tabel3[[#This Row],[Team Rood]])</f>
        <v>KarelTiemen</v>
      </c>
      <c r="O119" s="147" t="b">
        <f>IF(Tabel3[[#This Row],[Team Groen]]=Tabel3[[#This Row],[Winnaars]],Tabel3[[#This Row],[Team Groen]])</f>
        <v>0</v>
      </c>
    </row>
    <row r="120" spans="1:15" x14ac:dyDescent="0.25">
      <c r="A120" s="14">
        <v>120</v>
      </c>
      <c r="B120" s="15" t="s">
        <v>0</v>
      </c>
      <c r="C120" s="16" t="s">
        <v>13</v>
      </c>
      <c r="D120" s="17" t="s">
        <v>8</v>
      </c>
      <c r="E120" s="18" t="s">
        <v>6</v>
      </c>
      <c r="F120" s="81">
        <v>9</v>
      </c>
      <c r="G120" s="81">
        <v>11</v>
      </c>
      <c r="H120" s="3" t="str">
        <f t="shared" si="3"/>
        <v>GROEN</v>
      </c>
      <c r="I120" s="3" t="str">
        <f t="shared" si="4"/>
        <v>Louis</v>
      </c>
      <c r="J120" s="4" t="str">
        <f t="shared" si="5"/>
        <v>Stef D</v>
      </c>
      <c r="K120" s="213" t="str">
        <f>Tabel3[[#This Row],[Rood Verdediging]]&amp;Tabel3[[#This Row],[Rood Aanval]]</f>
        <v>JonasBert</v>
      </c>
      <c r="L120" s="213" t="str">
        <f>Tabel3[[#This Row],[Groen Verdediging]]&amp;Tabel3[[#This Row],[Groen Aanval]]</f>
        <v>LouisStef D</v>
      </c>
      <c r="M120" s="213" t="str">
        <f>Tabel3[[#This Row],[Winnaar 1]]&amp;Tabel3[[#This Row],[Winnaar 2]]</f>
        <v>LouisStef D</v>
      </c>
      <c r="N120" s="147" t="b">
        <f>IF(Tabel3[[#This Row],[Team Rood]]=Tabel3[[#This Row],[Winnaars]],Tabel3[[#This Row],[Team Rood]])</f>
        <v>0</v>
      </c>
      <c r="O120" s="147" t="str">
        <f>IF(Tabel3[[#This Row],[Team Groen]]=Tabel3[[#This Row],[Winnaars]],Tabel3[[#This Row],[Team Groen]])</f>
        <v>LouisStef D</v>
      </c>
    </row>
    <row r="121" spans="1:15" x14ac:dyDescent="0.25">
      <c r="A121" s="14">
        <v>121</v>
      </c>
      <c r="B121" s="15" t="s">
        <v>7</v>
      </c>
      <c r="C121" s="16" t="s">
        <v>6</v>
      </c>
      <c r="D121" s="17" t="s">
        <v>0</v>
      </c>
      <c r="E121" s="18" t="s">
        <v>3</v>
      </c>
      <c r="F121" s="81">
        <v>5</v>
      </c>
      <c r="G121" s="81">
        <v>11</v>
      </c>
      <c r="H121" s="3" t="str">
        <f t="shared" si="3"/>
        <v>GROEN</v>
      </c>
      <c r="I121" s="3" t="str">
        <f t="shared" si="4"/>
        <v>Jonas</v>
      </c>
      <c r="J121" s="4" t="str">
        <f t="shared" si="5"/>
        <v>Karel</v>
      </c>
      <c r="K121" s="147" t="str">
        <f>Tabel3[[#This Row],[Rood Verdediging]]&amp;Tabel3[[#This Row],[Rood Aanval]]</f>
        <v>TiemenStef D</v>
      </c>
      <c r="L121" s="147" t="str">
        <f>Tabel3[[#This Row],[Groen Verdediging]]&amp;Tabel3[[#This Row],[Groen Aanval]]</f>
        <v>JonasKarel</v>
      </c>
      <c r="M121" s="147" t="str">
        <f>Tabel3[[#This Row],[Winnaar 1]]&amp;Tabel3[[#This Row],[Winnaar 2]]</f>
        <v>JonasKarel</v>
      </c>
      <c r="N121" s="147" t="b">
        <f>IF(Tabel3[[#This Row],[Team Rood]]=Tabel3[[#This Row],[Winnaars]],Tabel3[[#This Row],[Team Rood]])</f>
        <v>0</v>
      </c>
      <c r="O121" s="147" t="str">
        <f>IF(Tabel3[[#This Row],[Team Groen]]=Tabel3[[#This Row],[Winnaars]],Tabel3[[#This Row],[Team Groen]])</f>
        <v>JonasKarel</v>
      </c>
    </row>
    <row r="122" spans="1:15" x14ac:dyDescent="0.25">
      <c r="A122" s="14">
        <v>122</v>
      </c>
      <c r="B122" s="15" t="s">
        <v>6</v>
      </c>
      <c r="C122" s="16" t="s">
        <v>8</v>
      </c>
      <c r="D122" s="17" t="s">
        <v>3</v>
      </c>
      <c r="E122" s="18" t="s">
        <v>13</v>
      </c>
      <c r="F122" s="81">
        <v>5</v>
      </c>
      <c r="G122" s="81">
        <v>11</v>
      </c>
      <c r="H122" s="3" t="str">
        <f t="shared" si="3"/>
        <v>GROEN</v>
      </c>
      <c r="I122" s="3" t="str">
        <f t="shared" si="4"/>
        <v>Karel</v>
      </c>
      <c r="J122" s="4" t="str">
        <f t="shared" si="5"/>
        <v>Bert</v>
      </c>
      <c r="K122" s="147" t="str">
        <f>Tabel3[[#This Row],[Rood Verdediging]]&amp;Tabel3[[#This Row],[Rood Aanval]]</f>
        <v>Stef DLouis</v>
      </c>
      <c r="L122" s="147" t="str">
        <f>Tabel3[[#This Row],[Groen Verdediging]]&amp;Tabel3[[#This Row],[Groen Aanval]]</f>
        <v>KarelBert</v>
      </c>
      <c r="M122" s="147" t="str">
        <f>Tabel3[[#This Row],[Winnaar 1]]&amp;Tabel3[[#This Row],[Winnaar 2]]</f>
        <v>KarelBert</v>
      </c>
      <c r="N122" s="147" t="b">
        <f>IF(Tabel3[[#This Row],[Team Rood]]=Tabel3[[#This Row],[Winnaars]],Tabel3[[#This Row],[Team Rood]])</f>
        <v>0</v>
      </c>
      <c r="O122" s="147" t="str">
        <f>IF(Tabel3[[#This Row],[Team Groen]]=Tabel3[[#This Row],[Winnaars]],Tabel3[[#This Row],[Team Groen]])</f>
        <v>KarelBert</v>
      </c>
    </row>
    <row r="123" spans="1:15" x14ac:dyDescent="0.25">
      <c r="A123" s="14">
        <v>123</v>
      </c>
      <c r="B123" s="15" t="s">
        <v>6</v>
      </c>
      <c r="C123" s="16" t="s">
        <v>8</v>
      </c>
      <c r="D123" s="17" t="s">
        <v>13</v>
      </c>
      <c r="E123" s="18" t="s">
        <v>7</v>
      </c>
      <c r="F123" s="81">
        <v>4</v>
      </c>
      <c r="G123" s="81">
        <v>11</v>
      </c>
      <c r="H123" s="3" t="str">
        <f t="shared" si="3"/>
        <v>GROEN</v>
      </c>
      <c r="I123" s="3" t="str">
        <f t="shared" si="4"/>
        <v>Bert</v>
      </c>
      <c r="J123" s="4" t="str">
        <f t="shared" si="5"/>
        <v>Tiemen</v>
      </c>
      <c r="K123" s="147" t="str">
        <f>Tabel3[[#This Row],[Rood Verdediging]]&amp;Tabel3[[#This Row],[Rood Aanval]]</f>
        <v>Stef DLouis</v>
      </c>
      <c r="L123" s="147" t="str">
        <f>Tabel3[[#This Row],[Groen Verdediging]]&amp;Tabel3[[#This Row],[Groen Aanval]]</f>
        <v>BertTiemen</v>
      </c>
      <c r="M123" s="147" t="str">
        <f>Tabel3[[#This Row],[Winnaar 1]]&amp;Tabel3[[#This Row],[Winnaar 2]]</f>
        <v>BertTiemen</v>
      </c>
      <c r="N123" s="147" t="b">
        <f>IF(Tabel3[[#This Row],[Team Rood]]=Tabel3[[#This Row],[Winnaars]],Tabel3[[#This Row],[Team Rood]])</f>
        <v>0</v>
      </c>
      <c r="O123" s="147" t="str">
        <f>IF(Tabel3[[#This Row],[Team Groen]]=Tabel3[[#This Row],[Winnaars]],Tabel3[[#This Row],[Team Groen]])</f>
        <v>BertTiemen</v>
      </c>
    </row>
    <row r="124" spans="1:15" x14ac:dyDescent="0.25">
      <c r="A124" s="14">
        <v>124</v>
      </c>
      <c r="B124" s="15" t="s">
        <v>6</v>
      </c>
      <c r="C124" s="16" t="s">
        <v>3</v>
      </c>
      <c r="D124" s="17" t="s">
        <v>8</v>
      </c>
      <c r="E124" s="18" t="s">
        <v>13</v>
      </c>
      <c r="F124" s="81">
        <v>6</v>
      </c>
      <c r="G124" s="81">
        <v>11</v>
      </c>
      <c r="H124" s="3" t="str">
        <f t="shared" si="3"/>
        <v>GROEN</v>
      </c>
      <c r="I124" s="3" t="str">
        <f t="shared" si="4"/>
        <v>Louis</v>
      </c>
      <c r="J124" s="4" t="str">
        <f t="shared" si="5"/>
        <v>Bert</v>
      </c>
      <c r="K124" s="147" t="str">
        <f>Tabel3[[#This Row],[Rood Verdediging]]&amp;Tabel3[[#This Row],[Rood Aanval]]</f>
        <v>Stef DKarel</v>
      </c>
      <c r="L124" s="147" t="str">
        <f>Tabel3[[#This Row],[Groen Verdediging]]&amp;Tabel3[[#This Row],[Groen Aanval]]</f>
        <v>LouisBert</v>
      </c>
      <c r="M124" s="147" t="str">
        <f>Tabel3[[#This Row],[Winnaar 1]]&amp;Tabel3[[#This Row],[Winnaar 2]]</f>
        <v>LouisBert</v>
      </c>
      <c r="N124" s="147" t="b">
        <f>IF(Tabel3[[#This Row],[Team Rood]]=Tabel3[[#This Row],[Winnaars]],Tabel3[[#This Row],[Team Rood]])</f>
        <v>0</v>
      </c>
      <c r="O124" s="147" t="str">
        <f>IF(Tabel3[[#This Row],[Team Groen]]=Tabel3[[#This Row],[Winnaars]],Tabel3[[#This Row],[Team Groen]])</f>
        <v>LouisBert</v>
      </c>
    </row>
    <row r="125" spans="1:15" x14ac:dyDescent="0.25">
      <c r="A125" s="14">
        <v>125</v>
      </c>
      <c r="B125" s="15" t="s">
        <v>6</v>
      </c>
      <c r="C125" s="16" t="s">
        <v>7</v>
      </c>
      <c r="D125" s="17" t="s">
        <v>3</v>
      </c>
      <c r="E125" s="18" t="s">
        <v>13</v>
      </c>
      <c r="F125" s="81">
        <v>13</v>
      </c>
      <c r="G125" s="81">
        <v>11</v>
      </c>
      <c r="H125" s="3" t="str">
        <f t="shared" si="3"/>
        <v>ROOD</v>
      </c>
      <c r="I125" s="3" t="str">
        <f t="shared" si="4"/>
        <v>Stef D</v>
      </c>
      <c r="J125" s="4" t="str">
        <f t="shared" si="5"/>
        <v>Tiemen</v>
      </c>
      <c r="K125" s="147" t="str">
        <f>Tabel3[[#This Row],[Rood Verdediging]]&amp;Tabel3[[#This Row],[Rood Aanval]]</f>
        <v>Stef DTiemen</v>
      </c>
      <c r="L125" s="147" t="str">
        <f>Tabel3[[#This Row],[Groen Verdediging]]&amp;Tabel3[[#This Row],[Groen Aanval]]</f>
        <v>KarelBert</v>
      </c>
      <c r="M125" s="147" t="str">
        <f>Tabel3[[#This Row],[Winnaar 1]]&amp;Tabel3[[#This Row],[Winnaar 2]]</f>
        <v>Stef DTiemen</v>
      </c>
      <c r="N125" s="147" t="str">
        <f>IF(Tabel3[[#This Row],[Team Rood]]=Tabel3[[#This Row],[Winnaars]],Tabel3[[#This Row],[Team Rood]])</f>
        <v>Stef DTiemen</v>
      </c>
      <c r="O125" s="147" t="b">
        <f>IF(Tabel3[[#This Row],[Team Groen]]=Tabel3[[#This Row],[Winnaars]],Tabel3[[#This Row],[Team Groen]])</f>
        <v>0</v>
      </c>
    </row>
    <row r="126" spans="1:15" x14ac:dyDescent="0.25">
      <c r="A126" s="14">
        <v>126</v>
      </c>
      <c r="B126" s="15" t="s">
        <v>13</v>
      </c>
      <c r="C126" s="16" t="s">
        <v>7</v>
      </c>
      <c r="D126" s="17" t="s">
        <v>3</v>
      </c>
      <c r="E126" s="18" t="s">
        <v>8</v>
      </c>
      <c r="F126" s="81">
        <v>11</v>
      </c>
      <c r="G126" s="81">
        <v>7</v>
      </c>
      <c r="H126" s="3" t="str">
        <f t="shared" si="3"/>
        <v>ROOD</v>
      </c>
      <c r="I126" s="3" t="str">
        <f t="shared" si="4"/>
        <v>Bert</v>
      </c>
      <c r="J126" s="4" t="str">
        <f t="shared" si="5"/>
        <v>Tiemen</v>
      </c>
      <c r="K126" s="147" t="str">
        <f>Tabel3[[#This Row],[Rood Verdediging]]&amp;Tabel3[[#This Row],[Rood Aanval]]</f>
        <v>BertTiemen</v>
      </c>
      <c r="L126" s="147" t="str">
        <f>Tabel3[[#This Row],[Groen Verdediging]]&amp;Tabel3[[#This Row],[Groen Aanval]]</f>
        <v>KarelLouis</v>
      </c>
      <c r="M126" s="147" t="str">
        <f>Tabel3[[#This Row],[Winnaar 1]]&amp;Tabel3[[#This Row],[Winnaar 2]]</f>
        <v>BertTiemen</v>
      </c>
      <c r="N126" s="147" t="str">
        <f>IF(Tabel3[[#This Row],[Team Rood]]=Tabel3[[#This Row],[Winnaars]],Tabel3[[#This Row],[Team Rood]])</f>
        <v>BertTiemen</v>
      </c>
      <c r="O126" s="147" t="b">
        <f>IF(Tabel3[[#This Row],[Team Groen]]=Tabel3[[#This Row],[Winnaars]],Tabel3[[#This Row],[Team Groen]])</f>
        <v>0</v>
      </c>
    </row>
    <row r="127" spans="1:15" x14ac:dyDescent="0.25">
      <c r="A127" s="14">
        <v>127</v>
      </c>
      <c r="B127" s="15" t="s">
        <v>7</v>
      </c>
      <c r="C127" s="16" t="s">
        <v>13</v>
      </c>
      <c r="D127" s="17" t="s">
        <v>8</v>
      </c>
      <c r="E127" s="18" t="s">
        <v>3</v>
      </c>
      <c r="F127" s="81">
        <v>11</v>
      </c>
      <c r="G127" s="81">
        <v>3</v>
      </c>
      <c r="H127" s="3" t="str">
        <f t="shared" si="3"/>
        <v>ROOD</v>
      </c>
      <c r="I127" s="3" t="str">
        <f t="shared" si="4"/>
        <v>Tiemen</v>
      </c>
      <c r="J127" s="4" t="str">
        <f t="shared" si="5"/>
        <v>Bert</v>
      </c>
      <c r="K127" s="147" t="str">
        <f>Tabel3[[#This Row],[Rood Verdediging]]&amp;Tabel3[[#This Row],[Rood Aanval]]</f>
        <v>TiemenBert</v>
      </c>
      <c r="L127" s="147" t="str">
        <f>Tabel3[[#This Row],[Groen Verdediging]]&amp;Tabel3[[#This Row],[Groen Aanval]]</f>
        <v>LouisKarel</v>
      </c>
      <c r="M127" s="147" t="str">
        <f>Tabel3[[#This Row],[Winnaar 1]]&amp;Tabel3[[#This Row],[Winnaar 2]]</f>
        <v>TiemenBert</v>
      </c>
      <c r="N127" s="147" t="str">
        <f>IF(Tabel3[[#This Row],[Team Rood]]=Tabel3[[#This Row],[Winnaars]],Tabel3[[#This Row],[Team Rood]])</f>
        <v>TiemenBert</v>
      </c>
      <c r="O127" s="147" t="b">
        <f>IF(Tabel3[[#This Row],[Team Groen]]=Tabel3[[#This Row],[Winnaars]],Tabel3[[#This Row],[Team Groen]])</f>
        <v>0</v>
      </c>
    </row>
    <row r="128" spans="1:15" x14ac:dyDescent="0.25">
      <c r="A128" s="14">
        <v>128</v>
      </c>
      <c r="B128" s="15" t="s">
        <v>8</v>
      </c>
      <c r="C128" s="16" t="s">
        <v>6</v>
      </c>
      <c r="D128" s="17" t="s">
        <v>0</v>
      </c>
      <c r="E128" s="18" t="s">
        <v>7</v>
      </c>
      <c r="F128" s="81">
        <v>12</v>
      </c>
      <c r="G128" s="81">
        <v>10</v>
      </c>
      <c r="H128" s="3" t="str">
        <f t="shared" si="3"/>
        <v>ROOD</v>
      </c>
      <c r="I128" s="3" t="str">
        <f t="shared" si="4"/>
        <v>Louis</v>
      </c>
      <c r="J128" s="4" t="str">
        <f t="shared" si="5"/>
        <v>Stef D</v>
      </c>
      <c r="K128" s="147" t="str">
        <f>Tabel3[[#This Row],[Rood Verdediging]]&amp;Tabel3[[#This Row],[Rood Aanval]]</f>
        <v>LouisStef D</v>
      </c>
      <c r="L128" s="147" t="str">
        <f>Tabel3[[#This Row],[Groen Verdediging]]&amp;Tabel3[[#This Row],[Groen Aanval]]</f>
        <v>JonasTiemen</v>
      </c>
      <c r="M128" s="147" t="str">
        <f>Tabel3[[#This Row],[Winnaar 1]]&amp;Tabel3[[#This Row],[Winnaar 2]]</f>
        <v>LouisStef D</v>
      </c>
      <c r="N128" s="147" t="str">
        <f>IF(Tabel3[[#This Row],[Team Rood]]=Tabel3[[#This Row],[Winnaars]],Tabel3[[#This Row],[Team Rood]])</f>
        <v>LouisStef D</v>
      </c>
      <c r="O128" s="147" t="b">
        <f>IF(Tabel3[[#This Row],[Team Groen]]=Tabel3[[#This Row],[Winnaars]],Tabel3[[#This Row],[Team Groen]])</f>
        <v>0</v>
      </c>
    </row>
    <row r="129" spans="1:15" x14ac:dyDescent="0.25">
      <c r="A129" s="14">
        <v>129</v>
      </c>
      <c r="B129" s="15" t="s">
        <v>3</v>
      </c>
      <c r="C129" s="16" t="s">
        <v>13</v>
      </c>
      <c r="D129" s="17" t="s">
        <v>11</v>
      </c>
      <c r="E129" s="18" t="s">
        <v>7</v>
      </c>
      <c r="F129" s="81">
        <v>11</v>
      </c>
      <c r="G129" s="81">
        <v>4</v>
      </c>
      <c r="H129" s="3" t="str">
        <f t="shared" si="3"/>
        <v>ROOD</v>
      </c>
      <c r="I129" s="3" t="str">
        <f t="shared" si="4"/>
        <v>Karel</v>
      </c>
      <c r="J129" s="4" t="str">
        <f t="shared" si="5"/>
        <v>Bert</v>
      </c>
      <c r="K129" s="147" t="str">
        <f>Tabel3[[#This Row],[Rood Verdediging]]&amp;Tabel3[[#This Row],[Rood Aanval]]</f>
        <v>KarelBert</v>
      </c>
      <c r="L129" s="147" t="str">
        <f>Tabel3[[#This Row],[Groen Verdediging]]&amp;Tabel3[[#This Row],[Groen Aanval]]</f>
        <v>MatthijsTiemen</v>
      </c>
      <c r="M129" s="147" t="str">
        <f>Tabel3[[#This Row],[Winnaar 1]]&amp;Tabel3[[#This Row],[Winnaar 2]]</f>
        <v>KarelBert</v>
      </c>
      <c r="N129" s="147" t="str">
        <f>IF(Tabel3[[#This Row],[Team Rood]]=Tabel3[[#This Row],[Winnaars]],Tabel3[[#This Row],[Team Rood]])</f>
        <v>KarelBert</v>
      </c>
      <c r="O129" s="147" t="b">
        <f>IF(Tabel3[[#This Row],[Team Groen]]=Tabel3[[#This Row],[Winnaars]],Tabel3[[#This Row],[Team Groen]])</f>
        <v>0</v>
      </c>
    </row>
    <row r="130" spans="1:15" x14ac:dyDescent="0.25">
      <c r="A130" s="14">
        <v>130</v>
      </c>
      <c r="B130" s="15" t="s">
        <v>8</v>
      </c>
      <c r="C130" s="16" t="s">
        <v>3</v>
      </c>
      <c r="D130" s="17" t="s">
        <v>11</v>
      </c>
      <c r="E130" s="18" t="s">
        <v>0</v>
      </c>
      <c r="F130" s="81">
        <v>11</v>
      </c>
      <c r="G130" s="81">
        <v>5</v>
      </c>
      <c r="H130" s="3" t="str">
        <f t="shared" ref="H130:H193" si="6">IF(F130&gt;G130,"ROOD",IF(F130=G130,"","GROEN"))</f>
        <v>ROOD</v>
      </c>
      <c r="I130" s="3" t="str">
        <f t="shared" ref="I130:I193" si="7">IF(F130&gt;G130,B130,IF(F130=0,"",D130))</f>
        <v>Louis</v>
      </c>
      <c r="J130" s="4" t="str">
        <f t="shared" ref="J130:J193" si="8">IF(F130&gt;G130,C130,IF(F130=0,"",E130))</f>
        <v>Karel</v>
      </c>
      <c r="K130" s="147" t="str">
        <f>Tabel3[[#This Row],[Rood Verdediging]]&amp;Tabel3[[#This Row],[Rood Aanval]]</f>
        <v>LouisKarel</v>
      </c>
      <c r="L130" s="147" t="str">
        <f>Tabel3[[#This Row],[Groen Verdediging]]&amp;Tabel3[[#This Row],[Groen Aanval]]</f>
        <v>MatthijsJonas</v>
      </c>
      <c r="M130" s="147" t="str">
        <f>Tabel3[[#This Row],[Winnaar 1]]&amp;Tabel3[[#This Row],[Winnaar 2]]</f>
        <v>LouisKarel</v>
      </c>
      <c r="N130" s="147" t="str">
        <f>IF(Tabel3[[#This Row],[Team Rood]]=Tabel3[[#This Row],[Winnaars]],Tabel3[[#This Row],[Team Rood]])</f>
        <v>LouisKarel</v>
      </c>
      <c r="O130" s="147" t="b">
        <f>IF(Tabel3[[#This Row],[Team Groen]]=Tabel3[[#This Row],[Winnaars]],Tabel3[[#This Row],[Team Groen]])</f>
        <v>0</v>
      </c>
    </row>
    <row r="131" spans="1:15" x14ac:dyDescent="0.25">
      <c r="A131" s="14">
        <v>131</v>
      </c>
      <c r="B131" s="15" t="s">
        <v>0</v>
      </c>
      <c r="C131" s="16" t="s">
        <v>3</v>
      </c>
      <c r="D131" s="17" t="s">
        <v>8</v>
      </c>
      <c r="E131" s="18" t="s">
        <v>13</v>
      </c>
      <c r="F131" s="81">
        <v>11</v>
      </c>
      <c r="G131" s="81">
        <v>8</v>
      </c>
      <c r="H131" s="3" t="str">
        <f t="shared" si="6"/>
        <v>ROOD</v>
      </c>
      <c r="I131" s="3" t="str">
        <f t="shared" si="7"/>
        <v>Jonas</v>
      </c>
      <c r="J131" s="4" t="str">
        <f t="shared" si="8"/>
        <v>Karel</v>
      </c>
      <c r="K131" s="147" t="str">
        <f>Tabel3[[#This Row],[Rood Verdediging]]&amp;Tabel3[[#This Row],[Rood Aanval]]</f>
        <v>JonasKarel</v>
      </c>
      <c r="L131" s="147" t="str">
        <f>Tabel3[[#This Row],[Groen Verdediging]]&amp;Tabel3[[#This Row],[Groen Aanval]]</f>
        <v>LouisBert</v>
      </c>
      <c r="M131" s="147" t="str">
        <f>Tabel3[[#This Row],[Winnaar 1]]&amp;Tabel3[[#This Row],[Winnaar 2]]</f>
        <v>JonasKarel</v>
      </c>
      <c r="N131" s="147" t="str">
        <f>IF(Tabel3[[#This Row],[Team Rood]]=Tabel3[[#This Row],[Winnaars]],Tabel3[[#This Row],[Team Rood]])</f>
        <v>JonasKarel</v>
      </c>
      <c r="O131" s="147" t="b">
        <f>IF(Tabel3[[#This Row],[Team Groen]]=Tabel3[[#This Row],[Winnaars]],Tabel3[[#This Row],[Team Groen]])</f>
        <v>0</v>
      </c>
    </row>
    <row r="132" spans="1:15" x14ac:dyDescent="0.25">
      <c r="A132" s="14">
        <v>132</v>
      </c>
      <c r="B132" s="15" t="s">
        <v>6</v>
      </c>
      <c r="C132" s="16" t="s">
        <v>7</v>
      </c>
      <c r="D132" s="17" t="s">
        <v>11</v>
      </c>
      <c r="E132" s="18" t="s">
        <v>8</v>
      </c>
      <c r="F132" s="81">
        <v>11</v>
      </c>
      <c r="G132" s="81">
        <v>3</v>
      </c>
      <c r="H132" s="3" t="str">
        <f t="shared" si="6"/>
        <v>ROOD</v>
      </c>
      <c r="I132" s="3" t="str">
        <f t="shared" si="7"/>
        <v>Stef D</v>
      </c>
      <c r="J132" s="4" t="str">
        <f t="shared" si="8"/>
        <v>Tiemen</v>
      </c>
      <c r="K132" s="147" t="str">
        <f>Tabel3[[#This Row],[Rood Verdediging]]&amp;Tabel3[[#This Row],[Rood Aanval]]</f>
        <v>Stef DTiemen</v>
      </c>
      <c r="L132" s="147" t="str">
        <f>Tabel3[[#This Row],[Groen Verdediging]]&amp;Tabel3[[#This Row],[Groen Aanval]]</f>
        <v>MatthijsLouis</v>
      </c>
      <c r="M132" s="147" t="str">
        <f>Tabel3[[#This Row],[Winnaar 1]]&amp;Tabel3[[#This Row],[Winnaar 2]]</f>
        <v>Stef DTiemen</v>
      </c>
      <c r="N132" s="147" t="str">
        <f>IF(Tabel3[[#This Row],[Team Rood]]=Tabel3[[#This Row],[Winnaars]],Tabel3[[#This Row],[Team Rood]])</f>
        <v>Stef DTiemen</v>
      </c>
      <c r="O132" s="147" t="b">
        <f>IF(Tabel3[[#This Row],[Team Groen]]=Tabel3[[#This Row],[Winnaars]],Tabel3[[#This Row],[Team Groen]])</f>
        <v>0</v>
      </c>
    </row>
    <row r="133" spans="1:15" x14ac:dyDescent="0.25">
      <c r="A133" s="14">
        <v>133</v>
      </c>
      <c r="B133" s="15" t="s">
        <v>0</v>
      </c>
      <c r="C133" s="16" t="s">
        <v>13</v>
      </c>
      <c r="D133" s="17" t="s">
        <v>3</v>
      </c>
      <c r="E133" s="18" t="s">
        <v>7</v>
      </c>
      <c r="F133" s="81">
        <v>12</v>
      </c>
      <c r="G133" s="81">
        <v>10</v>
      </c>
      <c r="H133" s="3" t="str">
        <f t="shared" si="6"/>
        <v>ROOD</v>
      </c>
      <c r="I133" s="3" t="str">
        <f t="shared" si="7"/>
        <v>Jonas</v>
      </c>
      <c r="J133" s="4" t="str">
        <f t="shared" si="8"/>
        <v>Bert</v>
      </c>
      <c r="K133" s="147" t="str">
        <f>Tabel3[[#This Row],[Rood Verdediging]]&amp;Tabel3[[#This Row],[Rood Aanval]]</f>
        <v>JonasBert</v>
      </c>
      <c r="L133" s="147" t="str">
        <f>Tabel3[[#This Row],[Groen Verdediging]]&amp;Tabel3[[#This Row],[Groen Aanval]]</f>
        <v>KarelTiemen</v>
      </c>
      <c r="M133" s="147" t="str">
        <f>Tabel3[[#This Row],[Winnaar 1]]&amp;Tabel3[[#This Row],[Winnaar 2]]</f>
        <v>JonasBert</v>
      </c>
      <c r="N133" s="147" t="str">
        <f>IF(Tabel3[[#This Row],[Team Rood]]=Tabel3[[#This Row],[Winnaars]],Tabel3[[#This Row],[Team Rood]])</f>
        <v>JonasBert</v>
      </c>
      <c r="O133" s="147" t="b">
        <f>IF(Tabel3[[#This Row],[Team Groen]]=Tabel3[[#This Row],[Winnaars]],Tabel3[[#This Row],[Team Groen]])</f>
        <v>0</v>
      </c>
    </row>
    <row r="134" spans="1:15" x14ac:dyDescent="0.25">
      <c r="A134" s="14">
        <v>134</v>
      </c>
      <c r="B134" s="15" t="s">
        <v>8</v>
      </c>
      <c r="C134" s="16" t="s">
        <v>11</v>
      </c>
      <c r="D134" s="17" t="s">
        <v>3</v>
      </c>
      <c r="E134" s="18" t="s">
        <v>6</v>
      </c>
      <c r="F134" s="81">
        <v>3</v>
      </c>
      <c r="G134" s="81">
        <v>11</v>
      </c>
      <c r="H134" s="3" t="str">
        <f t="shared" si="6"/>
        <v>GROEN</v>
      </c>
      <c r="I134" s="3" t="str">
        <f t="shared" si="7"/>
        <v>Karel</v>
      </c>
      <c r="J134" s="4" t="str">
        <f t="shared" si="8"/>
        <v>Stef D</v>
      </c>
      <c r="K134" s="147" t="str">
        <f>Tabel3[[#This Row],[Rood Verdediging]]&amp;Tabel3[[#This Row],[Rood Aanval]]</f>
        <v>LouisMatthijs</v>
      </c>
      <c r="L134" s="147" t="str">
        <f>Tabel3[[#This Row],[Groen Verdediging]]&amp;Tabel3[[#This Row],[Groen Aanval]]</f>
        <v>KarelStef D</v>
      </c>
      <c r="M134" s="147" t="str">
        <f>Tabel3[[#This Row],[Winnaar 1]]&amp;Tabel3[[#This Row],[Winnaar 2]]</f>
        <v>KarelStef D</v>
      </c>
      <c r="N134" s="147" t="b">
        <f>IF(Tabel3[[#This Row],[Team Rood]]=Tabel3[[#This Row],[Winnaars]],Tabel3[[#This Row],[Team Rood]])</f>
        <v>0</v>
      </c>
      <c r="O134" s="147" t="str">
        <f>IF(Tabel3[[#This Row],[Team Groen]]=Tabel3[[#This Row],[Winnaars]],Tabel3[[#This Row],[Team Groen]])</f>
        <v>KarelStef D</v>
      </c>
    </row>
    <row r="135" spans="1:15" x14ac:dyDescent="0.25">
      <c r="A135" s="14">
        <v>135</v>
      </c>
      <c r="B135" s="15" t="s">
        <v>0</v>
      </c>
      <c r="C135" s="16" t="s">
        <v>11</v>
      </c>
      <c r="D135" s="17" t="s">
        <v>8</v>
      </c>
      <c r="E135" s="18" t="s">
        <v>13</v>
      </c>
      <c r="F135" s="81">
        <v>7</v>
      </c>
      <c r="G135" s="81">
        <v>11</v>
      </c>
      <c r="H135" s="3" t="str">
        <f t="shared" si="6"/>
        <v>GROEN</v>
      </c>
      <c r="I135" s="3" t="str">
        <f t="shared" si="7"/>
        <v>Louis</v>
      </c>
      <c r="J135" s="4" t="str">
        <f t="shared" si="8"/>
        <v>Bert</v>
      </c>
      <c r="K135" s="147" t="str">
        <f>Tabel3[[#This Row],[Rood Verdediging]]&amp;Tabel3[[#This Row],[Rood Aanval]]</f>
        <v>JonasMatthijs</v>
      </c>
      <c r="L135" s="147" t="str">
        <f>Tabel3[[#This Row],[Groen Verdediging]]&amp;Tabel3[[#This Row],[Groen Aanval]]</f>
        <v>LouisBert</v>
      </c>
      <c r="M135" s="147" t="str">
        <f>Tabel3[[#This Row],[Winnaar 1]]&amp;Tabel3[[#This Row],[Winnaar 2]]</f>
        <v>LouisBert</v>
      </c>
      <c r="N135" s="147" t="b">
        <f>IF(Tabel3[[#This Row],[Team Rood]]=Tabel3[[#This Row],[Winnaars]],Tabel3[[#This Row],[Team Rood]])</f>
        <v>0</v>
      </c>
      <c r="O135" s="147" t="str">
        <f>IF(Tabel3[[#This Row],[Team Groen]]=Tabel3[[#This Row],[Winnaars]],Tabel3[[#This Row],[Team Groen]])</f>
        <v>LouisBert</v>
      </c>
    </row>
    <row r="136" spans="1:15" x14ac:dyDescent="0.25">
      <c r="A136" s="14">
        <v>136</v>
      </c>
      <c r="B136" s="15" t="s">
        <v>6</v>
      </c>
      <c r="C136" s="16" t="s">
        <v>13</v>
      </c>
      <c r="D136" s="17" t="s">
        <v>3</v>
      </c>
      <c r="E136" s="18" t="s">
        <v>0</v>
      </c>
      <c r="F136" s="81">
        <v>11</v>
      </c>
      <c r="G136" s="81">
        <v>9</v>
      </c>
      <c r="H136" s="3" t="str">
        <f t="shared" si="6"/>
        <v>ROOD</v>
      </c>
      <c r="I136" s="3" t="str">
        <f t="shared" si="7"/>
        <v>Stef D</v>
      </c>
      <c r="J136" s="4" t="str">
        <f t="shared" si="8"/>
        <v>Bert</v>
      </c>
      <c r="K136" s="147" t="str">
        <f>Tabel3[[#This Row],[Rood Verdediging]]&amp;Tabel3[[#This Row],[Rood Aanval]]</f>
        <v>Stef DBert</v>
      </c>
      <c r="L136" s="147" t="str">
        <f>Tabel3[[#This Row],[Groen Verdediging]]&amp;Tabel3[[#This Row],[Groen Aanval]]</f>
        <v>KarelJonas</v>
      </c>
      <c r="M136" s="147" t="str">
        <f>Tabel3[[#This Row],[Winnaar 1]]&amp;Tabel3[[#This Row],[Winnaar 2]]</f>
        <v>Stef DBert</v>
      </c>
      <c r="N136" s="147" t="str">
        <f>IF(Tabel3[[#This Row],[Team Rood]]=Tabel3[[#This Row],[Winnaars]],Tabel3[[#This Row],[Team Rood]])</f>
        <v>Stef DBert</v>
      </c>
      <c r="O136" s="147" t="b">
        <f>IF(Tabel3[[#This Row],[Team Groen]]=Tabel3[[#This Row],[Winnaars]],Tabel3[[#This Row],[Team Groen]])</f>
        <v>0</v>
      </c>
    </row>
    <row r="137" spans="1:15" x14ac:dyDescent="0.25">
      <c r="A137" s="14">
        <v>137</v>
      </c>
      <c r="B137" s="15" t="s">
        <v>0</v>
      </c>
      <c r="C137" s="16" t="s">
        <v>3</v>
      </c>
      <c r="D137" s="17" t="s">
        <v>11</v>
      </c>
      <c r="E137" s="18" t="s">
        <v>8</v>
      </c>
      <c r="F137" s="81">
        <v>11</v>
      </c>
      <c r="G137" s="81">
        <v>5</v>
      </c>
      <c r="H137" s="3" t="str">
        <f t="shared" si="6"/>
        <v>ROOD</v>
      </c>
      <c r="I137" s="3" t="str">
        <f t="shared" si="7"/>
        <v>Jonas</v>
      </c>
      <c r="J137" s="4" t="str">
        <f t="shared" si="8"/>
        <v>Karel</v>
      </c>
      <c r="K137" s="147" t="str">
        <f>Tabel3[[#This Row],[Rood Verdediging]]&amp;Tabel3[[#This Row],[Rood Aanval]]</f>
        <v>JonasKarel</v>
      </c>
      <c r="L137" s="147" t="str">
        <f>Tabel3[[#This Row],[Groen Verdediging]]&amp;Tabel3[[#This Row],[Groen Aanval]]</f>
        <v>MatthijsLouis</v>
      </c>
      <c r="M137" s="147" t="str">
        <f>Tabel3[[#This Row],[Winnaar 1]]&amp;Tabel3[[#This Row],[Winnaar 2]]</f>
        <v>JonasKarel</v>
      </c>
      <c r="N137" s="147" t="str">
        <f>IF(Tabel3[[#This Row],[Team Rood]]=Tabel3[[#This Row],[Winnaars]],Tabel3[[#This Row],[Team Rood]])</f>
        <v>JonasKarel</v>
      </c>
      <c r="O137" s="147" t="b">
        <f>IF(Tabel3[[#This Row],[Team Groen]]=Tabel3[[#This Row],[Winnaars]],Tabel3[[#This Row],[Team Groen]])</f>
        <v>0</v>
      </c>
    </row>
    <row r="138" spans="1:15" x14ac:dyDescent="0.25">
      <c r="A138" s="14">
        <v>138</v>
      </c>
      <c r="B138" s="15" t="s">
        <v>8</v>
      </c>
      <c r="C138" s="16" t="s">
        <v>0</v>
      </c>
      <c r="D138" s="17" t="s">
        <v>11</v>
      </c>
      <c r="E138" s="18" t="s">
        <v>6</v>
      </c>
      <c r="F138" s="81">
        <v>7</v>
      </c>
      <c r="G138" s="81">
        <v>11</v>
      </c>
      <c r="H138" s="3" t="str">
        <f t="shared" si="6"/>
        <v>GROEN</v>
      </c>
      <c r="I138" s="3" t="str">
        <f t="shared" si="7"/>
        <v>Matthijs</v>
      </c>
      <c r="J138" s="4" t="str">
        <f t="shared" si="8"/>
        <v>Stef D</v>
      </c>
      <c r="K138" s="147" t="str">
        <f>Tabel3[[#This Row],[Rood Verdediging]]&amp;Tabel3[[#This Row],[Rood Aanval]]</f>
        <v>LouisJonas</v>
      </c>
      <c r="L138" s="147" t="str">
        <f>Tabel3[[#This Row],[Groen Verdediging]]&amp;Tabel3[[#This Row],[Groen Aanval]]</f>
        <v>MatthijsStef D</v>
      </c>
      <c r="M138" s="147" t="str">
        <f>Tabel3[[#This Row],[Winnaar 1]]&amp;Tabel3[[#This Row],[Winnaar 2]]</f>
        <v>MatthijsStef D</v>
      </c>
      <c r="N138" s="147" t="b">
        <f>IF(Tabel3[[#This Row],[Team Rood]]=Tabel3[[#This Row],[Winnaars]],Tabel3[[#This Row],[Team Rood]])</f>
        <v>0</v>
      </c>
      <c r="O138" s="147" t="str">
        <f>IF(Tabel3[[#This Row],[Team Groen]]=Tabel3[[#This Row],[Winnaars]],Tabel3[[#This Row],[Team Groen]])</f>
        <v>MatthijsStef D</v>
      </c>
    </row>
    <row r="139" spans="1:15" x14ac:dyDescent="0.25">
      <c r="A139" s="14">
        <v>139</v>
      </c>
      <c r="B139" s="15" t="s">
        <v>0</v>
      </c>
      <c r="C139" s="16" t="s">
        <v>6</v>
      </c>
      <c r="D139" s="17" t="s">
        <v>8</v>
      </c>
      <c r="E139" s="18" t="s">
        <v>3</v>
      </c>
      <c r="F139" s="81">
        <v>11</v>
      </c>
      <c r="G139" s="81">
        <v>6</v>
      </c>
      <c r="H139" s="3" t="str">
        <f t="shared" si="6"/>
        <v>ROOD</v>
      </c>
      <c r="I139" s="3" t="str">
        <f t="shared" si="7"/>
        <v>Jonas</v>
      </c>
      <c r="J139" s="4" t="str">
        <f t="shared" si="8"/>
        <v>Stef D</v>
      </c>
      <c r="K139" s="147" t="str">
        <f>Tabel3[[#This Row],[Rood Verdediging]]&amp;Tabel3[[#This Row],[Rood Aanval]]</f>
        <v>JonasStef D</v>
      </c>
      <c r="L139" s="147" t="str">
        <f>Tabel3[[#This Row],[Groen Verdediging]]&amp;Tabel3[[#This Row],[Groen Aanval]]</f>
        <v>LouisKarel</v>
      </c>
      <c r="M139" s="147" t="str">
        <f>Tabel3[[#This Row],[Winnaar 1]]&amp;Tabel3[[#This Row],[Winnaar 2]]</f>
        <v>JonasStef D</v>
      </c>
      <c r="N139" s="147" t="str">
        <f>IF(Tabel3[[#This Row],[Team Rood]]=Tabel3[[#This Row],[Winnaars]],Tabel3[[#This Row],[Team Rood]])</f>
        <v>JonasStef D</v>
      </c>
      <c r="O139" s="147" t="b">
        <f>IF(Tabel3[[#This Row],[Team Groen]]=Tabel3[[#This Row],[Winnaars]],Tabel3[[#This Row],[Team Groen]])</f>
        <v>0</v>
      </c>
    </row>
    <row r="140" spans="1:15" x14ac:dyDescent="0.25">
      <c r="A140" s="14">
        <v>140</v>
      </c>
      <c r="B140" s="15" t="s">
        <v>8</v>
      </c>
      <c r="C140" s="16" t="s">
        <v>6</v>
      </c>
      <c r="D140" s="17" t="s">
        <v>0</v>
      </c>
      <c r="E140" s="18" t="s">
        <v>13</v>
      </c>
      <c r="F140" s="81">
        <v>11</v>
      </c>
      <c r="G140" s="81">
        <v>6</v>
      </c>
      <c r="H140" s="3" t="str">
        <f t="shared" si="6"/>
        <v>ROOD</v>
      </c>
      <c r="I140" s="3" t="str">
        <f t="shared" si="7"/>
        <v>Louis</v>
      </c>
      <c r="J140" s="4" t="str">
        <f t="shared" si="8"/>
        <v>Stef D</v>
      </c>
      <c r="K140" s="147" t="str">
        <f>Tabel3[[#This Row],[Rood Verdediging]]&amp;Tabel3[[#This Row],[Rood Aanval]]</f>
        <v>LouisStef D</v>
      </c>
      <c r="L140" s="147" t="str">
        <f>Tabel3[[#This Row],[Groen Verdediging]]&amp;Tabel3[[#This Row],[Groen Aanval]]</f>
        <v>JonasBert</v>
      </c>
      <c r="M140" s="147" t="str">
        <f>Tabel3[[#This Row],[Winnaar 1]]&amp;Tabel3[[#This Row],[Winnaar 2]]</f>
        <v>LouisStef D</v>
      </c>
      <c r="N140" s="147" t="str">
        <f>IF(Tabel3[[#This Row],[Team Rood]]=Tabel3[[#This Row],[Winnaars]],Tabel3[[#This Row],[Team Rood]])</f>
        <v>LouisStef D</v>
      </c>
      <c r="O140" s="147" t="b">
        <f>IF(Tabel3[[#This Row],[Team Groen]]=Tabel3[[#This Row],[Winnaars]],Tabel3[[#This Row],[Team Groen]])</f>
        <v>0</v>
      </c>
    </row>
    <row r="141" spans="1:15" x14ac:dyDescent="0.25">
      <c r="A141" s="14">
        <v>141</v>
      </c>
      <c r="B141" s="15" t="s">
        <v>6</v>
      </c>
      <c r="C141" s="16" t="s">
        <v>13</v>
      </c>
      <c r="D141" s="17" t="s">
        <v>8</v>
      </c>
      <c r="E141" s="18" t="s">
        <v>0</v>
      </c>
      <c r="F141" s="81">
        <v>11</v>
      </c>
      <c r="G141" s="81">
        <v>5</v>
      </c>
      <c r="H141" s="3" t="str">
        <f t="shared" si="6"/>
        <v>ROOD</v>
      </c>
      <c r="I141" s="3" t="str">
        <f t="shared" si="7"/>
        <v>Stef D</v>
      </c>
      <c r="J141" s="4" t="str">
        <f t="shared" si="8"/>
        <v>Bert</v>
      </c>
      <c r="K141" s="147" t="str">
        <f>Tabel3[[#This Row],[Rood Verdediging]]&amp;Tabel3[[#This Row],[Rood Aanval]]</f>
        <v>Stef DBert</v>
      </c>
      <c r="L141" s="147" t="str">
        <f>Tabel3[[#This Row],[Groen Verdediging]]&amp;Tabel3[[#This Row],[Groen Aanval]]</f>
        <v>LouisJonas</v>
      </c>
      <c r="M141" s="147" t="str">
        <f>Tabel3[[#This Row],[Winnaar 1]]&amp;Tabel3[[#This Row],[Winnaar 2]]</f>
        <v>Stef DBert</v>
      </c>
      <c r="N141" s="147" t="str">
        <f>IF(Tabel3[[#This Row],[Team Rood]]=Tabel3[[#This Row],[Winnaars]],Tabel3[[#This Row],[Team Rood]])</f>
        <v>Stef DBert</v>
      </c>
      <c r="O141" s="147" t="b">
        <f>IF(Tabel3[[#This Row],[Team Groen]]=Tabel3[[#This Row],[Winnaars]],Tabel3[[#This Row],[Team Groen]])</f>
        <v>0</v>
      </c>
    </row>
    <row r="142" spans="1:15" x14ac:dyDescent="0.25">
      <c r="A142" s="14">
        <v>142</v>
      </c>
      <c r="B142" s="15" t="s">
        <v>0</v>
      </c>
      <c r="C142" s="16" t="s">
        <v>6</v>
      </c>
      <c r="D142" s="17" t="s">
        <v>8</v>
      </c>
      <c r="E142" s="18" t="s">
        <v>18</v>
      </c>
      <c r="F142" s="81">
        <v>10</v>
      </c>
      <c r="G142" s="81">
        <v>12</v>
      </c>
      <c r="H142" s="3" t="str">
        <f t="shared" si="6"/>
        <v>GROEN</v>
      </c>
      <c r="I142" s="3" t="str">
        <f t="shared" si="7"/>
        <v>Louis</v>
      </c>
      <c r="J142" s="4" t="str">
        <f t="shared" si="8"/>
        <v xml:space="preserve">Bert </v>
      </c>
      <c r="K142" s="147" t="str">
        <f>Tabel3[[#This Row],[Rood Verdediging]]&amp;Tabel3[[#This Row],[Rood Aanval]]</f>
        <v>JonasStef D</v>
      </c>
      <c r="L142" s="147" t="str">
        <f>Tabel3[[#This Row],[Groen Verdediging]]&amp;Tabel3[[#This Row],[Groen Aanval]]</f>
        <v xml:space="preserve">LouisBert </v>
      </c>
      <c r="M142" s="147" t="str">
        <f>Tabel3[[#This Row],[Winnaar 1]]&amp;Tabel3[[#This Row],[Winnaar 2]]</f>
        <v xml:space="preserve">LouisBert </v>
      </c>
      <c r="N142" s="147" t="b">
        <f>IF(Tabel3[[#This Row],[Team Rood]]=Tabel3[[#This Row],[Winnaars]],Tabel3[[#This Row],[Team Rood]])</f>
        <v>0</v>
      </c>
      <c r="O142" s="147" t="str">
        <f>IF(Tabel3[[#This Row],[Team Groen]]=Tabel3[[#This Row],[Winnaars]],Tabel3[[#This Row],[Team Groen]])</f>
        <v xml:space="preserve">LouisBert </v>
      </c>
    </row>
    <row r="143" spans="1:15" x14ac:dyDescent="0.25">
      <c r="A143" s="14">
        <v>143</v>
      </c>
      <c r="B143" s="15" t="s">
        <v>0</v>
      </c>
      <c r="C143" s="16" t="s">
        <v>13</v>
      </c>
      <c r="D143" s="17" t="s">
        <v>8</v>
      </c>
      <c r="E143" s="18" t="s">
        <v>6</v>
      </c>
      <c r="F143" s="81">
        <v>8</v>
      </c>
      <c r="G143" s="81">
        <v>11</v>
      </c>
      <c r="H143" s="3" t="str">
        <f t="shared" si="6"/>
        <v>GROEN</v>
      </c>
      <c r="I143" s="3" t="str">
        <f t="shared" si="7"/>
        <v>Louis</v>
      </c>
      <c r="J143" s="4" t="str">
        <f t="shared" si="8"/>
        <v>Stef D</v>
      </c>
      <c r="K143" s="147" t="str">
        <f>Tabel3[[#This Row],[Rood Verdediging]]&amp;Tabel3[[#This Row],[Rood Aanval]]</f>
        <v>JonasBert</v>
      </c>
      <c r="L143" s="147" t="str">
        <f>Tabel3[[#This Row],[Groen Verdediging]]&amp;Tabel3[[#This Row],[Groen Aanval]]</f>
        <v>LouisStef D</v>
      </c>
      <c r="M143" s="147" t="str">
        <f>Tabel3[[#This Row],[Winnaar 1]]&amp;Tabel3[[#This Row],[Winnaar 2]]</f>
        <v>LouisStef D</v>
      </c>
      <c r="N143" s="147" t="b">
        <f>IF(Tabel3[[#This Row],[Team Rood]]=Tabel3[[#This Row],[Winnaars]],Tabel3[[#This Row],[Team Rood]])</f>
        <v>0</v>
      </c>
      <c r="O143" s="147" t="str">
        <f>IF(Tabel3[[#This Row],[Team Groen]]=Tabel3[[#This Row],[Winnaars]],Tabel3[[#This Row],[Team Groen]])</f>
        <v>LouisStef D</v>
      </c>
    </row>
    <row r="144" spans="1:15" x14ac:dyDescent="0.25">
      <c r="A144" s="14">
        <v>144</v>
      </c>
      <c r="B144" s="15" t="s">
        <v>6</v>
      </c>
      <c r="C144" s="16" t="s">
        <v>0</v>
      </c>
      <c r="D144" s="17" t="s">
        <v>3</v>
      </c>
      <c r="E144" s="18" t="s">
        <v>7</v>
      </c>
      <c r="F144" s="81">
        <v>8</v>
      </c>
      <c r="G144" s="81">
        <v>11</v>
      </c>
      <c r="H144" s="3" t="str">
        <f t="shared" si="6"/>
        <v>GROEN</v>
      </c>
      <c r="I144" s="3" t="str">
        <f t="shared" si="7"/>
        <v>Karel</v>
      </c>
      <c r="J144" s="4" t="str">
        <f t="shared" si="8"/>
        <v>Tiemen</v>
      </c>
      <c r="K144" s="147" t="str">
        <f>Tabel3[[#This Row],[Rood Verdediging]]&amp;Tabel3[[#This Row],[Rood Aanval]]</f>
        <v>Stef DJonas</v>
      </c>
      <c r="L144" s="147" t="str">
        <f>Tabel3[[#This Row],[Groen Verdediging]]&amp;Tabel3[[#This Row],[Groen Aanval]]</f>
        <v>KarelTiemen</v>
      </c>
      <c r="M144" s="147" t="str">
        <f>Tabel3[[#This Row],[Winnaar 1]]&amp;Tabel3[[#This Row],[Winnaar 2]]</f>
        <v>KarelTiemen</v>
      </c>
      <c r="N144" s="147" t="b">
        <f>IF(Tabel3[[#This Row],[Team Rood]]=Tabel3[[#This Row],[Winnaars]],Tabel3[[#This Row],[Team Rood]])</f>
        <v>0</v>
      </c>
      <c r="O144" s="147" t="str">
        <f>IF(Tabel3[[#This Row],[Team Groen]]=Tabel3[[#This Row],[Winnaars]],Tabel3[[#This Row],[Team Groen]])</f>
        <v>KarelTiemen</v>
      </c>
    </row>
    <row r="145" spans="1:15" x14ac:dyDescent="0.25">
      <c r="A145" s="14">
        <v>145</v>
      </c>
      <c r="B145" s="15" t="s">
        <v>0</v>
      </c>
      <c r="C145" s="16" t="s">
        <v>6</v>
      </c>
      <c r="D145" s="17" t="s">
        <v>7</v>
      </c>
      <c r="E145" s="18" t="s">
        <v>3</v>
      </c>
      <c r="F145" s="81">
        <v>6</v>
      </c>
      <c r="G145" s="81">
        <v>11</v>
      </c>
      <c r="H145" s="3" t="str">
        <f t="shared" si="6"/>
        <v>GROEN</v>
      </c>
      <c r="I145" s="3" t="str">
        <f t="shared" si="7"/>
        <v>Tiemen</v>
      </c>
      <c r="J145" s="4" t="str">
        <f t="shared" si="8"/>
        <v>Karel</v>
      </c>
      <c r="K145" s="147" t="str">
        <f>Tabel3[[#This Row],[Rood Verdediging]]&amp;Tabel3[[#This Row],[Rood Aanval]]</f>
        <v>JonasStef D</v>
      </c>
      <c r="L145" s="147" t="str">
        <f>Tabel3[[#This Row],[Groen Verdediging]]&amp;Tabel3[[#This Row],[Groen Aanval]]</f>
        <v>TiemenKarel</v>
      </c>
      <c r="M145" s="147" t="str">
        <f>Tabel3[[#This Row],[Winnaar 1]]&amp;Tabel3[[#This Row],[Winnaar 2]]</f>
        <v>TiemenKarel</v>
      </c>
      <c r="N145" s="147" t="b">
        <f>IF(Tabel3[[#This Row],[Team Rood]]=Tabel3[[#This Row],[Winnaars]],Tabel3[[#This Row],[Team Rood]])</f>
        <v>0</v>
      </c>
      <c r="O145" s="147" t="str">
        <f>IF(Tabel3[[#This Row],[Team Groen]]=Tabel3[[#This Row],[Winnaars]],Tabel3[[#This Row],[Team Groen]])</f>
        <v>TiemenKarel</v>
      </c>
    </row>
    <row r="146" spans="1:15" x14ac:dyDescent="0.25">
      <c r="A146" s="14">
        <v>146</v>
      </c>
      <c r="B146" s="15" t="s">
        <v>0</v>
      </c>
      <c r="C146" s="16" t="s">
        <v>3</v>
      </c>
      <c r="D146" s="17" t="s">
        <v>7</v>
      </c>
      <c r="E146" s="18" t="s">
        <v>6</v>
      </c>
      <c r="F146" s="81">
        <v>11</v>
      </c>
      <c r="G146" s="81">
        <v>9</v>
      </c>
      <c r="H146" s="3" t="str">
        <f t="shared" si="6"/>
        <v>ROOD</v>
      </c>
      <c r="I146" s="3" t="str">
        <f t="shared" si="7"/>
        <v>Jonas</v>
      </c>
      <c r="J146" s="4" t="str">
        <f t="shared" si="8"/>
        <v>Karel</v>
      </c>
      <c r="K146" s="147" t="str">
        <f>Tabel3[[#This Row],[Rood Verdediging]]&amp;Tabel3[[#This Row],[Rood Aanval]]</f>
        <v>JonasKarel</v>
      </c>
      <c r="L146" s="147" t="str">
        <f>Tabel3[[#This Row],[Groen Verdediging]]&amp;Tabel3[[#This Row],[Groen Aanval]]</f>
        <v>TiemenStef D</v>
      </c>
      <c r="M146" s="147" t="str">
        <f>Tabel3[[#This Row],[Winnaar 1]]&amp;Tabel3[[#This Row],[Winnaar 2]]</f>
        <v>JonasKarel</v>
      </c>
      <c r="N146" s="147" t="str">
        <f>IF(Tabel3[[#This Row],[Team Rood]]=Tabel3[[#This Row],[Winnaars]],Tabel3[[#This Row],[Team Rood]])</f>
        <v>JonasKarel</v>
      </c>
      <c r="O146" s="147" t="b">
        <f>IF(Tabel3[[#This Row],[Team Groen]]=Tabel3[[#This Row],[Winnaars]],Tabel3[[#This Row],[Team Groen]])</f>
        <v>0</v>
      </c>
    </row>
    <row r="147" spans="1:15" x14ac:dyDescent="0.25">
      <c r="A147" s="14">
        <v>147</v>
      </c>
      <c r="B147" s="15" t="s">
        <v>3</v>
      </c>
      <c r="C147" s="16" t="s">
        <v>0</v>
      </c>
      <c r="D147" s="17" t="s">
        <v>6</v>
      </c>
      <c r="E147" s="18" t="s">
        <v>7</v>
      </c>
      <c r="F147" s="81">
        <v>11</v>
      </c>
      <c r="G147" s="81">
        <v>6</v>
      </c>
      <c r="H147" s="3" t="str">
        <f t="shared" si="6"/>
        <v>ROOD</v>
      </c>
      <c r="I147" s="3" t="str">
        <f t="shared" si="7"/>
        <v>Karel</v>
      </c>
      <c r="J147" s="4" t="str">
        <f t="shared" si="8"/>
        <v>Jonas</v>
      </c>
      <c r="K147" s="147" t="str">
        <f>Tabel3[[#This Row],[Rood Verdediging]]&amp;Tabel3[[#This Row],[Rood Aanval]]</f>
        <v>KarelJonas</v>
      </c>
      <c r="L147" s="147" t="str">
        <f>Tabel3[[#This Row],[Groen Verdediging]]&amp;Tabel3[[#This Row],[Groen Aanval]]</f>
        <v>Stef DTiemen</v>
      </c>
      <c r="M147" s="147" t="str">
        <f>Tabel3[[#This Row],[Winnaar 1]]&amp;Tabel3[[#This Row],[Winnaar 2]]</f>
        <v>KarelJonas</v>
      </c>
      <c r="N147" s="147" t="str">
        <f>IF(Tabel3[[#This Row],[Team Rood]]=Tabel3[[#This Row],[Winnaars]],Tabel3[[#This Row],[Team Rood]])</f>
        <v>KarelJonas</v>
      </c>
      <c r="O147" s="147" t="b">
        <f>IF(Tabel3[[#This Row],[Team Groen]]=Tabel3[[#This Row],[Winnaars]],Tabel3[[#This Row],[Team Groen]])</f>
        <v>0</v>
      </c>
    </row>
    <row r="148" spans="1:15" x14ac:dyDescent="0.25">
      <c r="A148" s="14">
        <v>148</v>
      </c>
      <c r="B148" s="15" t="s">
        <v>0</v>
      </c>
      <c r="C148" s="16" t="s">
        <v>7</v>
      </c>
      <c r="D148" s="17" t="s">
        <v>6</v>
      </c>
      <c r="E148" s="18" t="s">
        <v>3</v>
      </c>
      <c r="F148" s="81">
        <v>13</v>
      </c>
      <c r="G148" s="81">
        <v>15</v>
      </c>
      <c r="H148" s="3" t="str">
        <f t="shared" si="6"/>
        <v>GROEN</v>
      </c>
      <c r="I148" s="3" t="str">
        <f t="shared" si="7"/>
        <v>Stef D</v>
      </c>
      <c r="J148" s="4" t="str">
        <f t="shared" si="8"/>
        <v>Karel</v>
      </c>
      <c r="K148" s="147" t="str">
        <f>Tabel3[[#This Row],[Rood Verdediging]]&amp;Tabel3[[#This Row],[Rood Aanval]]</f>
        <v>JonasTiemen</v>
      </c>
      <c r="L148" s="147" t="str">
        <f>Tabel3[[#This Row],[Groen Verdediging]]&amp;Tabel3[[#This Row],[Groen Aanval]]</f>
        <v>Stef DKarel</v>
      </c>
      <c r="M148" s="147" t="str">
        <f>Tabel3[[#This Row],[Winnaar 1]]&amp;Tabel3[[#This Row],[Winnaar 2]]</f>
        <v>Stef DKarel</v>
      </c>
      <c r="N148" s="147" t="b">
        <f>IF(Tabel3[[#This Row],[Team Rood]]=Tabel3[[#This Row],[Winnaars]],Tabel3[[#This Row],[Team Rood]])</f>
        <v>0</v>
      </c>
      <c r="O148" s="147" t="str">
        <f>IF(Tabel3[[#This Row],[Team Groen]]=Tabel3[[#This Row],[Winnaars]],Tabel3[[#This Row],[Team Groen]])</f>
        <v>Stef DKarel</v>
      </c>
    </row>
    <row r="149" spans="1:15" x14ac:dyDescent="0.25">
      <c r="A149" s="14">
        <v>149</v>
      </c>
      <c r="B149" s="15" t="s">
        <v>7</v>
      </c>
      <c r="C149" s="16" t="s">
        <v>0</v>
      </c>
      <c r="D149" s="17" t="s">
        <v>3</v>
      </c>
      <c r="E149" s="18" t="s">
        <v>6</v>
      </c>
      <c r="F149" s="81">
        <v>7</v>
      </c>
      <c r="G149" s="81">
        <v>11</v>
      </c>
      <c r="H149" s="3" t="str">
        <f t="shared" si="6"/>
        <v>GROEN</v>
      </c>
      <c r="I149" s="3" t="str">
        <f t="shared" si="7"/>
        <v>Karel</v>
      </c>
      <c r="J149" s="4" t="str">
        <f t="shared" si="8"/>
        <v>Stef D</v>
      </c>
      <c r="K149" s="147" t="str">
        <f>Tabel3[[#This Row],[Rood Verdediging]]&amp;Tabel3[[#This Row],[Rood Aanval]]</f>
        <v>TiemenJonas</v>
      </c>
      <c r="L149" s="147" t="str">
        <f>Tabel3[[#This Row],[Groen Verdediging]]&amp;Tabel3[[#This Row],[Groen Aanval]]</f>
        <v>KarelStef D</v>
      </c>
      <c r="M149" s="147" t="str">
        <f>Tabel3[[#This Row],[Winnaar 1]]&amp;Tabel3[[#This Row],[Winnaar 2]]</f>
        <v>KarelStef D</v>
      </c>
      <c r="N149" s="147" t="b">
        <f>IF(Tabel3[[#This Row],[Team Rood]]=Tabel3[[#This Row],[Winnaars]],Tabel3[[#This Row],[Team Rood]])</f>
        <v>0</v>
      </c>
      <c r="O149" s="147" t="str">
        <f>IF(Tabel3[[#This Row],[Team Groen]]=Tabel3[[#This Row],[Winnaars]],Tabel3[[#This Row],[Team Groen]])</f>
        <v>KarelStef D</v>
      </c>
    </row>
    <row r="150" spans="1:15" x14ac:dyDescent="0.25">
      <c r="A150" s="14">
        <v>150</v>
      </c>
      <c r="B150" s="15" t="s">
        <v>3</v>
      </c>
      <c r="C150" s="16" t="s">
        <v>7</v>
      </c>
      <c r="D150" s="17" t="s">
        <v>0</v>
      </c>
      <c r="E150" s="18" t="s">
        <v>6</v>
      </c>
      <c r="F150" s="81">
        <v>6</v>
      </c>
      <c r="G150" s="81">
        <v>11</v>
      </c>
      <c r="H150" s="3" t="str">
        <f t="shared" si="6"/>
        <v>GROEN</v>
      </c>
      <c r="I150" s="3" t="str">
        <f t="shared" si="7"/>
        <v>Jonas</v>
      </c>
      <c r="J150" s="4" t="str">
        <f t="shared" si="8"/>
        <v>Stef D</v>
      </c>
      <c r="K150" s="147" t="str">
        <f>Tabel3[[#This Row],[Rood Verdediging]]&amp;Tabel3[[#This Row],[Rood Aanval]]</f>
        <v>KarelTiemen</v>
      </c>
      <c r="L150" s="147" t="str">
        <f>Tabel3[[#This Row],[Groen Verdediging]]&amp;Tabel3[[#This Row],[Groen Aanval]]</f>
        <v>JonasStef D</v>
      </c>
      <c r="M150" s="147" t="str">
        <f>Tabel3[[#This Row],[Winnaar 1]]&amp;Tabel3[[#This Row],[Winnaar 2]]</f>
        <v>JonasStef D</v>
      </c>
      <c r="N150" s="147" t="b">
        <f>IF(Tabel3[[#This Row],[Team Rood]]=Tabel3[[#This Row],[Winnaars]],Tabel3[[#This Row],[Team Rood]])</f>
        <v>0</v>
      </c>
      <c r="O150" s="147" t="str">
        <f>IF(Tabel3[[#This Row],[Team Groen]]=Tabel3[[#This Row],[Winnaars]],Tabel3[[#This Row],[Team Groen]])</f>
        <v>JonasStef D</v>
      </c>
    </row>
    <row r="151" spans="1:15" x14ac:dyDescent="0.25">
      <c r="A151" s="14">
        <v>151</v>
      </c>
      <c r="B151" s="15" t="s">
        <v>6</v>
      </c>
      <c r="C151" s="16" t="s">
        <v>11</v>
      </c>
      <c r="D151" s="17" t="s">
        <v>8</v>
      </c>
      <c r="E151" s="18" t="s">
        <v>13</v>
      </c>
      <c r="F151" s="81">
        <v>8</v>
      </c>
      <c r="G151" s="81">
        <v>11</v>
      </c>
      <c r="H151" s="3" t="str">
        <f t="shared" si="6"/>
        <v>GROEN</v>
      </c>
      <c r="I151" s="3" t="str">
        <f t="shared" si="7"/>
        <v>Louis</v>
      </c>
      <c r="J151" s="4" t="str">
        <f t="shared" si="8"/>
        <v>Bert</v>
      </c>
      <c r="K151" s="147" t="str">
        <f>Tabel3[[#This Row],[Rood Verdediging]]&amp;Tabel3[[#This Row],[Rood Aanval]]</f>
        <v>Stef DMatthijs</v>
      </c>
      <c r="L151" s="147" t="str">
        <f>Tabel3[[#This Row],[Groen Verdediging]]&amp;Tabel3[[#This Row],[Groen Aanval]]</f>
        <v>LouisBert</v>
      </c>
      <c r="M151" s="147" t="str">
        <f>Tabel3[[#This Row],[Winnaar 1]]&amp;Tabel3[[#This Row],[Winnaar 2]]</f>
        <v>LouisBert</v>
      </c>
      <c r="N151" s="147" t="b">
        <f>IF(Tabel3[[#This Row],[Team Rood]]=Tabel3[[#This Row],[Winnaars]],Tabel3[[#This Row],[Team Rood]])</f>
        <v>0</v>
      </c>
      <c r="O151" s="147" t="str">
        <f>IF(Tabel3[[#This Row],[Team Groen]]=Tabel3[[#This Row],[Winnaars]],Tabel3[[#This Row],[Team Groen]])</f>
        <v>LouisBert</v>
      </c>
    </row>
    <row r="152" spans="1:15" x14ac:dyDescent="0.25">
      <c r="A152" s="14">
        <v>152</v>
      </c>
      <c r="B152" s="15" t="s">
        <v>11</v>
      </c>
      <c r="C152" s="16" t="s">
        <v>6</v>
      </c>
      <c r="D152" s="17" t="s">
        <v>13</v>
      </c>
      <c r="E152" s="18" t="s">
        <v>8</v>
      </c>
      <c r="F152" s="81">
        <v>11</v>
      </c>
      <c r="G152" s="81">
        <v>6</v>
      </c>
      <c r="H152" s="3" t="str">
        <f t="shared" si="6"/>
        <v>ROOD</v>
      </c>
      <c r="I152" s="3" t="str">
        <f t="shared" si="7"/>
        <v>Matthijs</v>
      </c>
      <c r="J152" s="4" t="str">
        <f t="shared" si="8"/>
        <v>Stef D</v>
      </c>
      <c r="K152" s="147" t="str">
        <f>Tabel3[[#This Row],[Rood Verdediging]]&amp;Tabel3[[#This Row],[Rood Aanval]]</f>
        <v>MatthijsStef D</v>
      </c>
      <c r="L152" s="147" t="str">
        <f>Tabel3[[#This Row],[Groen Verdediging]]&amp;Tabel3[[#This Row],[Groen Aanval]]</f>
        <v>BertLouis</v>
      </c>
      <c r="M152" s="147" t="str">
        <f>Tabel3[[#This Row],[Winnaar 1]]&amp;Tabel3[[#This Row],[Winnaar 2]]</f>
        <v>MatthijsStef D</v>
      </c>
      <c r="N152" s="147" t="str">
        <f>IF(Tabel3[[#This Row],[Team Rood]]=Tabel3[[#This Row],[Winnaars]],Tabel3[[#This Row],[Team Rood]])</f>
        <v>MatthijsStef D</v>
      </c>
      <c r="O152" s="147" t="b">
        <f>IF(Tabel3[[#This Row],[Team Groen]]=Tabel3[[#This Row],[Winnaars]],Tabel3[[#This Row],[Team Groen]])</f>
        <v>0</v>
      </c>
    </row>
    <row r="153" spans="1:15" x14ac:dyDescent="0.25">
      <c r="A153" s="14">
        <v>153</v>
      </c>
      <c r="B153" s="15" t="s">
        <v>11</v>
      </c>
      <c r="C153" s="16" t="s">
        <v>8</v>
      </c>
      <c r="D153" s="17" t="s">
        <v>6</v>
      </c>
      <c r="E153" s="18" t="s">
        <v>13</v>
      </c>
      <c r="F153" s="81">
        <v>11</v>
      </c>
      <c r="G153" s="81">
        <v>9</v>
      </c>
      <c r="H153" s="3" t="str">
        <f t="shared" si="6"/>
        <v>ROOD</v>
      </c>
      <c r="I153" s="3" t="str">
        <f t="shared" si="7"/>
        <v>Matthijs</v>
      </c>
      <c r="J153" s="4" t="str">
        <f t="shared" si="8"/>
        <v>Louis</v>
      </c>
      <c r="K153" s="147" t="str">
        <f>Tabel3[[#This Row],[Rood Verdediging]]&amp;Tabel3[[#This Row],[Rood Aanval]]</f>
        <v>MatthijsLouis</v>
      </c>
      <c r="L153" s="147" t="str">
        <f>Tabel3[[#This Row],[Groen Verdediging]]&amp;Tabel3[[#This Row],[Groen Aanval]]</f>
        <v>Stef DBert</v>
      </c>
      <c r="M153" s="147" t="str">
        <f>Tabel3[[#This Row],[Winnaar 1]]&amp;Tabel3[[#This Row],[Winnaar 2]]</f>
        <v>MatthijsLouis</v>
      </c>
      <c r="N153" s="147" t="str">
        <f>IF(Tabel3[[#This Row],[Team Rood]]=Tabel3[[#This Row],[Winnaars]],Tabel3[[#This Row],[Team Rood]])</f>
        <v>MatthijsLouis</v>
      </c>
      <c r="O153" s="147" t="b">
        <f>IF(Tabel3[[#This Row],[Team Groen]]=Tabel3[[#This Row],[Winnaars]],Tabel3[[#This Row],[Team Groen]])</f>
        <v>0</v>
      </c>
    </row>
    <row r="154" spans="1:15" x14ac:dyDescent="0.25">
      <c r="A154" s="14">
        <v>154</v>
      </c>
      <c r="B154" s="15" t="s">
        <v>8</v>
      </c>
      <c r="C154" s="16" t="s">
        <v>6</v>
      </c>
      <c r="D154" s="17" t="s">
        <v>12</v>
      </c>
      <c r="E154" s="18" t="s">
        <v>11</v>
      </c>
      <c r="F154" s="81">
        <v>11</v>
      </c>
      <c r="G154" s="81">
        <v>9</v>
      </c>
      <c r="H154" s="3" t="str">
        <f t="shared" si="6"/>
        <v>ROOD</v>
      </c>
      <c r="I154" s="3" t="str">
        <f t="shared" si="7"/>
        <v>Louis</v>
      </c>
      <c r="J154" s="4" t="str">
        <f t="shared" si="8"/>
        <v>Stef D</v>
      </c>
      <c r="K154" s="147" t="str">
        <f>Tabel3[[#This Row],[Rood Verdediging]]&amp;Tabel3[[#This Row],[Rood Aanval]]</f>
        <v>LouisStef D</v>
      </c>
      <c r="L154" s="147" t="str">
        <f>Tabel3[[#This Row],[Groen Verdediging]]&amp;Tabel3[[#This Row],[Groen Aanval]]</f>
        <v>AlexanderMatthijs</v>
      </c>
      <c r="M154" s="147" t="str">
        <f>Tabel3[[#This Row],[Winnaar 1]]&amp;Tabel3[[#This Row],[Winnaar 2]]</f>
        <v>LouisStef D</v>
      </c>
      <c r="N154" s="147" t="str">
        <f>IF(Tabel3[[#This Row],[Team Rood]]=Tabel3[[#This Row],[Winnaars]],Tabel3[[#This Row],[Team Rood]])</f>
        <v>LouisStef D</v>
      </c>
      <c r="O154" s="147" t="b">
        <f>IF(Tabel3[[#This Row],[Team Groen]]=Tabel3[[#This Row],[Winnaars]],Tabel3[[#This Row],[Team Groen]])</f>
        <v>0</v>
      </c>
    </row>
    <row r="155" spans="1:15" x14ac:dyDescent="0.25">
      <c r="A155" s="14">
        <v>155</v>
      </c>
      <c r="B155" s="15" t="s">
        <v>6</v>
      </c>
      <c r="C155" s="16" t="s">
        <v>12</v>
      </c>
      <c r="D155" s="17" t="s">
        <v>11</v>
      </c>
      <c r="E155" s="18" t="s">
        <v>13</v>
      </c>
      <c r="F155" s="81">
        <v>8</v>
      </c>
      <c r="G155" s="81">
        <v>11</v>
      </c>
      <c r="H155" s="3" t="str">
        <f t="shared" si="6"/>
        <v>GROEN</v>
      </c>
      <c r="I155" s="3" t="str">
        <f t="shared" si="7"/>
        <v>Matthijs</v>
      </c>
      <c r="J155" s="4" t="str">
        <f t="shared" si="8"/>
        <v>Bert</v>
      </c>
      <c r="K155" s="147" t="str">
        <f>Tabel3[[#This Row],[Rood Verdediging]]&amp;Tabel3[[#This Row],[Rood Aanval]]</f>
        <v>Stef DAlexander</v>
      </c>
      <c r="L155" s="147" t="str">
        <f>Tabel3[[#This Row],[Groen Verdediging]]&amp;Tabel3[[#This Row],[Groen Aanval]]</f>
        <v>MatthijsBert</v>
      </c>
      <c r="M155" s="147" t="str">
        <f>Tabel3[[#This Row],[Winnaar 1]]&amp;Tabel3[[#This Row],[Winnaar 2]]</f>
        <v>MatthijsBert</v>
      </c>
      <c r="N155" s="147" t="b">
        <f>IF(Tabel3[[#This Row],[Team Rood]]=Tabel3[[#This Row],[Winnaars]],Tabel3[[#This Row],[Team Rood]])</f>
        <v>0</v>
      </c>
      <c r="O155" s="147" t="str">
        <f>IF(Tabel3[[#This Row],[Team Groen]]=Tabel3[[#This Row],[Winnaars]],Tabel3[[#This Row],[Team Groen]])</f>
        <v>MatthijsBert</v>
      </c>
    </row>
    <row r="156" spans="1:15" x14ac:dyDescent="0.25">
      <c r="A156" s="14">
        <v>156</v>
      </c>
      <c r="B156" s="15" t="s">
        <v>12</v>
      </c>
      <c r="C156" s="16" t="s">
        <v>6</v>
      </c>
      <c r="D156" s="17" t="s">
        <v>8</v>
      </c>
      <c r="E156" s="18" t="s">
        <v>13</v>
      </c>
      <c r="F156" s="81">
        <v>8</v>
      </c>
      <c r="G156" s="81">
        <v>11</v>
      </c>
      <c r="H156" s="3" t="str">
        <f t="shared" si="6"/>
        <v>GROEN</v>
      </c>
      <c r="I156" s="3" t="str">
        <f t="shared" si="7"/>
        <v>Louis</v>
      </c>
      <c r="J156" s="4" t="str">
        <f t="shared" si="8"/>
        <v>Bert</v>
      </c>
      <c r="K156" s="147" t="str">
        <f>Tabel3[[#This Row],[Rood Verdediging]]&amp;Tabel3[[#This Row],[Rood Aanval]]</f>
        <v>AlexanderStef D</v>
      </c>
      <c r="L156" s="147" t="str">
        <f>Tabel3[[#This Row],[Groen Verdediging]]&amp;Tabel3[[#This Row],[Groen Aanval]]</f>
        <v>LouisBert</v>
      </c>
      <c r="M156" s="147" t="str">
        <f>Tabel3[[#This Row],[Winnaar 1]]&amp;Tabel3[[#This Row],[Winnaar 2]]</f>
        <v>LouisBert</v>
      </c>
      <c r="N156" s="147" t="b">
        <f>IF(Tabel3[[#This Row],[Team Rood]]=Tabel3[[#This Row],[Winnaars]],Tabel3[[#This Row],[Team Rood]])</f>
        <v>0</v>
      </c>
      <c r="O156" s="147" t="str">
        <f>IF(Tabel3[[#This Row],[Team Groen]]=Tabel3[[#This Row],[Winnaars]],Tabel3[[#This Row],[Team Groen]])</f>
        <v>LouisBert</v>
      </c>
    </row>
    <row r="157" spans="1:15" x14ac:dyDescent="0.25">
      <c r="A157" s="14">
        <v>157</v>
      </c>
      <c r="B157" s="15" t="s">
        <v>8</v>
      </c>
      <c r="C157" s="16" t="s">
        <v>6</v>
      </c>
      <c r="D157" s="17" t="s">
        <v>7</v>
      </c>
      <c r="E157" s="18" t="s">
        <v>3</v>
      </c>
      <c r="F157" s="81">
        <v>9</v>
      </c>
      <c r="G157" s="81">
        <v>11</v>
      </c>
      <c r="H157" s="3" t="str">
        <f t="shared" si="6"/>
        <v>GROEN</v>
      </c>
      <c r="I157" s="3" t="str">
        <f t="shared" si="7"/>
        <v>Tiemen</v>
      </c>
      <c r="J157" s="4" t="str">
        <f t="shared" si="8"/>
        <v>Karel</v>
      </c>
      <c r="K157" s="147" t="str">
        <f>Tabel3[[#This Row],[Rood Verdediging]]&amp;Tabel3[[#This Row],[Rood Aanval]]</f>
        <v>LouisStef D</v>
      </c>
      <c r="L157" s="147" t="str">
        <f>Tabel3[[#This Row],[Groen Verdediging]]&amp;Tabel3[[#This Row],[Groen Aanval]]</f>
        <v>TiemenKarel</v>
      </c>
      <c r="M157" s="147" t="str">
        <f>Tabel3[[#This Row],[Winnaar 1]]&amp;Tabel3[[#This Row],[Winnaar 2]]</f>
        <v>TiemenKarel</v>
      </c>
      <c r="N157" s="147" t="b">
        <f>IF(Tabel3[[#This Row],[Team Rood]]=Tabel3[[#This Row],[Winnaars]],Tabel3[[#This Row],[Team Rood]])</f>
        <v>0</v>
      </c>
      <c r="O157" s="147" t="str">
        <f>IF(Tabel3[[#This Row],[Team Groen]]=Tabel3[[#This Row],[Winnaars]],Tabel3[[#This Row],[Team Groen]])</f>
        <v>TiemenKarel</v>
      </c>
    </row>
    <row r="158" spans="1:15" x14ac:dyDescent="0.25">
      <c r="A158" s="14">
        <v>158</v>
      </c>
      <c r="B158" s="15" t="s">
        <v>3</v>
      </c>
      <c r="C158" s="16" t="s">
        <v>7</v>
      </c>
      <c r="D158" s="17" t="s">
        <v>11</v>
      </c>
      <c r="E158" s="18" t="s">
        <v>0</v>
      </c>
      <c r="F158" s="81">
        <v>11</v>
      </c>
      <c r="G158" s="81">
        <v>8</v>
      </c>
      <c r="H158" s="3" t="str">
        <f t="shared" si="6"/>
        <v>ROOD</v>
      </c>
      <c r="I158" s="3" t="str">
        <f t="shared" si="7"/>
        <v>Karel</v>
      </c>
      <c r="J158" s="4" t="str">
        <f t="shared" si="8"/>
        <v>Tiemen</v>
      </c>
      <c r="K158" s="147" t="str">
        <f>Tabel3[[#This Row],[Rood Verdediging]]&amp;Tabel3[[#This Row],[Rood Aanval]]</f>
        <v>KarelTiemen</v>
      </c>
      <c r="L158" s="147" t="str">
        <f>Tabel3[[#This Row],[Groen Verdediging]]&amp;Tabel3[[#This Row],[Groen Aanval]]</f>
        <v>MatthijsJonas</v>
      </c>
      <c r="M158" s="147" t="str">
        <f>Tabel3[[#This Row],[Winnaar 1]]&amp;Tabel3[[#This Row],[Winnaar 2]]</f>
        <v>KarelTiemen</v>
      </c>
      <c r="N158" s="147" t="str">
        <f>IF(Tabel3[[#This Row],[Team Rood]]=Tabel3[[#This Row],[Winnaars]],Tabel3[[#This Row],[Team Rood]])</f>
        <v>KarelTiemen</v>
      </c>
      <c r="O158" s="147" t="b">
        <f>IF(Tabel3[[#This Row],[Team Groen]]=Tabel3[[#This Row],[Winnaars]],Tabel3[[#This Row],[Team Groen]])</f>
        <v>0</v>
      </c>
    </row>
    <row r="159" spans="1:15" x14ac:dyDescent="0.25">
      <c r="A159" s="14">
        <v>159</v>
      </c>
      <c r="B159" s="15" t="s">
        <v>3</v>
      </c>
      <c r="C159" s="16" t="s">
        <v>13</v>
      </c>
      <c r="D159" s="17" t="s">
        <v>0</v>
      </c>
      <c r="E159" s="18" t="s">
        <v>6</v>
      </c>
      <c r="F159" s="81">
        <v>6</v>
      </c>
      <c r="G159" s="81">
        <v>11</v>
      </c>
      <c r="H159" s="3" t="str">
        <f t="shared" si="6"/>
        <v>GROEN</v>
      </c>
      <c r="I159" s="3" t="str">
        <f t="shared" si="7"/>
        <v>Jonas</v>
      </c>
      <c r="J159" s="4" t="str">
        <f t="shared" si="8"/>
        <v>Stef D</v>
      </c>
      <c r="K159" s="147" t="str">
        <f>Tabel3[[#This Row],[Rood Verdediging]]&amp;Tabel3[[#This Row],[Rood Aanval]]</f>
        <v>KarelBert</v>
      </c>
      <c r="L159" s="147" t="str">
        <f>Tabel3[[#This Row],[Groen Verdediging]]&amp;Tabel3[[#This Row],[Groen Aanval]]</f>
        <v>JonasStef D</v>
      </c>
      <c r="M159" s="147" t="str">
        <f>Tabel3[[#This Row],[Winnaar 1]]&amp;Tabel3[[#This Row],[Winnaar 2]]</f>
        <v>JonasStef D</v>
      </c>
      <c r="N159" s="147" t="b">
        <f>IF(Tabel3[[#This Row],[Team Rood]]=Tabel3[[#This Row],[Winnaars]],Tabel3[[#This Row],[Team Rood]])</f>
        <v>0</v>
      </c>
      <c r="O159" s="147" t="str">
        <f>IF(Tabel3[[#This Row],[Team Groen]]=Tabel3[[#This Row],[Winnaars]],Tabel3[[#This Row],[Team Groen]])</f>
        <v>JonasStef D</v>
      </c>
    </row>
    <row r="160" spans="1:15" x14ac:dyDescent="0.25">
      <c r="A160" s="14">
        <v>160</v>
      </c>
      <c r="B160" s="15" t="s">
        <v>0</v>
      </c>
      <c r="C160" s="16" t="s">
        <v>6</v>
      </c>
      <c r="D160" s="17" t="s">
        <v>7</v>
      </c>
      <c r="E160" s="18" t="s">
        <v>11</v>
      </c>
      <c r="F160" s="81">
        <v>11</v>
      </c>
      <c r="G160" s="81">
        <v>6</v>
      </c>
      <c r="H160" s="3" t="str">
        <f t="shared" si="6"/>
        <v>ROOD</v>
      </c>
      <c r="I160" s="3" t="str">
        <f t="shared" si="7"/>
        <v>Jonas</v>
      </c>
      <c r="J160" s="4" t="str">
        <f t="shared" si="8"/>
        <v>Stef D</v>
      </c>
      <c r="K160" s="147" t="str">
        <f>Tabel3[[#This Row],[Rood Verdediging]]&amp;Tabel3[[#This Row],[Rood Aanval]]</f>
        <v>JonasStef D</v>
      </c>
      <c r="L160" s="147" t="str">
        <f>Tabel3[[#This Row],[Groen Verdediging]]&amp;Tabel3[[#This Row],[Groen Aanval]]</f>
        <v>TiemenMatthijs</v>
      </c>
      <c r="M160" s="147" t="str">
        <f>Tabel3[[#This Row],[Winnaar 1]]&amp;Tabel3[[#This Row],[Winnaar 2]]</f>
        <v>JonasStef D</v>
      </c>
      <c r="N160" s="147" t="str">
        <f>IF(Tabel3[[#This Row],[Team Rood]]=Tabel3[[#This Row],[Winnaars]],Tabel3[[#This Row],[Team Rood]])</f>
        <v>JonasStef D</v>
      </c>
      <c r="O160" s="147" t="b">
        <f>IF(Tabel3[[#This Row],[Team Groen]]=Tabel3[[#This Row],[Winnaars]],Tabel3[[#This Row],[Team Groen]])</f>
        <v>0</v>
      </c>
    </row>
    <row r="161" spans="1:15" x14ac:dyDescent="0.25">
      <c r="A161" s="14">
        <v>161</v>
      </c>
      <c r="B161" s="15" t="s">
        <v>11</v>
      </c>
      <c r="C161" s="16" t="s">
        <v>13</v>
      </c>
      <c r="D161" s="17" t="s">
        <v>3</v>
      </c>
      <c r="E161" s="18" t="s">
        <v>7</v>
      </c>
      <c r="F161" s="81">
        <v>10</v>
      </c>
      <c r="G161" s="81">
        <v>12</v>
      </c>
      <c r="H161" s="3" t="str">
        <f t="shared" si="6"/>
        <v>GROEN</v>
      </c>
      <c r="I161" s="3" t="str">
        <f t="shared" si="7"/>
        <v>Karel</v>
      </c>
      <c r="J161" s="4" t="str">
        <f t="shared" si="8"/>
        <v>Tiemen</v>
      </c>
      <c r="K161" s="147" t="str">
        <f>Tabel3[[#This Row],[Rood Verdediging]]&amp;Tabel3[[#This Row],[Rood Aanval]]</f>
        <v>MatthijsBert</v>
      </c>
      <c r="L161" s="147" t="str">
        <f>Tabel3[[#This Row],[Groen Verdediging]]&amp;Tabel3[[#This Row],[Groen Aanval]]</f>
        <v>KarelTiemen</v>
      </c>
      <c r="M161" s="147" t="str">
        <f>Tabel3[[#This Row],[Winnaar 1]]&amp;Tabel3[[#This Row],[Winnaar 2]]</f>
        <v>KarelTiemen</v>
      </c>
      <c r="N161" s="147" t="b">
        <f>IF(Tabel3[[#This Row],[Team Rood]]=Tabel3[[#This Row],[Winnaars]],Tabel3[[#This Row],[Team Rood]])</f>
        <v>0</v>
      </c>
      <c r="O161" s="147" t="str">
        <f>IF(Tabel3[[#This Row],[Team Groen]]=Tabel3[[#This Row],[Winnaars]],Tabel3[[#This Row],[Team Groen]])</f>
        <v>KarelTiemen</v>
      </c>
    </row>
    <row r="162" spans="1:15" x14ac:dyDescent="0.25">
      <c r="A162" s="14">
        <v>162</v>
      </c>
      <c r="B162" s="15" t="s">
        <v>13</v>
      </c>
      <c r="C162" s="16" t="s">
        <v>6</v>
      </c>
      <c r="D162" s="17" t="s">
        <v>11</v>
      </c>
      <c r="E162" s="18" t="s">
        <v>3</v>
      </c>
      <c r="F162" s="81">
        <v>11</v>
      </c>
      <c r="G162" s="81">
        <v>9</v>
      </c>
      <c r="H162" s="3" t="str">
        <f t="shared" si="6"/>
        <v>ROOD</v>
      </c>
      <c r="I162" s="3" t="str">
        <f t="shared" si="7"/>
        <v>Bert</v>
      </c>
      <c r="J162" s="4" t="str">
        <f t="shared" si="8"/>
        <v>Stef D</v>
      </c>
      <c r="K162" s="147" t="str">
        <f>Tabel3[[#This Row],[Rood Verdediging]]&amp;Tabel3[[#This Row],[Rood Aanval]]</f>
        <v>BertStef D</v>
      </c>
      <c r="L162" s="147" t="str">
        <f>Tabel3[[#This Row],[Groen Verdediging]]&amp;Tabel3[[#This Row],[Groen Aanval]]</f>
        <v>MatthijsKarel</v>
      </c>
      <c r="M162" s="147" t="str">
        <f>Tabel3[[#This Row],[Winnaar 1]]&amp;Tabel3[[#This Row],[Winnaar 2]]</f>
        <v>BertStef D</v>
      </c>
      <c r="N162" s="147" t="str">
        <f>IF(Tabel3[[#This Row],[Team Rood]]=Tabel3[[#This Row],[Winnaars]],Tabel3[[#This Row],[Team Rood]])</f>
        <v>BertStef D</v>
      </c>
      <c r="O162" s="147" t="b">
        <f>IF(Tabel3[[#This Row],[Team Groen]]=Tabel3[[#This Row],[Winnaars]],Tabel3[[#This Row],[Team Groen]])</f>
        <v>0</v>
      </c>
    </row>
    <row r="163" spans="1:15" x14ac:dyDescent="0.25">
      <c r="A163" s="14">
        <v>163</v>
      </c>
      <c r="B163" s="15" t="s">
        <v>11</v>
      </c>
      <c r="C163" s="16" t="s">
        <v>19</v>
      </c>
      <c r="D163" s="17" t="s">
        <v>6</v>
      </c>
      <c r="E163" s="18" t="s">
        <v>3</v>
      </c>
      <c r="F163" s="81">
        <v>4</v>
      </c>
      <c r="G163" s="81">
        <v>11</v>
      </c>
      <c r="H163" s="3" t="str">
        <f t="shared" si="6"/>
        <v>GROEN</v>
      </c>
      <c r="I163" s="3" t="str">
        <f t="shared" si="7"/>
        <v>Stef D</v>
      </c>
      <c r="J163" s="4" t="str">
        <f t="shared" si="8"/>
        <v>Karel</v>
      </c>
      <c r="K163" s="147" t="str">
        <f>Tabel3[[#This Row],[Rood Verdediging]]&amp;Tabel3[[#This Row],[Rood Aanval]]</f>
        <v>MatthijsNicolas</v>
      </c>
      <c r="L163" s="147" t="str">
        <f>Tabel3[[#This Row],[Groen Verdediging]]&amp;Tabel3[[#This Row],[Groen Aanval]]</f>
        <v>Stef DKarel</v>
      </c>
      <c r="M163" s="147" t="str">
        <f>Tabel3[[#This Row],[Winnaar 1]]&amp;Tabel3[[#This Row],[Winnaar 2]]</f>
        <v>Stef DKarel</v>
      </c>
      <c r="N163" s="147" t="b">
        <f>IF(Tabel3[[#This Row],[Team Rood]]=Tabel3[[#This Row],[Winnaars]],Tabel3[[#This Row],[Team Rood]])</f>
        <v>0</v>
      </c>
      <c r="O163" s="147" t="str">
        <f>IF(Tabel3[[#This Row],[Team Groen]]=Tabel3[[#This Row],[Winnaars]],Tabel3[[#This Row],[Team Groen]])</f>
        <v>Stef DKarel</v>
      </c>
    </row>
    <row r="164" spans="1:15" x14ac:dyDescent="0.25">
      <c r="A164" s="14">
        <v>164</v>
      </c>
      <c r="B164" s="15" t="s">
        <v>167</v>
      </c>
      <c r="C164" s="16" t="s">
        <v>6</v>
      </c>
      <c r="D164" s="17" t="s">
        <v>8</v>
      </c>
      <c r="E164" s="18" t="s">
        <v>0</v>
      </c>
      <c r="F164" s="81">
        <v>11</v>
      </c>
      <c r="G164" s="81">
        <v>9</v>
      </c>
      <c r="H164" s="3" t="str">
        <f t="shared" si="6"/>
        <v>ROOD</v>
      </c>
      <c r="I164" s="3" t="str">
        <f t="shared" si="7"/>
        <v>Coghe</v>
      </c>
      <c r="J164" s="4" t="str">
        <f t="shared" si="8"/>
        <v>Stef D</v>
      </c>
      <c r="K164" s="147" t="str">
        <f>Tabel3[[#This Row],[Rood Verdediging]]&amp;Tabel3[[#This Row],[Rood Aanval]]</f>
        <v>CogheStef D</v>
      </c>
      <c r="L164" s="147" t="str">
        <f>Tabel3[[#This Row],[Groen Verdediging]]&amp;Tabel3[[#This Row],[Groen Aanval]]</f>
        <v>LouisJonas</v>
      </c>
      <c r="M164" s="147" t="str">
        <f>Tabel3[[#This Row],[Winnaar 1]]&amp;Tabel3[[#This Row],[Winnaar 2]]</f>
        <v>CogheStef D</v>
      </c>
      <c r="N164" s="147" t="str">
        <f>IF(Tabel3[[#This Row],[Team Rood]]=Tabel3[[#This Row],[Winnaars]],Tabel3[[#This Row],[Team Rood]])</f>
        <v>CogheStef D</v>
      </c>
      <c r="O164" s="147" t="b">
        <f>IF(Tabel3[[#This Row],[Team Groen]]=Tabel3[[#This Row],[Winnaars]],Tabel3[[#This Row],[Team Groen]])</f>
        <v>0</v>
      </c>
    </row>
    <row r="165" spans="1:15" x14ac:dyDescent="0.25">
      <c r="A165" s="14">
        <v>165</v>
      </c>
      <c r="B165" s="15" t="s">
        <v>11</v>
      </c>
      <c r="C165" s="16" t="s">
        <v>3</v>
      </c>
      <c r="D165" s="17" t="s">
        <v>167</v>
      </c>
      <c r="E165" s="18" t="s">
        <v>8</v>
      </c>
      <c r="F165" s="81">
        <v>11</v>
      </c>
      <c r="G165" s="81">
        <v>8</v>
      </c>
      <c r="H165" s="3" t="str">
        <f t="shared" si="6"/>
        <v>ROOD</v>
      </c>
      <c r="I165" s="3" t="str">
        <f t="shared" si="7"/>
        <v>Matthijs</v>
      </c>
      <c r="J165" s="4" t="str">
        <f t="shared" si="8"/>
        <v>Karel</v>
      </c>
      <c r="K165" s="147" t="str">
        <f>Tabel3[[#This Row],[Rood Verdediging]]&amp;Tabel3[[#This Row],[Rood Aanval]]</f>
        <v>MatthijsKarel</v>
      </c>
      <c r="L165" s="147" t="str">
        <f>Tabel3[[#This Row],[Groen Verdediging]]&amp;Tabel3[[#This Row],[Groen Aanval]]</f>
        <v>CogheLouis</v>
      </c>
      <c r="M165" s="147" t="str">
        <f>Tabel3[[#This Row],[Winnaar 1]]&amp;Tabel3[[#This Row],[Winnaar 2]]</f>
        <v>MatthijsKarel</v>
      </c>
      <c r="N165" s="147" t="str">
        <f>IF(Tabel3[[#This Row],[Team Rood]]=Tabel3[[#This Row],[Winnaars]],Tabel3[[#This Row],[Team Rood]])</f>
        <v>MatthijsKarel</v>
      </c>
      <c r="O165" s="147" t="b">
        <f>IF(Tabel3[[#This Row],[Team Groen]]=Tabel3[[#This Row],[Winnaars]],Tabel3[[#This Row],[Team Groen]])</f>
        <v>0</v>
      </c>
    </row>
    <row r="166" spans="1:15" x14ac:dyDescent="0.25">
      <c r="A166" s="14">
        <v>166</v>
      </c>
      <c r="B166" s="15" t="s">
        <v>0</v>
      </c>
      <c r="C166" s="16" t="s">
        <v>11</v>
      </c>
      <c r="D166" s="17" t="s">
        <v>3</v>
      </c>
      <c r="E166" s="18" t="s">
        <v>6</v>
      </c>
      <c r="F166" s="81">
        <v>5</v>
      </c>
      <c r="G166" s="81">
        <v>11</v>
      </c>
      <c r="H166" s="3" t="str">
        <f t="shared" si="6"/>
        <v>GROEN</v>
      </c>
      <c r="I166" s="3" t="str">
        <f t="shared" si="7"/>
        <v>Karel</v>
      </c>
      <c r="J166" s="4" t="str">
        <f t="shared" si="8"/>
        <v>Stef D</v>
      </c>
      <c r="K166" s="147" t="str">
        <f>Tabel3[[#This Row],[Rood Verdediging]]&amp;Tabel3[[#This Row],[Rood Aanval]]</f>
        <v>JonasMatthijs</v>
      </c>
      <c r="L166" s="147" t="str">
        <f>Tabel3[[#This Row],[Groen Verdediging]]&amp;Tabel3[[#This Row],[Groen Aanval]]</f>
        <v>KarelStef D</v>
      </c>
      <c r="M166" s="147" t="str">
        <f>Tabel3[[#This Row],[Winnaar 1]]&amp;Tabel3[[#This Row],[Winnaar 2]]</f>
        <v>KarelStef D</v>
      </c>
      <c r="N166" s="147" t="b">
        <f>IF(Tabel3[[#This Row],[Team Rood]]=Tabel3[[#This Row],[Winnaars]],Tabel3[[#This Row],[Team Rood]])</f>
        <v>0</v>
      </c>
      <c r="O166" s="147" t="str">
        <f>IF(Tabel3[[#This Row],[Team Groen]]=Tabel3[[#This Row],[Winnaars]],Tabel3[[#This Row],[Team Groen]])</f>
        <v>KarelStef D</v>
      </c>
    </row>
    <row r="167" spans="1:15" x14ac:dyDescent="0.25">
      <c r="A167" s="14">
        <v>167</v>
      </c>
      <c r="B167" s="15" t="s">
        <v>167</v>
      </c>
      <c r="C167" s="16" t="s">
        <v>3</v>
      </c>
      <c r="D167" s="17" t="s">
        <v>0</v>
      </c>
      <c r="E167" s="18" t="s">
        <v>11</v>
      </c>
      <c r="F167" s="81">
        <v>11</v>
      </c>
      <c r="G167" s="81">
        <v>7</v>
      </c>
      <c r="H167" s="3" t="str">
        <f t="shared" si="6"/>
        <v>ROOD</v>
      </c>
      <c r="I167" s="3" t="str">
        <f t="shared" si="7"/>
        <v>Coghe</v>
      </c>
      <c r="J167" s="4" t="str">
        <f t="shared" si="8"/>
        <v>Karel</v>
      </c>
      <c r="K167" s="147" t="str">
        <f>Tabel3[[#This Row],[Rood Verdediging]]&amp;Tabel3[[#This Row],[Rood Aanval]]</f>
        <v>CogheKarel</v>
      </c>
      <c r="L167" s="147" t="str">
        <f>Tabel3[[#This Row],[Groen Verdediging]]&amp;Tabel3[[#This Row],[Groen Aanval]]</f>
        <v>JonasMatthijs</v>
      </c>
      <c r="M167" s="147" t="str">
        <f>Tabel3[[#This Row],[Winnaar 1]]&amp;Tabel3[[#This Row],[Winnaar 2]]</f>
        <v>CogheKarel</v>
      </c>
      <c r="N167" s="147" t="str">
        <f>IF(Tabel3[[#This Row],[Team Rood]]=Tabel3[[#This Row],[Winnaars]],Tabel3[[#This Row],[Team Rood]])</f>
        <v>CogheKarel</v>
      </c>
      <c r="O167" s="147" t="b">
        <f>IF(Tabel3[[#This Row],[Team Groen]]=Tabel3[[#This Row],[Winnaars]],Tabel3[[#This Row],[Team Groen]])</f>
        <v>0</v>
      </c>
    </row>
    <row r="168" spans="1:15" x14ac:dyDescent="0.25">
      <c r="A168" s="14">
        <v>168</v>
      </c>
      <c r="B168" s="15" t="s">
        <v>8</v>
      </c>
      <c r="C168" s="16" t="s">
        <v>6</v>
      </c>
      <c r="D168" s="17" t="s">
        <v>3</v>
      </c>
      <c r="E168" s="18" t="s">
        <v>11</v>
      </c>
      <c r="F168" s="81">
        <v>11</v>
      </c>
      <c r="G168" s="81">
        <v>13</v>
      </c>
      <c r="H168" s="3" t="str">
        <f t="shared" si="6"/>
        <v>GROEN</v>
      </c>
      <c r="I168" s="3" t="str">
        <f t="shared" si="7"/>
        <v>Karel</v>
      </c>
      <c r="J168" s="4" t="str">
        <f t="shared" si="8"/>
        <v>Matthijs</v>
      </c>
      <c r="K168" s="147" t="str">
        <f>Tabel3[[#This Row],[Rood Verdediging]]&amp;Tabel3[[#This Row],[Rood Aanval]]</f>
        <v>LouisStef D</v>
      </c>
      <c r="L168" s="147" t="str">
        <f>Tabel3[[#This Row],[Groen Verdediging]]&amp;Tabel3[[#This Row],[Groen Aanval]]</f>
        <v>KarelMatthijs</v>
      </c>
      <c r="M168" s="147" t="str">
        <f>Tabel3[[#This Row],[Winnaar 1]]&amp;Tabel3[[#This Row],[Winnaar 2]]</f>
        <v>KarelMatthijs</v>
      </c>
      <c r="N168" s="147" t="b">
        <f>IF(Tabel3[[#This Row],[Team Rood]]=Tabel3[[#This Row],[Winnaars]],Tabel3[[#This Row],[Team Rood]])</f>
        <v>0</v>
      </c>
      <c r="O168" s="147" t="str">
        <f>IF(Tabel3[[#This Row],[Team Groen]]=Tabel3[[#This Row],[Winnaars]],Tabel3[[#This Row],[Team Groen]])</f>
        <v>KarelMatthijs</v>
      </c>
    </row>
    <row r="169" spans="1:15" x14ac:dyDescent="0.25">
      <c r="A169" s="14">
        <v>169</v>
      </c>
      <c r="B169" s="15" t="s">
        <v>8</v>
      </c>
      <c r="C169" s="16" t="s">
        <v>3</v>
      </c>
      <c r="D169" s="20" t="s">
        <v>11</v>
      </c>
      <c r="E169" s="20" t="s">
        <v>6</v>
      </c>
      <c r="F169" s="81">
        <v>11</v>
      </c>
      <c r="G169" s="81">
        <v>6</v>
      </c>
      <c r="H169" s="3" t="str">
        <f t="shared" si="6"/>
        <v>ROOD</v>
      </c>
      <c r="I169" s="3" t="str">
        <f t="shared" si="7"/>
        <v>Louis</v>
      </c>
      <c r="J169" s="4" t="str">
        <f t="shared" si="8"/>
        <v>Karel</v>
      </c>
      <c r="K169" s="147" t="str">
        <f>Tabel3[[#This Row],[Rood Verdediging]]&amp;Tabel3[[#This Row],[Rood Aanval]]</f>
        <v>LouisKarel</v>
      </c>
      <c r="L169" s="147" t="str">
        <f>Tabel3[[#This Row],[Groen Verdediging]]&amp;Tabel3[[#This Row],[Groen Aanval]]</f>
        <v>MatthijsStef D</v>
      </c>
      <c r="M169" s="147" t="str">
        <f>Tabel3[[#This Row],[Winnaar 1]]&amp;Tabel3[[#This Row],[Winnaar 2]]</f>
        <v>LouisKarel</v>
      </c>
      <c r="N169" s="147" t="str">
        <f>IF(Tabel3[[#This Row],[Team Rood]]=Tabel3[[#This Row],[Winnaars]],Tabel3[[#This Row],[Team Rood]])</f>
        <v>LouisKarel</v>
      </c>
      <c r="O169" s="147" t="b">
        <f>IF(Tabel3[[#This Row],[Team Groen]]=Tabel3[[#This Row],[Winnaars]],Tabel3[[#This Row],[Team Groen]])</f>
        <v>0</v>
      </c>
    </row>
    <row r="170" spans="1:15" x14ac:dyDescent="0.25">
      <c r="A170" s="14">
        <v>170</v>
      </c>
      <c r="B170" s="19" t="s">
        <v>6</v>
      </c>
      <c r="C170" s="16" t="s">
        <v>8</v>
      </c>
      <c r="D170" s="20" t="s">
        <v>12</v>
      </c>
      <c r="E170" s="20" t="s">
        <v>19</v>
      </c>
      <c r="F170" s="81">
        <v>11</v>
      </c>
      <c r="G170" s="81">
        <v>6</v>
      </c>
      <c r="H170" s="3" t="str">
        <f t="shared" si="6"/>
        <v>ROOD</v>
      </c>
      <c r="I170" s="3" t="str">
        <f t="shared" si="7"/>
        <v>Stef D</v>
      </c>
      <c r="J170" s="4" t="str">
        <f t="shared" si="8"/>
        <v>Louis</v>
      </c>
      <c r="K170" s="147" t="str">
        <f>Tabel3[[#This Row],[Rood Verdediging]]&amp;Tabel3[[#This Row],[Rood Aanval]]</f>
        <v>Stef DLouis</v>
      </c>
      <c r="L170" s="147" t="str">
        <f>Tabel3[[#This Row],[Groen Verdediging]]&amp;Tabel3[[#This Row],[Groen Aanval]]</f>
        <v>AlexanderNicolas</v>
      </c>
      <c r="M170" s="147" t="str">
        <f>Tabel3[[#This Row],[Winnaar 1]]&amp;Tabel3[[#This Row],[Winnaar 2]]</f>
        <v>Stef DLouis</v>
      </c>
      <c r="N170" s="147" t="str">
        <f>IF(Tabel3[[#This Row],[Team Rood]]=Tabel3[[#This Row],[Winnaars]],Tabel3[[#This Row],[Team Rood]])</f>
        <v>Stef DLouis</v>
      </c>
      <c r="O170" s="147" t="b">
        <f>IF(Tabel3[[#This Row],[Team Groen]]=Tabel3[[#This Row],[Winnaars]],Tabel3[[#This Row],[Team Groen]])</f>
        <v>0</v>
      </c>
    </row>
    <row r="171" spans="1:15" x14ac:dyDescent="0.25">
      <c r="A171" s="14">
        <v>171</v>
      </c>
      <c r="B171" s="19" t="s">
        <v>8</v>
      </c>
      <c r="C171" s="16" t="s">
        <v>6</v>
      </c>
      <c r="D171" s="20" t="s">
        <v>12</v>
      </c>
      <c r="E171" s="20" t="s">
        <v>13</v>
      </c>
      <c r="F171" s="81">
        <v>11</v>
      </c>
      <c r="G171" s="81">
        <v>9</v>
      </c>
      <c r="H171" s="3" t="str">
        <f t="shared" si="6"/>
        <v>ROOD</v>
      </c>
      <c r="I171" s="3" t="str">
        <f t="shared" si="7"/>
        <v>Louis</v>
      </c>
      <c r="J171" s="4" t="str">
        <f t="shared" si="8"/>
        <v>Stef D</v>
      </c>
      <c r="K171" s="147" t="str">
        <f>Tabel3[[#This Row],[Rood Verdediging]]&amp;Tabel3[[#This Row],[Rood Aanval]]</f>
        <v>LouisStef D</v>
      </c>
      <c r="L171" s="147" t="str">
        <f>Tabel3[[#This Row],[Groen Verdediging]]&amp;Tabel3[[#This Row],[Groen Aanval]]</f>
        <v>AlexanderBert</v>
      </c>
      <c r="M171" s="147" t="str">
        <f>Tabel3[[#This Row],[Winnaar 1]]&amp;Tabel3[[#This Row],[Winnaar 2]]</f>
        <v>LouisStef D</v>
      </c>
      <c r="N171" s="147" t="str">
        <f>IF(Tabel3[[#This Row],[Team Rood]]=Tabel3[[#This Row],[Winnaars]],Tabel3[[#This Row],[Team Rood]])</f>
        <v>LouisStef D</v>
      </c>
      <c r="O171" s="147" t="b">
        <f>IF(Tabel3[[#This Row],[Team Groen]]=Tabel3[[#This Row],[Winnaars]],Tabel3[[#This Row],[Team Groen]])</f>
        <v>0</v>
      </c>
    </row>
    <row r="172" spans="1:15" x14ac:dyDescent="0.25">
      <c r="A172" s="14">
        <v>172</v>
      </c>
      <c r="B172" s="19" t="s">
        <v>19</v>
      </c>
      <c r="C172" s="16" t="s">
        <v>13</v>
      </c>
      <c r="D172" s="20" t="s">
        <v>8</v>
      </c>
      <c r="E172" s="20" t="s">
        <v>12</v>
      </c>
      <c r="F172" s="81">
        <v>11</v>
      </c>
      <c r="G172" s="81">
        <v>9</v>
      </c>
      <c r="H172" s="3" t="str">
        <f t="shared" si="6"/>
        <v>ROOD</v>
      </c>
      <c r="I172" s="3" t="str">
        <f t="shared" si="7"/>
        <v>Nicolas</v>
      </c>
      <c r="J172" s="4" t="str">
        <f t="shared" si="8"/>
        <v>Bert</v>
      </c>
      <c r="K172" s="147" t="str">
        <f>Tabel3[[#This Row],[Rood Verdediging]]&amp;Tabel3[[#This Row],[Rood Aanval]]</f>
        <v>NicolasBert</v>
      </c>
      <c r="L172" s="147" t="str">
        <f>Tabel3[[#This Row],[Groen Verdediging]]&amp;Tabel3[[#This Row],[Groen Aanval]]</f>
        <v>LouisAlexander</v>
      </c>
      <c r="M172" s="147" t="str">
        <f>Tabel3[[#This Row],[Winnaar 1]]&amp;Tabel3[[#This Row],[Winnaar 2]]</f>
        <v>NicolasBert</v>
      </c>
      <c r="N172" s="147" t="str">
        <f>IF(Tabel3[[#This Row],[Team Rood]]=Tabel3[[#This Row],[Winnaars]],Tabel3[[#This Row],[Team Rood]])</f>
        <v>NicolasBert</v>
      </c>
      <c r="O172" s="147" t="b">
        <f>IF(Tabel3[[#This Row],[Team Groen]]=Tabel3[[#This Row],[Winnaars]],Tabel3[[#This Row],[Team Groen]])</f>
        <v>0</v>
      </c>
    </row>
    <row r="173" spans="1:15" x14ac:dyDescent="0.25">
      <c r="A173" s="14">
        <v>173</v>
      </c>
      <c r="B173" s="19" t="s">
        <v>12</v>
      </c>
      <c r="C173" s="16" t="s">
        <v>6</v>
      </c>
      <c r="D173" s="20" t="s">
        <v>13</v>
      </c>
      <c r="E173" s="20" t="s">
        <v>19</v>
      </c>
      <c r="F173" s="81">
        <v>11</v>
      </c>
      <c r="G173" s="81">
        <v>4</v>
      </c>
      <c r="H173" s="3" t="str">
        <f t="shared" si="6"/>
        <v>ROOD</v>
      </c>
      <c r="I173" s="3" t="str">
        <f t="shared" si="7"/>
        <v>Alexander</v>
      </c>
      <c r="J173" s="4" t="str">
        <f t="shared" si="8"/>
        <v>Stef D</v>
      </c>
      <c r="K173" s="147" t="str">
        <f>Tabel3[[#This Row],[Rood Verdediging]]&amp;Tabel3[[#This Row],[Rood Aanval]]</f>
        <v>AlexanderStef D</v>
      </c>
      <c r="L173" s="147" t="str">
        <f>Tabel3[[#This Row],[Groen Verdediging]]&amp;Tabel3[[#This Row],[Groen Aanval]]</f>
        <v>BertNicolas</v>
      </c>
      <c r="M173" s="147" t="str">
        <f>Tabel3[[#This Row],[Winnaar 1]]&amp;Tabel3[[#This Row],[Winnaar 2]]</f>
        <v>AlexanderStef D</v>
      </c>
      <c r="N173" s="147" t="str">
        <f>IF(Tabel3[[#This Row],[Team Rood]]=Tabel3[[#This Row],[Winnaars]],Tabel3[[#This Row],[Team Rood]])</f>
        <v>AlexanderStef D</v>
      </c>
      <c r="O173" s="147" t="b">
        <f>IF(Tabel3[[#This Row],[Team Groen]]=Tabel3[[#This Row],[Winnaars]],Tabel3[[#This Row],[Team Groen]])</f>
        <v>0</v>
      </c>
    </row>
    <row r="174" spans="1:15" x14ac:dyDescent="0.25">
      <c r="A174" s="14">
        <v>174</v>
      </c>
      <c r="B174" s="19" t="s">
        <v>8</v>
      </c>
      <c r="C174" s="16" t="s">
        <v>12</v>
      </c>
      <c r="D174" s="20" t="s">
        <v>19</v>
      </c>
      <c r="E174" s="20" t="s">
        <v>6</v>
      </c>
      <c r="F174" s="81">
        <v>12</v>
      </c>
      <c r="G174" s="81">
        <v>10</v>
      </c>
      <c r="H174" s="3" t="str">
        <f t="shared" si="6"/>
        <v>ROOD</v>
      </c>
      <c r="I174" s="3" t="str">
        <f t="shared" si="7"/>
        <v>Louis</v>
      </c>
      <c r="J174" s="4" t="str">
        <f t="shared" si="8"/>
        <v>Alexander</v>
      </c>
      <c r="K174" s="147" t="str">
        <f>Tabel3[[#This Row],[Rood Verdediging]]&amp;Tabel3[[#This Row],[Rood Aanval]]</f>
        <v>LouisAlexander</v>
      </c>
      <c r="L174" s="147" t="str">
        <f>Tabel3[[#This Row],[Groen Verdediging]]&amp;Tabel3[[#This Row],[Groen Aanval]]</f>
        <v>NicolasStef D</v>
      </c>
      <c r="M174" s="147" t="str">
        <f>Tabel3[[#This Row],[Winnaar 1]]&amp;Tabel3[[#This Row],[Winnaar 2]]</f>
        <v>LouisAlexander</v>
      </c>
      <c r="N174" s="147" t="str">
        <f>IF(Tabel3[[#This Row],[Team Rood]]=Tabel3[[#This Row],[Winnaars]],Tabel3[[#This Row],[Team Rood]])</f>
        <v>LouisAlexander</v>
      </c>
      <c r="O174" s="147" t="b">
        <f>IF(Tabel3[[#This Row],[Team Groen]]=Tabel3[[#This Row],[Winnaars]],Tabel3[[#This Row],[Team Groen]])</f>
        <v>0</v>
      </c>
    </row>
    <row r="175" spans="1:15" x14ac:dyDescent="0.25">
      <c r="A175" s="14">
        <v>175</v>
      </c>
      <c r="B175" s="19" t="s">
        <v>12</v>
      </c>
      <c r="C175" s="16" t="s">
        <v>8</v>
      </c>
      <c r="D175" s="20" t="s">
        <v>20</v>
      </c>
      <c r="E175" s="20" t="s">
        <v>13</v>
      </c>
      <c r="F175" s="81">
        <v>7</v>
      </c>
      <c r="G175" s="81">
        <v>11</v>
      </c>
      <c r="H175" s="3" t="str">
        <f t="shared" si="6"/>
        <v>GROEN</v>
      </c>
      <c r="I175" s="3" t="str">
        <f t="shared" si="7"/>
        <v xml:space="preserve"> Stef D</v>
      </c>
      <c r="J175" s="4" t="str">
        <f t="shared" si="8"/>
        <v>Bert</v>
      </c>
      <c r="K175" s="147" t="str">
        <f>Tabel3[[#This Row],[Rood Verdediging]]&amp;Tabel3[[#This Row],[Rood Aanval]]</f>
        <v>AlexanderLouis</v>
      </c>
      <c r="L175" s="147" t="str">
        <f>Tabel3[[#This Row],[Groen Verdediging]]&amp;Tabel3[[#This Row],[Groen Aanval]]</f>
        <v xml:space="preserve"> Stef DBert</v>
      </c>
      <c r="M175" s="147" t="str">
        <f>Tabel3[[#This Row],[Winnaar 1]]&amp;Tabel3[[#This Row],[Winnaar 2]]</f>
        <v xml:space="preserve"> Stef DBert</v>
      </c>
      <c r="N175" s="147" t="b">
        <f>IF(Tabel3[[#This Row],[Team Rood]]=Tabel3[[#This Row],[Winnaars]],Tabel3[[#This Row],[Team Rood]])</f>
        <v>0</v>
      </c>
      <c r="O175" s="147" t="str">
        <f>IF(Tabel3[[#This Row],[Team Groen]]=Tabel3[[#This Row],[Winnaars]],Tabel3[[#This Row],[Team Groen]])</f>
        <v xml:space="preserve"> Stef DBert</v>
      </c>
    </row>
    <row r="176" spans="1:15" x14ac:dyDescent="0.25">
      <c r="A176" s="14">
        <v>176</v>
      </c>
      <c r="B176" s="19" t="s">
        <v>8</v>
      </c>
      <c r="C176" s="16" t="s">
        <v>13</v>
      </c>
      <c r="D176" s="20" t="s">
        <v>12</v>
      </c>
      <c r="E176" s="20" t="s">
        <v>6</v>
      </c>
      <c r="F176" s="81">
        <v>13</v>
      </c>
      <c r="G176" s="81">
        <v>10</v>
      </c>
      <c r="H176" s="3" t="str">
        <f t="shared" si="6"/>
        <v>ROOD</v>
      </c>
      <c r="I176" s="3" t="str">
        <f t="shared" si="7"/>
        <v>Louis</v>
      </c>
      <c r="J176" s="4" t="str">
        <f t="shared" si="8"/>
        <v>Bert</v>
      </c>
      <c r="K176" s="147" t="str">
        <f>Tabel3[[#This Row],[Rood Verdediging]]&amp;Tabel3[[#This Row],[Rood Aanval]]</f>
        <v>LouisBert</v>
      </c>
      <c r="L176" s="147" t="str">
        <f>Tabel3[[#This Row],[Groen Verdediging]]&amp;Tabel3[[#This Row],[Groen Aanval]]</f>
        <v>AlexanderStef D</v>
      </c>
      <c r="M176" s="147" t="str">
        <f>Tabel3[[#This Row],[Winnaar 1]]&amp;Tabel3[[#This Row],[Winnaar 2]]</f>
        <v>LouisBert</v>
      </c>
      <c r="N176" s="147" t="str">
        <f>IF(Tabel3[[#This Row],[Team Rood]]=Tabel3[[#This Row],[Winnaars]],Tabel3[[#This Row],[Team Rood]])</f>
        <v>LouisBert</v>
      </c>
      <c r="O176" s="147" t="b">
        <f>IF(Tabel3[[#This Row],[Team Groen]]=Tabel3[[#This Row],[Winnaars]],Tabel3[[#This Row],[Team Groen]])</f>
        <v>0</v>
      </c>
    </row>
    <row r="177" spans="1:15" x14ac:dyDescent="0.25">
      <c r="A177" s="14">
        <v>177</v>
      </c>
      <c r="B177" s="21" t="s">
        <v>19</v>
      </c>
      <c r="C177" s="23" t="s">
        <v>11</v>
      </c>
      <c r="D177" s="22" t="s">
        <v>8</v>
      </c>
      <c r="E177" s="22" t="s">
        <v>6</v>
      </c>
      <c r="F177" s="81">
        <v>0</v>
      </c>
      <c r="G177" s="81">
        <v>11</v>
      </c>
      <c r="H177" s="5" t="str">
        <f t="shared" si="6"/>
        <v>GROEN</v>
      </c>
      <c r="I177" s="5" t="str">
        <f>IF(F177&gt;G177,B177,D177)</f>
        <v>Louis</v>
      </c>
      <c r="J177" s="6" t="str">
        <f>IF(F177&gt;G177,C177,E177)</f>
        <v>Stef D</v>
      </c>
      <c r="K177" s="147" t="str">
        <f>Tabel3[[#This Row],[Rood Verdediging]]&amp;Tabel3[[#This Row],[Rood Aanval]]</f>
        <v>NicolasMatthijs</v>
      </c>
      <c r="L177" s="147" t="str">
        <f>Tabel3[[#This Row],[Groen Verdediging]]&amp;Tabel3[[#This Row],[Groen Aanval]]</f>
        <v>LouisStef D</v>
      </c>
      <c r="M177" s="147" t="str">
        <f>Tabel3[[#This Row],[Winnaar 1]]&amp;Tabel3[[#This Row],[Winnaar 2]]</f>
        <v>LouisStef D</v>
      </c>
      <c r="N177" s="147" t="b">
        <f>IF(Tabel3[[#This Row],[Team Rood]]=Tabel3[[#This Row],[Winnaars]],Tabel3[[#This Row],[Team Rood]])</f>
        <v>0</v>
      </c>
      <c r="O177" s="147" t="str">
        <f>IF(Tabel3[[#This Row],[Team Groen]]=Tabel3[[#This Row],[Winnaars]],Tabel3[[#This Row],[Team Groen]])</f>
        <v>LouisStef D</v>
      </c>
    </row>
    <row r="178" spans="1:15" x14ac:dyDescent="0.25">
      <c r="A178" s="14">
        <v>178</v>
      </c>
      <c r="B178" s="19" t="s">
        <v>8</v>
      </c>
      <c r="C178" s="16" t="s">
        <v>11</v>
      </c>
      <c r="D178" s="20" t="s">
        <v>6</v>
      </c>
      <c r="E178" s="20" t="s">
        <v>19</v>
      </c>
      <c r="F178" s="81">
        <v>8</v>
      </c>
      <c r="G178" s="81">
        <v>11</v>
      </c>
      <c r="H178" s="3" t="str">
        <f t="shared" si="6"/>
        <v>GROEN</v>
      </c>
      <c r="I178" s="3" t="str">
        <f t="shared" si="7"/>
        <v>Stef D</v>
      </c>
      <c r="J178" s="4" t="str">
        <f t="shared" si="8"/>
        <v>Nicolas</v>
      </c>
      <c r="K178" s="147" t="str">
        <f>Tabel3[[#This Row],[Rood Verdediging]]&amp;Tabel3[[#This Row],[Rood Aanval]]</f>
        <v>LouisMatthijs</v>
      </c>
      <c r="L178" s="147" t="str">
        <f>Tabel3[[#This Row],[Groen Verdediging]]&amp;Tabel3[[#This Row],[Groen Aanval]]</f>
        <v>Stef DNicolas</v>
      </c>
      <c r="M178" s="147" t="str">
        <f>Tabel3[[#This Row],[Winnaar 1]]&amp;Tabel3[[#This Row],[Winnaar 2]]</f>
        <v>Stef DNicolas</v>
      </c>
      <c r="N178" s="147" t="b">
        <f>IF(Tabel3[[#This Row],[Team Rood]]=Tabel3[[#This Row],[Winnaars]],Tabel3[[#This Row],[Team Rood]])</f>
        <v>0</v>
      </c>
      <c r="O178" s="147" t="str">
        <f>IF(Tabel3[[#This Row],[Team Groen]]=Tabel3[[#This Row],[Winnaars]],Tabel3[[#This Row],[Team Groen]])</f>
        <v>Stef DNicolas</v>
      </c>
    </row>
    <row r="179" spans="1:15" x14ac:dyDescent="0.25">
      <c r="A179" s="14">
        <v>179</v>
      </c>
      <c r="B179" s="19" t="s">
        <v>11</v>
      </c>
      <c r="C179" s="16" t="s">
        <v>8</v>
      </c>
      <c r="D179" s="20" t="s">
        <v>19</v>
      </c>
      <c r="E179" s="20" t="s">
        <v>6</v>
      </c>
      <c r="F179" s="81">
        <v>16</v>
      </c>
      <c r="G179" s="81">
        <v>18</v>
      </c>
      <c r="H179" s="3" t="str">
        <f t="shared" si="6"/>
        <v>GROEN</v>
      </c>
      <c r="I179" s="3" t="str">
        <f t="shared" si="7"/>
        <v>Nicolas</v>
      </c>
      <c r="J179" s="4" t="str">
        <f t="shared" si="8"/>
        <v>Stef D</v>
      </c>
      <c r="K179" s="147" t="str">
        <f>Tabel3[[#This Row],[Rood Verdediging]]&amp;Tabel3[[#This Row],[Rood Aanval]]</f>
        <v>MatthijsLouis</v>
      </c>
      <c r="L179" s="147" t="str">
        <f>Tabel3[[#This Row],[Groen Verdediging]]&amp;Tabel3[[#This Row],[Groen Aanval]]</f>
        <v>NicolasStef D</v>
      </c>
      <c r="M179" s="147" t="str">
        <f>Tabel3[[#This Row],[Winnaar 1]]&amp;Tabel3[[#This Row],[Winnaar 2]]</f>
        <v>NicolasStef D</v>
      </c>
      <c r="N179" s="147" t="b">
        <f>IF(Tabel3[[#This Row],[Team Rood]]=Tabel3[[#This Row],[Winnaars]],Tabel3[[#This Row],[Team Rood]])</f>
        <v>0</v>
      </c>
      <c r="O179" s="147" t="str">
        <f>IF(Tabel3[[#This Row],[Team Groen]]=Tabel3[[#This Row],[Winnaars]],Tabel3[[#This Row],[Team Groen]])</f>
        <v>NicolasStef D</v>
      </c>
    </row>
    <row r="180" spans="1:15" x14ac:dyDescent="0.25">
      <c r="A180" s="14">
        <v>180</v>
      </c>
      <c r="B180" s="19" t="s">
        <v>0</v>
      </c>
      <c r="C180" s="16" t="s">
        <v>11</v>
      </c>
      <c r="D180" s="20" t="s">
        <v>19</v>
      </c>
      <c r="E180" s="20" t="s">
        <v>6</v>
      </c>
      <c r="F180" s="81">
        <v>10</v>
      </c>
      <c r="G180" s="81">
        <v>12</v>
      </c>
      <c r="H180" s="3" t="str">
        <f t="shared" si="6"/>
        <v>GROEN</v>
      </c>
      <c r="I180" s="3" t="str">
        <f t="shared" si="7"/>
        <v>Nicolas</v>
      </c>
      <c r="J180" s="4" t="str">
        <f t="shared" si="8"/>
        <v>Stef D</v>
      </c>
      <c r="K180" s="147" t="str">
        <f>Tabel3[[#This Row],[Rood Verdediging]]&amp;Tabel3[[#This Row],[Rood Aanval]]</f>
        <v>JonasMatthijs</v>
      </c>
      <c r="L180" s="147" t="str">
        <f>Tabel3[[#This Row],[Groen Verdediging]]&amp;Tabel3[[#This Row],[Groen Aanval]]</f>
        <v>NicolasStef D</v>
      </c>
      <c r="M180" s="147" t="str">
        <f>Tabel3[[#This Row],[Winnaar 1]]&amp;Tabel3[[#This Row],[Winnaar 2]]</f>
        <v>NicolasStef D</v>
      </c>
      <c r="N180" s="147" t="b">
        <f>IF(Tabel3[[#This Row],[Team Rood]]=Tabel3[[#This Row],[Winnaars]],Tabel3[[#This Row],[Team Rood]])</f>
        <v>0</v>
      </c>
      <c r="O180" s="147" t="str">
        <f>IF(Tabel3[[#This Row],[Team Groen]]=Tabel3[[#This Row],[Winnaars]],Tabel3[[#This Row],[Team Groen]])</f>
        <v>NicolasStef D</v>
      </c>
    </row>
    <row r="181" spans="1:15" x14ac:dyDescent="0.25">
      <c r="A181" s="14">
        <v>181</v>
      </c>
      <c r="B181" s="19" t="s">
        <v>11</v>
      </c>
      <c r="C181" s="16" t="s">
        <v>6</v>
      </c>
      <c r="D181" s="20" t="s">
        <v>0</v>
      </c>
      <c r="E181" s="20" t="s">
        <v>19</v>
      </c>
      <c r="F181" s="81">
        <v>8</v>
      </c>
      <c r="G181" s="81">
        <v>11</v>
      </c>
      <c r="H181" s="3" t="str">
        <f t="shared" si="6"/>
        <v>GROEN</v>
      </c>
      <c r="I181" s="3" t="str">
        <f t="shared" si="7"/>
        <v>Jonas</v>
      </c>
      <c r="J181" s="4" t="str">
        <f t="shared" si="8"/>
        <v>Nicolas</v>
      </c>
      <c r="K181" s="147" t="str">
        <f>Tabel3[[#This Row],[Rood Verdediging]]&amp;Tabel3[[#This Row],[Rood Aanval]]</f>
        <v>MatthijsStef D</v>
      </c>
      <c r="L181" s="147" t="str">
        <f>Tabel3[[#This Row],[Groen Verdediging]]&amp;Tabel3[[#This Row],[Groen Aanval]]</f>
        <v>JonasNicolas</v>
      </c>
      <c r="M181" s="147" t="str">
        <f>Tabel3[[#This Row],[Winnaar 1]]&amp;Tabel3[[#This Row],[Winnaar 2]]</f>
        <v>JonasNicolas</v>
      </c>
      <c r="N181" s="147" t="b">
        <f>IF(Tabel3[[#This Row],[Team Rood]]=Tabel3[[#This Row],[Winnaars]],Tabel3[[#This Row],[Team Rood]])</f>
        <v>0</v>
      </c>
      <c r="O181" s="147" t="str">
        <f>IF(Tabel3[[#This Row],[Team Groen]]=Tabel3[[#This Row],[Winnaars]],Tabel3[[#This Row],[Team Groen]])</f>
        <v>JonasNicolas</v>
      </c>
    </row>
    <row r="182" spans="1:15" x14ac:dyDescent="0.25">
      <c r="A182" s="14">
        <v>182</v>
      </c>
      <c r="B182" s="19" t="s">
        <v>11</v>
      </c>
      <c r="C182" s="16" t="s">
        <v>19</v>
      </c>
      <c r="D182" s="20" t="s">
        <v>0</v>
      </c>
      <c r="E182" s="20" t="s">
        <v>6</v>
      </c>
      <c r="F182" s="81">
        <v>8</v>
      </c>
      <c r="G182" s="81">
        <v>11</v>
      </c>
      <c r="H182" s="3" t="str">
        <f t="shared" si="6"/>
        <v>GROEN</v>
      </c>
      <c r="I182" s="3" t="str">
        <f t="shared" si="7"/>
        <v>Jonas</v>
      </c>
      <c r="J182" s="4" t="str">
        <f t="shared" si="8"/>
        <v>Stef D</v>
      </c>
      <c r="K182" s="147" t="str">
        <f>Tabel3[[#This Row],[Rood Verdediging]]&amp;Tabel3[[#This Row],[Rood Aanval]]</f>
        <v>MatthijsNicolas</v>
      </c>
      <c r="L182" s="147" t="str">
        <f>Tabel3[[#This Row],[Groen Verdediging]]&amp;Tabel3[[#This Row],[Groen Aanval]]</f>
        <v>JonasStef D</v>
      </c>
      <c r="M182" s="147" t="str">
        <f>Tabel3[[#This Row],[Winnaar 1]]&amp;Tabel3[[#This Row],[Winnaar 2]]</f>
        <v>JonasStef D</v>
      </c>
      <c r="N182" s="147" t="b">
        <f>IF(Tabel3[[#This Row],[Team Rood]]=Tabel3[[#This Row],[Winnaars]],Tabel3[[#This Row],[Team Rood]])</f>
        <v>0</v>
      </c>
      <c r="O182" s="147" t="str">
        <f>IF(Tabel3[[#This Row],[Team Groen]]=Tabel3[[#This Row],[Winnaars]],Tabel3[[#This Row],[Team Groen]])</f>
        <v>JonasStef D</v>
      </c>
    </row>
    <row r="183" spans="1:15" x14ac:dyDescent="0.25">
      <c r="A183" s="14">
        <v>183</v>
      </c>
      <c r="B183" s="19" t="s">
        <v>19</v>
      </c>
      <c r="C183" s="16" t="s">
        <v>11</v>
      </c>
      <c r="D183" s="20" t="s">
        <v>6</v>
      </c>
      <c r="E183" s="20" t="s">
        <v>21</v>
      </c>
      <c r="F183" s="81">
        <v>6</v>
      </c>
      <c r="G183" s="81">
        <v>11</v>
      </c>
      <c r="H183" s="3" t="str">
        <f t="shared" si="6"/>
        <v>GROEN</v>
      </c>
      <c r="I183" s="3" t="str">
        <f t="shared" si="7"/>
        <v>Stef D</v>
      </c>
      <c r="J183" s="4" t="str">
        <f t="shared" si="8"/>
        <v xml:space="preserve">Jonas </v>
      </c>
      <c r="K183" s="147" t="str">
        <f>Tabel3[[#This Row],[Rood Verdediging]]&amp;Tabel3[[#This Row],[Rood Aanval]]</f>
        <v>NicolasMatthijs</v>
      </c>
      <c r="L183" s="147" t="str">
        <f>Tabel3[[#This Row],[Groen Verdediging]]&amp;Tabel3[[#This Row],[Groen Aanval]]</f>
        <v xml:space="preserve">Stef DJonas </v>
      </c>
      <c r="M183" s="147" t="str">
        <f>Tabel3[[#This Row],[Winnaar 1]]&amp;Tabel3[[#This Row],[Winnaar 2]]</f>
        <v xml:space="preserve">Stef DJonas </v>
      </c>
      <c r="N183" s="147" t="b">
        <f>IF(Tabel3[[#This Row],[Team Rood]]=Tabel3[[#This Row],[Winnaars]],Tabel3[[#This Row],[Team Rood]])</f>
        <v>0</v>
      </c>
      <c r="O183" s="147" t="str">
        <f>IF(Tabel3[[#This Row],[Team Groen]]=Tabel3[[#This Row],[Winnaars]],Tabel3[[#This Row],[Team Groen]])</f>
        <v xml:space="preserve">Stef DJonas </v>
      </c>
    </row>
    <row r="184" spans="1:15" x14ac:dyDescent="0.25">
      <c r="A184" s="14">
        <v>184</v>
      </c>
      <c r="B184" s="19" t="s">
        <v>11</v>
      </c>
      <c r="C184" s="16" t="s">
        <v>0</v>
      </c>
      <c r="D184" s="20" t="s">
        <v>19</v>
      </c>
      <c r="E184" s="20" t="s">
        <v>8</v>
      </c>
      <c r="F184" s="81">
        <v>11</v>
      </c>
      <c r="G184" s="81">
        <v>4</v>
      </c>
      <c r="H184" s="3" t="str">
        <f t="shared" si="6"/>
        <v>ROOD</v>
      </c>
      <c r="I184" s="3" t="str">
        <f t="shared" si="7"/>
        <v>Matthijs</v>
      </c>
      <c r="J184" s="4" t="str">
        <f t="shared" si="8"/>
        <v>Jonas</v>
      </c>
      <c r="K184" s="147" t="str">
        <f>Tabel3[[#This Row],[Rood Verdediging]]&amp;Tabel3[[#This Row],[Rood Aanval]]</f>
        <v>MatthijsJonas</v>
      </c>
      <c r="L184" s="147" t="str">
        <f>Tabel3[[#This Row],[Groen Verdediging]]&amp;Tabel3[[#This Row],[Groen Aanval]]</f>
        <v>NicolasLouis</v>
      </c>
      <c r="M184" s="147" t="str">
        <f>Tabel3[[#This Row],[Winnaar 1]]&amp;Tabel3[[#This Row],[Winnaar 2]]</f>
        <v>MatthijsJonas</v>
      </c>
      <c r="N184" s="147" t="str">
        <f>IF(Tabel3[[#This Row],[Team Rood]]=Tabel3[[#This Row],[Winnaars]],Tabel3[[#This Row],[Team Rood]])</f>
        <v>MatthijsJonas</v>
      </c>
      <c r="O184" s="147" t="b">
        <f>IF(Tabel3[[#This Row],[Team Groen]]=Tabel3[[#This Row],[Winnaars]],Tabel3[[#This Row],[Team Groen]])</f>
        <v>0</v>
      </c>
    </row>
    <row r="185" spans="1:15" x14ac:dyDescent="0.25">
      <c r="A185" s="14">
        <v>185</v>
      </c>
      <c r="B185" s="19" t="s">
        <v>0</v>
      </c>
      <c r="C185" s="16" t="s">
        <v>11</v>
      </c>
      <c r="D185" s="20" t="s">
        <v>8</v>
      </c>
      <c r="E185" s="20" t="s">
        <v>19</v>
      </c>
      <c r="F185" s="81">
        <v>11</v>
      </c>
      <c r="G185" s="81">
        <v>4</v>
      </c>
      <c r="H185" s="3" t="str">
        <f t="shared" si="6"/>
        <v>ROOD</v>
      </c>
      <c r="I185" s="3" t="str">
        <f t="shared" si="7"/>
        <v>Jonas</v>
      </c>
      <c r="J185" s="4" t="str">
        <f t="shared" si="8"/>
        <v>Matthijs</v>
      </c>
      <c r="K185" s="147" t="str">
        <f>Tabel3[[#This Row],[Rood Verdediging]]&amp;Tabel3[[#This Row],[Rood Aanval]]</f>
        <v>JonasMatthijs</v>
      </c>
      <c r="L185" s="147" t="str">
        <f>Tabel3[[#This Row],[Groen Verdediging]]&amp;Tabel3[[#This Row],[Groen Aanval]]</f>
        <v>LouisNicolas</v>
      </c>
      <c r="M185" s="147" t="str">
        <f>Tabel3[[#This Row],[Winnaar 1]]&amp;Tabel3[[#This Row],[Winnaar 2]]</f>
        <v>JonasMatthijs</v>
      </c>
      <c r="N185" s="147" t="str">
        <f>IF(Tabel3[[#This Row],[Team Rood]]=Tabel3[[#This Row],[Winnaars]],Tabel3[[#This Row],[Team Rood]])</f>
        <v>JonasMatthijs</v>
      </c>
      <c r="O185" s="147" t="b">
        <f>IF(Tabel3[[#This Row],[Team Groen]]=Tabel3[[#This Row],[Winnaars]],Tabel3[[#This Row],[Team Groen]])</f>
        <v>0</v>
      </c>
    </row>
    <row r="186" spans="1:15" x14ac:dyDescent="0.25">
      <c r="A186" s="14">
        <v>186</v>
      </c>
      <c r="B186" s="19" t="s">
        <v>19</v>
      </c>
      <c r="C186" s="16" t="s">
        <v>0</v>
      </c>
      <c r="D186" s="20" t="s">
        <v>11</v>
      </c>
      <c r="E186" s="20" t="s">
        <v>6</v>
      </c>
      <c r="F186" s="81">
        <v>7</v>
      </c>
      <c r="G186" s="81">
        <v>11</v>
      </c>
      <c r="H186" s="3" t="str">
        <f t="shared" si="6"/>
        <v>GROEN</v>
      </c>
      <c r="I186" s="3" t="str">
        <f t="shared" si="7"/>
        <v>Matthijs</v>
      </c>
      <c r="J186" s="4" t="str">
        <f t="shared" si="8"/>
        <v>Stef D</v>
      </c>
      <c r="K186" s="147" t="str">
        <f>Tabel3[[#This Row],[Rood Verdediging]]&amp;Tabel3[[#This Row],[Rood Aanval]]</f>
        <v>NicolasJonas</v>
      </c>
      <c r="L186" s="147" t="str">
        <f>Tabel3[[#This Row],[Groen Verdediging]]&amp;Tabel3[[#This Row],[Groen Aanval]]</f>
        <v>MatthijsStef D</v>
      </c>
      <c r="M186" s="147" t="str">
        <f>Tabel3[[#This Row],[Winnaar 1]]&amp;Tabel3[[#This Row],[Winnaar 2]]</f>
        <v>MatthijsStef D</v>
      </c>
      <c r="N186" s="147" t="b">
        <f>IF(Tabel3[[#This Row],[Team Rood]]=Tabel3[[#This Row],[Winnaars]],Tabel3[[#This Row],[Team Rood]])</f>
        <v>0</v>
      </c>
      <c r="O186" s="147" t="str">
        <f>IF(Tabel3[[#This Row],[Team Groen]]=Tabel3[[#This Row],[Winnaars]],Tabel3[[#This Row],[Team Groen]])</f>
        <v>MatthijsStef D</v>
      </c>
    </row>
    <row r="187" spans="1:15" x14ac:dyDescent="0.25">
      <c r="A187" s="14">
        <v>187</v>
      </c>
      <c r="B187" s="19" t="s">
        <v>0</v>
      </c>
      <c r="C187" s="16" t="s">
        <v>19</v>
      </c>
      <c r="D187" s="20" t="s">
        <v>11</v>
      </c>
      <c r="E187" s="20" t="s">
        <v>6</v>
      </c>
      <c r="F187" s="81">
        <v>10</v>
      </c>
      <c r="G187" s="81">
        <v>12</v>
      </c>
      <c r="H187" s="3" t="str">
        <f t="shared" si="6"/>
        <v>GROEN</v>
      </c>
      <c r="I187" s="3" t="str">
        <f t="shared" si="7"/>
        <v>Matthijs</v>
      </c>
      <c r="J187" s="4" t="str">
        <f t="shared" si="8"/>
        <v>Stef D</v>
      </c>
      <c r="K187" s="147" t="str">
        <f>Tabel3[[#This Row],[Rood Verdediging]]&amp;Tabel3[[#This Row],[Rood Aanval]]</f>
        <v>JonasNicolas</v>
      </c>
      <c r="L187" s="147" t="str">
        <f>Tabel3[[#This Row],[Groen Verdediging]]&amp;Tabel3[[#This Row],[Groen Aanval]]</f>
        <v>MatthijsStef D</v>
      </c>
      <c r="M187" s="147" t="str">
        <f>Tabel3[[#This Row],[Winnaar 1]]&amp;Tabel3[[#This Row],[Winnaar 2]]</f>
        <v>MatthijsStef D</v>
      </c>
      <c r="N187" s="147" t="b">
        <f>IF(Tabel3[[#This Row],[Team Rood]]=Tabel3[[#This Row],[Winnaars]],Tabel3[[#This Row],[Team Rood]])</f>
        <v>0</v>
      </c>
      <c r="O187" s="147" t="str">
        <f>IF(Tabel3[[#This Row],[Team Groen]]=Tabel3[[#This Row],[Winnaars]],Tabel3[[#This Row],[Team Groen]])</f>
        <v>MatthijsStef D</v>
      </c>
    </row>
    <row r="188" spans="1:15" x14ac:dyDescent="0.25">
      <c r="A188" s="14">
        <v>188</v>
      </c>
      <c r="B188" s="19" t="s">
        <v>19</v>
      </c>
      <c r="C188" s="16" t="s">
        <v>11</v>
      </c>
      <c r="D188" s="20" t="s">
        <v>0</v>
      </c>
      <c r="E188" s="20" t="s">
        <v>6</v>
      </c>
      <c r="F188" s="81">
        <v>1</v>
      </c>
      <c r="G188" s="81">
        <v>11</v>
      </c>
      <c r="H188" s="3" t="str">
        <f t="shared" si="6"/>
        <v>GROEN</v>
      </c>
      <c r="I188" s="3" t="str">
        <f t="shared" si="7"/>
        <v>Jonas</v>
      </c>
      <c r="J188" s="4" t="str">
        <f t="shared" si="8"/>
        <v>Stef D</v>
      </c>
      <c r="K188" s="147" t="str">
        <f>Tabel3[[#This Row],[Rood Verdediging]]&amp;Tabel3[[#This Row],[Rood Aanval]]</f>
        <v>NicolasMatthijs</v>
      </c>
      <c r="L188" s="147" t="str">
        <f>Tabel3[[#This Row],[Groen Verdediging]]&amp;Tabel3[[#This Row],[Groen Aanval]]</f>
        <v>JonasStef D</v>
      </c>
      <c r="M188" s="147" t="str">
        <f>Tabel3[[#This Row],[Winnaar 1]]&amp;Tabel3[[#This Row],[Winnaar 2]]</f>
        <v>JonasStef D</v>
      </c>
      <c r="N188" s="147" t="b">
        <f>IF(Tabel3[[#This Row],[Team Rood]]=Tabel3[[#This Row],[Winnaars]],Tabel3[[#This Row],[Team Rood]])</f>
        <v>0</v>
      </c>
      <c r="O188" s="147" t="str">
        <f>IF(Tabel3[[#This Row],[Team Groen]]=Tabel3[[#This Row],[Winnaars]],Tabel3[[#This Row],[Team Groen]])</f>
        <v>JonasStef D</v>
      </c>
    </row>
    <row r="189" spans="1:15" x14ac:dyDescent="0.25">
      <c r="A189" s="14">
        <v>189</v>
      </c>
      <c r="B189" s="19" t="s">
        <v>19</v>
      </c>
      <c r="C189" s="16" t="s">
        <v>6</v>
      </c>
      <c r="D189" s="20" t="s">
        <v>0</v>
      </c>
      <c r="E189" s="20" t="s">
        <v>7</v>
      </c>
      <c r="F189" s="81">
        <v>12</v>
      </c>
      <c r="G189" s="81">
        <v>10</v>
      </c>
      <c r="H189" s="3" t="str">
        <f t="shared" si="6"/>
        <v>ROOD</v>
      </c>
      <c r="I189" s="3" t="str">
        <f t="shared" si="7"/>
        <v>Nicolas</v>
      </c>
      <c r="J189" s="4" t="str">
        <f t="shared" si="8"/>
        <v>Stef D</v>
      </c>
      <c r="K189" s="147" t="str">
        <f>Tabel3[[#This Row],[Rood Verdediging]]&amp;Tabel3[[#This Row],[Rood Aanval]]</f>
        <v>NicolasStef D</v>
      </c>
      <c r="L189" s="147" t="str">
        <f>Tabel3[[#This Row],[Groen Verdediging]]&amp;Tabel3[[#This Row],[Groen Aanval]]</f>
        <v>JonasTiemen</v>
      </c>
      <c r="M189" s="147" t="str">
        <f>Tabel3[[#This Row],[Winnaar 1]]&amp;Tabel3[[#This Row],[Winnaar 2]]</f>
        <v>NicolasStef D</v>
      </c>
      <c r="N189" s="147" t="str">
        <f>IF(Tabel3[[#This Row],[Team Rood]]=Tabel3[[#This Row],[Winnaars]],Tabel3[[#This Row],[Team Rood]])</f>
        <v>NicolasStef D</v>
      </c>
      <c r="O189" s="147" t="b">
        <f>IF(Tabel3[[#This Row],[Team Groen]]=Tabel3[[#This Row],[Winnaars]],Tabel3[[#This Row],[Team Groen]])</f>
        <v>0</v>
      </c>
    </row>
    <row r="190" spans="1:15" x14ac:dyDescent="0.25">
      <c r="A190" s="14">
        <v>190</v>
      </c>
      <c r="B190" s="19" t="s">
        <v>6</v>
      </c>
      <c r="C190" s="16" t="s">
        <v>19</v>
      </c>
      <c r="D190" s="20" t="s">
        <v>7</v>
      </c>
      <c r="E190" s="20" t="s">
        <v>0</v>
      </c>
      <c r="F190" s="81">
        <v>7</v>
      </c>
      <c r="G190" s="81">
        <v>11</v>
      </c>
      <c r="H190" s="3" t="str">
        <f t="shared" si="6"/>
        <v>GROEN</v>
      </c>
      <c r="I190" s="3" t="str">
        <f t="shared" si="7"/>
        <v>Tiemen</v>
      </c>
      <c r="J190" s="4" t="str">
        <f t="shared" si="8"/>
        <v>Jonas</v>
      </c>
      <c r="K190" s="147" t="str">
        <f>Tabel3[[#This Row],[Rood Verdediging]]&amp;Tabel3[[#This Row],[Rood Aanval]]</f>
        <v>Stef DNicolas</v>
      </c>
      <c r="L190" s="147" t="str">
        <f>Tabel3[[#This Row],[Groen Verdediging]]&amp;Tabel3[[#This Row],[Groen Aanval]]</f>
        <v>TiemenJonas</v>
      </c>
      <c r="M190" s="147" t="str">
        <f>Tabel3[[#This Row],[Winnaar 1]]&amp;Tabel3[[#This Row],[Winnaar 2]]</f>
        <v>TiemenJonas</v>
      </c>
      <c r="N190" s="147" t="b">
        <f>IF(Tabel3[[#This Row],[Team Rood]]=Tabel3[[#This Row],[Winnaars]],Tabel3[[#This Row],[Team Rood]])</f>
        <v>0</v>
      </c>
      <c r="O190" s="147" t="str">
        <f>IF(Tabel3[[#This Row],[Team Groen]]=Tabel3[[#This Row],[Winnaars]],Tabel3[[#This Row],[Team Groen]])</f>
        <v>TiemenJonas</v>
      </c>
    </row>
    <row r="191" spans="1:15" x14ac:dyDescent="0.25">
      <c r="A191" s="14">
        <v>191</v>
      </c>
      <c r="B191" s="19" t="s">
        <v>0</v>
      </c>
      <c r="C191" s="16" t="s">
        <v>19</v>
      </c>
      <c r="D191" s="20" t="s">
        <v>6</v>
      </c>
      <c r="E191" s="20" t="s">
        <v>7</v>
      </c>
      <c r="F191" s="81">
        <v>9</v>
      </c>
      <c r="G191" s="81">
        <v>11</v>
      </c>
      <c r="H191" s="3" t="str">
        <f t="shared" si="6"/>
        <v>GROEN</v>
      </c>
      <c r="I191" s="3" t="str">
        <f t="shared" si="7"/>
        <v>Stef D</v>
      </c>
      <c r="J191" s="4" t="str">
        <f t="shared" si="8"/>
        <v>Tiemen</v>
      </c>
      <c r="K191" s="147" t="str">
        <f>Tabel3[[#This Row],[Rood Verdediging]]&amp;Tabel3[[#This Row],[Rood Aanval]]</f>
        <v>JonasNicolas</v>
      </c>
      <c r="L191" s="147" t="str">
        <f>Tabel3[[#This Row],[Groen Verdediging]]&amp;Tabel3[[#This Row],[Groen Aanval]]</f>
        <v>Stef DTiemen</v>
      </c>
      <c r="M191" s="147" t="str">
        <f>Tabel3[[#This Row],[Winnaar 1]]&amp;Tabel3[[#This Row],[Winnaar 2]]</f>
        <v>Stef DTiemen</v>
      </c>
      <c r="N191" s="147" t="b">
        <f>IF(Tabel3[[#This Row],[Team Rood]]=Tabel3[[#This Row],[Winnaars]],Tabel3[[#This Row],[Team Rood]])</f>
        <v>0</v>
      </c>
      <c r="O191" s="147" t="str">
        <f>IF(Tabel3[[#This Row],[Team Groen]]=Tabel3[[#This Row],[Winnaars]],Tabel3[[#This Row],[Team Groen]])</f>
        <v>Stef DTiemen</v>
      </c>
    </row>
    <row r="192" spans="1:15" x14ac:dyDescent="0.25">
      <c r="A192" s="14">
        <v>192</v>
      </c>
      <c r="B192" s="19" t="s">
        <v>19</v>
      </c>
      <c r="C192" s="16" t="s">
        <v>0</v>
      </c>
      <c r="D192" s="20" t="s">
        <v>7</v>
      </c>
      <c r="E192" s="20" t="s">
        <v>6</v>
      </c>
      <c r="F192" s="81">
        <v>5</v>
      </c>
      <c r="G192" s="81">
        <v>11</v>
      </c>
      <c r="H192" s="3" t="str">
        <f t="shared" si="6"/>
        <v>GROEN</v>
      </c>
      <c r="I192" s="3" t="str">
        <f t="shared" si="7"/>
        <v>Tiemen</v>
      </c>
      <c r="J192" s="4" t="str">
        <f t="shared" si="8"/>
        <v>Stef D</v>
      </c>
      <c r="K192" s="147" t="str">
        <f>Tabel3[[#This Row],[Rood Verdediging]]&amp;Tabel3[[#This Row],[Rood Aanval]]</f>
        <v>NicolasJonas</v>
      </c>
      <c r="L192" s="147" t="str">
        <f>Tabel3[[#This Row],[Groen Verdediging]]&amp;Tabel3[[#This Row],[Groen Aanval]]</f>
        <v>TiemenStef D</v>
      </c>
      <c r="M192" s="147" t="str">
        <f>Tabel3[[#This Row],[Winnaar 1]]&amp;Tabel3[[#This Row],[Winnaar 2]]</f>
        <v>TiemenStef D</v>
      </c>
      <c r="N192" s="147" t="b">
        <f>IF(Tabel3[[#This Row],[Team Rood]]=Tabel3[[#This Row],[Winnaars]],Tabel3[[#This Row],[Team Rood]])</f>
        <v>0</v>
      </c>
      <c r="O192" s="147" t="str">
        <f>IF(Tabel3[[#This Row],[Team Groen]]=Tabel3[[#This Row],[Winnaars]],Tabel3[[#This Row],[Team Groen]])</f>
        <v>TiemenStef D</v>
      </c>
    </row>
    <row r="193" spans="1:15" x14ac:dyDescent="0.25">
      <c r="A193" s="14">
        <v>193</v>
      </c>
      <c r="B193" s="19" t="s">
        <v>0</v>
      </c>
      <c r="C193" s="16" t="s">
        <v>6</v>
      </c>
      <c r="D193" s="20" t="s">
        <v>19</v>
      </c>
      <c r="E193" s="20" t="s">
        <v>7</v>
      </c>
      <c r="F193" s="81">
        <v>11</v>
      </c>
      <c r="G193" s="81">
        <v>6</v>
      </c>
      <c r="H193" s="3" t="str">
        <f t="shared" si="6"/>
        <v>ROOD</v>
      </c>
      <c r="I193" s="3" t="str">
        <f t="shared" si="7"/>
        <v>Jonas</v>
      </c>
      <c r="J193" s="4" t="str">
        <f t="shared" si="8"/>
        <v>Stef D</v>
      </c>
      <c r="K193" s="147" t="str">
        <f>Tabel3[[#This Row],[Rood Verdediging]]&amp;Tabel3[[#This Row],[Rood Aanval]]</f>
        <v>JonasStef D</v>
      </c>
      <c r="L193" s="147" t="str">
        <f>Tabel3[[#This Row],[Groen Verdediging]]&amp;Tabel3[[#This Row],[Groen Aanval]]</f>
        <v>NicolasTiemen</v>
      </c>
      <c r="M193" s="147" t="str">
        <f>Tabel3[[#This Row],[Winnaar 1]]&amp;Tabel3[[#This Row],[Winnaar 2]]</f>
        <v>JonasStef D</v>
      </c>
      <c r="N193" s="147" t="str">
        <f>IF(Tabel3[[#This Row],[Team Rood]]=Tabel3[[#This Row],[Winnaars]],Tabel3[[#This Row],[Team Rood]])</f>
        <v>JonasStef D</v>
      </c>
      <c r="O193" s="147" t="b">
        <f>IF(Tabel3[[#This Row],[Team Groen]]=Tabel3[[#This Row],[Winnaars]],Tabel3[[#This Row],[Team Groen]])</f>
        <v>0</v>
      </c>
    </row>
    <row r="194" spans="1:15" x14ac:dyDescent="0.25">
      <c r="A194" s="14">
        <v>194</v>
      </c>
      <c r="B194" s="19" t="s">
        <v>6</v>
      </c>
      <c r="C194" s="16" t="s">
        <v>0</v>
      </c>
      <c r="D194" s="20" t="s">
        <v>7</v>
      </c>
      <c r="E194" s="20" t="s">
        <v>19</v>
      </c>
      <c r="F194" s="81">
        <v>11</v>
      </c>
      <c r="G194" s="81">
        <v>3</v>
      </c>
      <c r="H194" s="3" t="str">
        <f t="shared" ref="H194:H257" si="9">IF(F194&gt;G194,"ROOD",IF(F194=G194,"","GROEN"))</f>
        <v>ROOD</v>
      </c>
      <c r="I194" s="3" t="str">
        <f t="shared" ref="I194:I257" si="10">IF(F194&gt;G194,B194,IF(F194=0,"",D194))</f>
        <v>Stef D</v>
      </c>
      <c r="J194" s="4" t="str">
        <f t="shared" ref="J194:J257" si="11">IF(F194&gt;G194,C194,IF(F194=0,"",E194))</f>
        <v>Jonas</v>
      </c>
      <c r="K194" s="147" t="str">
        <f>Tabel3[[#This Row],[Rood Verdediging]]&amp;Tabel3[[#This Row],[Rood Aanval]]</f>
        <v>Stef DJonas</v>
      </c>
      <c r="L194" s="147" t="str">
        <f>Tabel3[[#This Row],[Groen Verdediging]]&amp;Tabel3[[#This Row],[Groen Aanval]]</f>
        <v>TiemenNicolas</v>
      </c>
      <c r="M194" s="147" t="str">
        <f>Tabel3[[#This Row],[Winnaar 1]]&amp;Tabel3[[#This Row],[Winnaar 2]]</f>
        <v>Stef DJonas</v>
      </c>
      <c r="N194" s="147" t="str">
        <f>IF(Tabel3[[#This Row],[Team Rood]]=Tabel3[[#This Row],[Winnaars]],Tabel3[[#This Row],[Team Rood]])</f>
        <v>Stef DJonas</v>
      </c>
      <c r="O194" s="147" t="b">
        <f>IF(Tabel3[[#This Row],[Team Groen]]=Tabel3[[#This Row],[Winnaars]],Tabel3[[#This Row],[Team Groen]])</f>
        <v>0</v>
      </c>
    </row>
    <row r="195" spans="1:15" x14ac:dyDescent="0.25">
      <c r="A195" s="14">
        <v>195</v>
      </c>
      <c r="B195" s="19" t="s">
        <v>0</v>
      </c>
      <c r="C195" s="16" t="s">
        <v>6</v>
      </c>
      <c r="D195" s="20" t="s">
        <v>80</v>
      </c>
      <c r="E195" s="20" t="s">
        <v>7</v>
      </c>
      <c r="F195" s="81">
        <v>11</v>
      </c>
      <c r="G195" s="81">
        <v>5</v>
      </c>
      <c r="H195" s="3" t="str">
        <f t="shared" si="9"/>
        <v>ROOD</v>
      </c>
      <c r="I195" s="3" t="str">
        <f t="shared" si="10"/>
        <v>Jonas</v>
      </c>
      <c r="J195" s="4" t="str">
        <f t="shared" si="11"/>
        <v>Stef D</v>
      </c>
      <c r="K195" s="147" t="str">
        <f>Tabel3[[#This Row],[Rood Verdediging]]&amp;Tabel3[[#This Row],[Rood Aanval]]</f>
        <v>JonasStef D</v>
      </c>
      <c r="L195" s="147" t="str">
        <f>Tabel3[[#This Row],[Groen Verdediging]]&amp;Tabel3[[#This Row],[Groen Aanval]]</f>
        <v>TobiTiemen</v>
      </c>
      <c r="M195" s="147" t="str">
        <f>Tabel3[[#This Row],[Winnaar 1]]&amp;Tabel3[[#This Row],[Winnaar 2]]</f>
        <v>JonasStef D</v>
      </c>
      <c r="N195" s="147" t="str">
        <f>IF(Tabel3[[#This Row],[Team Rood]]=Tabel3[[#This Row],[Winnaars]],Tabel3[[#This Row],[Team Rood]])</f>
        <v>JonasStef D</v>
      </c>
      <c r="O195" s="147" t="b">
        <f>IF(Tabel3[[#This Row],[Team Groen]]=Tabel3[[#This Row],[Winnaars]],Tabel3[[#This Row],[Team Groen]])</f>
        <v>0</v>
      </c>
    </row>
    <row r="196" spans="1:15" x14ac:dyDescent="0.25">
      <c r="A196" s="14">
        <v>196</v>
      </c>
      <c r="B196" s="19" t="s">
        <v>0</v>
      </c>
      <c r="C196" s="16" t="s">
        <v>7</v>
      </c>
      <c r="D196" s="20" t="s">
        <v>3</v>
      </c>
      <c r="E196" s="20" t="s">
        <v>80</v>
      </c>
      <c r="F196" s="81">
        <v>11</v>
      </c>
      <c r="G196" s="81">
        <v>9</v>
      </c>
      <c r="H196" s="3" t="str">
        <f t="shared" si="9"/>
        <v>ROOD</v>
      </c>
      <c r="I196" s="3" t="str">
        <f t="shared" si="10"/>
        <v>Jonas</v>
      </c>
      <c r="J196" s="4" t="str">
        <f t="shared" si="11"/>
        <v>Tiemen</v>
      </c>
      <c r="K196" s="147" t="str">
        <f>Tabel3[[#This Row],[Rood Verdediging]]&amp;Tabel3[[#This Row],[Rood Aanval]]</f>
        <v>JonasTiemen</v>
      </c>
      <c r="L196" s="147" t="str">
        <f>Tabel3[[#This Row],[Groen Verdediging]]&amp;Tabel3[[#This Row],[Groen Aanval]]</f>
        <v>KarelTobi</v>
      </c>
      <c r="M196" s="147" t="str">
        <f>Tabel3[[#This Row],[Winnaar 1]]&amp;Tabel3[[#This Row],[Winnaar 2]]</f>
        <v>JonasTiemen</v>
      </c>
      <c r="N196" s="147" t="str">
        <f>IF(Tabel3[[#This Row],[Team Rood]]=Tabel3[[#This Row],[Winnaars]],Tabel3[[#This Row],[Team Rood]])</f>
        <v>JonasTiemen</v>
      </c>
      <c r="O196" s="147" t="b">
        <f>IF(Tabel3[[#This Row],[Team Groen]]=Tabel3[[#This Row],[Winnaars]],Tabel3[[#This Row],[Team Groen]])</f>
        <v>0</v>
      </c>
    </row>
    <row r="197" spans="1:15" x14ac:dyDescent="0.25">
      <c r="A197" s="14">
        <v>197</v>
      </c>
      <c r="B197" s="19" t="s">
        <v>3</v>
      </c>
      <c r="C197" s="16" t="s">
        <v>0</v>
      </c>
      <c r="D197" s="20" t="s">
        <v>7</v>
      </c>
      <c r="E197" s="20" t="s">
        <v>80</v>
      </c>
      <c r="F197" s="81">
        <v>8</v>
      </c>
      <c r="G197" s="81">
        <v>11</v>
      </c>
      <c r="H197" s="3" t="str">
        <f t="shared" si="9"/>
        <v>GROEN</v>
      </c>
      <c r="I197" s="3" t="str">
        <f t="shared" si="10"/>
        <v>Tiemen</v>
      </c>
      <c r="J197" s="4" t="str">
        <f t="shared" si="11"/>
        <v>Tobi</v>
      </c>
      <c r="K197" s="147" t="str">
        <f>Tabel3[[#This Row],[Rood Verdediging]]&amp;Tabel3[[#This Row],[Rood Aanval]]</f>
        <v>KarelJonas</v>
      </c>
      <c r="L197" s="147" t="str">
        <f>Tabel3[[#This Row],[Groen Verdediging]]&amp;Tabel3[[#This Row],[Groen Aanval]]</f>
        <v>TiemenTobi</v>
      </c>
      <c r="M197" s="147" t="str">
        <f>Tabel3[[#This Row],[Winnaar 1]]&amp;Tabel3[[#This Row],[Winnaar 2]]</f>
        <v>TiemenTobi</v>
      </c>
      <c r="N197" s="147" t="b">
        <f>IF(Tabel3[[#This Row],[Team Rood]]=Tabel3[[#This Row],[Winnaars]],Tabel3[[#This Row],[Team Rood]])</f>
        <v>0</v>
      </c>
      <c r="O197" s="147" t="str">
        <f>IF(Tabel3[[#This Row],[Team Groen]]=Tabel3[[#This Row],[Winnaars]],Tabel3[[#This Row],[Team Groen]])</f>
        <v>TiemenTobi</v>
      </c>
    </row>
    <row r="198" spans="1:15" x14ac:dyDescent="0.25">
      <c r="A198" s="14">
        <v>198</v>
      </c>
      <c r="B198" s="19" t="s">
        <v>0</v>
      </c>
      <c r="C198" s="16" t="s">
        <v>7</v>
      </c>
      <c r="D198" s="20" t="s">
        <v>6</v>
      </c>
      <c r="E198" s="20" t="s">
        <v>3</v>
      </c>
      <c r="F198" s="81">
        <v>14</v>
      </c>
      <c r="G198" s="81">
        <v>12</v>
      </c>
      <c r="H198" s="3" t="str">
        <f t="shared" si="9"/>
        <v>ROOD</v>
      </c>
      <c r="I198" s="3" t="str">
        <f t="shared" si="10"/>
        <v>Jonas</v>
      </c>
      <c r="J198" s="4" t="str">
        <f t="shared" si="11"/>
        <v>Tiemen</v>
      </c>
      <c r="K198" s="147" t="str">
        <f>Tabel3[[#This Row],[Rood Verdediging]]&amp;Tabel3[[#This Row],[Rood Aanval]]</f>
        <v>JonasTiemen</v>
      </c>
      <c r="L198" s="147" t="str">
        <f>Tabel3[[#This Row],[Groen Verdediging]]&amp;Tabel3[[#This Row],[Groen Aanval]]</f>
        <v>Stef DKarel</v>
      </c>
      <c r="M198" s="147" t="str">
        <f>Tabel3[[#This Row],[Winnaar 1]]&amp;Tabel3[[#This Row],[Winnaar 2]]</f>
        <v>JonasTiemen</v>
      </c>
      <c r="N198" s="147" t="str">
        <f>IF(Tabel3[[#This Row],[Team Rood]]=Tabel3[[#This Row],[Winnaars]],Tabel3[[#This Row],[Team Rood]])</f>
        <v>JonasTiemen</v>
      </c>
      <c r="O198" s="147" t="b">
        <f>IF(Tabel3[[#This Row],[Team Groen]]=Tabel3[[#This Row],[Winnaars]],Tabel3[[#This Row],[Team Groen]])</f>
        <v>0</v>
      </c>
    </row>
    <row r="199" spans="1:15" x14ac:dyDescent="0.25">
      <c r="A199" s="14">
        <v>199</v>
      </c>
      <c r="B199" s="19" t="s">
        <v>19</v>
      </c>
      <c r="C199" s="16" t="s">
        <v>6</v>
      </c>
      <c r="D199" s="20" t="s">
        <v>7</v>
      </c>
      <c r="E199" s="20" t="s">
        <v>13</v>
      </c>
      <c r="F199" s="81">
        <v>9</v>
      </c>
      <c r="G199" s="81">
        <v>11</v>
      </c>
      <c r="H199" s="3" t="str">
        <f t="shared" si="9"/>
        <v>GROEN</v>
      </c>
      <c r="I199" s="3" t="str">
        <f t="shared" si="10"/>
        <v>Tiemen</v>
      </c>
      <c r="J199" s="4" t="str">
        <f t="shared" si="11"/>
        <v>Bert</v>
      </c>
      <c r="K199" s="147" t="str">
        <f>Tabel3[[#This Row],[Rood Verdediging]]&amp;Tabel3[[#This Row],[Rood Aanval]]</f>
        <v>NicolasStef D</v>
      </c>
      <c r="L199" s="147" t="str">
        <f>Tabel3[[#This Row],[Groen Verdediging]]&amp;Tabel3[[#This Row],[Groen Aanval]]</f>
        <v>TiemenBert</v>
      </c>
      <c r="M199" s="147" t="str">
        <f>Tabel3[[#This Row],[Winnaar 1]]&amp;Tabel3[[#This Row],[Winnaar 2]]</f>
        <v>TiemenBert</v>
      </c>
      <c r="N199" s="147" t="b">
        <f>IF(Tabel3[[#This Row],[Team Rood]]=Tabel3[[#This Row],[Winnaars]],Tabel3[[#This Row],[Team Rood]])</f>
        <v>0</v>
      </c>
      <c r="O199" s="147" t="str">
        <f>IF(Tabel3[[#This Row],[Team Groen]]=Tabel3[[#This Row],[Winnaars]],Tabel3[[#This Row],[Team Groen]])</f>
        <v>TiemenBert</v>
      </c>
    </row>
    <row r="200" spans="1:15" x14ac:dyDescent="0.25">
      <c r="A200" s="14">
        <v>200</v>
      </c>
      <c r="B200" s="19" t="s">
        <v>6</v>
      </c>
      <c r="C200" s="16" t="s">
        <v>13</v>
      </c>
      <c r="D200" s="20" t="s">
        <v>0</v>
      </c>
      <c r="E200" s="20" t="s">
        <v>19</v>
      </c>
      <c r="F200" s="81">
        <v>11</v>
      </c>
      <c r="G200" s="81">
        <v>7</v>
      </c>
      <c r="H200" s="3" t="str">
        <f t="shared" si="9"/>
        <v>ROOD</v>
      </c>
      <c r="I200" s="3" t="str">
        <f t="shared" si="10"/>
        <v>Stef D</v>
      </c>
      <c r="J200" s="4" t="str">
        <f t="shared" si="11"/>
        <v>Bert</v>
      </c>
      <c r="K200" s="147" t="str">
        <f>Tabel3[[#This Row],[Rood Verdediging]]&amp;Tabel3[[#This Row],[Rood Aanval]]</f>
        <v>Stef DBert</v>
      </c>
      <c r="L200" s="147" t="str">
        <f>Tabel3[[#This Row],[Groen Verdediging]]&amp;Tabel3[[#This Row],[Groen Aanval]]</f>
        <v>JonasNicolas</v>
      </c>
      <c r="M200" s="147" t="str">
        <f>Tabel3[[#This Row],[Winnaar 1]]&amp;Tabel3[[#This Row],[Winnaar 2]]</f>
        <v>Stef DBert</v>
      </c>
      <c r="N200" s="147" t="str">
        <f>IF(Tabel3[[#This Row],[Team Rood]]=Tabel3[[#This Row],[Winnaars]],Tabel3[[#This Row],[Team Rood]])</f>
        <v>Stef DBert</v>
      </c>
      <c r="O200" s="147" t="b">
        <f>IF(Tabel3[[#This Row],[Team Groen]]=Tabel3[[#This Row],[Winnaars]],Tabel3[[#This Row],[Team Groen]])</f>
        <v>0</v>
      </c>
    </row>
    <row r="201" spans="1:15" x14ac:dyDescent="0.25">
      <c r="A201" s="14">
        <v>201</v>
      </c>
      <c r="B201" s="19" t="s">
        <v>0</v>
      </c>
      <c r="C201" s="16" t="s">
        <v>80</v>
      </c>
      <c r="D201" s="20" t="s">
        <v>3</v>
      </c>
      <c r="E201" s="20" t="s">
        <v>7</v>
      </c>
      <c r="F201" s="81">
        <v>11</v>
      </c>
      <c r="G201" s="81">
        <v>9</v>
      </c>
      <c r="H201" s="3" t="str">
        <f t="shared" si="9"/>
        <v>ROOD</v>
      </c>
      <c r="I201" s="3" t="str">
        <f t="shared" si="10"/>
        <v>Jonas</v>
      </c>
      <c r="J201" s="4" t="str">
        <f t="shared" si="11"/>
        <v>Tobi</v>
      </c>
      <c r="K201" s="147" t="str">
        <f>Tabel3[[#This Row],[Rood Verdediging]]&amp;Tabel3[[#This Row],[Rood Aanval]]</f>
        <v>JonasTobi</v>
      </c>
      <c r="L201" s="147" t="str">
        <f>Tabel3[[#This Row],[Groen Verdediging]]&amp;Tabel3[[#This Row],[Groen Aanval]]</f>
        <v>KarelTiemen</v>
      </c>
      <c r="M201" s="147" t="str">
        <f>Tabel3[[#This Row],[Winnaar 1]]&amp;Tabel3[[#This Row],[Winnaar 2]]</f>
        <v>JonasTobi</v>
      </c>
      <c r="N201" s="147" t="str">
        <f>IF(Tabel3[[#This Row],[Team Rood]]=Tabel3[[#This Row],[Winnaars]],Tabel3[[#This Row],[Team Rood]])</f>
        <v>JonasTobi</v>
      </c>
      <c r="O201" s="147" t="b">
        <f>IF(Tabel3[[#This Row],[Team Groen]]=Tabel3[[#This Row],[Winnaars]],Tabel3[[#This Row],[Team Groen]])</f>
        <v>0</v>
      </c>
    </row>
    <row r="202" spans="1:15" x14ac:dyDescent="0.25">
      <c r="A202" s="14">
        <v>202</v>
      </c>
      <c r="B202" s="19" t="s">
        <v>7</v>
      </c>
      <c r="C202" s="16" t="s">
        <v>6</v>
      </c>
      <c r="D202" s="20" t="s">
        <v>0</v>
      </c>
      <c r="E202" s="20" t="s">
        <v>13</v>
      </c>
      <c r="F202" s="81">
        <v>11</v>
      </c>
      <c r="G202" s="81">
        <v>9</v>
      </c>
      <c r="H202" s="3" t="str">
        <f t="shared" si="9"/>
        <v>ROOD</v>
      </c>
      <c r="I202" s="3" t="str">
        <f t="shared" si="10"/>
        <v>Tiemen</v>
      </c>
      <c r="J202" s="4" t="str">
        <f t="shared" si="11"/>
        <v>Stef D</v>
      </c>
      <c r="K202" s="147" t="str">
        <f>Tabel3[[#This Row],[Rood Verdediging]]&amp;Tabel3[[#This Row],[Rood Aanval]]</f>
        <v>TiemenStef D</v>
      </c>
      <c r="L202" s="147" t="str">
        <f>Tabel3[[#This Row],[Groen Verdediging]]&amp;Tabel3[[#This Row],[Groen Aanval]]</f>
        <v>JonasBert</v>
      </c>
      <c r="M202" s="147" t="str">
        <f>Tabel3[[#This Row],[Winnaar 1]]&amp;Tabel3[[#This Row],[Winnaar 2]]</f>
        <v>TiemenStef D</v>
      </c>
      <c r="N202" s="147" t="str">
        <f>IF(Tabel3[[#This Row],[Team Rood]]=Tabel3[[#This Row],[Winnaars]],Tabel3[[#This Row],[Team Rood]])</f>
        <v>TiemenStef D</v>
      </c>
      <c r="O202" s="147" t="b">
        <f>IF(Tabel3[[#This Row],[Team Groen]]=Tabel3[[#This Row],[Winnaars]],Tabel3[[#This Row],[Team Groen]])</f>
        <v>0</v>
      </c>
    </row>
    <row r="203" spans="1:15" x14ac:dyDescent="0.25">
      <c r="A203" s="14">
        <v>203</v>
      </c>
      <c r="B203" s="19" t="s">
        <v>13</v>
      </c>
      <c r="C203" s="16" t="s">
        <v>7</v>
      </c>
      <c r="D203" s="20" t="s">
        <v>0</v>
      </c>
      <c r="E203" s="20" t="s">
        <v>6</v>
      </c>
      <c r="F203" s="81">
        <v>7</v>
      </c>
      <c r="G203" s="81">
        <v>11</v>
      </c>
      <c r="H203" s="3" t="str">
        <f t="shared" si="9"/>
        <v>GROEN</v>
      </c>
      <c r="I203" s="3" t="str">
        <f t="shared" si="10"/>
        <v>Jonas</v>
      </c>
      <c r="J203" s="4" t="str">
        <f t="shared" si="11"/>
        <v>Stef D</v>
      </c>
      <c r="K203" s="147" t="str">
        <f>Tabel3[[#This Row],[Rood Verdediging]]&amp;Tabel3[[#This Row],[Rood Aanval]]</f>
        <v>BertTiemen</v>
      </c>
      <c r="L203" s="147" t="str">
        <f>Tabel3[[#This Row],[Groen Verdediging]]&amp;Tabel3[[#This Row],[Groen Aanval]]</f>
        <v>JonasStef D</v>
      </c>
      <c r="M203" s="147" t="str">
        <f>Tabel3[[#This Row],[Winnaar 1]]&amp;Tabel3[[#This Row],[Winnaar 2]]</f>
        <v>JonasStef D</v>
      </c>
      <c r="N203" s="147" t="b">
        <f>IF(Tabel3[[#This Row],[Team Rood]]=Tabel3[[#This Row],[Winnaars]],Tabel3[[#This Row],[Team Rood]])</f>
        <v>0</v>
      </c>
      <c r="O203" s="147" t="str">
        <f>IF(Tabel3[[#This Row],[Team Groen]]=Tabel3[[#This Row],[Winnaars]],Tabel3[[#This Row],[Team Groen]])</f>
        <v>JonasStef D</v>
      </c>
    </row>
    <row r="204" spans="1:15" x14ac:dyDescent="0.25">
      <c r="A204" s="14">
        <v>204</v>
      </c>
      <c r="B204" s="19" t="s">
        <v>3</v>
      </c>
      <c r="C204" s="16" t="s">
        <v>19</v>
      </c>
      <c r="D204" s="20" t="s">
        <v>80</v>
      </c>
      <c r="E204" s="20" t="s">
        <v>13</v>
      </c>
      <c r="F204" s="81">
        <v>7</v>
      </c>
      <c r="G204" s="81">
        <v>11</v>
      </c>
      <c r="H204" s="3" t="str">
        <f t="shared" si="9"/>
        <v>GROEN</v>
      </c>
      <c r="I204" s="3" t="str">
        <f t="shared" si="10"/>
        <v>Tobi</v>
      </c>
      <c r="J204" s="4" t="str">
        <f t="shared" si="11"/>
        <v>Bert</v>
      </c>
      <c r="K204" s="147" t="str">
        <f>Tabel3[[#This Row],[Rood Verdediging]]&amp;Tabel3[[#This Row],[Rood Aanval]]</f>
        <v>KarelNicolas</v>
      </c>
      <c r="L204" s="147" t="str">
        <f>Tabel3[[#This Row],[Groen Verdediging]]&amp;Tabel3[[#This Row],[Groen Aanval]]</f>
        <v>TobiBert</v>
      </c>
      <c r="M204" s="147" t="str">
        <f>Tabel3[[#This Row],[Winnaar 1]]&amp;Tabel3[[#This Row],[Winnaar 2]]</f>
        <v>TobiBert</v>
      </c>
      <c r="N204" s="147" t="b">
        <f>IF(Tabel3[[#This Row],[Team Rood]]=Tabel3[[#This Row],[Winnaars]],Tabel3[[#This Row],[Team Rood]])</f>
        <v>0</v>
      </c>
      <c r="O204" s="147" t="str">
        <f>IF(Tabel3[[#This Row],[Team Groen]]=Tabel3[[#This Row],[Winnaars]],Tabel3[[#This Row],[Team Groen]])</f>
        <v>TobiBert</v>
      </c>
    </row>
    <row r="205" spans="1:15" x14ac:dyDescent="0.25">
      <c r="A205" s="14">
        <v>205</v>
      </c>
      <c r="B205" s="19" t="s">
        <v>15</v>
      </c>
      <c r="C205" s="16" t="s">
        <v>6</v>
      </c>
      <c r="D205" s="20" t="s">
        <v>0</v>
      </c>
      <c r="E205" s="20" t="s">
        <v>80</v>
      </c>
      <c r="F205" s="81">
        <v>6</v>
      </c>
      <c r="G205" s="81">
        <v>11</v>
      </c>
      <c r="H205" s="3" t="str">
        <f t="shared" si="9"/>
        <v>GROEN</v>
      </c>
      <c r="I205" s="3" t="str">
        <f t="shared" si="10"/>
        <v>Jonas</v>
      </c>
      <c r="J205" s="4" t="str">
        <f t="shared" si="11"/>
        <v>Tobi</v>
      </c>
      <c r="K205" s="147" t="str">
        <f>Tabel3[[#This Row],[Rood Verdediging]]&amp;Tabel3[[#This Row],[Rood Aanval]]</f>
        <v>StijnStef D</v>
      </c>
      <c r="L205" s="147" t="str">
        <f>Tabel3[[#This Row],[Groen Verdediging]]&amp;Tabel3[[#This Row],[Groen Aanval]]</f>
        <v>JonasTobi</v>
      </c>
      <c r="M205" s="147" t="str">
        <f>Tabel3[[#This Row],[Winnaar 1]]&amp;Tabel3[[#This Row],[Winnaar 2]]</f>
        <v>JonasTobi</v>
      </c>
      <c r="N205" s="147" t="b">
        <f>IF(Tabel3[[#This Row],[Team Rood]]=Tabel3[[#This Row],[Winnaars]],Tabel3[[#This Row],[Team Rood]])</f>
        <v>0</v>
      </c>
      <c r="O205" s="147" t="str">
        <f>IF(Tabel3[[#This Row],[Team Groen]]=Tabel3[[#This Row],[Winnaars]],Tabel3[[#This Row],[Team Groen]])</f>
        <v>JonasTobi</v>
      </c>
    </row>
    <row r="206" spans="1:15" x14ac:dyDescent="0.25">
      <c r="A206" s="14">
        <v>206</v>
      </c>
      <c r="B206" s="19" t="s">
        <v>80</v>
      </c>
      <c r="C206" s="16" t="s">
        <v>15</v>
      </c>
      <c r="D206" s="20" t="s">
        <v>0</v>
      </c>
      <c r="E206" s="20" t="s">
        <v>6</v>
      </c>
      <c r="F206" s="81">
        <v>2</v>
      </c>
      <c r="G206" s="81">
        <v>11</v>
      </c>
      <c r="H206" s="3" t="str">
        <f t="shared" si="9"/>
        <v>GROEN</v>
      </c>
      <c r="I206" s="3" t="str">
        <f t="shared" si="10"/>
        <v>Jonas</v>
      </c>
      <c r="J206" s="4" t="str">
        <f t="shared" si="11"/>
        <v>Stef D</v>
      </c>
      <c r="K206" s="147" t="str">
        <f>Tabel3[[#This Row],[Rood Verdediging]]&amp;Tabel3[[#This Row],[Rood Aanval]]</f>
        <v>TobiStijn</v>
      </c>
      <c r="L206" s="147" t="str">
        <f>Tabel3[[#This Row],[Groen Verdediging]]&amp;Tabel3[[#This Row],[Groen Aanval]]</f>
        <v>JonasStef D</v>
      </c>
      <c r="M206" s="147" t="str">
        <f>Tabel3[[#This Row],[Winnaar 1]]&amp;Tabel3[[#This Row],[Winnaar 2]]</f>
        <v>JonasStef D</v>
      </c>
      <c r="N206" s="147" t="b">
        <f>IF(Tabel3[[#This Row],[Team Rood]]=Tabel3[[#This Row],[Winnaars]],Tabel3[[#This Row],[Team Rood]])</f>
        <v>0</v>
      </c>
      <c r="O206" s="147" t="str">
        <f>IF(Tabel3[[#This Row],[Team Groen]]=Tabel3[[#This Row],[Winnaars]],Tabel3[[#This Row],[Team Groen]])</f>
        <v>JonasStef D</v>
      </c>
    </row>
    <row r="207" spans="1:15" x14ac:dyDescent="0.25">
      <c r="A207" s="14">
        <v>207</v>
      </c>
      <c r="B207" s="19" t="s">
        <v>15</v>
      </c>
      <c r="C207" s="16" t="s">
        <v>80</v>
      </c>
      <c r="D207" s="20" t="s">
        <v>3</v>
      </c>
      <c r="E207" s="20" t="s">
        <v>11</v>
      </c>
      <c r="F207" s="81">
        <v>11</v>
      </c>
      <c r="G207" s="81">
        <v>5</v>
      </c>
      <c r="H207" s="3" t="str">
        <f t="shared" si="9"/>
        <v>ROOD</v>
      </c>
      <c r="I207" s="3" t="str">
        <f t="shared" si="10"/>
        <v>Stijn</v>
      </c>
      <c r="J207" s="4" t="str">
        <f t="shared" si="11"/>
        <v>Tobi</v>
      </c>
      <c r="K207" s="147" t="str">
        <f>Tabel3[[#This Row],[Rood Verdediging]]&amp;Tabel3[[#This Row],[Rood Aanval]]</f>
        <v>StijnTobi</v>
      </c>
      <c r="L207" s="147" t="str">
        <f>Tabel3[[#This Row],[Groen Verdediging]]&amp;Tabel3[[#This Row],[Groen Aanval]]</f>
        <v>KarelMatthijs</v>
      </c>
      <c r="M207" s="147" t="str">
        <f>Tabel3[[#This Row],[Winnaar 1]]&amp;Tabel3[[#This Row],[Winnaar 2]]</f>
        <v>StijnTobi</v>
      </c>
      <c r="N207" s="147" t="str">
        <f>IF(Tabel3[[#This Row],[Team Rood]]=Tabel3[[#This Row],[Winnaars]],Tabel3[[#This Row],[Team Rood]])</f>
        <v>StijnTobi</v>
      </c>
      <c r="O207" s="147" t="b">
        <f>IF(Tabel3[[#This Row],[Team Groen]]=Tabel3[[#This Row],[Winnaars]],Tabel3[[#This Row],[Team Groen]])</f>
        <v>0</v>
      </c>
    </row>
    <row r="208" spans="1:15" x14ac:dyDescent="0.25">
      <c r="A208" s="14">
        <v>208</v>
      </c>
      <c r="B208" s="19" t="s">
        <v>0</v>
      </c>
      <c r="C208" s="16" t="s">
        <v>6</v>
      </c>
      <c r="D208" s="20" t="s">
        <v>11</v>
      </c>
      <c r="E208" s="20" t="s">
        <v>3</v>
      </c>
      <c r="F208" s="81">
        <v>7</v>
      </c>
      <c r="G208" s="81">
        <v>11</v>
      </c>
      <c r="H208" s="3" t="str">
        <f t="shared" si="9"/>
        <v>GROEN</v>
      </c>
      <c r="I208" s="3" t="str">
        <f t="shared" si="10"/>
        <v>Matthijs</v>
      </c>
      <c r="J208" s="4" t="str">
        <f t="shared" si="11"/>
        <v>Karel</v>
      </c>
      <c r="K208" s="147" t="str">
        <f>Tabel3[[#This Row],[Rood Verdediging]]&amp;Tabel3[[#This Row],[Rood Aanval]]</f>
        <v>JonasStef D</v>
      </c>
      <c r="L208" s="147" t="str">
        <f>Tabel3[[#This Row],[Groen Verdediging]]&amp;Tabel3[[#This Row],[Groen Aanval]]</f>
        <v>MatthijsKarel</v>
      </c>
      <c r="M208" s="147" t="str">
        <f>Tabel3[[#This Row],[Winnaar 1]]&amp;Tabel3[[#This Row],[Winnaar 2]]</f>
        <v>MatthijsKarel</v>
      </c>
      <c r="N208" s="147" t="b">
        <f>IF(Tabel3[[#This Row],[Team Rood]]=Tabel3[[#This Row],[Winnaars]],Tabel3[[#This Row],[Team Rood]])</f>
        <v>0</v>
      </c>
      <c r="O208" s="147" t="str">
        <f>IF(Tabel3[[#This Row],[Team Groen]]=Tabel3[[#This Row],[Winnaars]],Tabel3[[#This Row],[Team Groen]])</f>
        <v>MatthijsKarel</v>
      </c>
    </row>
    <row r="209" spans="1:15" x14ac:dyDescent="0.25">
      <c r="A209" s="14">
        <v>209</v>
      </c>
      <c r="B209" s="19" t="s">
        <v>3</v>
      </c>
      <c r="C209" s="16" t="s">
        <v>15</v>
      </c>
      <c r="D209" s="20" t="s">
        <v>6</v>
      </c>
      <c r="E209" s="20" t="s">
        <v>80</v>
      </c>
      <c r="F209" s="81">
        <v>3</v>
      </c>
      <c r="G209" s="81">
        <v>11</v>
      </c>
      <c r="H209" s="3" t="str">
        <f t="shared" si="9"/>
        <v>GROEN</v>
      </c>
      <c r="I209" s="3" t="str">
        <f t="shared" si="10"/>
        <v>Stef D</v>
      </c>
      <c r="J209" s="4" t="str">
        <f t="shared" si="11"/>
        <v>Tobi</v>
      </c>
      <c r="K209" s="147" t="str">
        <f>Tabel3[[#This Row],[Rood Verdediging]]&amp;Tabel3[[#This Row],[Rood Aanval]]</f>
        <v>KarelStijn</v>
      </c>
      <c r="L209" s="147" t="str">
        <f>Tabel3[[#This Row],[Groen Verdediging]]&amp;Tabel3[[#This Row],[Groen Aanval]]</f>
        <v>Stef DTobi</v>
      </c>
      <c r="M209" s="147" t="str">
        <f>Tabel3[[#This Row],[Winnaar 1]]&amp;Tabel3[[#This Row],[Winnaar 2]]</f>
        <v>Stef DTobi</v>
      </c>
      <c r="N209" s="147" t="b">
        <f>IF(Tabel3[[#This Row],[Team Rood]]=Tabel3[[#This Row],[Winnaars]],Tabel3[[#This Row],[Team Rood]])</f>
        <v>0</v>
      </c>
      <c r="O209" s="147" t="str">
        <f>IF(Tabel3[[#This Row],[Team Groen]]=Tabel3[[#This Row],[Winnaars]],Tabel3[[#This Row],[Team Groen]])</f>
        <v>Stef DTobi</v>
      </c>
    </row>
    <row r="210" spans="1:15" x14ac:dyDescent="0.25">
      <c r="A210" s="14">
        <v>210</v>
      </c>
      <c r="B210" s="19" t="s">
        <v>0</v>
      </c>
      <c r="C210" s="16" t="s">
        <v>15</v>
      </c>
      <c r="D210" s="20" t="s">
        <v>19</v>
      </c>
      <c r="E210" s="20" t="s">
        <v>3</v>
      </c>
      <c r="F210" s="81">
        <v>11</v>
      </c>
      <c r="G210" s="81">
        <v>4</v>
      </c>
      <c r="H210" s="3" t="str">
        <f t="shared" si="9"/>
        <v>ROOD</v>
      </c>
      <c r="I210" s="3" t="str">
        <f t="shared" si="10"/>
        <v>Jonas</v>
      </c>
      <c r="J210" s="4" t="str">
        <f t="shared" si="11"/>
        <v>Stijn</v>
      </c>
      <c r="K210" s="147" t="str">
        <f>Tabel3[[#This Row],[Rood Verdediging]]&amp;Tabel3[[#This Row],[Rood Aanval]]</f>
        <v>JonasStijn</v>
      </c>
      <c r="L210" s="147" t="str">
        <f>Tabel3[[#This Row],[Groen Verdediging]]&amp;Tabel3[[#This Row],[Groen Aanval]]</f>
        <v>NicolasKarel</v>
      </c>
      <c r="M210" s="147" t="str">
        <f>Tabel3[[#This Row],[Winnaar 1]]&amp;Tabel3[[#This Row],[Winnaar 2]]</f>
        <v>JonasStijn</v>
      </c>
      <c r="N210" s="147" t="str">
        <f>IF(Tabel3[[#This Row],[Team Rood]]=Tabel3[[#This Row],[Winnaars]],Tabel3[[#This Row],[Team Rood]])</f>
        <v>JonasStijn</v>
      </c>
      <c r="O210" s="147" t="b">
        <f>IF(Tabel3[[#This Row],[Team Groen]]=Tabel3[[#This Row],[Winnaars]],Tabel3[[#This Row],[Team Groen]])</f>
        <v>0</v>
      </c>
    </row>
    <row r="211" spans="1:15" x14ac:dyDescent="0.25">
      <c r="A211" s="14">
        <v>211</v>
      </c>
      <c r="B211" s="19" t="s">
        <v>0</v>
      </c>
      <c r="C211" s="16" t="s">
        <v>19</v>
      </c>
      <c r="D211" s="20" t="s">
        <v>6</v>
      </c>
      <c r="E211" s="20" t="s">
        <v>3</v>
      </c>
      <c r="F211" s="81">
        <v>8</v>
      </c>
      <c r="G211" s="81">
        <v>11</v>
      </c>
      <c r="H211" s="3" t="str">
        <f t="shared" si="9"/>
        <v>GROEN</v>
      </c>
      <c r="I211" s="3" t="str">
        <f t="shared" si="10"/>
        <v>Stef D</v>
      </c>
      <c r="J211" s="4" t="str">
        <f t="shared" si="11"/>
        <v>Karel</v>
      </c>
      <c r="K211" s="147" t="str">
        <f>Tabel3[[#This Row],[Rood Verdediging]]&amp;Tabel3[[#This Row],[Rood Aanval]]</f>
        <v>JonasNicolas</v>
      </c>
      <c r="L211" s="147" t="str">
        <f>Tabel3[[#This Row],[Groen Verdediging]]&amp;Tabel3[[#This Row],[Groen Aanval]]</f>
        <v>Stef DKarel</v>
      </c>
      <c r="M211" s="147" t="str">
        <f>Tabel3[[#This Row],[Winnaar 1]]&amp;Tabel3[[#This Row],[Winnaar 2]]</f>
        <v>Stef DKarel</v>
      </c>
      <c r="N211" s="147" t="b">
        <f>IF(Tabel3[[#This Row],[Team Rood]]=Tabel3[[#This Row],[Winnaars]],Tabel3[[#This Row],[Team Rood]])</f>
        <v>0</v>
      </c>
      <c r="O211" s="147" t="str">
        <f>IF(Tabel3[[#This Row],[Team Groen]]=Tabel3[[#This Row],[Winnaars]],Tabel3[[#This Row],[Team Groen]])</f>
        <v>Stef DKarel</v>
      </c>
    </row>
    <row r="212" spans="1:15" x14ac:dyDescent="0.25">
      <c r="A212" s="14">
        <v>212</v>
      </c>
      <c r="B212" s="19" t="s">
        <v>0</v>
      </c>
      <c r="C212" s="16" t="s">
        <v>15</v>
      </c>
      <c r="D212" s="20" t="s">
        <v>11</v>
      </c>
      <c r="E212" s="20" t="s">
        <v>80</v>
      </c>
      <c r="F212" s="81">
        <v>4</v>
      </c>
      <c r="G212" s="81">
        <v>11</v>
      </c>
      <c r="H212" s="3" t="str">
        <f t="shared" si="9"/>
        <v>GROEN</v>
      </c>
      <c r="I212" s="3" t="str">
        <f t="shared" si="10"/>
        <v>Matthijs</v>
      </c>
      <c r="J212" s="4" t="str">
        <f t="shared" si="11"/>
        <v>Tobi</v>
      </c>
      <c r="K212" s="147" t="str">
        <f>Tabel3[[#This Row],[Rood Verdediging]]&amp;Tabel3[[#This Row],[Rood Aanval]]</f>
        <v>JonasStijn</v>
      </c>
      <c r="L212" s="147" t="str">
        <f>Tabel3[[#This Row],[Groen Verdediging]]&amp;Tabel3[[#This Row],[Groen Aanval]]</f>
        <v>MatthijsTobi</v>
      </c>
      <c r="M212" s="147" t="str">
        <f>Tabel3[[#This Row],[Winnaar 1]]&amp;Tabel3[[#This Row],[Winnaar 2]]</f>
        <v>MatthijsTobi</v>
      </c>
      <c r="N212" s="147" t="b">
        <f>IF(Tabel3[[#This Row],[Team Rood]]=Tabel3[[#This Row],[Winnaars]],Tabel3[[#This Row],[Team Rood]])</f>
        <v>0</v>
      </c>
      <c r="O212" s="147" t="str">
        <f>IF(Tabel3[[#This Row],[Team Groen]]=Tabel3[[#This Row],[Winnaars]],Tabel3[[#This Row],[Team Groen]])</f>
        <v>MatthijsTobi</v>
      </c>
    </row>
    <row r="213" spans="1:15" x14ac:dyDescent="0.25">
      <c r="A213" s="14">
        <v>213</v>
      </c>
      <c r="B213" s="19" t="s">
        <v>3</v>
      </c>
      <c r="C213" s="16" t="s">
        <v>15</v>
      </c>
      <c r="D213" s="20" t="s">
        <v>19</v>
      </c>
      <c r="E213" s="20" t="s">
        <v>6</v>
      </c>
      <c r="F213" s="81">
        <v>11</v>
      </c>
      <c r="G213" s="81">
        <v>9</v>
      </c>
      <c r="H213" s="3" t="str">
        <f t="shared" si="9"/>
        <v>ROOD</v>
      </c>
      <c r="I213" s="3" t="str">
        <f t="shared" si="10"/>
        <v>Karel</v>
      </c>
      <c r="J213" s="4" t="str">
        <f t="shared" si="11"/>
        <v>Stijn</v>
      </c>
      <c r="K213" s="147" t="str">
        <f>Tabel3[[#This Row],[Rood Verdediging]]&amp;Tabel3[[#This Row],[Rood Aanval]]</f>
        <v>KarelStijn</v>
      </c>
      <c r="L213" s="147" t="str">
        <f>Tabel3[[#This Row],[Groen Verdediging]]&amp;Tabel3[[#This Row],[Groen Aanval]]</f>
        <v>NicolasStef D</v>
      </c>
      <c r="M213" s="147" t="str">
        <f>Tabel3[[#This Row],[Winnaar 1]]&amp;Tabel3[[#This Row],[Winnaar 2]]</f>
        <v>KarelStijn</v>
      </c>
      <c r="N213" s="147" t="str">
        <f>IF(Tabel3[[#This Row],[Team Rood]]=Tabel3[[#This Row],[Winnaars]],Tabel3[[#This Row],[Team Rood]])</f>
        <v>KarelStijn</v>
      </c>
      <c r="O213" s="147" t="b">
        <f>IF(Tabel3[[#This Row],[Team Groen]]=Tabel3[[#This Row],[Winnaars]],Tabel3[[#This Row],[Team Groen]])</f>
        <v>0</v>
      </c>
    </row>
    <row r="214" spans="1:15" x14ac:dyDescent="0.25">
      <c r="A214" s="14">
        <v>214</v>
      </c>
      <c r="B214" s="19" t="s">
        <v>15</v>
      </c>
      <c r="C214" s="16" t="s">
        <v>3</v>
      </c>
      <c r="D214" s="20" t="s">
        <v>6</v>
      </c>
      <c r="E214" s="20" t="s">
        <v>11</v>
      </c>
      <c r="F214" s="81">
        <v>6</v>
      </c>
      <c r="G214" s="81">
        <v>11</v>
      </c>
      <c r="H214" s="3" t="str">
        <f t="shared" si="9"/>
        <v>GROEN</v>
      </c>
      <c r="I214" s="3" t="str">
        <f t="shared" si="10"/>
        <v>Stef D</v>
      </c>
      <c r="J214" s="4" t="str">
        <f t="shared" si="11"/>
        <v>Matthijs</v>
      </c>
      <c r="K214" s="147" t="str">
        <f>Tabel3[[#This Row],[Rood Verdediging]]&amp;Tabel3[[#This Row],[Rood Aanval]]</f>
        <v>StijnKarel</v>
      </c>
      <c r="L214" s="147" t="str">
        <f>Tabel3[[#This Row],[Groen Verdediging]]&amp;Tabel3[[#This Row],[Groen Aanval]]</f>
        <v>Stef DMatthijs</v>
      </c>
      <c r="M214" s="147" t="str">
        <f>Tabel3[[#This Row],[Winnaar 1]]&amp;Tabel3[[#This Row],[Winnaar 2]]</f>
        <v>Stef DMatthijs</v>
      </c>
      <c r="N214" s="147" t="b">
        <f>IF(Tabel3[[#This Row],[Team Rood]]=Tabel3[[#This Row],[Winnaars]],Tabel3[[#This Row],[Team Rood]])</f>
        <v>0</v>
      </c>
      <c r="O214" s="147" t="str">
        <f>IF(Tabel3[[#This Row],[Team Groen]]=Tabel3[[#This Row],[Winnaars]],Tabel3[[#This Row],[Team Groen]])</f>
        <v>Stef DMatthijs</v>
      </c>
    </row>
    <row r="215" spans="1:15" x14ac:dyDescent="0.25">
      <c r="A215" s="14">
        <v>215</v>
      </c>
      <c r="B215" s="19" t="s">
        <v>11</v>
      </c>
      <c r="C215" s="16" t="s">
        <v>15</v>
      </c>
      <c r="D215" s="20" t="s">
        <v>3</v>
      </c>
      <c r="E215" s="20" t="s">
        <v>6</v>
      </c>
      <c r="F215" s="81">
        <v>8</v>
      </c>
      <c r="G215" s="81">
        <v>11</v>
      </c>
      <c r="H215" s="3" t="str">
        <f t="shared" si="9"/>
        <v>GROEN</v>
      </c>
      <c r="I215" s="3" t="str">
        <f t="shared" si="10"/>
        <v>Karel</v>
      </c>
      <c r="J215" s="4" t="str">
        <f t="shared" si="11"/>
        <v>Stef D</v>
      </c>
      <c r="K215" s="147" t="str">
        <f>Tabel3[[#This Row],[Rood Verdediging]]&amp;Tabel3[[#This Row],[Rood Aanval]]</f>
        <v>MatthijsStijn</v>
      </c>
      <c r="L215" s="147" t="str">
        <f>Tabel3[[#This Row],[Groen Verdediging]]&amp;Tabel3[[#This Row],[Groen Aanval]]</f>
        <v>KarelStef D</v>
      </c>
      <c r="M215" s="147" t="str">
        <f>Tabel3[[#This Row],[Winnaar 1]]&amp;Tabel3[[#This Row],[Winnaar 2]]</f>
        <v>KarelStef D</v>
      </c>
      <c r="N215" s="147" t="b">
        <f>IF(Tabel3[[#This Row],[Team Rood]]=Tabel3[[#This Row],[Winnaars]],Tabel3[[#This Row],[Team Rood]])</f>
        <v>0</v>
      </c>
      <c r="O215" s="147" t="str">
        <f>IF(Tabel3[[#This Row],[Team Groen]]=Tabel3[[#This Row],[Winnaars]],Tabel3[[#This Row],[Team Groen]])</f>
        <v>KarelStef D</v>
      </c>
    </row>
    <row r="216" spans="1:15" x14ac:dyDescent="0.25">
      <c r="A216" s="14">
        <v>216</v>
      </c>
      <c r="B216" s="19" t="s">
        <v>15</v>
      </c>
      <c r="C216" s="16" t="s">
        <v>6</v>
      </c>
      <c r="D216" s="20" t="s">
        <v>11</v>
      </c>
      <c r="E216" s="20" t="s">
        <v>3</v>
      </c>
      <c r="F216" s="81">
        <v>9</v>
      </c>
      <c r="G216" s="81">
        <v>11</v>
      </c>
      <c r="H216" s="3" t="str">
        <f t="shared" si="9"/>
        <v>GROEN</v>
      </c>
      <c r="I216" s="3" t="str">
        <f t="shared" si="10"/>
        <v>Matthijs</v>
      </c>
      <c r="J216" s="4" t="str">
        <f t="shared" si="11"/>
        <v>Karel</v>
      </c>
      <c r="K216" s="147" t="str">
        <f>Tabel3[[#This Row],[Rood Verdediging]]&amp;Tabel3[[#This Row],[Rood Aanval]]</f>
        <v>StijnStef D</v>
      </c>
      <c r="L216" s="147" t="str">
        <f>Tabel3[[#This Row],[Groen Verdediging]]&amp;Tabel3[[#This Row],[Groen Aanval]]</f>
        <v>MatthijsKarel</v>
      </c>
      <c r="M216" s="147" t="str">
        <f>Tabel3[[#This Row],[Winnaar 1]]&amp;Tabel3[[#This Row],[Winnaar 2]]</f>
        <v>MatthijsKarel</v>
      </c>
      <c r="N216" s="147" t="b">
        <f>IF(Tabel3[[#This Row],[Team Rood]]=Tabel3[[#This Row],[Winnaars]],Tabel3[[#This Row],[Team Rood]])</f>
        <v>0</v>
      </c>
      <c r="O216" s="147" t="str">
        <f>IF(Tabel3[[#This Row],[Team Groen]]=Tabel3[[#This Row],[Winnaars]],Tabel3[[#This Row],[Team Groen]])</f>
        <v>MatthijsKarel</v>
      </c>
    </row>
    <row r="217" spans="1:15" x14ac:dyDescent="0.25">
      <c r="A217" s="14">
        <v>217</v>
      </c>
      <c r="B217" s="19" t="s">
        <v>8</v>
      </c>
      <c r="C217" s="16" t="s">
        <v>6</v>
      </c>
      <c r="D217" s="20" t="s">
        <v>0</v>
      </c>
      <c r="E217" s="20" t="s">
        <v>7</v>
      </c>
      <c r="F217" s="81">
        <v>11</v>
      </c>
      <c r="G217" s="81">
        <v>8</v>
      </c>
      <c r="H217" s="3" t="str">
        <f t="shared" si="9"/>
        <v>ROOD</v>
      </c>
      <c r="I217" s="3" t="str">
        <f t="shared" si="10"/>
        <v>Louis</v>
      </c>
      <c r="J217" s="4" t="str">
        <f t="shared" si="11"/>
        <v>Stef D</v>
      </c>
      <c r="K217" s="147" t="str">
        <f>Tabel3[[#This Row],[Rood Verdediging]]&amp;Tabel3[[#This Row],[Rood Aanval]]</f>
        <v>LouisStef D</v>
      </c>
      <c r="L217" s="147" t="str">
        <f>Tabel3[[#This Row],[Groen Verdediging]]&amp;Tabel3[[#This Row],[Groen Aanval]]</f>
        <v>JonasTiemen</v>
      </c>
      <c r="M217" s="147" t="str">
        <f>Tabel3[[#This Row],[Winnaar 1]]&amp;Tabel3[[#This Row],[Winnaar 2]]</f>
        <v>LouisStef D</v>
      </c>
      <c r="N217" s="147" t="str">
        <f>IF(Tabel3[[#This Row],[Team Rood]]=Tabel3[[#This Row],[Winnaars]],Tabel3[[#This Row],[Team Rood]])</f>
        <v>LouisStef D</v>
      </c>
      <c r="O217" s="147" t="b">
        <f>IF(Tabel3[[#This Row],[Team Groen]]=Tabel3[[#This Row],[Winnaars]],Tabel3[[#This Row],[Team Groen]])</f>
        <v>0</v>
      </c>
    </row>
    <row r="218" spans="1:15" x14ac:dyDescent="0.25">
      <c r="A218" s="14">
        <v>218</v>
      </c>
      <c r="B218" s="19" t="s">
        <v>8</v>
      </c>
      <c r="C218" s="16" t="s">
        <v>7</v>
      </c>
      <c r="D218" s="20" t="s">
        <v>19</v>
      </c>
      <c r="E218" s="20" t="s">
        <v>0</v>
      </c>
      <c r="F218" s="81">
        <v>11</v>
      </c>
      <c r="G218" s="81">
        <v>9</v>
      </c>
      <c r="H218" s="3" t="str">
        <f t="shared" si="9"/>
        <v>ROOD</v>
      </c>
      <c r="I218" s="3" t="str">
        <f t="shared" si="10"/>
        <v>Louis</v>
      </c>
      <c r="J218" s="4" t="str">
        <f t="shared" si="11"/>
        <v>Tiemen</v>
      </c>
      <c r="K218" s="147" t="str">
        <f>Tabel3[[#This Row],[Rood Verdediging]]&amp;Tabel3[[#This Row],[Rood Aanval]]</f>
        <v>LouisTiemen</v>
      </c>
      <c r="L218" s="147" t="str">
        <f>Tabel3[[#This Row],[Groen Verdediging]]&amp;Tabel3[[#This Row],[Groen Aanval]]</f>
        <v>NicolasJonas</v>
      </c>
      <c r="M218" s="147" t="str">
        <f>Tabel3[[#This Row],[Winnaar 1]]&amp;Tabel3[[#This Row],[Winnaar 2]]</f>
        <v>LouisTiemen</v>
      </c>
      <c r="N218" s="147" t="str">
        <f>IF(Tabel3[[#This Row],[Team Rood]]=Tabel3[[#This Row],[Winnaars]],Tabel3[[#This Row],[Team Rood]])</f>
        <v>LouisTiemen</v>
      </c>
      <c r="O218" s="147" t="b">
        <f>IF(Tabel3[[#This Row],[Team Groen]]=Tabel3[[#This Row],[Winnaars]],Tabel3[[#This Row],[Team Groen]])</f>
        <v>0</v>
      </c>
    </row>
    <row r="219" spans="1:15" x14ac:dyDescent="0.25">
      <c r="A219" s="14">
        <v>219</v>
      </c>
      <c r="B219" s="19" t="s">
        <v>7</v>
      </c>
      <c r="C219" s="16" t="s">
        <v>6</v>
      </c>
      <c r="D219" s="20" t="s">
        <v>8</v>
      </c>
      <c r="E219" s="20" t="s">
        <v>0</v>
      </c>
      <c r="F219" s="81">
        <v>3</v>
      </c>
      <c r="G219" s="81">
        <v>11</v>
      </c>
      <c r="H219" s="3" t="str">
        <f t="shared" si="9"/>
        <v>GROEN</v>
      </c>
      <c r="I219" s="3" t="str">
        <f t="shared" si="10"/>
        <v>Louis</v>
      </c>
      <c r="J219" s="4" t="str">
        <f t="shared" si="11"/>
        <v>Jonas</v>
      </c>
      <c r="K219" s="147" t="str">
        <f>Tabel3[[#This Row],[Rood Verdediging]]&amp;Tabel3[[#This Row],[Rood Aanval]]</f>
        <v>TiemenStef D</v>
      </c>
      <c r="L219" s="147" t="str">
        <f>Tabel3[[#This Row],[Groen Verdediging]]&amp;Tabel3[[#This Row],[Groen Aanval]]</f>
        <v>LouisJonas</v>
      </c>
      <c r="M219" s="147" t="str">
        <f>Tabel3[[#This Row],[Winnaar 1]]&amp;Tabel3[[#This Row],[Winnaar 2]]</f>
        <v>LouisJonas</v>
      </c>
      <c r="N219" s="147" t="b">
        <f>IF(Tabel3[[#This Row],[Team Rood]]=Tabel3[[#This Row],[Winnaars]],Tabel3[[#This Row],[Team Rood]])</f>
        <v>0</v>
      </c>
      <c r="O219" s="147" t="str">
        <f>IF(Tabel3[[#This Row],[Team Groen]]=Tabel3[[#This Row],[Winnaars]],Tabel3[[#This Row],[Team Groen]])</f>
        <v>LouisJonas</v>
      </c>
    </row>
    <row r="220" spans="1:15" x14ac:dyDescent="0.25">
      <c r="A220" s="14">
        <v>220</v>
      </c>
      <c r="B220" s="19" t="s">
        <v>6</v>
      </c>
      <c r="C220" s="16" t="s">
        <v>19</v>
      </c>
      <c r="D220" s="20" t="s">
        <v>0</v>
      </c>
      <c r="E220" s="20" t="s">
        <v>8</v>
      </c>
      <c r="F220" s="81">
        <v>4</v>
      </c>
      <c r="G220" s="81">
        <v>11</v>
      </c>
      <c r="H220" s="3" t="str">
        <f t="shared" si="9"/>
        <v>GROEN</v>
      </c>
      <c r="I220" s="3" t="str">
        <f t="shared" si="10"/>
        <v>Jonas</v>
      </c>
      <c r="J220" s="4" t="str">
        <f t="shared" si="11"/>
        <v>Louis</v>
      </c>
      <c r="K220" s="147" t="str">
        <f>Tabel3[[#This Row],[Rood Verdediging]]&amp;Tabel3[[#This Row],[Rood Aanval]]</f>
        <v>Stef DNicolas</v>
      </c>
      <c r="L220" s="147" t="str">
        <f>Tabel3[[#This Row],[Groen Verdediging]]&amp;Tabel3[[#This Row],[Groen Aanval]]</f>
        <v>JonasLouis</v>
      </c>
      <c r="M220" s="147" t="str">
        <f>Tabel3[[#This Row],[Winnaar 1]]&amp;Tabel3[[#This Row],[Winnaar 2]]</f>
        <v>JonasLouis</v>
      </c>
      <c r="N220" s="147" t="b">
        <f>IF(Tabel3[[#This Row],[Team Rood]]=Tabel3[[#This Row],[Winnaars]],Tabel3[[#This Row],[Team Rood]])</f>
        <v>0</v>
      </c>
      <c r="O220" s="147" t="str">
        <f>IF(Tabel3[[#This Row],[Team Groen]]=Tabel3[[#This Row],[Winnaars]],Tabel3[[#This Row],[Team Groen]])</f>
        <v>JonasLouis</v>
      </c>
    </row>
    <row r="221" spans="1:15" x14ac:dyDescent="0.25">
      <c r="A221" s="14">
        <v>221</v>
      </c>
      <c r="B221" s="19" t="s">
        <v>8</v>
      </c>
      <c r="C221" s="16" t="s">
        <v>7</v>
      </c>
      <c r="D221" s="20" t="s">
        <v>0</v>
      </c>
      <c r="E221" s="20" t="s">
        <v>6</v>
      </c>
      <c r="F221" s="81">
        <v>8</v>
      </c>
      <c r="G221" s="81">
        <v>11</v>
      </c>
      <c r="H221" s="3" t="str">
        <f t="shared" si="9"/>
        <v>GROEN</v>
      </c>
      <c r="I221" s="3" t="str">
        <f t="shared" si="10"/>
        <v>Jonas</v>
      </c>
      <c r="J221" s="4" t="str">
        <f t="shared" si="11"/>
        <v>Stef D</v>
      </c>
      <c r="K221" s="147" t="str">
        <f>Tabel3[[#This Row],[Rood Verdediging]]&amp;Tabel3[[#This Row],[Rood Aanval]]</f>
        <v>LouisTiemen</v>
      </c>
      <c r="L221" s="147" t="str">
        <f>Tabel3[[#This Row],[Groen Verdediging]]&amp;Tabel3[[#This Row],[Groen Aanval]]</f>
        <v>JonasStef D</v>
      </c>
      <c r="M221" s="147" t="str">
        <f>Tabel3[[#This Row],[Winnaar 1]]&amp;Tabel3[[#This Row],[Winnaar 2]]</f>
        <v>JonasStef D</v>
      </c>
      <c r="N221" s="147" t="b">
        <f>IF(Tabel3[[#This Row],[Team Rood]]=Tabel3[[#This Row],[Winnaars]],Tabel3[[#This Row],[Team Rood]])</f>
        <v>0</v>
      </c>
      <c r="O221" s="147" t="str">
        <f>IF(Tabel3[[#This Row],[Team Groen]]=Tabel3[[#This Row],[Winnaars]],Tabel3[[#This Row],[Team Groen]])</f>
        <v>JonasStef D</v>
      </c>
    </row>
    <row r="222" spans="1:15" x14ac:dyDescent="0.25">
      <c r="A222" s="14">
        <v>222</v>
      </c>
      <c r="B222" s="19" t="s">
        <v>8</v>
      </c>
      <c r="C222" s="16" t="s">
        <v>6</v>
      </c>
      <c r="D222" s="20" t="s">
        <v>0</v>
      </c>
      <c r="E222" s="20" t="s">
        <v>7</v>
      </c>
      <c r="F222" s="81">
        <v>11</v>
      </c>
      <c r="G222" s="81">
        <v>13</v>
      </c>
      <c r="H222" s="3" t="str">
        <f t="shared" si="9"/>
        <v>GROEN</v>
      </c>
      <c r="I222" s="3" t="str">
        <f t="shared" si="10"/>
        <v>Jonas</v>
      </c>
      <c r="J222" s="4" t="str">
        <f t="shared" si="11"/>
        <v>Tiemen</v>
      </c>
      <c r="K222" s="147" t="str">
        <f>Tabel3[[#This Row],[Rood Verdediging]]&amp;Tabel3[[#This Row],[Rood Aanval]]</f>
        <v>LouisStef D</v>
      </c>
      <c r="L222" s="147" t="str">
        <f>Tabel3[[#This Row],[Groen Verdediging]]&amp;Tabel3[[#This Row],[Groen Aanval]]</f>
        <v>JonasTiemen</v>
      </c>
      <c r="M222" s="147" t="str">
        <f>Tabel3[[#This Row],[Winnaar 1]]&amp;Tabel3[[#This Row],[Winnaar 2]]</f>
        <v>JonasTiemen</v>
      </c>
      <c r="N222" s="147" t="b">
        <f>IF(Tabel3[[#This Row],[Team Rood]]=Tabel3[[#This Row],[Winnaars]],Tabel3[[#This Row],[Team Rood]])</f>
        <v>0</v>
      </c>
      <c r="O222" s="147" t="str">
        <f>IF(Tabel3[[#This Row],[Team Groen]]=Tabel3[[#This Row],[Winnaars]],Tabel3[[#This Row],[Team Groen]])</f>
        <v>JonasTiemen</v>
      </c>
    </row>
    <row r="223" spans="1:15" x14ac:dyDescent="0.25">
      <c r="A223" s="14">
        <v>223</v>
      </c>
      <c r="B223" s="19" t="s">
        <v>6</v>
      </c>
      <c r="C223" s="16" t="s">
        <v>7</v>
      </c>
      <c r="D223" s="20" t="s">
        <v>8</v>
      </c>
      <c r="E223" s="20" t="s">
        <v>0</v>
      </c>
      <c r="F223" s="81">
        <v>14</v>
      </c>
      <c r="G223" s="81">
        <v>12</v>
      </c>
      <c r="H223" s="3" t="str">
        <f t="shared" si="9"/>
        <v>ROOD</v>
      </c>
      <c r="I223" s="3" t="str">
        <f t="shared" si="10"/>
        <v>Stef D</v>
      </c>
      <c r="J223" s="4" t="str">
        <f t="shared" si="11"/>
        <v>Tiemen</v>
      </c>
      <c r="K223" s="147" t="str">
        <f>Tabel3[[#This Row],[Rood Verdediging]]&amp;Tabel3[[#This Row],[Rood Aanval]]</f>
        <v>Stef DTiemen</v>
      </c>
      <c r="L223" s="147" t="str">
        <f>Tabel3[[#This Row],[Groen Verdediging]]&amp;Tabel3[[#This Row],[Groen Aanval]]</f>
        <v>LouisJonas</v>
      </c>
      <c r="M223" s="147" t="str">
        <f>Tabel3[[#This Row],[Winnaar 1]]&amp;Tabel3[[#This Row],[Winnaar 2]]</f>
        <v>Stef DTiemen</v>
      </c>
      <c r="N223" s="147" t="str">
        <f>IF(Tabel3[[#This Row],[Team Rood]]=Tabel3[[#This Row],[Winnaars]],Tabel3[[#This Row],[Team Rood]])</f>
        <v>Stef DTiemen</v>
      </c>
      <c r="O223" s="147" t="b">
        <f>IF(Tabel3[[#This Row],[Team Groen]]=Tabel3[[#This Row],[Winnaars]],Tabel3[[#This Row],[Team Groen]])</f>
        <v>0</v>
      </c>
    </row>
    <row r="224" spans="1:15" x14ac:dyDescent="0.25">
      <c r="A224" s="14">
        <v>224</v>
      </c>
      <c r="B224" s="19" t="s">
        <v>3</v>
      </c>
      <c r="C224" s="16" t="s">
        <v>6</v>
      </c>
      <c r="D224" s="20" t="s">
        <v>8</v>
      </c>
      <c r="E224" s="20" t="s">
        <v>19</v>
      </c>
      <c r="F224" s="81">
        <v>11</v>
      </c>
      <c r="G224" s="81">
        <v>4</v>
      </c>
      <c r="H224" s="3" t="str">
        <f t="shared" si="9"/>
        <v>ROOD</v>
      </c>
      <c r="I224" s="3" t="str">
        <f t="shared" si="10"/>
        <v>Karel</v>
      </c>
      <c r="J224" s="4" t="str">
        <f t="shared" si="11"/>
        <v>Stef D</v>
      </c>
      <c r="K224" s="147" t="str">
        <f>Tabel3[[#This Row],[Rood Verdediging]]&amp;Tabel3[[#This Row],[Rood Aanval]]</f>
        <v>KarelStef D</v>
      </c>
      <c r="L224" s="147" t="str">
        <f>Tabel3[[#This Row],[Groen Verdediging]]&amp;Tabel3[[#This Row],[Groen Aanval]]</f>
        <v>LouisNicolas</v>
      </c>
      <c r="M224" s="147" t="str">
        <f>Tabel3[[#This Row],[Winnaar 1]]&amp;Tabel3[[#This Row],[Winnaar 2]]</f>
        <v>KarelStef D</v>
      </c>
      <c r="N224" s="147" t="str">
        <f>IF(Tabel3[[#This Row],[Team Rood]]=Tabel3[[#This Row],[Winnaars]],Tabel3[[#This Row],[Team Rood]])</f>
        <v>KarelStef D</v>
      </c>
      <c r="O224" s="147" t="b">
        <f>IF(Tabel3[[#This Row],[Team Groen]]=Tabel3[[#This Row],[Winnaars]],Tabel3[[#This Row],[Team Groen]])</f>
        <v>0</v>
      </c>
    </row>
    <row r="225" spans="1:15" x14ac:dyDescent="0.25">
      <c r="A225" s="14">
        <v>225</v>
      </c>
      <c r="B225" s="19" t="s">
        <v>0</v>
      </c>
      <c r="C225" s="16" t="s">
        <v>6</v>
      </c>
      <c r="D225" s="20" t="s">
        <v>8</v>
      </c>
      <c r="E225" s="20" t="s">
        <v>3</v>
      </c>
      <c r="F225" s="81">
        <v>11</v>
      </c>
      <c r="G225" s="81">
        <v>5</v>
      </c>
      <c r="H225" s="3" t="str">
        <f t="shared" si="9"/>
        <v>ROOD</v>
      </c>
      <c r="I225" s="3" t="str">
        <f t="shared" si="10"/>
        <v>Jonas</v>
      </c>
      <c r="J225" s="4" t="str">
        <f t="shared" si="11"/>
        <v>Stef D</v>
      </c>
      <c r="K225" s="147" t="str">
        <f>Tabel3[[#This Row],[Rood Verdediging]]&amp;Tabel3[[#This Row],[Rood Aanval]]</f>
        <v>JonasStef D</v>
      </c>
      <c r="L225" s="147" t="str">
        <f>Tabel3[[#This Row],[Groen Verdediging]]&amp;Tabel3[[#This Row],[Groen Aanval]]</f>
        <v>LouisKarel</v>
      </c>
      <c r="M225" s="147" t="str">
        <f>Tabel3[[#This Row],[Winnaar 1]]&amp;Tabel3[[#This Row],[Winnaar 2]]</f>
        <v>JonasStef D</v>
      </c>
      <c r="N225" s="147" t="str">
        <f>IF(Tabel3[[#This Row],[Team Rood]]=Tabel3[[#This Row],[Winnaars]],Tabel3[[#This Row],[Team Rood]])</f>
        <v>JonasStef D</v>
      </c>
      <c r="O225" s="147" t="b">
        <f>IF(Tabel3[[#This Row],[Team Groen]]=Tabel3[[#This Row],[Winnaars]],Tabel3[[#This Row],[Team Groen]])</f>
        <v>0</v>
      </c>
    </row>
    <row r="226" spans="1:15" x14ac:dyDescent="0.25">
      <c r="A226" s="14">
        <v>226</v>
      </c>
      <c r="B226" s="19" t="s">
        <v>6</v>
      </c>
      <c r="C226" s="16" t="s">
        <v>8</v>
      </c>
      <c r="D226" s="20" t="s">
        <v>19</v>
      </c>
      <c r="E226" s="20" t="s">
        <v>0</v>
      </c>
      <c r="F226" s="81">
        <v>11</v>
      </c>
      <c r="G226" s="81">
        <v>9</v>
      </c>
      <c r="H226" s="3" t="str">
        <f t="shared" si="9"/>
        <v>ROOD</v>
      </c>
      <c r="I226" s="3" t="str">
        <f t="shared" si="10"/>
        <v>Stef D</v>
      </c>
      <c r="J226" s="4" t="str">
        <f t="shared" si="11"/>
        <v>Louis</v>
      </c>
      <c r="K226" s="147" t="str">
        <f>Tabel3[[#This Row],[Rood Verdediging]]&amp;Tabel3[[#This Row],[Rood Aanval]]</f>
        <v>Stef DLouis</v>
      </c>
      <c r="L226" s="147" t="str">
        <f>Tabel3[[#This Row],[Groen Verdediging]]&amp;Tabel3[[#This Row],[Groen Aanval]]</f>
        <v>NicolasJonas</v>
      </c>
      <c r="M226" s="147" t="str">
        <f>Tabel3[[#This Row],[Winnaar 1]]&amp;Tabel3[[#This Row],[Winnaar 2]]</f>
        <v>Stef DLouis</v>
      </c>
      <c r="N226" s="147" t="str">
        <f>IF(Tabel3[[#This Row],[Team Rood]]=Tabel3[[#This Row],[Winnaars]],Tabel3[[#This Row],[Team Rood]])</f>
        <v>Stef DLouis</v>
      </c>
      <c r="O226" s="147" t="b">
        <f>IF(Tabel3[[#This Row],[Team Groen]]=Tabel3[[#This Row],[Winnaars]],Tabel3[[#This Row],[Team Groen]])</f>
        <v>0</v>
      </c>
    </row>
    <row r="227" spans="1:15" x14ac:dyDescent="0.25">
      <c r="A227" s="14">
        <v>227</v>
      </c>
      <c r="B227" s="19" t="s">
        <v>0</v>
      </c>
      <c r="C227" s="16" t="s">
        <v>3</v>
      </c>
      <c r="D227" s="20" t="s">
        <v>19</v>
      </c>
      <c r="E227" s="20" t="s">
        <v>8</v>
      </c>
      <c r="F227" s="81">
        <v>11</v>
      </c>
      <c r="G227" s="81">
        <v>7</v>
      </c>
      <c r="H227" s="3" t="str">
        <f t="shared" si="9"/>
        <v>ROOD</v>
      </c>
      <c r="I227" s="3" t="str">
        <f t="shared" si="10"/>
        <v>Jonas</v>
      </c>
      <c r="J227" s="4" t="str">
        <f t="shared" si="11"/>
        <v>Karel</v>
      </c>
      <c r="K227" s="147" t="str">
        <f>Tabel3[[#This Row],[Rood Verdediging]]&amp;Tabel3[[#This Row],[Rood Aanval]]</f>
        <v>JonasKarel</v>
      </c>
      <c r="L227" s="147" t="str">
        <f>Tabel3[[#This Row],[Groen Verdediging]]&amp;Tabel3[[#This Row],[Groen Aanval]]</f>
        <v>NicolasLouis</v>
      </c>
      <c r="M227" s="147" t="str">
        <f>Tabel3[[#This Row],[Winnaar 1]]&amp;Tabel3[[#This Row],[Winnaar 2]]</f>
        <v>JonasKarel</v>
      </c>
      <c r="N227" s="147" t="str">
        <f>IF(Tabel3[[#This Row],[Team Rood]]=Tabel3[[#This Row],[Winnaars]],Tabel3[[#This Row],[Team Rood]])</f>
        <v>JonasKarel</v>
      </c>
      <c r="O227" s="147" t="b">
        <f>IF(Tabel3[[#This Row],[Team Groen]]=Tabel3[[#This Row],[Winnaars]],Tabel3[[#This Row],[Team Groen]])</f>
        <v>0</v>
      </c>
    </row>
    <row r="228" spans="1:15" x14ac:dyDescent="0.25">
      <c r="A228" s="14">
        <v>228</v>
      </c>
      <c r="B228" s="19" t="s">
        <v>0</v>
      </c>
      <c r="C228" s="16" t="s">
        <v>6</v>
      </c>
      <c r="D228" s="20" t="s">
        <v>8</v>
      </c>
      <c r="E228" s="20" t="s">
        <v>3</v>
      </c>
      <c r="F228" s="81">
        <v>11</v>
      </c>
      <c r="G228" s="81">
        <v>3</v>
      </c>
      <c r="H228" s="3" t="str">
        <f t="shared" si="9"/>
        <v>ROOD</v>
      </c>
      <c r="I228" s="3" t="str">
        <f t="shared" si="10"/>
        <v>Jonas</v>
      </c>
      <c r="J228" s="4" t="str">
        <f t="shared" si="11"/>
        <v>Stef D</v>
      </c>
      <c r="K228" s="147" t="str">
        <f>Tabel3[[#This Row],[Rood Verdediging]]&amp;Tabel3[[#This Row],[Rood Aanval]]</f>
        <v>JonasStef D</v>
      </c>
      <c r="L228" s="147" t="str">
        <f>Tabel3[[#This Row],[Groen Verdediging]]&amp;Tabel3[[#This Row],[Groen Aanval]]</f>
        <v>LouisKarel</v>
      </c>
      <c r="M228" s="147" t="str">
        <f>Tabel3[[#This Row],[Winnaar 1]]&amp;Tabel3[[#This Row],[Winnaar 2]]</f>
        <v>JonasStef D</v>
      </c>
      <c r="N228" s="147" t="str">
        <f>IF(Tabel3[[#This Row],[Team Rood]]=Tabel3[[#This Row],[Winnaars]],Tabel3[[#This Row],[Team Rood]])</f>
        <v>JonasStef D</v>
      </c>
      <c r="O228" s="147" t="b">
        <f>IF(Tabel3[[#This Row],[Team Groen]]=Tabel3[[#This Row],[Winnaars]],Tabel3[[#This Row],[Team Groen]])</f>
        <v>0</v>
      </c>
    </row>
    <row r="229" spans="1:15" x14ac:dyDescent="0.25">
      <c r="A229" s="14">
        <v>229</v>
      </c>
      <c r="B229" s="19" t="s">
        <v>6</v>
      </c>
      <c r="C229" s="16" t="s">
        <v>19</v>
      </c>
      <c r="D229" s="20" t="s">
        <v>8</v>
      </c>
      <c r="E229" s="20" t="s">
        <v>3</v>
      </c>
      <c r="F229" s="81">
        <v>5</v>
      </c>
      <c r="G229" s="81">
        <v>11</v>
      </c>
      <c r="H229" s="3" t="str">
        <f t="shared" si="9"/>
        <v>GROEN</v>
      </c>
      <c r="I229" s="3" t="str">
        <f t="shared" si="10"/>
        <v>Louis</v>
      </c>
      <c r="J229" s="4" t="str">
        <f t="shared" si="11"/>
        <v>Karel</v>
      </c>
      <c r="K229" s="147" t="str">
        <f>Tabel3[[#This Row],[Rood Verdediging]]&amp;Tabel3[[#This Row],[Rood Aanval]]</f>
        <v>Stef DNicolas</v>
      </c>
      <c r="L229" s="147" t="str">
        <f>Tabel3[[#This Row],[Groen Verdediging]]&amp;Tabel3[[#This Row],[Groen Aanval]]</f>
        <v>LouisKarel</v>
      </c>
      <c r="M229" s="147" t="str">
        <f>Tabel3[[#This Row],[Winnaar 1]]&amp;Tabel3[[#This Row],[Winnaar 2]]</f>
        <v>LouisKarel</v>
      </c>
      <c r="N229" s="147" t="b">
        <f>IF(Tabel3[[#This Row],[Team Rood]]=Tabel3[[#This Row],[Winnaars]],Tabel3[[#This Row],[Team Rood]])</f>
        <v>0</v>
      </c>
      <c r="O229" s="147" t="str">
        <f>IF(Tabel3[[#This Row],[Team Groen]]=Tabel3[[#This Row],[Winnaars]],Tabel3[[#This Row],[Team Groen]])</f>
        <v>LouisKarel</v>
      </c>
    </row>
    <row r="230" spans="1:15" x14ac:dyDescent="0.25">
      <c r="A230" s="14">
        <v>230</v>
      </c>
      <c r="B230" s="19" t="s">
        <v>19</v>
      </c>
      <c r="C230" s="16" t="s">
        <v>3</v>
      </c>
      <c r="D230" s="20" t="s">
        <v>0</v>
      </c>
      <c r="E230" s="20" t="s">
        <v>8</v>
      </c>
      <c r="F230" s="81">
        <v>2</v>
      </c>
      <c r="G230" s="81">
        <v>11</v>
      </c>
      <c r="H230" s="3" t="str">
        <f t="shared" si="9"/>
        <v>GROEN</v>
      </c>
      <c r="I230" s="3" t="str">
        <f t="shared" si="10"/>
        <v>Jonas</v>
      </c>
      <c r="J230" s="4" t="str">
        <f t="shared" si="11"/>
        <v>Louis</v>
      </c>
      <c r="K230" s="147" t="str">
        <f>Tabel3[[#This Row],[Rood Verdediging]]&amp;Tabel3[[#This Row],[Rood Aanval]]</f>
        <v>NicolasKarel</v>
      </c>
      <c r="L230" s="147" t="str">
        <f>Tabel3[[#This Row],[Groen Verdediging]]&amp;Tabel3[[#This Row],[Groen Aanval]]</f>
        <v>JonasLouis</v>
      </c>
      <c r="M230" s="147" t="str">
        <f>Tabel3[[#This Row],[Winnaar 1]]&amp;Tabel3[[#This Row],[Winnaar 2]]</f>
        <v>JonasLouis</v>
      </c>
      <c r="N230" s="147" t="b">
        <f>IF(Tabel3[[#This Row],[Team Rood]]=Tabel3[[#This Row],[Winnaars]],Tabel3[[#This Row],[Team Rood]])</f>
        <v>0</v>
      </c>
      <c r="O230" s="147" t="str">
        <f>IF(Tabel3[[#This Row],[Team Groen]]=Tabel3[[#This Row],[Winnaars]],Tabel3[[#This Row],[Team Groen]])</f>
        <v>JonasLouis</v>
      </c>
    </row>
    <row r="231" spans="1:15" x14ac:dyDescent="0.25">
      <c r="A231" s="14">
        <v>231</v>
      </c>
      <c r="B231" s="19" t="s">
        <v>19</v>
      </c>
      <c r="C231" s="16" t="s">
        <v>3</v>
      </c>
      <c r="D231" s="20" t="s">
        <v>6</v>
      </c>
      <c r="E231" s="20" t="s">
        <v>0</v>
      </c>
      <c r="F231" s="81">
        <v>8</v>
      </c>
      <c r="G231" s="81">
        <v>11</v>
      </c>
      <c r="H231" s="3" t="str">
        <f t="shared" si="9"/>
        <v>GROEN</v>
      </c>
      <c r="I231" s="3" t="str">
        <f t="shared" si="10"/>
        <v>Stef D</v>
      </c>
      <c r="J231" s="4" t="str">
        <f t="shared" si="11"/>
        <v>Jonas</v>
      </c>
      <c r="K231" s="147" t="str">
        <f>Tabel3[[#This Row],[Rood Verdediging]]&amp;Tabel3[[#This Row],[Rood Aanval]]</f>
        <v>NicolasKarel</v>
      </c>
      <c r="L231" s="147" t="str">
        <f>Tabel3[[#This Row],[Groen Verdediging]]&amp;Tabel3[[#This Row],[Groen Aanval]]</f>
        <v>Stef DJonas</v>
      </c>
      <c r="M231" s="147" t="str">
        <f>Tabel3[[#This Row],[Winnaar 1]]&amp;Tabel3[[#This Row],[Winnaar 2]]</f>
        <v>Stef DJonas</v>
      </c>
      <c r="N231" s="147" t="b">
        <f>IF(Tabel3[[#This Row],[Team Rood]]=Tabel3[[#This Row],[Winnaars]],Tabel3[[#This Row],[Team Rood]])</f>
        <v>0</v>
      </c>
      <c r="O231" s="147" t="str">
        <f>IF(Tabel3[[#This Row],[Team Groen]]=Tabel3[[#This Row],[Winnaars]],Tabel3[[#This Row],[Team Groen]])</f>
        <v>Stef DJonas</v>
      </c>
    </row>
    <row r="232" spans="1:15" x14ac:dyDescent="0.25">
      <c r="A232" s="14">
        <v>232</v>
      </c>
      <c r="B232" s="19" t="s">
        <v>8</v>
      </c>
      <c r="C232" s="16" t="s">
        <v>6</v>
      </c>
      <c r="D232" s="20" t="s">
        <v>16</v>
      </c>
      <c r="E232" s="20" t="s">
        <v>0</v>
      </c>
      <c r="F232" s="81">
        <v>11</v>
      </c>
      <c r="G232" s="81">
        <v>8</v>
      </c>
      <c r="H232" s="3" t="str">
        <f t="shared" si="9"/>
        <v>ROOD</v>
      </c>
      <c r="I232" s="3" t="str">
        <f t="shared" si="10"/>
        <v>Louis</v>
      </c>
      <c r="J232" s="4" t="str">
        <f t="shared" si="11"/>
        <v>Stef D</v>
      </c>
      <c r="K232" s="147" t="str">
        <f>Tabel3[[#This Row],[Rood Verdediging]]&amp;Tabel3[[#This Row],[Rood Aanval]]</f>
        <v>LouisStef D</v>
      </c>
      <c r="L232" s="147" t="str">
        <f>Tabel3[[#This Row],[Groen Verdediging]]&amp;Tabel3[[#This Row],[Groen Aanval]]</f>
        <v>Karel Jonas</v>
      </c>
      <c r="M232" s="147" t="str">
        <f>Tabel3[[#This Row],[Winnaar 1]]&amp;Tabel3[[#This Row],[Winnaar 2]]</f>
        <v>LouisStef D</v>
      </c>
      <c r="N232" s="147" t="str">
        <f>IF(Tabel3[[#This Row],[Team Rood]]=Tabel3[[#This Row],[Winnaars]],Tabel3[[#This Row],[Team Rood]])</f>
        <v>LouisStef D</v>
      </c>
      <c r="O232" s="147" t="b">
        <f>IF(Tabel3[[#This Row],[Team Groen]]=Tabel3[[#This Row],[Winnaars]],Tabel3[[#This Row],[Team Groen]])</f>
        <v>0</v>
      </c>
    </row>
    <row r="233" spans="1:15" x14ac:dyDescent="0.25">
      <c r="A233" s="14">
        <v>233</v>
      </c>
      <c r="B233" s="19" t="s">
        <v>6</v>
      </c>
      <c r="C233" s="16" t="s">
        <v>11</v>
      </c>
      <c r="D233" s="20" t="s">
        <v>22</v>
      </c>
      <c r="E233" s="20" t="s">
        <v>23</v>
      </c>
      <c r="F233" s="81">
        <v>11</v>
      </c>
      <c r="G233" s="81">
        <v>4</v>
      </c>
      <c r="H233" s="3" t="str">
        <f t="shared" si="9"/>
        <v>ROOD</v>
      </c>
      <c r="I233" s="3" t="str">
        <f t="shared" si="10"/>
        <v>Stef D</v>
      </c>
      <c r="J233" s="4" t="str">
        <f t="shared" si="11"/>
        <v>Matthijs</v>
      </c>
      <c r="K233" s="147" t="str">
        <f>Tabel3[[#This Row],[Rood Verdediging]]&amp;Tabel3[[#This Row],[Rood Aanval]]</f>
        <v>Stef DMatthijs</v>
      </c>
      <c r="L233" s="147" t="str">
        <f>Tabel3[[#This Row],[Groen Verdediging]]&amp;Tabel3[[#This Row],[Groen Aanval]]</f>
        <v>WarreDario</v>
      </c>
      <c r="M233" s="147" t="str">
        <f>Tabel3[[#This Row],[Winnaar 1]]&amp;Tabel3[[#This Row],[Winnaar 2]]</f>
        <v>Stef DMatthijs</v>
      </c>
      <c r="N233" s="147" t="str">
        <f>IF(Tabel3[[#This Row],[Team Rood]]=Tabel3[[#This Row],[Winnaars]],Tabel3[[#This Row],[Team Rood]])</f>
        <v>Stef DMatthijs</v>
      </c>
      <c r="O233" s="147" t="b">
        <f>IF(Tabel3[[#This Row],[Team Groen]]=Tabel3[[#This Row],[Winnaars]],Tabel3[[#This Row],[Team Groen]])</f>
        <v>0</v>
      </c>
    </row>
    <row r="234" spans="1:15" x14ac:dyDescent="0.25">
      <c r="A234" s="14">
        <v>234</v>
      </c>
      <c r="B234" s="19" t="s">
        <v>19</v>
      </c>
      <c r="C234" s="16" t="s">
        <v>6</v>
      </c>
      <c r="D234" s="20" t="s">
        <v>3</v>
      </c>
      <c r="E234" s="20" t="s">
        <v>8</v>
      </c>
      <c r="F234" s="81">
        <v>6</v>
      </c>
      <c r="G234" s="81">
        <v>11</v>
      </c>
      <c r="H234" s="3" t="str">
        <f t="shared" si="9"/>
        <v>GROEN</v>
      </c>
      <c r="I234" s="3" t="str">
        <f t="shared" si="10"/>
        <v>Karel</v>
      </c>
      <c r="J234" s="4" t="str">
        <f t="shared" si="11"/>
        <v>Louis</v>
      </c>
      <c r="K234" s="147" t="str">
        <f>Tabel3[[#This Row],[Rood Verdediging]]&amp;Tabel3[[#This Row],[Rood Aanval]]</f>
        <v>NicolasStef D</v>
      </c>
      <c r="L234" s="147" t="str">
        <f>Tabel3[[#This Row],[Groen Verdediging]]&amp;Tabel3[[#This Row],[Groen Aanval]]</f>
        <v>KarelLouis</v>
      </c>
      <c r="M234" s="147" t="str">
        <f>Tabel3[[#This Row],[Winnaar 1]]&amp;Tabel3[[#This Row],[Winnaar 2]]</f>
        <v>KarelLouis</v>
      </c>
      <c r="N234" s="147" t="b">
        <f>IF(Tabel3[[#This Row],[Team Rood]]=Tabel3[[#This Row],[Winnaars]],Tabel3[[#This Row],[Team Rood]])</f>
        <v>0</v>
      </c>
      <c r="O234" s="147" t="str">
        <f>IF(Tabel3[[#This Row],[Team Groen]]=Tabel3[[#This Row],[Winnaars]],Tabel3[[#This Row],[Team Groen]])</f>
        <v>KarelLouis</v>
      </c>
    </row>
    <row r="235" spans="1:15" x14ac:dyDescent="0.25">
      <c r="A235" s="14">
        <v>235</v>
      </c>
      <c r="B235" s="19" t="s">
        <v>19</v>
      </c>
      <c r="C235" s="16" t="s">
        <v>11</v>
      </c>
      <c r="D235" s="20" t="s">
        <v>22</v>
      </c>
      <c r="E235" s="20" t="s">
        <v>13</v>
      </c>
      <c r="F235" s="81">
        <v>8</v>
      </c>
      <c r="G235" s="81">
        <v>11</v>
      </c>
      <c r="H235" s="3" t="str">
        <f t="shared" si="9"/>
        <v>GROEN</v>
      </c>
      <c r="I235" s="3" t="str">
        <f t="shared" si="10"/>
        <v>Warre</v>
      </c>
      <c r="J235" s="4" t="str">
        <f t="shared" si="11"/>
        <v>Bert</v>
      </c>
      <c r="K235" s="147" t="str">
        <f>Tabel3[[#This Row],[Rood Verdediging]]&amp;Tabel3[[#This Row],[Rood Aanval]]</f>
        <v>NicolasMatthijs</v>
      </c>
      <c r="L235" s="147" t="str">
        <f>Tabel3[[#This Row],[Groen Verdediging]]&amp;Tabel3[[#This Row],[Groen Aanval]]</f>
        <v>WarreBert</v>
      </c>
      <c r="M235" s="147" t="str">
        <f>Tabel3[[#This Row],[Winnaar 1]]&amp;Tabel3[[#This Row],[Winnaar 2]]</f>
        <v>WarreBert</v>
      </c>
      <c r="N235" s="147" t="b">
        <f>IF(Tabel3[[#This Row],[Team Rood]]=Tabel3[[#This Row],[Winnaars]],Tabel3[[#This Row],[Team Rood]])</f>
        <v>0</v>
      </c>
      <c r="O235" s="147" t="str">
        <f>IF(Tabel3[[#This Row],[Team Groen]]=Tabel3[[#This Row],[Winnaars]],Tabel3[[#This Row],[Team Groen]])</f>
        <v>WarreBert</v>
      </c>
    </row>
    <row r="236" spans="1:15" x14ac:dyDescent="0.25">
      <c r="A236" s="14">
        <v>236</v>
      </c>
      <c r="B236" s="19" t="s">
        <v>6</v>
      </c>
      <c r="C236" s="16" t="s">
        <v>3</v>
      </c>
      <c r="D236" s="20" t="s">
        <v>0</v>
      </c>
      <c r="E236" s="20" t="s">
        <v>8</v>
      </c>
      <c r="F236" s="81">
        <v>8</v>
      </c>
      <c r="G236" s="81">
        <v>11</v>
      </c>
      <c r="H236" s="3" t="str">
        <f t="shared" si="9"/>
        <v>GROEN</v>
      </c>
      <c r="I236" s="3" t="str">
        <f t="shared" si="10"/>
        <v>Jonas</v>
      </c>
      <c r="J236" s="4" t="str">
        <f t="shared" si="11"/>
        <v>Louis</v>
      </c>
      <c r="K236" s="147" t="str">
        <f>Tabel3[[#This Row],[Rood Verdediging]]&amp;Tabel3[[#This Row],[Rood Aanval]]</f>
        <v>Stef DKarel</v>
      </c>
      <c r="L236" s="147" t="str">
        <f>Tabel3[[#This Row],[Groen Verdediging]]&amp;Tabel3[[#This Row],[Groen Aanval]]</f>
        <v>JonasLouis</v>
      </c>
      <c r="M236" s="147" t="str">
        <f>Tabel3[[#This Row],[Winnaar 1]]&amp;Tabel3[[#This Row],[Winnaar 2]]</f>
        <v>JonasLouis</v>
      </c>
      <c r="N236" s="147" t="b">
        <f>IF(Tabel3[[#This Row],[Team Rood]]=Tabel3[[#This Row],[Winnaars]],Tabel3[[#This Row],[Team Rood]])</f>
        <v>0</v>
      </c>
      <c r="O236" s="147" t="str">
        <f>IF(Tabel3[[#This Row],[Team Groen]]=Tabel3[[#This Row],[Winnaars]],Tabel3[[#This Row],[Team Groen]])</f>
        <v>JonasLouis</v>
      </c>
    </row>
    <row r="237" spans="1:15" x14ac:dyDescent="0.25">
      <c r="A237" s="14">
        <v>237</v>
      </c>
      <c r="B237" s="19" t="s">
        <v>8</v>
      </c>
      <c r="C237" s="16" t="s">
        <v>13</v>
      </c>
      <c r="D237" s="20" t="s">
        <v>0</v>
      </c>
      <c r="E237" s="20" t="s">
        <v>6</v>
      </c>
      <c r="F237" s="81">
        <v>11</v>
      </c>
      <c r="G237" s="81">
        <v>9</v>
      </c>
      <c r="H237" s="3" t="str">
        <f t="shared" si="9"/>
        <v>ROOD</v>
      </c>
      <c r="I237" s="3" t="str">
        <f t="shared" si="10"/>
        <v>Louis</v>
      </c>
      <c r="J237" s="4" t="str">
        <f t="shared" si="11"/>
        <v>Bert</v>
      </c>
      <c r="K237" s="147" t="str">
        <f>Tabel3[[#This Row],[Rood Verdediging]]&amp;Tabel3[[#This Row],[Rood Aanval]]</f>
        <v>LouisBert</v>
      </c>
      <c r="L237" s="147" t="str">
        <f>Tabel3[[#This Row],[Groen Verdediging]]&amp;Tabel3[[#This Row],[Groen Aanval]]</f>
        <v>JonasStef D</v>
      </c>
      <c r="M237" s="147" t="str">
        <f>Tabel3[[#This Row],[Winnaar 1]]&amp;Tabel3[[#This Row],[Winnaar 2]]</f>
        <v>LouisBert</v>
      </c>
      <c r="N237" s="147" t="str">
        <f>IF(Tabel3[[#This Row],[Team Rood]]=Tabel3[[#This Row],[Winnaars]],Tabel3[[#This Row],[Team Rood]])</f>
        <v>LouisBert</v>
      </c>
      <c r="O237" s="147" t="b">
        <f>IF(Tabel3[[#This Row],[Team Groen]]=Tabel3[[#This Row],[Winnaars]],Tabel3[[#This Row],[Team Groen]])</f>
        <v>0</v>
      </c>
    </row>
    <row r="238" spans="1:15" x14ac:dyDescent="0.25">
      <c r="A238" s="14">
        <v>238</v>
      </c>
      <c r="B238" s="19" t="s">
        <v>11</v>
      </c>
      <c r="C238" s="16" t="s">
        <v>22</v>
      </c>
      <c r="D238" s="20" t="s">
        <v>3</v>
      </c>
      <c r="E238" s="20" t="s">
        <v>19</v>
      </c>
      <c r="F238" s="81">
        <v>11</v>
      </c>
      <c r="G238" s="81">
        <v>9</v>
      </c>
      <c r="H238" s="3" t="str">
        <f t="shared" si="9"/>
        <v>ROOD</v>
      </c>
      <c r="I238" s="3" t="str">
        <f t="shared" si="10"/>
        <v>Matthijs</v>
      </c>
      <c r="J238" s="4" t="str">
        <f t="shared" si="11"/>
        <v>Warre</v>
      </c>
      <c r="K238" s="147" t="str">
        <f>Tabel3[[#This Row],[Rood Verdediging]]&amp;Tabel3[[#This Row],[Rood Aanval]]</f>
        <v>MatthijsWarre</v>
      </c>
      <c r="L238" s="147" t="str">
        <f>Tabel3[[#This Row],[Groen Verdediging]]&amp;Tabel3[[#This Row],[Groen Aanval]]</f>
        <v>KarelNicolas</v>
      </c>
      <c r="M238" s="147" t="str">
        <f>Tabel3[[#This Row],[Winnaar 1]]&amp;Tabel3[[#This Row],[Winnaar 2]]</f>
        <v>MatthijsWarre</v>
      </c>
      <c r="N238" s="147" t="str">
        <f>IF(Tabel3[[#This Row],[Team Rood]]=Tabel3[[#This Row],[Winnaars]],Tabel3[[#This Row],[Team Rood]])</f>
        <v>MatthijsWarre</v>
      </c>
      <c r="O238" s="147" t="b">
        <f>IF(Tabel3[[#This Row],[Team Groen]]=Tabel3[[#This Row],[Winnaars]],Tabel3[[#This Row],[Team Groen]])</f>
        <v>0</v>
      </c>
    </row>
    <row r="239" spans="1:15" x14ac:dyDescent="0.25">
      <c r="A239" s="14">
        <v>239</v>
      </c>
      <c r="B239" s="19" t="s">
        <v>23</v>
      </c>
      <c r="C239" s="16" t="s">
        <v>3</v>
      </c>
      <c r="D239" s="20" t="s">
        <v>8</v>
      </c>
      <c r="E239" s="20" t="s">
        <v>13</v>
      </c>
      <c r="F239" s="81">
        <v>5</v>
      </c>
      <c r="G239" s="81">
        <v>11</v>
      </c>
      <c r="H239" s="3" t="str">
        <f t="shared" si="9"/>
        <v>GROEN</v>
      </c>
      <c r="I239" s="3" t="str">
        <f t="shared" si="10"/>
        <v>Louis</v>
      </c>
      <c r="J239" s="4" t="str">
        <f t="shared" si="11"/>
        <v>Bert</v>
      </c>
      <c r="K239" s="147" t="str">
        <f>Tabel3[[#This Row],[Rood Verdediging]]&amp;Tabel3[[#This Row],[Rood Aanval]]</f>
        <v>DarioKarel</v>
      </c>
      <c r="L239" s="147" t="str">
        <f>Tabel3[[#This Row],[Groen Verdediging]]&amp;Tabel3[[#This Row],[Groen Aanval]]</f>
        <v>LouisBert</v>
      </c>
      <c r="M239" s="147" t="str">
        <f>Tabel3[[#This Row],[Winnaar 1]]&amp;Tabel3[[#This Row],[Winnaar 2]]</f>
        <v>LouisBert</v>
      </c>
      <c r="N239" s="147" t="b">
        <f>IF(Tabel3[[#This Row],[Team Rood]]=Tabel3[[#This Row],[Winnaars]],Tabel3[[#This Row],[Team Rood]])</f>
        <v>0</v>
      </c>
      <c r="O239" s="147" t="str">
        <f>IF(Tabel3[[#This Row],[Team Groen]]=Tabel3[[#This Row],[Winnaars]],Tabel3[[#This Row],[Team Groen]])</f>
        <v>LouisBert</v>
      </c>
    </row>
    <row r="240" spans="1:15" x14ac:dyDescent="0.25">
      <c r="A240" s="14">
        <v>240</v>
      </c>
      <c r="B240" s="19" t="s">
        <v>0</v>
      </c>
      <c r="C240" s="16" t="s">
        <v>22</v>
      </c>
      <c r="D240" s="20" t="s">
        <v>11</v>
      </c>
      <c r="E240" s="20" t="s">
        <v>6</v>
      </c>
      <c r="F240" s="81">
        <v>6</v>
      </c>
      <c r="G240" s="81">
        <v>11</v>
      </c>
      <c r="H240" s="3" t="str">
        <f t="shared" si="9"/>
        <v>GROEN</v>
      </c>
      <c r="I240" s="3" t="str">
        <f t="shared" si="10"/>
        <v>Matthijs</v>
      </c>
      <c r="J240" s="4" t="str">
        <f t="shared" si="11"/>
        <v>Stef D</v>
      </c>
      <c r="K240" s="147" t="str">
        <f>Tabel3[[#This Row],[Rood Verdediging]]&amp;Tabel3[[#This Row],[Rood Aanval]]</f>
        <v>JonasWarre</v>
      </c>
      <c r="L240" s="147" t="str">
        <f>Tabel3[[#This Row],[Groen Verdediging]]&amp;Tabel3[[#This Row],[Groen Aanval]]</f>
        <v>MatthijsStef D</v>
      </c>
      <c r="M240" s="147" t="str">
        <f>Tabel3[[#This Row],[Winnaar 1]]&amp;Tabel3[[#This Row],[Winnaar 2]]</f>
        <v>MatthijsStef D</v>
      </c>
      <c r="N240" s="147" t="b">
        <f>IF(Tabel3[[#This Row],[Team Rood]]=Tabel3[[#This Row],[Winnaars]],Tabel3[[#This Row],[Team Rood]])</f>
        <v>0</v>
      </c>
      <c r="O240" s="147" t="str">
        <f>IF(Tabel3[[#This Row],[Team Groen]]=Tabel3[[#This Row],[Winnaars]],Tabel3[[#This Row],[Team Groen]])</f>
        <v>MatthijsStef D</v>
      </c>
    </row>
    <row r="241" spans="1:15" x14ac:dyDescent="0.25">
      <c r="A241" s="14">
        <v>241</v>
      </c>
      <c r="B241" s="19" t="s">
        <v>11</v>
      </c>
      <c r="C241" s="16" t="s">
        <v>8</v>
      </c>
      <c r="D241" s="20" t="s">
        <v>0</v>
      </c>
      <c r="E241" s="20" t="s">
        <v>6</v>
      </c>
      <c r="F241" s="81">
        <v>10</v>
      </c>
      <c r="G241" s="81">
        <v>12</v>
      </c>
      <c r="H241" s="3" t="str">
        <f t="shared" si="9"/>
        <v>GROEN</v>
      </c>
      <c r="I241" s="3" t="str">
        <f t="shared" si="10"/>
        <v>Jonas</v>
      </c>
      <c r="J241" s="4" t="str">
        <f t="shared" si="11"/>
        <v>Stef D</v>
      </c>
      <c r="K241" s="147" t="str">
        <f>Tabel3[[#This Row],[Rood Verdediging]]&amp;Tabel3[[#This Row],[Rood Aanval]]</f>
        <v>MatthijsLouis</v>
      </c>
      <c r="L241" s="147" t="str">
        <f>Tabel3[[#This Row],[Groen Verdediging]]&amp;Tabel3[[#This Row],[Groen Aanval]]</f>
        <v>JonasStef D</v>
      </c>
      <c r="M241" s="147" t="str">
        <f>Tabel3[[#This Row],[Winnaar 1]]&amp;Tabel3[[#This Row],[Winnaar 2]]</f>
        <v>JonasStef D</v>
      </c>
      <c r="N241" s="147" t="b">
        <f>IF(Tabel3[[#This Row],[Team Rood]]=Tabel3[[#This Row],[Winnaars]],Tabel3[[#This Row],[Team Rood]])</f>
        <v>0</v>
      </c>
      <c r="O241" s="147" t="str">
        <f>IF(Tabel3[[#This Row],[Team Groen]]=Tabel3[[#This Row],[Winnaars]],Tabel3[[#This Row],[Team Groen]])</f>
        <v>JonasStef D</v>
      </c>
    </row>
    <row r="242" spans="1:15" x14ac:dyDescent="0.25">
      <c r="A242" s="14">
        <v>242</v>
      </c>
      <c r="B242" s="19" t="s">
        <v>3</v>
      </c>
      <c r="C242" s="16" t="s">
        <v>23</v>
      </c>
      <c r="D242" s="20" t="s">
        <v>22</v>
      </c>
      <c r="E242" s="20" t="s">
        <v>19</v>
      </c>
      <c r="F242" s="81">
        <v>9</v>
      </c>
      <c r="G242" s="81">
        <v>11</v>
      </c>
      <c r="H242" s="3" t="str">
        <f t="shared" si="9"/>
        <v>GROEN</v>
      </c>
      <c r="I242" s="3" t="str">
        <f t="shared" si="10"/>
        <v>Warre</v>
      </c>
      <c r="J242" s="4" t="str">
        <f t="shared" si="11"/>
        <v>Nicolas</v>
      </c>
      <c r="K242" s="147" t="str">
        <f>Tabel3[[#This Row],[Rood Verdediging]]&amp;Tabel3[[#This Row],[Rood Aanval]]</f>
        <v>KarelDario</v>
      </c>
      <c r="L242" s="147" t="str">
        <f>Tabel3[[#This Row],[Groen Verdediging]]&amp;Tabel3[[#This Row],[Groen Aanval]]</f>
        <v>WarreNicolas</v>
      </c>
      <c r="M242" s="147" t="str">
        <f>Tabel3[[#This Row],[Winnaar 1]]&amp;Tabel3[[#This Row],[Winnaar 2]]</f>
        <v>WarreNicolas</v>
      </c>
      <c r="N242" s="147" t="b">
        <f>IF(Tabel3[[#This Row],[Team Rood]]=Tabel3[[#This Row],[Winnaars]],Tabel3[[#This Row],[Team Rood]])</f>
        <v>0</v>
      </c>
      <c r="O242" s="147" t="str">
        <f>IF(Tabel3[[#This Row],[Team Groen]]=Tabel3[[#This Row],[Winnaars]],Tabel3[[#This Row],[Team Groen]])</f>
        <v>WarreNicolas</v>
      </c>
    </row>
    <row r="243" spans="1:15" x14ac:dyDescent="0.25">
      <c r="A243" s="14">
        <v>243</v>
      </c>
      <c r="B243" s="19" t="s">
        <v>0</v>
      </c>
      <c r="C243" s="16" t="s">
        <v>6</v>
      </c>
      <c r="D243" s="20" t="s">
        <v>19</v>
      </c>
      <c r="E243" s="20" t="s">
        <v>8</v>
      </c>
      <c r="F243" s="81">
        <v>12</v>
      </c>
      <c r="G243" s="81">
        <v>10</v>
      </c>
      <c r="H243" s="3" t="str">
        <f t="shared" si="9"/>
        <v>ROOD</v>
      </c>
      <c r="I243" s="3" t="str">
        <f t="shared" si="10"/>
        <v>Jonas</v>
      </c>
      <c r="J243" s="4" t="str">
        <f t="shared" si="11"/>
        <v>Stef D</v>
      </c>
      <c r="K243" s="147" t="str">
        <f>Tabel3[[#This Row],[Rood Verdediging]]&amp;Tabel3[[#This Row],[Rood Aanval]]</f>
        <v>JonasStef D</v>
      </c>
      <c r="L243" s="147" t="str">
        <f>Tabel3[[#This Row],[Groen Verdediging]]&amp;Tabel3[[#This Row],[Groen Aanval]]</f>
        <v>NicolasLouis</v>
      </c>
      <c r="M243" s="147" t="str">
        <f>Tabel3[[#This Row],[Winnaar 1]]&amp;Tabel3[[#This Row],[Winnaar 2]]</f>
        <v>JonasStef D</v>
      </c>
      <c r="N243" s="147" t="str">
        <f>IF(Tabel3[[#This Row],[Team Rood]]=Tabel3[[#This Row],[Winnaars]],Tabel3[[#This Row],[Team Rood]])</f>
        <v>JonasStef D</v>
      </c>
      <c r="O243" s="147" t="b">
        <f>IF(Tabel3[[#This Row],[Team Groen]]=Tabel3[[#This Row],[Winnaars]],Tabel3[[#This Row],[Team Groen]])</f>
        <v>0</v>
      </c>
    </row>
    <row r="244" spans="1:15" x14ac:dyDescent="0.25">
      <c r="A244" s="14">
        <v>244</v>
      </c>
      <c r="B244" s="19" t="s">
        <v>23</v>
      </c>
      <c r="C244" s="16" t="s">
        <v>6</v>
      </c>
      <c r="D244" s="20" t="s">
        <v>3</v>
      </c>
      <c r="E244" s="20" t="s">
        <v>0</v>
      </c>
      <c r="F244" s="81">
        <v>5</v>
      </c>
      <c r="G244" s="81">
        <v>11</v>
      </c>
      <c r="H244" s="3" t="str">
        <f t="shared" si="9"/>
        <v>GROEN</v>
      </c>
      <c r="I244" s="3" t="str">
        <f t="shared" si="10"/>
        <v>Karel</v>
      </c>
      <c r="J244" s="4" t="str">
        <f t="shared" si="11"/>
        <v>Jonas</v>
      </c>
      <c r="K244" s="147" t="str">
        <f>Tabel3[[#This Row],[Rood Verdediging]]&amp;Tabel3[[#This Row],[Rood Aanval]]</f>
        <v>DarioStef D</v>
      </c>
      <c r="L244" s="147" t="str">
        <f>Tabel3[[#This Row],[Groen Verdediging]]&amp;Tabel3[[#This Row],[Groen Aanval]]</f>
        <v>KarelJonas</v>
      </c>
      <c r="M244" s="147" t="str">
        <f>Tabel3[[#This Row],[Winnaar 1]]&amp;Tabel3[[#This Row],[Winnaar 2]]</f>
        <v>KarelJonas</v>
      </c>
      <c r="N244" s="147" t="b">
        <f>IF(Tabel3[[#This Row],[Team Rood]]=Tabel3[[#This Row],[Winnaars]],Tabel3[[#This Row],[Team Rood]])</f>
        <v>0</v>
      </c>
      <c r="O244" s="147" t="str">
        <f>IF(Tabel3[[#This Row],[Team Groen]]=Tabel3[[#This Row],[Winnaars]],Tabel3[[#This Row],[Team Groen]])</f>
        <v>KarelJonas</v>
      </c>
    </row>
    <row r="245" spans="1:15" x14ac:dyDescent="0.25">
      <c r="A245" s="14">
        <v>245</v>
      </c>
      <c r="B245" s="19" t="s">
        <v>3</v>
      </c>
      <c r="C245" s="16" t="s">
        <v>23</v>
      </c>
      <c r="D245" s="20" t="s">
        <v>6</v>
      </c>
      <c r="E245" s="20" t="s">
        <v>0</v>
      </c>
      <c r="F245" s="81">
        <v>6</v>
      </c>
      <c r="G245" s="81">
        <v>11</v>
      </c>
      <c r="H245" s="3" t="str">
        <f t="shared" si="9"/>
        <v>GROEN</v>
      </c>
      <c r="I245" s="3" t="str">
        <f t="shared" si="10"/>
        <v>Stef D</v>
      </c>
      <c r="J245" s="4" t="str">
        <f t="shared" si="11"/>
        <v>Jonas</v>
      </c>
      <c r="K245" s="147" t="str">
        <f>Tabel3[[#This Row],[Rood Verdediging]]&amp;Tabel3[[#This Row],[Rood Aanval]]</f>
        <v>KarelDario</v>
      </c>
      <c r="L245" s="147" t="str">
        <f>Tabel3[[#This Row],[Groen Verdediging]]&amp;Tabel3[[#This Row],[Groen Aanval]]</f>
        <v>Stef DJonas</v>
      </c>
      <c r="M245" s="147" t="str">
        <f>Tabel3[[#This Row],[Winnaar 1]]&amp;Tabel3[[#This Row],[Winnaar 2]]</f>
        <v>Stef DJonas</v>
      </c>
      <c r="N245" s="147" t="b">
        <f>IF(Tabel3[[#This Row],[Team Rood]]=Tabel3[[#This Row],[Winnaars]],Tabel3[[#This Row],[Team Rood]])</f>
        <v>0</v>
      </c>
      <c r="O245" s="147" t="str">
        <f>IF(Tabel3[[#This Row],[Team Groen]]=Tabel3[[#This Row],[Winnaars]],Tabel3[[#This Row],[Team Groen]])</f>
        <v>Stef DJonas</v>
      </c>
    </row>
    <row r="246" spans="1:15" x14ac:dyDescent="0.25">
      <c r="A246" s="14">
        <v>246</v>
      </c>
      <c r="B246" s="19" t="s">
        <v>22</v>
      </c>
      <c r="C246" s="16" t="s">
        <v>6</v>
      </c>
      <c r="D246" s="20" t="s">
        <v>3</v>
      </c>
      <c r="E246" s="20" t="s">
        <v>11</v>
      </c>
      <c r="F246" s="81">
        <v>11</v>
      </c>
      <c r="G246" s="81">
        <v>9</v>
      </c>
      <c r="H246" s="3" t="str">
        <f t="shared" si="9"/>
        <v>ROOD</v>
      </c>
      <c r="I246" s="3" t="str">
        <f t="shared" si="10"/>
        <v>Warre</v>
      </c>
      <c r="J246" s="4" t="str">
        <f t="shared" si="11"/>
        <v>Stef D</v>
      </c>
      <c r="K246" s="147" t="str">
        <f>Tabel3[[#This Row],[Rood Verdediging]]&amp;Tabel3[[#This Row],[Rood Aanval]]</f>
        <v>WarreStef D</v>
      </c>
      <c r="L246" s="147" t="str">
        <f>Tabel3[[#This Row],[Groen Verdediging]]&amp;Tabel3[[#This Row],[Groen Aanval]]</f>
        <v>KarelMatthijs</v>
      </c>
      <c r="M246" s="147" t="str">
        <f>Tabel3[[#This Row],[Winnaar 1]]&amp;Tabel3[[#This Row],[Winnaar 2]]</f>
        <v>WarreStef D</v>
      </c>
      <c r="N246" s="147" t="str">
        <f>IF(Tabel3[[#This Row],[Team Rood]]=Tabel3[[#This Row],[Winnaars]],Tabel3[[#This Row],[Team Rood]])</f>
        <v>WarreStef D</v>
      </c>
      <c r="O246" s="147" t="b">
        <f>IF(Tabel3[[#This Row],[Team Groen]]=Tabel3[[#This Row],[Winnaars]],Tabel3[[#This Row],[Team Groen]])</f>
        <v>0</v>
      </c>
    </row>
    <row r="247" spans="1:15" x14ac:dyDescent="0.25">
      <c r="A247" s="14">
        <v>247</v>
      </c>
      <c r="B247" s="19" t="s">
        <v>19</v>
      </c>
      <c r="C247" s="16" t="s">
        <v>6</v>
      </c>
      <c r="D247" s="20" t="s">
        <v>23</v>
      </c>
      <c r="E247" s="20" t="s">
        <v>22</v>
      </c>
      <c r="F247" s="81">
        <v>11</v>
      </c>
      <c r="G247" s="81">
        <v>0</v>
      </c>
      <c r="H247" s="3" t="str">
        <f t="shared" si="9"/>
        <v>ROOD</v>
      </c>
      <c r="I247" s="3" t="str">
        <f t="shared" si="10"/>
        <v>Nicolas</v>
      </c>
      <c r="J247" s="4" t="str">
        <f t="shared" si="11"/>
        <v>Stef D</v>
      </c>
      <c r="K247" s="147" t="str">
        <f>Tabel3[[#This Row],[Rood Verdediging]]&amp;Tabel3[[#This Row],[Rood Aanval]]</f>
        <v>NicolasStef D</v>
      </c>
      <c r="L247" s="147" t="str">
        <f>Tabel3[[#This Row],[Groen Verdediging]]&amp;Tabel3[[#This Row],[Groen Aanval]]</f>
        <v>DarioWarre</v>
      </c>
      <c r="M247" s="147" t="str">
        <f>Tabel3[[#This Row],[Winnaar 1]]&amp;Tabel3[[#This Row],[Winnaar 2]]</f>
        <v>NicolasStef D</v>
      </c>
      <c r="N247" s="147" t="str">
        <f>IF(Tabel3[[#This Row],[Team Rood]]=Tabel3[[#This Row],[Winnaars]],Tabel3[[#This Row],[Team Rood]])</f>
        <v>NicolasStef D</v>
      </c>
      <c r="O247" s="147" t="b">
        <f>IF(Tabel3[[#This Row],[Team Groen]]=Tabel3[[#This Row],[Winnaars]],Tabel3[[#This Row],[Team Groen]])</f>
        <v>0</v>
      </c>
    </row>
    <row r="248" spans="1:15" x14ac:dyDescent="0.25">
      <c r="A248" s="14">
        <v>248</v>
      </c>
      <c r="B248" s="19" t="s">
        <v>19</v>
      </c>
      <c r="C248" s="16" t="s">
        <v>23</v>
      </c>
      <c r="D248" s="20" t="s">
        <v>6</v>
      </c>
      <c r="E248" s="20" t="s">
        <v>22</v>
      </c>
      <c r="F248" s="81">
        <v>2</v>
      </c>
      <c r="G248" s="81">
        <v>11</v>
      </c>
      <c r="H248" s="3" t="str">
        <f t="shared" si="9"/>
        <v>GROEN</v>
      </c>
      <c r="I248" s="3" t="str">
        <f t="shared" si="10"/>
        <v>Stef D</v>
      </c>
      <c r="J248" s="4" t="str">
        <f t="shared" si="11"/>
        <v>Warre</v>
      </c>
      <c r="K248" s="147" t="str">
        <f>Tabel3[[#This Row],[Rood Verdediging]]&amp;Tabel3[[#This Row],[Rood Aanval]]</f>
        <v>NicolasDario</v>
      </c>
      <c r="L248" s="147" t="str">
        <f>Tabel3[[#This Row],[Groen Verdediging]]&amp;Tabel3[[#This Row],[Groen Aanval]]</f>
        <v>Stef DWarre</v>
      </c>
      <c r="M248" s="147" t="str">
        <f>Tabel3[[#This Row],[Winnaar 1]]&amp;Tabel3[[#This Row],[Winnaar 2]]</f>
        <v>Stef DWarre</v>
      </c>
      <c r="N248" s="147" t="b">
        <f>IF(Tabel3[[#This Row],[Team Rood]]=Tabel3[[#This Row],[Winnaars]],Tabel3[[#This Row],[Team Rood]])</f>
        <v>0</v>
      </c>
      <c r="O248" s="147" t="str">
        <f>IF(Tabel3[[#This Row],[Team Groen]]=Tabel3[[#This Row],[Winnaars]],Tabel3[[#This Row],[Team Groen]])</f>
        <v>Stef DWarre</v>
      </c>
    </row>
    <row r="249" spans="1:15" x14ac:dyDescent="0.25">
      <c r="A249" s="14">
        <v>249</v>
      </c>
      <c r="B249" s="19" t="s">
        <v>6</v>
      </c>
      <c r="C249" s="16" t="s">
        <v>19</v>
      </c>
      <c r="D249" s="20" t="s">
        <v>22</v>
      </c>
      <c r="E249" s="20" t="s">
        <v>23</v>
      </c>
      <c r="F249" s="81">
        <v>11</v>
      </c>
      <c r="G249" s="81">
        <v>7</v>
      </c>
      <c r="H249" s="3" t="str">
        <f t="shared" si="9"/>
        <v>ROOD</v>
      </c>
      <c r="I249" s="3" t="str">
        <f t="shared" si="10"/>
        <v>Stef D</v>
      </c>
      <c r="J249" s="4" t="str">
        <f t="shared" si="11"/>
        <v>Nicolas</v>
      </c>
      <c r="K249" s="147" t="str">
        <f>Tabel3[[#This Row],[Rood Verdediging]]&amp;Tabel3[[#This Row],[Rood Aanval]]</f>
        <v>Stef DNicolas</v>
      </c>
      <c r="L249" s="147" t="str">
        <f>Tabel3[[#This Row],[Groen Verdediging]]&amp;Tabel3[[#This Row],[Groen Aanval]]</f>
        <v>WarreDario</v>
      </c>
      <c r="M249" s="147" t="str">
        <f>Tabel3[[#This Row],[Winnaar 1]]&amp;Tabel3[[#This Row],[Winnaar 2]]</f>
        <v>Stef DNicolas</v>
      </c>
      <c r="N249" s="147" t="str">
        <f>IF(Tabel3[[#This Row],[Team Rood]]=Tabel3[[#This Row],[Winnaars]],Tabel3[[#This Row],[Team Rood]])</f>
        <v>Stef DNicolas</v>
      </c>
      <c r="O249" s="147" t="b">
        <f>IF(Tabel3[[#This Row],[Team Groen]]=Tabel3[[#This Row],[Winnaars]],Tabel3[[#This Row],[Team Groen]])</f>
        <v>0</v>
      </c>
    </row>
    <row r="250" spans="1:15" x14ac:dyDescent="0.25">
      <c r="A250" s="14">
        <v>250</v>
      </c>
      <c r="B250" s="19" t="s">
        <v>0</v>
      </c>
      <c r="C250" s="16" t="s">
        <v>80</v>
      </c>
      <c r="D250" s="20" t="s">
        <v>3</v>
      </c>
      <c r="E250" s="20" t="s">
        <v>4</v>
      </c>
      <c r="F250" s="81">
        <v>11</v>
      </c>
      <c r="G250" s="81">
        <v>9</v>
      </c>
      <c r="H250" s="3" t="str">
        <f t="shared" si="9"/>
        <v>ROOD</v>
      </c>
      <c r="I250" s="3" t="str">
        <f t="shared" si="10"/>
        <v>Jonas</v>
      </c>
      <c r="J250" s="4" t="str">
        <f t="shared" si="11"/>
        <v>Tobi</v>
      </c>
      <c r="K250" s="147" t="str">
        <f>Tabel3[[#This Row],[Rood Verdediging]]&amp;Tabel3[[#This Row],[Rood Aanval]]</f>
        <v>JonasTobi</v>
      </c>
      <c r="L250" s="147" t="str">
        <f>Tabel3[[#This Row],[Groen Verdediging]]&amp;Tabel3[[#This Row],[Groen Aanval]]</f>
        <v>KarelStef</v>
      </c>
      <c r="M250" s="147" t="str">
        <f>Tabel3[[#This Row],[Winnaar 1]]&amp;Tabel3[[#This Row],[Winnaar 2]]</f>
        <v>JonasTobi</v>
      </c>
      <c r="N250" s="147" t="str">
        <f>IF(Tabel3[[#This Row],[Team Rood]]=Tabel3[[#This Row],[Winnaars]],Tabel3[[#This Row],[Team Rood]])</f>
        <v>JonasTobi</v>
      </c>
      <c r="O250" s="147" t="b">
        <f>IF(Tabel3[[#This Row],[Team Groen]]=Tabel3[[#This Row],[Winnaars]],Tabel3[[#This Row],[Team Groen]])</f>
        <v>0</v>
      </c>
    </row>
    <row r="251" spans="1:15" x14ac:dyDescent="0.25">
      <c r="A251" s="14">
        <v>251</v>
      </c>
      <c r="B251" s="19" t="s">
        <v>80</v>
      </c>
      <c r="C251" s="16" t="s">
        <v>0</v>
      </c>
      <c r="D251" s="20" t="s">
        <v>4</v>
      </c>
      <c r="E251" s="20" t="s">
        <v>3</v>
      </c>
      <c r="F251" s="81">
        <v>12</v>
      </c>
      <c r="G251" s="81">
        <v>14</v>
      </c>
      <c r="H251" s="3" t="str">
        <f t="shared" si="9"/>
        <v>GROEN</v>
      </c>
      <c r="I251" s="3" t="str">
        <f t="shared" si="10"/>
        <v>Stef</v>
      </c>
      <c r="J251" s="4" t="str">
        <f t="shared" si="11"/>
        <v>Karel</v>
      </c>
      <c r="K251" s="147" t="str">
        <f>Tabel3[[#This Row],[Rood Verdediging]]&amp;Tabel3[[#This Row],[Rood Aanval]]</f>
        <v>TobiJonas</v>
      </c>
      <c r="L251" s="147" t="str">
        <f>Tabel3[[#This Row],[Groen Verdediging]]&amp;Tabel3[[#This Row],[Groen Aanval]]</f>
        <v>StefKarel</v>
      </c>
      <c r="M251" s="147" t="str">
        <f>Tabel3[[#This Row],[Winnaar 1]]&amp;Tabel3[[#This Row],[Winnaar 2]]</f>
        <v>StefKarel</v>
      </c>
      <c r="N251" s="147" t="b">
        <f>IF(Tabel3[[#This Row],[Team Rood]]=Tabel3[[#This Row],[Winnaars]],Tabel3[[#This Row],[Team Rood]])</f>
        <v>0</v>
      </c>
      <c r="O251" s="147" t="str">
        <f>IF(Tabel3[[#This Row],[Team Groen]]=Tabel3[[#This Row],[Winnaars]],Tabel3[[#This Row],[Team Groen]])</f>
        <v>StefKarel</v>
      </c>
    </row>
    <row r="252" spans="1:15" x14ac:dyDescent="0.25">
      <c r="A252" s="14">
        <v>252</v>
      </c>
      <c r="B252" s="19" t="s">
        <v>4</v>
      </c>
      <c r="C252" s="16" t="s">
        <v>80</v>
      </c>
      <c r="D252" s="20" t="s">
        <v>0</v>
      </c>
      <c r="E252" s="20" t="s">
        <v>3</v>
      </c>
      <c r="F252" s="81">
        <v>14</v>
      </c>
      <c r="G252" s="81">
        <v>12</v>
      </c>
      <c r="H252" s="3" t="str">
        <f t="shared" si="9"/>
        <v>ROOD</v>
      </c>
      <c r="I252" s="3" t="str">
        <f t="shared" si="10"/>
        <v>Stef</v>
      </c>
      <c r="J252" s="4" t="str">
        <f t="shared" si="11"/>
        <v>Tobi</v>
      </c>
      <c r="K252" s="147" t="str">
        <f>Tabel3[[#This Row],[Rood Verdediging]]&amp;Tabel3[[#This Row],[Rood Aanval]]</f>
        <v>StefTobi</v>
      </c>
      <c r="L252" s="147" t="str">
        <f>Tabel3[[#This Row],[Groen Verdediging]]&amp;Tabel3[[#This Row],[Groen Aanval]]</f>
        <v>JonasKarel</v>
      </c>
      <c r="M252" s="147" t="str">
        <f>Tabel3[[#This Row],[Winnaar 1]]&amp;Tabel3[[#This Row],[Winnaar 2]]</f>
        <v>StefTobi</v>
      </c>
      <c r="N252" s="147" t="str">
        <f>IF(Tabel3[[#This Row],[Team Rood]]=Tabel3[[#This Row],[Winnaars]],Tabel3[[#This Row],[Team Rood]])</f>
        <v>StefTobi</v>
      </c>
      <c r="O252" s="147" t="b">
        <f>IF(Tabel3[[#This Row],[Team Groen]]=Tabel3[[#This Row],[Winnaars]],Tabel3[[#This Row],[Team Groen]])</f>
        <v>0</v>
      </c>
    </row>
    <row r="253" spans="1:15" x14ac:dyDescent="0.25">
      <c r="A253" s="14">
        <v>253</v>
      </c>
      <c r="B253" s="19" t="s">
        <v>80</v>
      </c>
      <c r="C253" s="16" t="s">
        <v>5</v>
      </c>
      <c r="D253" s="20" t="s">
        <v>3</v>
      </c>
      <c r="E253" s="20" t="s">
        <v>0</v>
      </c>
      <c r="F253" s="81">
        <v>14</v>
      </c>
      <c r="G253" s="81">
        <v>12</v>
      </c>
      <c r="H253" s="3" t="str">
        <f t="shared" si="9"/>
        <v>ROOD</v>
      </c>
      <c r="I253" s="3" t="str">
        <f t="shared" si="10"/>
        <v>Tobi</v>
      </c>
      <c r="J253" s="4" t="str">
        <f t="shared" si="11"/>
        <v xml:space="preserve">Stef </v>
      </c>
      <c r="K253" s="147" t="str">
        <f>Tabel3[[#This Row],[Rood Verdediging]]&amp;Tabel3[[#This Row],[Rood Aanval]]</f>
        <v xml:space="preserve">TobiStef </v>
      </c>
      <c r="L253" s="147" t="str">
        <f>Tabel3[[#This Row],[Groen Verdediging]]&amp;Tabel3[[#This Row],[Groen Aanval]]</f>
        <v>KarelJonas</v>
      </c>
      <c r="M253" s="147" t="str">
        <f>Tabel3[[#This Row],[Winnaar 1]]&amp;Tabel3[[#This Row],[Winnaar 2]]</f>
        <v xml:space="preserve">TobiStef </v>
      </c>
      <c r="N253" s="147" t="str">
        <f>IF(Tabel3[[#This Row],[Team Rood]]=Tabel3[[#This Row],[Winnaars]],Tabel3[[#This Row],[Team Rood]])</f>
        <v xml:space="preserve">TobiStef </v>
      </c>
      <c r="O253" s="147" t="b">
        <f>IF(Tabel3[[#This Row],[Team Groen]]=Tabel3[[#This Row],[Winnaars]],Tabel3[[#This Row],[Team Groen]])</f>
        <v>0</v>
      </c>
    </row>
    <row r="254" spans="1:15" x14ac:dyDescent="0.25">
      <c r="A254" s="14">
        <v>254</v>
      </c>
      <c r="B254" s="19" t="s">
        <v>0</v>
      </c>
      <c r="C254" s="16" t="s">
        <v>6</v>
      </c>
      <c r="D254" s="20" t="s">
        <v>3</v>
      </c>
      <c r="E254" s="20" t="s">
        <v>80</v>
      </c>
      <c r="F254" s="81">
        <v>6</v>
      </c>
      <c r="G254" s="81">
        <v>11</v>
      </c>
      <c r="H254" s="3" t="str">
        <f t="shared" si="9"/>
        <v>GROEN</v>
      </c>
      <c r="I254" s="3" t="str">
        <f t="shared" si="10"/>
        <v>Karel</v>
      </c>
      <c r="J254" s="4" t="str">
        <f t="shared" si="11"/>
        <v>Tobi</v>
      </c>
      <c r="K254" s="147" t="str">
        <f>Tabel3[[#This Row],[Rood Verdediging]]&amp;Tabel3[[#This Row],[Rood Aanval]]</f>
        <v>JonasStef D</v>
      </c>
      <c r="L254" s="147" t="str">
        <f>Tabel3[[#This Row],[Groen Verdediging]]&amp;Tabel3[[#This Row],[Groen Aanval]]</f>
        <v>KarelTobi</v>
      </c>
      <c r="M254" s="147" t="str">
        <f>Tabel3[[#This Row],[Winnaar 1]]&amp;Tabel3[[#This Row],[Winnaar 2]]</f>
        <v>KarelTobi</v>
      </c>
      <c r="N254" s="147" t="b">
        <f>IF(Tabel3[[#This Row],[Team Rood]]=Tabel3[[#This Row],[Winnaars]],Tabel3[[#This Row],[Team Rood]])</f>
        <v>0</v>
      </c>
      <c r="O254" s="147" t="str">
        <f>IF(Tabel3[[#This Row],[Team Groen]]=Tabel3[[#This Row],[Winnaars]],Tabel3[[#This Row],[Team Groen]])</f>
        <v>KarelTobi</v>
      </c>
    </row>
    <row r="255" spans="1:15" x14ac:dyDescent="0.25">
      <c r="A255" s="14">
        <v>255</v>
      </c>
      <c r="B255" s="19" t="s">
        <v>6</v>
      </c>
      <c r="C255" s="16" t="s">
        <v>0</v>
      </c>
      <c r="D255" s="20" t="s">
        <v>80</v>
      </c>
      <c r="E255" s="20" t="s">
        <v>3</v>
      </c>
      <c r="F255" s="81">
        <v>9</v>
      </c>
      <c r="G255" s="81">
        <v>11</v>
      </c>
      <c r="H255" s="3" t="str">
        <f t="shared" si="9"/>
        <v>GROEN</v>
      </c>
      <c r="I255" s="3" t="str">
        <f t="shared" si="10"/>
        <v>Tobi</v>
      </c>
      <c r="J255" s="4" t="str">
        <f t="shared" si="11"/>
        <v>Karel</v>
      </c>
      <c r="K255" s="147" t="str">
        <f>Tabel3[[#This Row],[Rood Verdediging]]&amp;Tabel3[[#This Row],[Rood Aanval]]</f>
        <v>Stef DJonas</v>
      </c>
      <c r="L255" s="147" t="str">
        <f>Tabel3[[#This Row],[Groen Verdediging]]&amp;Tabel3[[#This Row],[Groen Aanval]]</f>
        <v>TobiKarel</v>
      </c>
      <c r="M255" s="147" t="str">
        <f>Tabel3[[#This Row],[Winnaar 1]]&amp;Tabel3[[#This Row],[Winnaar 2]]</f>
        <v>TobiKarel</v>
      </c>
      <c r="N255" s="147" t="b">
        <f>IF(Tabel3[[#This Row],[Team Rood]]=Tabel3[[#This Row],[Winnaars]],Tabel3[[#This Row],[Team Rood]])</f>
        <v>0</v>
      </c>
      <c r="O255" s="147" t="str">
        <f>IF(Tabel3[[#This Row],[Team Groen]]=Tabel3[[#This Row],[Winnaars]],Tabel3[[#This Row],[Team Groen]])</f>
        <v>TobiKarel</v>
      </c>
    </row>
    <row r="256" spans="1:15" x14ac:dyDescent="0.25">
      <c r="A256" s="14">
        <v>256</v>
      </c>
      <c r="B256" s="19" t="s">
        <v>0</v>
      </c>
      <c r="C256" s="16" t="s">
        <v>6</v>
      </c>
      <c r="D256" s="20" t="s">
        <v>167</v>
      </c>
      <c r="E256" s="20" t="s">
        <v>43</v>
      </c>
      <c r="F256" s="81">
        <v>11</v>
      </c>
      <c r="G256" s="81">
        <v>7</v>
      </c>
      <c r="H256" s="3" t="str">
        <f t="shared" si="9"/>
        <v>ROOD</v>
      </c>
      <c r="I256" s="3" t="str">
        <f t="shared" si="10"/>
        <v>Jonas</v>
      </c>
      <c r="J256" s="4" t="str">
        <f t="shared" si="11"/>
        <v>Stef D</v>
      </c>
      <c r="K256" s="147" t="str">
        <f>Tabel3[[#This Row],[Rood Verdediging]]&amp;Tabel3[[#This Row],[Rood Aanval]]</f>
        <v>JonasStef D</v>
      </c>
      <c r="L256" s="147" t="str">
        <f>Tabel3[[#This Row],[Groen Verdediging]]&amp;Tabel3[[#This Row],[Groen Aanval]]</f>
        <v xml:space="preserve">CogheLouis </v>
      </c>
      <c r="M256" s="147" t="str">
        <f>Tabel3[[#This Row],[Winnaar 1]]&amp;Tabel3[[#This Row],[Winnaar 2]]</f>
        <v>JonasStef D</v>
      </c>
      <c r="N256" s="147" t="str">
        <f>IF(Tabel3[[#This Row],[Team Rood]]=Tabel3[[#This Row],[Winnaars]],Tabel3[[#This Row],[Team Rood]])</f>
        <v>JonasStef D</v>
      </c>
      <c r="O256" s="147" t="b">
        <f>IF(Tabel3[[#This Row],[Team Groen]]=Tabel3[[#This Row],[Winnaars]],Tabel3[[#This Row],[Team Groen]])</f>
        <v>0</v>
      </c>
    </row>
    <row r="257" spans="1:15" x14ac:dyDescent="0.25">
      <c r="A257" s="14">
        <v>257</v>
      </c>
      <c r="B257" s="19" t="s">
        <v>0</v>
      </c>
      <c r="C257" s="16" t="s">
        <v>19</v>
      </c>
      <c r="D257" s="20" t="s">
        <v>167</v>
      </c>
      <c r="E257" s="20" t="s">
        <v>0</v>
      </c>
      <c r="F257" s="81">
        <v>8</v>
      </c>
      <c r="G257" s="81">
        <v>11</v>
      </c>
      <c r="H257" s="3" t="str">
        <f t="shared" si="9"/>
        <v>GROEN</v>
      </c>
      <c r="I257" s="3" t="str">
        <f t="shared" si="10"/>
        <v>Coghe</v>
      </c>
      <c r="J257" s="4" t="str">
        <f t="shared" si="11"/>
        <v>Jonas</v>
      </c>
      <c r="K257" s="147" t="str">
        <f>Tabel3[[#This Row],[Rood Verdediging]]&amp;Tabel3[[#This Row],[Rood Aanval]]</f>
        <v>JonasNicolas</v>
      </c>
      <c r="L257" s="147" t="str">
        <f>Tabel3[[#This Row],[Groen Verdediging]]&amp;Tabel3[[#This Row],[Groen Aanval]]</f>
        <v>CogheJonas</v>
      </c>
      <c r="M257" s="147" t="str">
        <f>Tabel3[[#This Row],[Winnaar 1]]&amp;Tabel3[[#This Row],[Winnaar 2]]</f>
        <v>CogheJonas</v>
      </c>
      <c r="N257" s="147" t="b">
        <f>IF(Tabel3[[#This Row],[Team Rood]]=Tabel3[[#This Row],[Winnaars]],Tabel3[[#This Row],[Team Rood]])</f>
        <v>0</v>
      </c>
      <c r="O257" s="147" t="str">
        <f>IF(Tabel3[[#This Row],[Team Groen]]=Tabel3[[#This Row],[Winnaars]],Tabel3[[#This Row],[Team Groen]])</f>
        <v>CogheJonas</v>
      </c>
    </row>
    <row r="258" spans="1:15" x14ac:dyDescent="0.25">
      <c r="A258" s="14">
        <v>258</v>
      </c>
      <c r="B258" s="19" t="s">
        <v>8</v>
      </c>
      <c r="C258" s="16" t="s">
        <v>0</v>
      </c>
      <c r="D258" s="20" t="s">
        <v>11</v>
      </c>
      <c r="E258" s="20" t="s">
        <v>7</v>
      </c>
      <c r="F258" s="81">
        <v>11</v>
      </c>
      <c r="G258" s="81">
        <v>7</v>
      </c>
      <c r="H258" s="3" t="str">
        <f t="shared" ref="H258:H321" si="12">IF(F258&gt;G258,"ROOD",IF(F258=G258,"","GROEN"))</f>
        <v>ROOD</v>
      </c>
      <c r="I258" s="3" t="str">
        <f t="shared" ref="I258:I321" si="13">IF(F258&gt;G258,B258,IF(F258=0,"",D258))</f>
        <v>Louis</v>
      </c>
      <c r="J258" s="4" t="str">
        <f t="shared" ref="J258:J321" si="14">IF(F258&gt;G258,C258,IF(F258=0,"",E258))</f>
        <v>Jonas</v>
      </c>
      <c r="K258" s="147" t="str">
        <f>Tabel3[[#This Row],[Rood Verdediging]]&amp;Tabel3[[#This Row],[Rood Aanval]]</f>
        <v>LouisJonas</v>
      </c>
      <c r="L258" s="147" t="str">
        <f>Tabel3[[#This Row],[Groen Verdediging]]&amp;Tabel3[[#This Row],[Groen Aanval]]</f>
        <v>MatthijsTiemen</v>
      </c>
      <c r="M258" s="147" t="str">
        <f>Tabel3[[#This Row],[Winnaar 1]]&amp;Tabel3[[#This Row],[Winnaar 2]]</f>
        <v>LouisJonas</v>
      </c>
      <c r="N258" s="147" t="str">
        <f>IF(Tabel3[[#This Row],[Team Rood]]=Tabel3[[#This Row],[Winnaars]],Tabel3[[#This Row],[Team Rood]])</f>
        <v>LouisJonas</v>
      </c>
      <c r="O258" s="147" t="b">
        <f>IF(Tabel3[[#This Row],[Team Groen]]=Tabel3[[#This Row],[Winnaars]],Tabel3[[#This Row],[Team Groen]])</f>
        <v>0</v>
      </c>
    </row>
    <row r="259" spans="1:15" x14ac:dyDescent="0.25">
      <c r="A259" s="14">
        <v>259</v>
      </c>
      <c r="B259" s="19" t="s">
        <v>6</v>
      </c>
      <c r="C259" s="16" t="s">
        <v>11</v>
      </c>
      <c r="D259" s="20" t="s">
        <v>19</v>
      </c>
      <c r="E259" s="20" t="s">
        <v>167</v>
      </c>
      <c r="F259" s="81">
        <v>11</v>
      </c>
      <c r="G259" s="81">
        <v>5</v>
      </c>
      <c r="H259" s="3" t="str">
        <f t="shared" si="12"/>
        <v>ROOD</v>
      </c>
      <c r="I259" s="3" t="str">
        <f t="shared" si="13"/>
        <v>Stef D</v>
      </c>
      <c r="J259" s="4" t="str">
        <f t="shared" si="14"/>
        <v>Matthijs</v>
      </c>
      <c r="K259" s="147" t="str">
        <f>Tabel3[[#This Row],[Rood Verdediging]]&amp;Tabel3[[#This Row],[Rood Aanval]]</f>
        <v>Stef DMatthijs</v>
      </c>
      <c r="L259" s="147" t="str">
        <f>Tabel3[[#This Row],[Groen Verdediging]]&amp;Tabel3[[#This Row],[Groen Aanval]]</f>
        <v>NicolasCoghe</v>
      </c>
      <c r="M259" s="147" t="str">
        <f>Tabel3[[#This Row],[Winnaar 1]]&amp;Tabel3[[#This Row],[Winnaar 2]]</f>
        <v>Stef DMatthijs</v>
      </c>
      <c r="N259" s="147" t="str">
        <f>IF(Tabel3[[#This Row],[Team Rood]]=Tabel3[[#This Row],[Winnaars]],Tabel3[[#This Row],[Team Rood]])</f>
        <v>Stef DMatthijs</v>
      </c>
      <c r="O259" s="147" t="b">
        <f>IF(Tabel3[[#This Row],[Team Groen]]=Tabel3[[#This Row],[Winnaars]],Tabel3[[#This Row],[Team Groen]])</f>
        <v>0</v>
      </c>
    </row>
    <row r="260" spans="1:15" x14ac:dyDescent="0.25">
      <c r="A260" s="14">
        <v>260</v>
      </c>
      <c r="B260" s="19" t="s">
        <v>6</v>
      </c>
      <c r="C260" s="16" t="s">
        <v>7</v>
      </c>
      <c r="D260" s="20" t="s">
        <v>0</v>
      </c>
      <c r="E260" s="20" t="s">
        <v>8</v>
      </c>
      <c r="F260" s="81">
        <v>11</v>
      </c>
      <c r="G260" s="81">
        <v>9</v>
      </c>
      <c r="H260" s="3" t="str">
        <f t="shared" si="12"/>
        <v>ROOD</v>
      </c>
      <c r="I260" s="3" t="str">
        <f t="shared" si="13"/>
        <v>Stef D</v>
      </c>
      <c r="J260" s="4" t="str">
        <f t="shared" si="14"/>
        <v>Tiemen</v>
      </c>
      <c r="K260" s="147" t="str">
        <f>Tabel3[[#This Row],[Rood Verdediging]]&amp;Tabel3[[#This Row],[Rood Aanval]]</f>
        <v>Stef DTiemen</v>
      </c>
      <c r="L260" s="147" t="str">
        <f>Tabel3[[#This Row],[Groen Verdediging]]&amp;Tabel3[[#This Row],[Groen Aanval]]</f>
        <v>JonasLouis</v>
      </c>
      <c r="M260" s="147" t="str">
        <f>Tabel3[[#This Row],[Winnaar 1]]&amp;Tabel3[[#This Row],[Winnaar 2]]</f>
        <v>Stef DTiemen</v>
      </c>
      <c r="N260" s="147" t="str">
        <f>IF(Tabel3[[#This Row],[Team Rood]]=Tabel3[[#This Row],[Winnaars]],Tabel3[[#This Row],[Team Rood]])</f>
        <v>Stef DTiemen</v>
      </c>
      <c r="O260" s="147" t="b">
        <f>IF(Tabel3[[#This Row],[Team Groen]]=Tabel3[[#This Row],[Winnaars]],Tabel3[[#This Row],[Team Groen]])</f>
        <v>0</v>
      </c>
    </row>
    <row r="261" spans="1:15" x14ac:dyDescent="0.25">
      <c r="A261" s="14">
        <v>261</v>
      </c>
      <c r="B261" s="19" t="s">
        <v>7</v>
      </c>
      <c r="C261" s="16" t="s">
        <v>11</v>
      </c>
      <c r="D261" s="20" t="s">
        <v>0</v>
      </c>
      <c r="E261" s="20" t="s">
        <v>6</v>
      </c>
      <c r="F261" s="81">
        <v>5</v>
      </c>
      <c r="G261" s="81">
        <v>11</v>
      </c>
      <c r="H261" s="3" t="str">
        <f t="shared" si="12"/>
        <v>GROEN</v>
      </c>
      <c r="I261" s="3" t="str">
        <f t="shared" si="13"/>
        <v>Jonas</v>
      </c>
      <c r="J261" s="4" t="str">
        <f t="shared" si="14"/>
        <v>Stef D</v>
      </c>
      <c r="K261" s="147" t="str">
        <f>Tabel3[[#This Row],[Rood Verdediging]]&amp;Tabel3[[#This Row],[Rood Aanval]]</f>
        <v>TiemenMatthijs</v>
      </c>
      <c r="L261" s="147" t="str">
        <f>Tabel3[[#This Row],[Groen Verdediging]]&amp;Tabel3[[#This Row],[Groen Aanval]]</f>
        <v>JonasStef D</v>
      </c>
      <c r="M261" s="147" t="str">
        <f>Tabel3[[#This Row],[Winnaar 1]]&amp;Tabel3[[#This Row],[Winnaar 2]]</f>
        <v>JonasStef D</v>
      </c>
      <c r="N261" s="147" t="b">
        <f>IF(Tabel3[[#This Row],[Team Rood]]=Tabel3[[#This Row],[Winnaars]],Tabel3[[#This Row],[Team Rood]])</f>
        <v>0</v>
      </c>
      <c r="O261" s="147" t="str">
        <f>IF(Tabel3[[#This Row],[Team Groen]]=Tabel3[[#This Row],[Winnaars]],Tabel3[[#This Row],[Team Groen]])</f>
        <v>JonasStef D</v>
      </c>
    </row>
    <row r="262" spans="1:15" x14ac:dyDescent="0.25">
      <c r="A262" s="14">
        <v>262</v>
      </c>
      <c r="B262" s="19" t="s">
        <v>11</v>
      </c>
      <c r="C262" s="16" t="s">
        <v>6</v>
      </c>
      <c r="D262" s="20" t="s">
        <v>8</v>
      </c>
      <c r="E262" s="20" t="s">
        <v>0</v>
      </c>
      <c r="F262" s="81">
        <v>11</v>
      </c>
      <c r="G262" s="81">
        <v>8</v>
      </c>
      <c r="H262" s="3" t="str">
        <f t="shared" si="12"/>
        <v>ROOD</v>
      </c>
      <c r="I262" s="3" t="str">
        <f t="shared" si="13"/>
        <v>Matthijs</v>
      </c>
      <c r="J262" s="4" t="str">
        <f t="shared" si="14"/>
        <v>Stef D</v>
      </c>
      <c r="K262" s="147" t="str">
        <f>Tabel3[[#This Row],[Rood Verdediging]]&amp;Tabel3[[#This Row],[Rood Aanval]]</f>
        <v>MatthijsStef D</v>
      </c>
      <c r="L262" s="147" t="str">
        <f>Tabel3[[#This Row],[Groen Verdediging]]&amp;Tabel3[[#This Row],[Groen Aanval]]</f>
        <v>LouisJonas</v>
      </c>
      <c r="M262" s="147" t="str">
        <f>Tabel3[[#This Row],[Winnaar 1]]&amp;Tabel3[[#This Row],[Winnaar 2]]</f>
        <v>MatthijsStef D</v>
      </c>
      <c r="N262" s="147" t="str">
        <f>IF(Tabel3[[#This Row],[Team Rood]]=Tabel3[[#This Row],[Winnaars]],Tabel3[[#This Row],[Team Rood]])</f>
        <v>MatthijsStef D</v>
      </c>
      <c r="O262" s="147" t="b">
        <f>IF(Tabel3[[#This Row],[Team Groen]]=Tabel3[[#This Row],[Winnaars]],Tabel3[[#This Row],[Team Groen]])</f>
        <v>0</v>
      </c>
    </row>
    <row r="263" spans="1:15" x14ac:dyDescent="0.25">
      <c r="A263" s="14">
        <v>263</v>
      </c>
      <c r="B263" s="19" t="s">
        <v>0</v>
      </c>
      <c r="C263" s="16" t="s">
        <v>11</v>
      </c>
      <c r="D263" s="20" t="s">
        <v>8</v>
      </c>
      <c r="E263" s="20" t="s">
        <v>6</v>
      </c>
      <c r="F263" s="81">
        <v>13</v>
      </c>
      <c r="G263" s="81">
        <v>15</v>
      </c>
      <c r="H263" s="3" t="str">
        <f t="shared" si="12"/>
        <v>GROEN</v>
      </c>
      <c r="I263" s="3" t="str">
        <f t="shared" si="13"/>
        <v>Louis</v>
      </c>
      <c r="J263" s="4" t="str">
        <f t="shared" si="14"/>
        <v>Stef D</v>
      </c>
      <c r="K263" s="147" t="str">
        <f>Tabel3[[#This Row],[Rood Verdediging]]&amp;Tabel3[[#This Row],[Rood Aanval]]</f>
        <v>JonasMatthijs</v>
      </c>
      <c r="L263" s="147" t="str">
        <f>Tabel3[[#This Row],[Groen Verdediging]]&amp;Tabel3[[#This Row],[Groen Aanval]]</f>
        <v>LouisStef D</v>
      </c>
      <c r="M263" s="147" t="str">
        <f>Tabel3[[#This Row],[Winnaar 1]]&amp;Tabel3[[#This Row],[Winnaar 2]]</f>
        <v>LouisStef D</v>
      </c>
      <c r="N263" s="147" t="b">
        <f>IF(Tabel3[[#This Row],[Team Rood]]=Tabel3[[#This Row],[Winnaars]],Tabel3[[#This Row],[Team Rood]])</f>
        <v>0</v>
      </c>
      <c r="O263" s="147" t="str">
        <f>IF(Tabel3[[#This Row],[Team Groen]]=Tabel3[[#This Row],[Winnaars]],Tabel3[[#This Row],[Team Groen]])</f>
        <v>LouisStef D</v>
      </c>
    </row>
    <row r="264" spans="1:15" x14ac:dyDescent="0.25">
      <c r="A264" s="14">
        <v>264</v>
      </c>
      <c r="B264" s="19" t="s">
        <v>19</v>
      </c>
      <c r="C264" s="16" t="s">
        <v>6</v>
      </c>
      <c r="D264" s="20" t="s">
        <v>8</v>
      </c>
      <c r="E264" s="20" t="s">
        <v>7</v>
      </c>
      <c r="F264" s="81">
        <v>8</v>
      </c>
      <c r="G264" s="81">
        <v>11</v>
      </c>
      <c r="H264" s="3" t="str">
        <f t="shared" si="12"/>
        <v>GROEN</v>
      </c>
      <c r="I264" s="3" t="str">
        <f t="shared" si="13"/>
        <v>Louis</v>
      </c>
      <c r="J264" s="4" t="str">
        <f t="shared" si="14"/>
        <v>Tiemen</v>
      </c>
      <c r="K264" s="147" t="str">
        <f>Tabel3[[#This Row],[Rood Verdediging]]&amp;Tabel3[[#This Row],[Rood Aanval]]</f>
        <v>NicolasStef D</v>
      </c>
      <c r="L264" s="147" t="str">
        <f>Tabel3[[#This Row],[Groen Verdediging]]&amp;Tabel3[[#This Row],[Groen Aanval]]</f>
        <v>LouisTiemen</v>
      </c>
      <c r="M264" s="147" t="str">
        <f>Tabel3[[#This Row],[Winnaar 1]]&amp;Tabel3[[#This Row],[Winnaar 2]]</f>
        <v>LouisTiemen</v>
      </c>
      <c r="N264" s="147" t="b">
        <f>IF(Tabel3[[#This Row],[Team Rood]]=Tabel3[[#This Row],[Winnaars]],Tabel3[[#This Row],[Team Rood]])</f>
        <v>0</v>
      </c>
      <c r="O264" s="147" t="str">
        <f>IF(Tabel3[[#This Row],[Team Groen]]=Tabel3[[#This Row],[Winnaars]],Tabel3[[#This Row],[Team Groen]])</f>
        <v>LouisTiemen</v>
      </c>
    </row>
    <row r="265" spans="1:15" x14ac:dyDescent="0.25">
      <c r="A265" s="14">
        <v>265</v>
      </c>
      <c r="B265" s="19" t="s">
        <v>3</v>
      </c>
      <c r="C265" s="16" t="s">
        <v>19</v>
      </c>
      <c r="D265" s="20" t="s">
        <v>7</v>
      </c>
      <c r="E265" s="20" t="s">
        <v>8</v>
      </c>
      <c r="F265" s="81">
        <v>10</v>
      </c>
      <c r="G265" s="81">
        <v>12</v>
      </c>
      <c r="H265" s="3" t="str">
        <f t="shared" si="12"/>
        <v>GROEN</v>
      </c>
      <c r="I265" s="3" t="str">
        <f t="shared" si="13"/>
        <v>Tiemen</v>
      </c>
      <c r="J265" s="4" t="str">
        <f t="shared" si="14"/>
        <v>Louis</v>
      </c>
      <c r="K265" s="147" t="str">
        <f>Tabel3[[#This Row],[Rood Verdediging]]&amp;Tabel3[[#This Row],[Rood Aanval]]</f>
        <v>KarelNicolas</v>
      </c>
      <c r="L265" s="147" t="str">
        <f>Tabel3[[#This Row],[Groen Verdediging]]&amp;Tabel3[[#This Row],[Groen Aanval]]</f>
        <v>TiemenLouis</v>
      </c>
      <c r="M265" s="147" t="str">
        <f>Tabel3[[#This Row],[Winnaar 1]]&amp;Tabel3[[#This Row],[Winnaar 2]]</f>
        <v>TiemenLouis</v>
      </c>
      <c r="N265" s="147" t="b">
        <f>IF(Tabel3[[#This Row],[Team Rood]]=Tabel3[[#This Row],[Winnaars]],Tabel3[[#This Row],[Team Rood]])</f>
        <v>0</v>
      </c>
      <c r="O265" s="147" t="str">
        <f>IF(Tabel3[[#This Row],[Team Groen]]=Tabel3[[#This Row],[Winnaars]],Tabel3[[#This Row],[Team Groen]])</f>
        <v>TiemenLouis</v>
      </c>
    </row>
    <row r="266" spans="1:15" x14ac:dyDescent="0.25">
      <c r="A266" s="14">
        <v>266</v>
      </c>
      <c r="B266" s="19" t="s">
        <v>3</v>
      </c>
      <c r="C266" s="16" t="s">
        <v>80</v>
      </c>
      <c r="D266" s="20" t="s">
        <v>8</v>
      </c>
      <c r="E266" s="20" t="s">
        <v>6</v>
      </c>
      <c r="F266" s="81">
        <v>10</v>
      </c>
      <c r="G266" s="81">
        <v>12</v>
      </c>
      <c r="H266" s="3" t="str">
        <f t="shared" si="12"/>
        <v>GROEN</v>
      </c>
      <c r="I266" s="3" t="str">
        <f t="shared" si="13"/>
        <v>Louis</v>
      </c>
      <c r="J266" s="4" t="str">
        <f t="shared" si="14"/>
        <v>Stef D</v>
      </c>
      <c r="K266" s="147" t="str">
        <f>Tabel3[[#This Row],[Rood Verdediging]]&amp;Tabel3[[#This Row],[Rood Aanval]]</f>
        <v>KarelTobi</v>
      </c>
      <c r="L266" s="147" t="str">
        <f>Tabel3[[#This Row],[Groen Verdediging]]&amp;Tabel3[[#This Row],[Groen Aanval]]</f>
        <v>LouisStef D</v>
      </c>
      <c r="M266" s="147" t="str">
        <f>Tabel3[[#This Row],[Winnaar 1]]&amp;Tabel3[[#This Row],[Winnaar 2]]</f>
        <v>LouisStef D</v>
      </c>
      <c r="N266" s="147" t="b">
        <f>IF(Tabel3[[#This Row],[Team Rood]]=Tabel3[[#This Row],[Winnaars]],Tabel3[[#This Row],[Team Rood]])</f>
        <v>0</v>
      </c>
      <c r="O266" s="147" t="str">
        <f>IF(Tabel3[[#This Row],[Team Groen]]=Tabel3[[#This Row],[Winnaars]],Tabel3[[#This Row],[Team Groen]])</f>
        <v>LouisStef D</v>
      </c>
    </row>
    <row r="267" spans="1:15" x14ac:dyDescent="0.25">
      <c r="A267" s="14">
        <v>267</v>
      </c>
      <c r="B267" s="19" t="s">
        <v>80</v>
      </c>
      <c r="C267" s="16" t="s">
        <v>19</v>
      </c>
      <c r="D267" s="20" t="s">
        <v>6</v>
      </c>
      <c r="E267" s="20" t="s">
        <v>7</v>
      </c>
      <c r="F267" s="81">
        <v>5</v>
      </c>
      <c r="G267" s="81">
        <v>11</v>
      </c>
      <c r="H267" s="3" t="str">
        <f t="shared" si="12"/>
        <v>GROEN</v>
      </c>
      <c r="I267" s="3" t="str">
        <f t="shared" si="13"/>
        <v>Stef D</v>
      </c>
      <c r="J267" s="4" t="str">
        <f t="shared" si="14"/>
        <v>Tiemen</v>
      </c>
      <c r="K267" s="147" t="str">
        <f>Tabel3[[#This Row],[Rood Verdediging]]&amp;Tabel3[[#This Row],[Rood Aanval]]</f>
        <v>TobiNicolas</v>
      </c>
      <c r="L267" s="147" t="str">
        <f>Tabel3[[#This Row],[Groen Verdediging]]&amp;Tabel3[[#This Row],[Groen Aanval]]</f>
        <v>Stef DTiemen</v>
      </c>
      <c r="M267" s="147" t="str">
        <f>Tabel3[[#This Row],[Winnaar 1]]&amp;Tabel3[[#This Row],[Winnaar 2]]</f>
        <v>Stef DTiemen</v>
      </c>
      <c r="N267" s="147" t="b">
        <f>IF(Tabel3[[#This Row],[Team Rood]]=Tabel3[[#This Row],[Winnaars]],Tabel3[[#This Row],[Team Rood]])</f>
        <v>0</v>
      </c>
      <c r="O267" s="147" t="str">
        <f>IF(Tabel3[[#This Row],[Team Groen]]=Tabel3[[#This Row],[Winnaars]],Tabel3[[#This Row],[Team Groen]])</f>
        <v>Stef DTiemen</v>
      </c>
    </row>
    <row r="268" spans="1:15" x14ac:dyDescent="0.25">
      <c r="A268" s="14">
        <v>268</v>
      </c>
      <c r="B268" s="19" t="s">
        <v>19</v>
      </c>
      <c r="C268" s="16" t="s">
        <v>13</v>
      </c>
      <c r="D268" s="20" t="s">
        <v>7</v>
      </c>
      <c r="E268" s="20" t="s">
        <v>80</v>
      </c>
      <c r="F268" s="81">
        <v>8</v>
      </c>
      <c r="G268" s="81">
        <v>11</v>
      </c>
      <c r="H268" s="3" t="str">
        <f t="shared" si="12"/>
        <v>GROEN</v>
      </c>
      <c r="I268" s="3" t="str">
        <f t="shared" si="13"/>
        <v>Tiemen</v>
      </c>
      <c r="J268" s="4" t="str">
        <f t="shared" si="14"/>
        <v>Tobi</v>
      </c>
      <c r="K268" s="147" t="str">
        <f>Tabel3[[#This Row],[Rood Verdediging]]&amp;Tabel3[[#This Row],[Rood Aanval]]</f>
        <v>NicolasBert</v>
      </c>
      <c r="L268" s="147" t="str">
        <f>Tabel3[[#This Row],[Groen Verdediging]]&amp;Tabel3[[#This Row],[Groen Aanval]]</f>
        <v>TiemenTobi</v>
      </c>
      <c r="M268" s="147" t="str">
        <f>Tabel3[[#This Row],[Winnaar 1]]&amp;Tabel3[[#This Row],[Winnaar 2]]</f>
        <v>TiemenTobi</v>
      </c>
      <c r="N268" s="147" t="b">
        <f>IF(Tabel3[[#This Row],[Team Rood]]=Tabel3[[#This Row],[Winnaars]],Tabel3[[#This Row],[Team Rood]])</f>
        <v>0</v>
      </c>
      <c r="O268" s="147" t="str">
        <f>IF(Tabel3[[#This Row],[Team Groen]]=Tabel3[[#This Row],[Winnaars]],Tabel3[[#This Row],[Team Groen]])</f>
        <v>TiemenTobi</v>
      </c>
    </row>
    <row r="269" spans="1:15" x14ac:dyDescent="0.25">
      <c r="A269" s="14">
        <v>269</v>
      </c>
      <c r="B269" s="19" t="s">
        <v>13</v>
      </c>
      <c r="C269" s="16" t="s">
        <v>7</v>
      </c>
      <c r="D269" s="20" t="s">
        <v>6</v>
      </c>
      <c r="E269" s="20" t="s">
        <v>80</v>
      </c>
      <c r="F269" s="81">
        <v>10</v>
      </c>
      <c r="G269" s="81">
        <v>12</v>
      </c>
      <c r="H269" s="3" t="str">
        <f t="shared" si="12"/>
        <v>GROEN</v>
      </c>
      <c r="I269" s="3" t="str">
        <f t="shared" si="13"/>
        <v>Stef D</v>
      </c>
      <c r="J269" s="4" t="str">
        <f t="shared" si="14"/>
        <v>Tobi</v>
      </c>
      <c r="K269" s="147" t="str">
        <f>Tabel3[[#This Row],[Rood Verdediging]]&amp;Tabel3[[#This Row],[Rood Aanval]]</f>
        <v>BertTiemen</v>
      </c>
      <c r="L269" s="147" t="str">
        <f>Tabel3[[#This Row],[Groen Verdediging]]&amp;Tabel3[[#This Row],[Groen Aanval]]</f>
        <v>Stef DTobi</v>
      </c>
      <c r="M269" s="147" t="str">
        <f>Tabel3[[#This Row],[Winnaar 1]]&amp;Tabel3[[#This Row],[Winnaar 2]]</f>
        <v>Stef DTobi</v>
      </c>
      <c r="N269" s="147" t="b">
        <f>IF(Tabel3[[#This Row],[Team Rood]]=Tabel3[[#This Row],[Winnaars]],Tabel3[[#This Row],[Team Rood]])</f>
        <v>0</v>
      </c>
      <c r="O269" s="147" t="str">
        <f>IF(Tabel3[[#This Row],[Team Groen]]=Tabel3[[#This Row],[Winnaars]],Tabel3[[#This Row],[Team Groen]])</f>
        <v>Stef DTobi</v>
      </c>
    </row>
    <row r="270" spans="1:15" x14ac:dyDescent="0.25">
      <c r="A270" s="14">
        <v>270</v>
      </c>
      <c r="B270" s="19" t="s">
        <v>6</v>
      </c>
      <c r="C270" s="16" t="s">
        <v>13</v>
      </c>
      <c r="D270" s="20" t="s">
        <v>7</v>
      </c>
      <c r="E270" s="20" t="s">
        <v>19</v>
      </c>
      <c r="F270" s="81">
        <v>11</v>
      </c>
      <c r="G270" s="81">
        <v>7</v>
      </c>
      <c r="H270" s="3" t="str">
        <f t="shared" si="12"/>
        <v>ROOD</v>
      </c>
      <c r="I270" s="3" t="str">
        <f t="shared" si="13"/>
        <v>Stef D</v>
      </c>
      <c r="J270" s="4" t="str">
        <f t="shared" si="14"/>
        <v>Bert</v>
      </c>
      <c r="K270" s="147" t="str">
        <f>Tabel3[[#This Row],[Rood Verdediging]]&amp;Tabel3[[#This Row],[Rood Aanval]]</f>
        <v>Stef DBert</v>
      </c>
      <c r="L270" s="147" t="str">
        <f>Tabel3[[#This Row],[Groen Verdediging]]&amp;Tabel3[[#This Row],[Groen Aanval]]</f>
        <v>TiemenNicolas</v>
      </c>
      <c r="M270" s="147" t="str">
        <f>Tabel3[[#This Row],[Winnaar 1]]&amp;Tabel3[[#This Row],[Winnaar 2]]</f>
        <v>Stef DBert</v>
      </c>
      <c r="N270" s="147" t="str">
        <f>IF(Tabel3[[#This Row],[Team Rood]]=Tabel3[[#This Row],[Winnaars]],Tabel3[[#This Row],[Team Rood]])</f>
        <v>Stef DBert</v>
      </c>
      <c r="O270" s="147" t="b">
        <f>IF(Tabel3[[#This Row],[Team Groen]]=Tabel3[[#This Row],[Winnaars]],Tabel3[[#This Row],[Team Groen]])</f>
        <v>0</v>
      </c>
    </row>
    <row r="271" spans="1:15" x14ac:dyDescent="0.25">
      <c r="A271" s="14">
        <v>271</v>
      </c>
      <c r="B271" s="19" t="s">
        <v>19</v>
      </c>
      <c r="C271" s="16" t="s">
        <v>4</v>
      </c>
      <c r="D271" s="20" t="s">
        <v>11</v>
      </c>
      <c r="E271" s="20" t="s">
        <v>80</v>
      </c>
      <c r="F271" s="81">
        <v>11</v>
      </c>
      <c r="G271" s="81">
        <v>13</v>
      </c>
      <c r="H271" s="3" t="str">
        <f t="shared" si="12"/>
        <v>GROEN</v>
      </c>
      <c r="I271" s="3" t="str">
        <f t="shared" si="13"/>
        <v>Matthijs</v>
      </c>
      <c r="J271" s="4" t="str">
        <f t="shared" si="14"/>
        <v>Tobi</v>
      </c>
      <c r="K271" s="147" t="str">
        <f>Tabel3[[#This Row],[Rood Verdediging]]&amp;Tabel3[[#This Row],[Rood Aanval]]</f>
        <v>NicolasStef</v>
      </c>
      <c r="L271" s="147" t="str">
        <f>Tabel3[[#This Row],[Groen Verdediging]]&amp;Tabel3[[#This Row],[Groen Aanval]]</f>
        <v>MatthijsTobi</v>
      </c>
      <c r="M271" s="147" t="str">
        <f>Tabel3[[#This Row],[Winnaar 1]]&amp;Tabel3[[#This Row],[Winnaar 2]]</f>
        <v>MatthijsTobi</v>
      </c>
      <c r="N271" s="147" t="b">
        <f>IF(Tabel3[[#This Row],[Team Rood]]=Tabel3[[#This Row],[Winnaars]],Tabel3[[#This Row],[Team Rood]])</f>
        <v>0</v>
      </c>
      <c r="O271" s="147" t="str">
        <f>IF(Tabel3[[#This Row],[Team Groen]]=Tabel3[[#This Row],[Winnaars]],Tabel3[[#This Row],[Team Groen]])</f>
        <v>MatthijsTobi</v>
      </c>
    </row>
    <row r="272" spans="1:15" x14ac:dyDescent="0.25">
      <c r="A272" s="14">
        <v>272</v>
      </c>
      <c r="B272" s="19" t="s">
        <v>7</v>
      </c>
      <c r="C272" s="16" t="s">
        <v>3</v>
      </c>
      <c r="D272" s="20" t="s">
        <v>8</v>
      </c>
      <c r="E272" s="20" t="s">
        <v>13</v>
      </c>
      <c r="F272" s="81">
        <v>11</v>
      </c>
      <c r="G272" s="81">
        <v>8</v>
      </c>
      <c r="H272" s="3" t="str">
        <f t="shared" si="12"/>
        <v>ROOD</v>
      </c>
      <c r="I272" s="3" t="str">
        <f t="shared" si="13"/>
        <v>Tiemen</v>
      </c>
      <c r="J272" s="4" t="str">
        <f t="shared" si="14"/>
        <v>Karel</v>
      </c>
      <c r="K272" s="147" t="str">
        <f>Tabel3[[#This Row],[Rood Verdediging]]&amp;Tabel3[[#This Row],[Rood Aanval]]</f>
        <v>TiemenKarel</v>
      </c>
      <c r="L272" s="147" t="str">
        <f>Tabel3[[#This Row],[Groen Verdediging]]&amp;Tabel3[[#This Row],[Groen Aanval]]</f>
        <v>LouisBert</v>
      </c>
      <c r="M272" s="147" t="str">
        <f>Tabel3[[#This Row],[Winnaar 1]]&amp;Tabel3[[#This Row],[Winnaar 2]]</f>
        <v>TiemenKarel</v>
      </c>
      <c r="N272" s="147" t="str">
        <f>IF(Tabel3[[#This Row],[Team Rood]]=Tabel3[[#This Row],[Winnaars]],Tabel3[[#This Row],[Team Rood]])</f>
        <v>TiemenKarel</v>
      </c>
      <c r="O272" s="147" t="b">
        <f>IF(Tabel3[[#This Row],[Team Groen]]=Tabel3[[#This Row],[Winnaars]],Tabel3[[#This Row],[Team Groen]])</f>
        <v>0</v>
      </c>
    </row>
    <row r="273" spans="1:15" x14ac:dyDescent="0.25">
      <c r="A273" s="14">
        <v>273</v>
      </c>
      <c r="B273" s="19" t="s">
        <v>19</v>
      </c>
      <c r="C273" s="16" t="s">
        <v>8</v>
      </c>
      <c r="D273" s="20" t="s">
        <v>11</v>
      </c>
      <c r="E273" s="20" t="s">
        <v>6</v>
      </c>
      <c r="F273" s="81">
        <v>16</v>
      </c>
      <c r="G273" s="81">
        <v>18</v>
      </c>
      <c r="H273" s="3" t="str">
        <f t="shared" si="12"/>
        <v>GROEN</v>
      </c>
      <c r="I273" s="3" t="str">
        <f t="shared" si="13"/>
        <v>Matthijs</v>
      </c>
      <c r="J273" s="4" t="str">
        <f t="shared" si="14"/>
        <v>Stef D</v>
      </c>
      <c r="K273" s="147" t="str">
        <f>Tabel3[[#This Row],[Rood Verdediging]]&amp;Tabel3[[#This Row],[Rood Aanval]]</f>
        <v>NicolasLouis</v>
      </c>
      <c r="L273" s="147" t="str">
        <f>Tabel3[[#This Row],[Groen Verdediging]]&amp;Tabel3[[#This Row],[Groen Aanval]]</f>
        <v>MatthijsStef D</v>
      </c>
      <c r="M273" s="147" t="str">
        <f>Tabel3[[#This Row],[Winnaar 1]]&amp;Tabel3[[#This Row],[Winnaar 2]]</f>
        <v>MatthijsStef D</v>
      </c>
      <c r="N273" s="147" t="b">
        <f>IF(Tabel3[[#This Row],[Team Rood]]=Tabel3[[#This Row],[Winnaars]],Tabel3[[#This Row],[Team Rood]])</f>
        <v>0</v>
      </c>
      <c r="O273" s="147" t="str">
        <f>IF(Tabel3[[#This Row],[Team Groen]]=Tabel3[[#This Row],[Winnaars]],Tabel3[[#This Row],[Team Groen]])</f>
        <v>MatthijsStef D</v>
      </c>
    </row>
    <row r="274" spans="1:15" x14ac:dyDescent="0.25">
      <c r="A274" s="14">
        <v>274</v>
      </c>
      <c r="B274" s="19" t="s">
        <v>3</v>
      </c>
      <c r="C274" s="16" t="s">
        <v>11</v>
      </c>
      <c r="D274" s="20" t="s">
        <v>8</v>
      </c>
      <c r="E274" s="20" t="s">
        <v>6</v>
      </c>
      <c r="F274" s="81">
        <v>5</v>
      </c>
      <c r="G274" s="81">
        <v>11</v>
      </c>
      <c r="H274" s="3" t="str">
        <f t="shared" si="12"/>
        <v>GROEN</v>
      </c>
      <c r="I274" s="3" t="str">
        <f t="shared" si="13"/>
        <v>Louis</v>
      </c>
      <c r="J274" s="4" t="str">
        <f t="shared" si="14"/>
        <v>Stef D</v>
      </c>
      <c r="K274" s="147" t="str">
        <f>Tabel3[[#This Row],[Rood Verdediging]]&amp;Tabel3[[#This Row],[Rood Aanval]]</f>
        <v>KarelMatthijs</v>
      </c>
      <c r="L274" s="147" t="str">
        <f>Tabel3[[#This Row],[Groen Verdediging]]&amp;Tabel3[[#This Row],[Groen Aanval]]</f>
        <v>LouisStef D</v>
      </c>
      <c r="M274" s="147" t="str">
        <f>Tabel3[[#This Row],[Winnaar 1]]&amp;Tabel3[[#This Row],[Winnaar 2]]</f>
        <v>LouisStef D</v>
      </c>
      <c r="N274" s="147" t="b">
        <f>IF(Tabel3[[#This Row],[Team Rood]]=Tabel3[[#This Row],[Winnaars]],Tabel3[[#This Row],[Team Rood]])</f>
        <v>0</v>
      </c>
      <c r="O274" s="147" t="str">
        <f>IF(Tabel3[[#This Row],[Team Groen]]=Tabel3[[#This Row],[Winnaars]],Tabel3[[#This Row],[Team Groen]])</f>
        <v>LouisStef D</v>
      </c>
    </row>
    <row r="275" spans="1:15" x14ac:dyDescent="0.25">
      <c r="A275" s="14">
        <v>275</v>
      </c>
      <c r="B275" s="19" t="s">
        <v>19</v>
      </c>
      <c r="C275" s="16" t="s">
        <v>8</v>
      </c>
      <c r="D275" s="20" t="s">
        <v>6</v>
      </c>
      <c r="E275" s="20" t="s">
        <v>3</v>
      </c>
      <c r="F275" s="81">
        <v>3</v>
      </c>
      <c r="G275" s="81">
        <v>11</v>
      </c>
      <c r="H275" s="3" t="str">
        <f t="shared" si="12"/>
        <v>GROEN</v>
      </c>
      <c r="I275" s="3" t="str">
        <f t="shared" si="13"/>
        <v>Stef D</v>
      </c>
      <c r="J275" s="4" t="str">
        <f t="shared" si="14"/>
        <v>Karel</v>
      </c>
      <c r="K275" s="147" t="str">
        <f>Tabel3[[#This Row],[Rood Verdediging]]&amp;Tabel3[[#This Row],[Rood Aanval]]</f>
        <v>NicolasLouis</v>
      </c>
      <c r="L275" s="147" t="str">
        <f>Tabel3[[#This Row],[Groen Verdediging]]&amp;Tabel3[[#This Row],[Groen Aanval]]</f>
        <v>Stef DKarel</v>
      </c>
      <c r="M275" s="147" t="str">
        <f>Tabel3[[#This Row],[Winnaar 1]]&amp;Tabel3[[#This Row],[Winnaar 2]]</f>
        <v>Stef DKarel</v>
      </c>
      <c r="N275" s="147" t="b">
        <f>IF(Tabel3[[#This Row],[Team Rood]]=Tabel3[[#This Row],[Winnaars]],Tabel3[[#This Row],[Team Rood]])</f>
        <v>0</v>
      </c>
      <c r="O275" s="147" t="str">
        <f>IF(Tabel3[[#This Row],[Team Groen]]=Tabel3[[#This Row],[Winnaars]],Tabel3[[#This Row],[Team Groen]])</f>
        <v>Stef DKarel</v>
      </c>
    </row>
    <row r="276" spans="1:15" x14ac:dyDescent="0.25">
      <c r="A276" s="14">
        <v>276</v>
      </c>
      <c r="B276" s="19" t="s">
        <v>6</v>
      </c>
      <c r="C276" s="16" t="s">
        <v>3</v>
      </c>
      <c r="D276" s="20" t="s">
        <v>19</v>
      </c>
      <c r="E276" s="20" t="s">
        <v>8</v>
      </c>
      <c r="F276" s="81">
        <v>11</v>
      </c>
      <c r="G276" s="81">
        <v>6</v>
      </c>
      <c r="H276" s="3" t="str">
        <f t="shared" si="12"/>
        <v>ROOD</v>
      </c>
      <c r="I276" s="3" t="str">
        <f t="shared" si="13"/>
        <v>Stef D</v>
      </c>
      <c r="J276" s="4" t="str">
        <f t="shared" si="14"/>
        <v>Karel</v>
      </c>
      <c r="K276" s="147" t="str">
        <f>Tabel3[[#This Row],[Rood Verdediging]]&amp;Tabel3[[#This Row],[Rood Aanval]]</f>
        <v>Stef DKarel</v>
      </c>
      <c r="L276" s="147" t="str">
        <f>Tabel3[[#This Row],[Groen Verdediging]]&amp;Tabel3[[#This Row],[Groen Aanval]]</f>
        <v>NicolasLouis</v>
      </c>
      <c r="M276" s="147" t="str">
        <f>Tabel3[[#This Row],[Winnaar 1]]&amp;Tabel3[[#This Row],[Winnaar 2]]</f>
        <v>Stef DKarel</v>
      </c>
      <c r="N276" s="147" t="str">
        <f>IF(Tabel3[[#This Row],[Team Rood]]=Tabel3[[#This Row],[Winnaars]],Tabel3[[#This Row],[Team Rood]])</f>
        <v>Stef DKarel</v>
      </c>
      <c r="O276" s="147" t="b">
        <f>IF(Tabel3[[#This Row],[Team Groen]]=Tabel3[[#This Row],[Winnaars]],Tabel3[[#This Row],[Team Groen]])</f>
        <v>0</v>
      </c>
    </row>
    <row r="277" spans="1:15" x14ac:dyDescent="0.25">
      <c r="A277" s="14">
        <v>277</v>
      </c>
      <c r="B277" s="19" t="s">
        <v>3</v>
      </c>
      <c r="C277" s="16" t="s">
        <v>6</v>
      </c>
      <c r="D277" s="20" t="s">
        <v>8</v>
      </c>
      <c r="E277" s="20" t="s">
        <v>0</v>
      </c>
      <c r="F277" s="81">
        <v>11</v>
      </c>
      <c r="G277" s="81">
        <v>7</v>
      </c>
      <c r="H277" s="3" t="str">
        <f t="shared" si="12"/>
        <v>ROOD</v>
      </c>
      <c r="I277" s="3" t="str">
        <f t="shared" si="13"/>
        <v>Karel</v>
      </c>
      <c r="J277" s="4" t="str">
        <f t="shared" si="14"/>
        <v>Stef D</v>
      </c>
      <c r="K277" s="147" t="str">
        <f>Tabel3[[#This Row],[Rood Verdediging]]&amp;Tabel3[[#This Row],[Rood Aanval]]</f>
        <v>KarelStef D</v>
      </c>
      <c r="L277" s="147" t="str">
        <f>Tabel3[[#This Row],[Groen Verdediging]]&amp;Tabel3[[#This Row],[Groen Aanval]]</f>
        <v>LouisJonas</v>
      </c>
      <c r="M277" s="147" t="str">
        <f>Tabel3[[#This Row],[Winnaar 1]]&amp;Tabel3[[#This Row],[Winnaar 2]]</f>
        <v>KarelStef D</v>
      </c>
      <c r="N277" s="147" t="str">
        <f>IF(Tabel3[[#This Row],[Team Rood]]=Tabel3[[#This Row],[Winnaars]],Tabel3[[#This Row],[Team Rood]])</f>
        <v>KarelStef D</v>
      </c>
      <c r="O277" s="147" t="b">
        <f>IF(Tabel3[[#This Row],[Team Groen]]=Tabel3[[#This Row],[Winnaars]],Tabel3[[#This Row],[Team Groen]])</f>
        <v>0</v>
      </c>
    </row>
    <row r="278" spans="1:15" x14ac:dyDescent="0.25">
      <c r="A278" s="14">
        <v>278</v>
      </c>
      <c r="B278" s="19" t="s">
        <v>3</v>
      </c>
      <c r="C278" s="16" t="s">
        <v>19</v>
      </c>
      <c r="D278" s="20" t="s">
        <v>6</v>
      </c>
      <c r="E278" s="20" t="s">
        <v>0</v>
      </c>
      <c r="F278" s="81">
        <v>10</v>
      </c>
      <c r="G278" s="81">
        <v>12</v>
      </c>
      <c r="H278" s="3" t="str">
        <f t="shared" si="12"/>
        <v>GROEN</v>
      </c>
      <c r="I278" s="3" t="str">
        <f t="shared" si="13"/>
        <v>Stef D</v>
      </c>
      <c r="J278" s="4" t="str">
        <f t="shared" si="14"/>
        <v>Jonas</v>
      </c>
      <c r="K278" s="147" t="str">
        <f>Tabel3[[#This Row],[Rood Verdediging]]&amp;Tabel3[[#This Row],[Rood Aanval]]</f>
        <v>KarelNicolas</v>
      </c>
      <c r="L278" s="147" t="str">
        <f>Tabel3[[#This Row],[Groen Verdediging]]&amp;Tabel3[[#This Row],[Groen Aanval]]</f>
        <v>Stef DJonas</v>
      </c>
      <c r="M278" s="147" t="str">
        <f>Tabel3[[#This Row],[Winnaar 1]]&amp;Tabel3[[#This Row],[Winnaar 2]]</f>
        <v>Stef DJonas</v>
      </c>
      <c r="N278" s="147" t="b">
        <f>IF(Tabel3[[#This Row],[Team Rood]]=Tabel3[[#This Row],[Winnaars]],Tabel3[[#This Row],[Team Rood]])</f>
        <v>0</v>
      </c>
      <c r="O278" s="147" t="str">
        <f>IF(Tabel3[[#This Row],[Team Groen]]=Tabel3[[#This Row],[Winnaars]],Tabel3[[#This Row],[Team Groen]])</f>
        <v>Stef DJonas</v>
      </c>
    </row>
    <row r="279" spans="1:15" x14ac:dyDescent="0.25">
      <c r="A279" s="14">
        <v>279</v>
      </c>
      <c r="B279" s="19" t="s">
        <v>19</v>
      </c>
      <c r="C279" s="16" t="s">
        <v>0</v>
      </c>
      <c r="D279" s="20" t="s">
        <v>8</v>
      </c>
      <c r="E279" s="20" t="s">
        <v>3</v>
      </c>
      <c r="F279" s="81">
        <v>2</v>
      </c>
      <c r="G279" s="81">
        <v>11</v>
      </c>
      <c r="H279" s="3" t="str">
        <f t="shared" si="12"/>
        <v>GROEN</v>
      </c>
      <c r="I279" s="3" t="str">
        <f t="shared" si="13"/>
        <v>Louis</v>
      </c>
      <c r="J279" s="4" t="str">
        <f t="shared" si="14"/>
        <v>Karel</v>
      </c>
      <c r="K279" s="147" t="str">
        <f>Tabel3[[#This Row],[Rood Verdediging]]&amp;Tabel3[[#This Row],[Rood Aanval]]</f>
        <v>NicolasJonas</v>
      </c>
      <c r="L279" s="147" t="str">
        <f>Tabel3[[#This Row],[Groen Verdediging]]&amp;Tabel3[[#This Row],[Groen Aanval]]</f>
        <v>LouisKarel</v>
      </c>
      <c r="M279" s="147" t="str">
        <f>Tabel3[[#This Row],[Winnaar 1]]&amp;Tabel3[[#This Row],[Winnaar 2]]</f>
        <v>LouisKarel</v>
      </c>
      <c r="N279" s="147" t="b">
        <f>IF(Tabel3[[#This Row],[Team Rood]]=Tabel3[[#This Row],[Winnaars]],Tabel3[[#This Row],[Team Rood]])</f>
        <v>0</v>
      </c>
      <c r="O279" s="147" t="str">
        <f>IF(Tabel3[[#This Row],[Team Groen]]=Tabel3[[#This Row],[Winnaars]],Tabel3[[#This Row],[Team Groen]])</f>
        <v>LouisKarel</v>
      </c>
    </row>
    <row r="280" spans="1:15" x14ac:dyDescent="0.25">
      <c r="A280" s="14">
        <v>280</v>
      </c>
      <c r="B280" s="19" t="s">
        <v>19</v>
      </c>
      <c r="C280" s="16" t="s">
        <v>6</v>
      </c>
      <c r="D280" s="20" t="s">
        <v>0</v>
      </c>
      <c r="E280" s="20" t="s">
        <v>3</v>
      </c>
      <c r="F280" s="81">
        <v>6</v>
      </c>
      <c r="G280" s="81">
        <v>11</v>
      </c>
      <c r="H280" s="3" t="str">
        <f t="shared" si="12"/>
        <v>GROEN</v>
      </c>
      <c r="I280" s="3" t="str">
        <f t="shared" si="13"/>
        <v>Jonas</v>
      </c>
      <c r="J280" s="4" t="str">
        <f t="shared" si="14"/>
        <v>Karel</v>
      </c>
      <c r="K280" s="147" t="str">
        <f>Tabel3[[#This Row],[Rood Verdediging]]&amp;Tabel3[[#This Row],[Rood Aanval]]</f>
        <v>NicolasStef D</v>
      </c>
      <c r="L280" s="147" t="str">
        <f>Tabel3[[#This Row],[Groen Verdediging]]&amp;Tabel3[[#This Row],[Groen Aanval]]</f>
        <v>JonasKarel</v>
      </c>
      <c r="M280" s="147" t="str">
        <f>Tabel3[[#This Row],[Winnaar 1]]&amp;Tabel3[[#This Row],[Winnaar 2]]</f>
        <v>JonasKarel</v>
      </c>
      <c r="N280" s="147" t="b">
        <f>IF(Tabel3[[#This Row],[Team Rood]]=Tabel3[[#This Row],[Winnaars]],Tabel3[[#This Row],[Team Rood]])</f>
        <v>0</v>
      </c>
      <c r="O280" s="147" t="str">
        <f>IF(Tabel3[[#This Row],[Team Groen]]=Tabel3[[#This Row],[Winnaars]],Tabel3[[#This Row],[Team Groen]])</f>
        <v>JonasKarel</v>
      </c>
    </row>
    <row r="281" spans="1:15" x14ac:dyDescent="0.25">
      <c r="A281" s="14">
        <v>281</v>
      </c>
      <c r="B281" s="19" t="s">
        <v>8</v>
      </c>
      <c r="C281" s="16" t="s">
        <v>6</v>
      </c>
      <c r="D281" s="20" t="s">
        <v>0</v>
      </c>
      <c r="E281" s="20" t="s">
        <v>3</v>
      </c>
      <c r="F281" s="81">
        <v>12</v>
      </c>
      <c r="G281" s="81">
        <v>14</v>
      </c>
      <c r="H281" s="3" t="str">
        <f t="shared" si="12"/>
        <v>GROEN</v>
      </c>
      <c r="I281" s="3" t="str">
        <f t="shared" si="13"/>
        <v>Jonas</v>
      </c>
      <c r="J281" s="4" t="str">
        <f t="shared" si="14"/>
        <v>Karel</v>
      </c>
      <c r="K281" s="147" t="str">
        <f>Tabel3[[#This Row],[Rood Verdediging]]&amp;Tabel3[[#This Row],[Rood Aanval]]</f>
        <v>LouisStef D</v>
      </c>
      <c r="L281" s="147" t="str">
        <f>Tabel3[[#This Row],[Groen Verdediging]]&amp;Tabel3[[#This Row],[Groen Aanval]]</f>
        <v>JonasKarel</v>
      </c>
      <c r="M281" s="147" t="str">
        <f>Tabel3[[#This Row],[Winnaar 1]]&amp;Tabel3[[#This Row],[Winnaar 2]]</f>
        <v>JonasKarel</v>
      </c>
      <c r="N281" s="147" t="b">
        <f>IF(Tabel3[[#This Row],[Team Rood]]=Tabel3[[#This Row],[Winnaars]],Tabel3[[#This Row],[Team Rood]])</f>
        <v>0</v>
      </c>
      <c r="O281" s="147" t="str">
        <f>IF(Tabel3[[#This Row],[Team Groen]]=Tabel3[[#This Row],[Winnaars]],Tabel3[[#This Row],[Team Groen]])</f>
        <v>JonasKarel</v>
      </c>
    </row>
    <row r="282" spans="1:15" x14ac:dyDescent="0.25">
      <c r="A282" s="14">
        <v>282</v>
      </c>
      <c r="B282" s="19" t="s">
        <v>19</v>
      </c>
      <c r="C282" s="16" t="s">
        <v>8</v>
      </c>
      <c r="D282" s="20" t="s">
        <v>0</v>
      </c>
      <c r="E282" s="20" t="s">
        <v>6</v>
      </c>
      <c r="F282" s="81">
        <v>9</v>
      </c>
      <c r="G282" s="81">
        <v>11</v>
      </c>
      <c r="H282" s="3" t="str">
        <f t="shared" si="12"/>
        <v>GROEN</v>
      </c>
      <c r="I282" s="3" t="str">
        <f t="shared" si="13"/>
        <v>Jonas</v>
      </c>
      <c r="J282" s="4" t="str">
        <f t="shared" si="14"/>
        <v>Stef D</v>
      </c>
      <c r="K282" s="147" t="str">
        <f>Tabel3[[#This Row],[Rood Verdediging]]&amp;Tabel3[[#This Row],[Rood Aanval]]</f>
        <v>NicolasLouis</v>
      </c>
      <c r="L282" s="147" t="str">
        <f>Tabel3[[#This Row],[Groen Verdediging]]&amp;Tabel3[[#This Row],[Groen Aanval]]</f>
        <v>JonasStef D</v>
      </c>
      <c r="M282" s="147" t="str">
        <f>Tabel3[[#This Row],[Winnaar 1]]&amp;Tabel3[[#This Row],[Winnaar 2]]</f>
        <v>JonasStef D</v>
      </c>
      <c r="N282" s="147" t="b">
        <f>IF(Tabel3[[#This Row],[Team Rood]]=Tabel3[[#This Row],[Winnaars]],Tabel3[[#This Row],[Team Rood]])</f>
        <v>0</v>
      </c>
      <c r="O282" s="147" t="str">
        <f>IF(Tabel3[[#This Row],[Team Groen]]=Tabel3[[#This Row],[Winnaars]],Tabel3[[#This Row],[Team Groen]])</f>
        <v>JonasStef D</v>
      </c>
    </row>
    <row r="283" spans="1:15" x14ac:dyDescent="0.25">
      <c r="A283" s="14">
        <v>283</v>
      </c>
      <c r="B283" s="19" t="s">
        <v>19</v>
      </c>
      <c r="C283" s="16" t="s">
        <v>3</v>
      </c>
      <c r="D283" s="20" t="s">
        <v>8</v>
      </c>
      <c r="E283" s="20" t="s">
        <v>0</v>
      </c>
      <c r="F283" s="81">
        <v>8</v>
      </c>
      <c r="G283" s="81">
        <v>11</v>
      </c>
      <c r="H283" s="3" t="str">
        <f t="shared" si="12"/>
        <v>GROEN</v>
      </c>
      <c r="I283" s="3" t="str">
        <f t="shared" si="13"/>
        <v>Louis</v>
      </c>
      <c r="J283" s="4" t="str">
        <f t="shared" si="14"/>
        <v>Jonas</v>
      </c>
      <c r="K283" s="147" t="str">
        <f>Tabel3[[#This Row],[Rood Verdediging]]&amp;Tabel3[[#This Row],[Rood Aanval]]</f>
        <v>NicolasKarel</v>
      </c>
      <c r="L283" s="147" t="str">
        <f>Tabel3[[#This Row],[Groen Verdediging]]&amp;Tabel3[[#This Row],[Groen Aanval]]</f>
        <v>LouisJonas</v>
      </c>
      <c r="M283" s="147" t="str">
        <f>Tabel3[[#This Row],[Winnaar 1]]&amp;Tabel3[[#This Row],[Winnaar 2]]</f>
        <v>LouisJonas</v>
      </c>
      <c r="N283" s="147" t="b">
        <f>IF(Tabel3[[#This Row],[Team Rood]]=Tabel3[[#This Row],[Winnaars]],Tabel3[[#This Row],[Team Rood]])</f>
        <v>0</v>
      </c>
      <c r="O283" s="147" t="str">
        <f>IF(Tabel3[[#This Row],[Team Groen]]=Tabel3[[#This Row],[Winnaars]],Tabel3[[#This Row],[Team Groen]])</f>
        <v>LouisJonas</v>
      </c>
    </row>
    <row r="284" spans="1:15" x14ac:dyDescent="0.25">
      <c r="A284" s="14">
        <v>284</v>
      </c>
      <c r="B284" s="19" t="s">
        <v>0</v>
      </c>
      <c r="C284" s="16" t="s">
        <v>6</v>
      </c>
      <c r="D284" s="20" t="s">
        <v>8</v>
      </c>
      <c r="E284" s="20" t="s">
        <v>3</v>
      </c>
      <c r="F284" s="81">
        <v>11</v>
      </c>
      <c r="G284" s="81">
        <v>4</v>
      </c>
      <c r="H284" s="3" t="str">
        <f t="shared" si="12"/>
        <v>ROOD</v>
      </c>
      <c r="I284" s="3" t="str">
        <f t="shared" si="13"/>
        <v>Jonas</v>
      </c>
      <c r="J284" s="4" t="str">
        <f t="shared" si="14"/>
        <v>Stef D</v>
      </c>
      <c r="K284" s="147" t="str">
        <f>Tabel3[[#This Row],[Rood Verdediging]]&amp;Tabel3[[#This Row],[Rood Aanval]]</f>
        <v>JonasStef D</v>
      </c>
      <c r="L284" s="147" t="str">
        <f>Tabel3[[#This Row],[Groen Verdediging]]&amp;Tabel3[[#This Row],[Groen Aanval]]</f>
        <v>LouisKarel</v>
      </c>
      <c r="M284" s="147" t="str">
        <f>Tabel3[[#This Row],[Winnaar 1]]&amp;Tabel3[[#This Row],[Winnaar 2]]</f>
        <v>JonasStef D</v>
      </c>
      <c r="N284" s="147" t="str">
        <f>IF(Tabel3[[#This Row],[Team Rood]]=Tabel3[[#This Row],[Winnaars]],Tabel3[[#This Row],[Team Rood]])</f>
        <v>JonasStef D</v>
      </c>
      <c r="O284" s="147" t="b">
        <f>IF(Tabel3[[#This Row],[Team Groen]]=Tabel3[[#This Row],[Winnaars]],Tabel3[[#This Row],[Team Groen]])</f>
        <v>0</v>
      </c>
    </row>
    <row r="285" spans="1:15" x14ac:dyDescent="0.25">
      <c r="A285" s="14">
        <v>285</v>
      </c>
      <c r="B285" s="19" t="s">
        <v>0</v>
      </c>
      <c r="C285" s="16" t="s">
        <v>19</v>
      </c>
      <c r="D285" s="20" t="s">
        <v>11</v>
      </c>
      <c r="E285" s="20" t="s">
        <v>3</v>
      </c>
      <c r="F285" s="81">
        <v>4</v>
      </c>
      <c r="G285" s="81">
        <v>11</v>
      </c>
      <c r="H285" s="3" t="str">
        <f t="shared" si="12"/>
        <v>GROEN</v>
      </c>
      <c r="I285" s="3" t="str">
        <f t="shared" si="13"/>
        <v>Matthijs</v>
      </c>
      <c r="J285" s="4" t="str">
        <f t="shared" si="14"/>
        <v>Karel</v>
      </c>
      <c r="K285" s="147" t="str">
        <f>Tabel3[[#This Row],[Rood Verdediging]]&amp;Tabel3[[#This Row],[Rood Aanval]]</f>
        <v>JonasNicolas</v>
      </c>
      <c r="L285" s="147" t="str">
        <f>Tabel3[[#This Row],[Groen Verdediging]]&amp;Tabel3[[#This Row],[Groen Aanval]]</f>
        <v>MatthijsKarel</v>
      </c>
      <c r="M285" s="147" t="str">
        <f>Tabel3[[#This Row],[Winnaar 1]]&amp;Tabel3[[#This Row],[Winnaar 2]]</f>
        <v>MatthijsKarel</v>
      </c>
      <c r="N285" s="147" t="b">
        <f>IF(Tabel3[[#This Row],[Team Rood]]=Tabel3[[#This Row],[Winnaars]],Tabel3[[#This Row],[Team Rood]])</f>
        <v>0</v>
      </c>
      <c r="O285" s="147" t="str">
        <f>IF(Tabel3[[#This Row],[Team Groen]]=Tabel3[[#This Row],[Winnaars]],Tabel3[[#This Row],[Team Groen]])</f>
        <v>MatthijsKarel</v>
      </c>
    </row>
    <row r="286" spans="1:15" x14ac:dyDescent="0.25">
      <c r="A286" s="14">
        <v>286</v>
      </c>
      <c r="B286" s="19" t="s">
        <v>19</v>
      </c>
      <c r="C286" s="16" t="s">
        <v>6</v>
      </c>
      <c r="D286" s="20" t="s">
        <v>3</v>
      </c>
      <c r="E286" s="20" t="s">
        <v>0</v>
      </c>
      <c r="F286" s="81">
        <v>6</v>
      </c>
      <c r="G286" s="81">
        <v>11</v>
      </c>
      <c r="H286" s="3" t="str">
        <f t="shared" si="12"/>
        <v>GROEN</v>
      </c>
      <c r="I286" s="3" t="str">
        <f t="shared" si="13"/>
        <v>Karel</v>
      </c>
      <c r="J286" s="4" t="str">
        <f t="shared" si="14"/>
        <v>Jonas</v>
      </c>
      <c r="K286" s="147" t="str">
        <f>Tabel3[[#This Row],[Rood Verdediging]]&amp;Tabel3[[#This Row],[Rood Aanval]]</f>
        <v>NicolasStef D</v>
      </c>
      <c r="L286" s="147" t="str">
        <f>Tabel3[[#This Row],[Groen Verdediging]]&amp;Tabel3[[#This Row],[Groen Aanval]]</f>
        <v>KarelJonas</v>
      </c>
      <c r="M286" s="147" t="str">
        <f>Tabel3[[#This Row],[Winnaar 1]]&amp;Tabel3[[#This Row],[Winnaar 2]]</f>
        <v>KarelJonas</v>
      </c>
      <c r="N286" s="147" t="b">
        <f>IF(Tabel3[[#This Row],[Team Rood]]=Tabel3[[#This Row],[Winnaars]],Tabel3[[#This Row],[Team Rood]])</f>
        <v>0</v>
      </c>
      <c r="O286" s="147" t="str">
        <f>IF(Tabel3[[#This Row],[Team Groen]]=Tabel3[[#This Row],[Winnaars]],Tabel3[[#This Row],[Team Groen]])</f>
        <v>KarelJonas</v>
      </c>
    </row>
    <row r="287" spans="1:15" x14ac:dyDescent="0.25">
      <c r="A287" s="14">
        <v>287</v>
      </c>
      <c r="B287" s="19" t="s">
        <v>6</v>
      </c>
      <c r="C287" s="16" t="s">
        <v>3</v>
      </c>
      <c r="D287" s="20" t="s">
        <v>11</v>
      </c>
      <c r="E287" s="20" t="s">
        <v>0</v>
      </c>
      <c r="F287" s="81">
        <v>11</v>
      </c>
      <c r="G287" s="81">
        <v>3</v>
      </c>
      <c r="H287" s="3" t="str">
        <f t="shared" si="12"/>
        <v>ROOD</v>
      </c>
      <c r="I287" s="3" t="str">
        <f t="shared" si="13"/>
        <v>Stef D</v>
      </c>
      <c r="J287" s="4" t="str">
        <f t="shared" si="14"/>
        <v>Karel</v>
      </c>
      <c r="K287" s="147" t="str">
        <f>Tabel3[[#This Row],[Rood Verdediging]]&amp;Tabel3[[#This Row],[Rood Aanval]]</f>
        <v>Stef DKarel</v>
      </c>
      <c r="L287" s="147" t="str">
        <f>Tabel3[[#This Row],[Groen Verdediging]]&amp;Tabel3[[#This Row],[Groen Aanval]]</f>
        <v>MatthijsJonas</v>
      </c>
      <c r="M287" s="147" t="str">
        <f>Tabel3[[#This Row],[Winnaar 1]]&amp;Tabel3[[#This Row],[Winnaar 2]]</f>
        <v>Stef DKarel</v>
      </c>
      <c r="N287" s="147" t="str">
        <f>IF(Tabel3[[#This Row],[Team Rood]]=Tabel3[[#This Row],[Winnaars]],Tabel3[[#This Row],[Team Rood]])</f>
        <v>Stef DKarel</v>
      </c>
      <c r="O287" s="147" t="b">
        <f>IF(Tabel3[[#This Row],[Team Groen]]=Tabel3[[#This Row],[Winnaars]],Tabel3[[#This Row],[Team Groen]])</f>
        <v>0</v>
      </c>
    </row>
    <row r="288" spans="1:15" x14ac:dyDescent="0.25">
      <c r="A288" s="14">
        <v>288</v>
      </c>
      <c r="B288" s="19" t="s">
        <v>11</v>
      </c>
      <c r="C288" s="16" t="s">
        <v>3</v>
      </c>
      <c r="D288" s="20" t="s">
        <v>19</v>
      </c>
      <c r="E288" s="20" t="s">
        <v>8</v>
      </c>
      <c r="F288" s="81">
        <v>11</v>
      </c>
      <c r="G288" s="81">
        <v>3</v>
      </c>
      <c r="H288" s="3" t="str">
        <f t="shared" si="12"/>
        <v>ROOD</v>
      </c>
      <c r="I288" s="3" t="str">
        <f t="shared" si="13"/>
        <v>Matthijs</v>
      </c>
      <c r="J288" s="4" t="str">
        <f t="shared" si="14"/>
        <v>Karel</v>
      </c>
      <c r="K288" s="147" t="str">
        <f>Tabel3[[#This Row],[Rood Verdediging]]&amp;Tabel3[[#This Row],[Rood Aanval]]</f>
        <v>MatthijsKarel</v>
      </c>
      <c r="L288" s="147" t="str">
        <f>Tabel3[[#This Row],[Groen Verdediging]]&amp;Tabel3[[#This Row],[Groen Aanval]]</f>
        <v>NicolasLouis</v>
      </c>
      <c r="M288" s="147" t="str">
        <f>Tabel3[[#This Row],[Winnaar 1]]&amp;Tabel3[[#This Row],[Winnaar 2]]</f>
        <v>MatthijsKarel</v>
      </c>
      <c r="N288" s="147" t="str">
        <f>IF(Tabel3[[#This Row],[Team Rood]]=Tabel3[[#This Row],[Winnaars]],Tabel3[[#This Row],[Team Rood]])</f>
        <v>MatthijsKarel</v>
      </c>
      <c r="O288" s="147" t="b">
        <f>IF(Tabel3[[#This Row],[Team Groen]]=Tabel3[[#This Row],[Winnaars]],Tabel3[[#This Row],[Team Groen]])</f>
        <v>0</v>
      </c>
    </row>
    <row r="289" spans="1:15" x14ac:dyDescent="0.25">
      <c r="A289" s="14">
        <v>289</v>
      </c>
      <c r="B289" s="19" t="s">
        <v>11</v>
      </c>
      <c r="C289" s="16" t="s">
        <v>19</v>
      </c>
      <c r="D289" s="20" t="s">
        <v>3</v>
      </c>
      <c r="E289" s="20" t="s">
        <v>0</v>
      </c>
      <c r="F289" s="81">
        <v>8</v>
      </c>
      <c r="G289" s="81">
        <v>11</v>
      </c>
      <c r="H289" s="3" t="str">
        <f t="shared" si="12"/>
        <v>GROEN</v>
      </c>
      <c r="I289" s="3" t="str">
        <f t="shared" si="13"/>
        <v>Karel</v>
      </c>
      <c r="J289" s="4" t="str">
        <f t="shared" si="14"/>
        <v>Jonas</v>
      </c>
      <c r="K289" s="147" t="str">
        <f>Tabel3[[#This Row],[Rood Verdediging]]&amp;Tabel3[[#This Row],[Rood Aanval]]</f>
        <v>MatthijsNicolas</v>
      </c>
      <c r="L289" s="147" t="str">
        <f>Tabel3[[#This Row],[Groen Verdediging]]&amp;Tabel3[[#This Row],[Groen Aanval]]</f>
        <v>KarelJonas</v>
      </c>
      <c r="M289" s="147" t="str">
        <f>Tabel3[[#This Row],[Winnaar 1]]&amp;Tabel3[[#This Row],[Winnaar 2]]</f>
        <v>KarelJonas</v>
      </c>
      <c r="N289" s="147" t="b">
        <f>IF(Tabel3[[#This Row],[Team Rood]]=Tabel3[[#This Row],[Winnaars]],Tabel3[[#This Row],[Team Rood]])</f>
        <v>0</v>
      </c>
      <c r="O289" s="147" t="str">
        <f>IF(Tabel3[[#This Row],[Team Groen]]=Tabel3[[#This Row],[Winnaars]],Tabel3[[#This Row],[Team Groen]])</f>
        <v>KarelJonas</v>
      </c>
    </row>
    <row r="290" spans="1:15" x14ac:dyDescent="0.25">
      <c r="A290" s="14">
        <v>290</v>
      </c>
      <c r="B290" s="19" t="s">
        <v>8</v>
      </c>
      <c r="C290" s="16" t="s">
        <v>6</v>
      </c>
      <c r="D290" s="20" t="s">
        <v>0</v>
      </c>
      <c r="E290" s="20" t="s">
        <v>3</v>
      </c>
      <c r="F290" s="81">
        <v>8</v>
      </c>
      <c r="G290" s="81">
        <v>11</v>
      </c>
      <c r="H290" s="3" t="str">
        <f t="shared" si="12"/>
        <v>GROEN</v>
      </c>
      <c r="I290" s="3" t="str">
        <f t="shared" si="13"/>
        <v>Jonas</v>
      </c>
      <c r="J290" s="4" t="str">
        <f t="shared" si="14"/>
        <v>Karel</v>
      </c>
      <c r="K290" s="147" t="str">
        <f>Tabel3[[#This Row],[Rood Verdediging]]&amp;Tabel3[[#This Row],[Rood Aanval]]</f>
        <v>LouisStef D</v>
      </c>
      <c r="L290" s="147" t="str">
        <f>Tabel3[[#This Row],[Groen Verdediging]]&amp;Tabel3[[#This Row],[Groen Aanval]]</f>
        <v>JonasKarel</v>
      </c>
      <c r="M290" s="147" t="str">
        <f>Tabel3[[#This Row],[Winnaar 1]]&amp;Tabel3[[#This Row],[Winnaar 2]]</f>
        <v>JonasKarel</v>
      </c>
      <c r="N290" s="147" t="b">
        <f>IF(Tabel3[[#This Row],[Team Rood]]=Tabel3[[#This Row],[Winnaars]],Tabel3[[#This Row],[Team Rood]])</f>
        <v>0</v>
      </c>
      <c r="O290" s="147" t="str">
        <f>IF(Tabel3[[#This Row],[Team Groen]]=Tabel3[[#This Row],[Winnaars]],Tabel3[[#This Row],[Team Groen]])</f>
        <v>JonasKarel</v>
      </c>
    </row>
    <row r="291" spans="1:15" x14ac:dyDescent="0.25">
      <c r="A291" s="14">
        <v>291</v>
      </c>
      <c r="B291" s="19" t="s">
        <v>0</v>
      </c>
      <c r="C291" s="16" t="s">
        <v>8</v>
      </c>
      <c r="D291" s="20" t="s">
        <v>19</v>
      </c>
      <c r="E291" s="20" t="s">
        <v>6</v>
      </c>
      <c r="F291" s="81">
        <v>11</v>
      </c>
      <c r="G291" s="81">
        <v>3</v>
      </c>
      <c r="H291" s="3" t="str">
        <f t="shared" si="12"/>
        <v>ROOD</v>
      </c>
      <c r="I291" s="3" t="str">
        <f t="shared" si="13"/>
        <v>Jonas</v>
      </c>
      <c r="J291" s="4" t="str">
        <f t="shared" si="14"/>
        <v>Louis</v>
      </c>
      <c r="K291" s="147" t="str">
        <f>Tabel3[[#This Row],[Rood Verdediging]]&amp;Tabel3[[#This Row],[Rood Aanval]]</f>
        <v>JonasLouis</v>
      </c>
      <c r="L291" s="147" t="str">
        <f>Tabel3[[#This Row],[Groen Verdediging]]&amp;Tabel3[[#This Row],[Groen Aanval]]</f>
        <v>NicolasStef D</v>
      </c>
      <c r="M291" s="147" t="str">
        <f>Tabel3[[#This Row],[Winnaar 1]]&amp;Tabel3[[#This Row],[Winnaar 2]]</f>
        <v>JonasLouis</v>
      </c>
      <c r="N291" s="147" t="str">
        <f>IF(Tabel3[[#This Row],[Team Rood]]=Tabel3[[#This Row],[Winnaars]],Tabel3[[#This Row],[Team Rood]])</f>
        <v>JonasLouis</v>
      </c>
      <c r="O291" s="147" t="b">
        <f>IF(Tabel3[[#This Row],[Team Groen]]=Tabel3[[#This Row],[Winnaars]],Tabel3[[#This Row],[Team Groen]])</f>
        <v>0</v>
      </c>
    </row>
    <row r="292" spans="1:15" x14ac:dyDescent="0.25">
      <c r="A292" s="14">
        <v>292</v>
      </c>
      <c r="B292" s="19" t="s">
        <v>8</v>
      </c>
      <c r="C292" s="16" t="s">
        <v>11</v>
      </c>
      <c r="D292" s="20" t="s">
        <v>19</v>
      </c>
      <c r="E292" s="20" t="s">
        <v>6</v>
      </c>
      <c r="F292" s="81">
        <v>11</v>
      </c>
      <c r="G292" s="81">
        <v>13</v>
      </c>
      <c r="H292" s="3" t="str">
        <f t="shared" si="12"/>
        <v>GROEN</v>
      </c>
      <c r="I292" s="3" t="str">
        <f t="shared" si="13"/>
        <v>Nicolas</v>
      </c>
      <c r="J292" s="4" t="str">
        <f t="shared" si="14"/>
        <v>Stef D</v>
      </c>
      <c r="K292" s="147" t="str">
        <f>Tabel3[[#This Row],[Rood Verdediging]]&amp;Tabel3[[#This Row],[Rood Aanval]]</f>
        <v>LouisMatthijs</v>
      </c>
      <c r="L292" s="147" t="str">
        <f>Tabel3[[#This Row],[Groen Verdediging]]&amp;Tabel3[[#This Row],[Groen Aanval]]</f>
        <v>NicolasStef D</v>
      </c>
      <c r="M292" s="147" t="str">
        <f>Tabel3[[#This Row],[Winnaar 1]]&amp;Tabel3[[#This Row],[Winnaar 2]]</f>
        <v>NicolasStef D</v>
      </c>
      <c r="N292" s="147" t="b">
        <f>IF(Tabel3[[#This Row],[Team Rood]]=Tabel3[[#This Row],[Winnaars]],Tabel3[[#This Row],[Team Rood]])</f>
        <v>0</v>
      </c>
      <c r="O292" s="147" t="str">
        <f>IF(Tabel3[[#This Row],[Team Groen]]=Tabel3[[#This Row],[Winnaars]],Tabel3[[#This Row],[Team Groen]])</f>
        <v>NicolasStef D</v>
      </c>
    </row>
    <row r="293" spans="1:15" x14ac:dyDescent="0.25">
      <c r="A293" s="14">
        <v>293</v>
      </c>
      <c r="B293" s="19" t="s">
        <v>0</v>
      </c>
      <c r="C293" s="16" t="s">
        <v>6</v>
      </c>
      <c r="D293" s="20" t="s">
        <v>11</v>
      </c>
      <c r="E293" s="20" t="s">
        <v>3</v>
      </c>
      <c r="F293" s="81">
        <v>11</v>
      </c>
      <c r="G293" s="81">
        <v>9</v>
      </c>
      <c r="H293" s="3" t="str">
        <f t="shared" si="12"/>
        <v>ROOD</v>
      </c>
      <c r="I293" s="3" t="str">
        <f t="shared" si="13"/>
        <v>Jonas</v>
      </c>
      <c r="J293" s="4" t="str">
        <f t="shared" si="14"/>
        <v>Stef D</v>
      </c>
      <c r="K293" s="147" t="str">
        <f>Tabel3[[#This Row],[Rood Verdediging]]&amp;Tabel3[[#This Row],[Rood Aanval]]</f>
        <v>JonasStef D</v>
      </c>
      <c r="L293" s="147" t="str">
        <f>Tabel3[[#This Row],[Groen Verdediging]]&amp;Tabel3[[#This Row],[Groen Aanval]]</f>
        <v>MatthijsKarel</v>
      </c>
      <c r="M293" s="147" t="str">
        <f>Tabel3[[#This Row],[Winnaar 1]]&amp;Tabel3[[#This Row],[Winnaar 2]]</f>
        <v>JonasStef D</v>
      </c>
      <c r="N293" s="147" t="str">
        <f>IF(Tabel3[[#This Row],[Team Rood]]=Tabel3[[#This Row],[Winnaars]],Tabel3[[#This Row],[Team Rood]])</f>
        <v>JonasStef D</v>
      </c>
      <c r="O293" s="147" t="b">
        <f>IF(Tabel3[[#This Row],[Team Groen]]=Tabel3[[#This Row],[Winnaars]],Tabel3[[#This Row],[Team Groen]])</f>
        <v>0</v>
      </c>
    </row>
    <row r="294" spans="1:15" x14ac:dyDescent="0.25">
      <c r="A294" s="14">
        <v>294</v>
      </c>
      <c r="B294" s="19" t="s">
        <v>3</v>
      </c>
      <c r="C294" s="16" t="s">
        <v>19</v>
      </c>
      <c r="D294" s="20" t="s">
        <v>6</v>
      </c>
      <c r="E294" s="20" t="s">
        <v>11</v>
      </c>
      <c r="F294" s="81">
        <v>7</v>
      </c>
      <c r="G294" s="81">
        <v>11</v>
      </c>
      <c r="H294" s="3" t="str">
        <f t="shared" si="12"/>
        <v>GROEN</v>
      </c>
      <c r="I294" s="3" t="str">
        <f t="shared" si="13"/>
        <v>Stef D</v>
      </c>
      <c r="J294" s="4" t="str">
        <f t="shared" si="14"/>
        <v>Matthijs</v>
      </c>
      <c r="K294" s="147" t="str">
        <f>Tabel3[[#This Row],[Rood Verdediging]]&amp;Tabel3[[#This Row],[Rood Aanval]]</f>
        <v>KarelNicolas</v>
      </c>
      <c r="L294" s="147" t="str">
        <f>Tabel3[[#This Row],[Groen Verdediging]]&amp;Tabel3[[#This Row],[Groen Aanval]]</f>
        <v>Stef DMatthijs</v>
      </c>
      <c r="M294" s="147" t="str">
        <f>Tabel3[[#This Row],[Winnaar 1]]&amp;Tabel3[[#This Row],[Winnaar 2]]</f>
        <v>Stef DMatthijs</v>
      </c>
      <c r="N294" s="147" t="b">
        <f>IF(Tabel3[[#This Row],[Team Rood]]=Tabel3[[#This Row],[Winnaars]],Tabel3[[#This Row],[Team Rood]])</f>
        <v>0</v>
      </c>
      <c r="O294" s="147" t="str">
        <f>IF(Tabel3[[#This Row],[Team Groen]]=Tabel3[[#This Row],[Winnaars]],Tabel3[[#This Row],[Team Groen]])</f>
        <v>Stef DMatthijs</v>
      </c>
    </row>
    <row r="295" spans="1:15" x14ac:dyDescent="0.25">
      <c r="A295" s="14">
        <v>295</v>
      </c>
      <c r="B295" s="19" t="s">
        <v>19</v>
      </c>
      <c r="C295" s="16" t="s">
        <v>11</v>
      </c>
      <c r="D295" s="20" t="s">
        <v>3</v>
      </c>
      <c r="E295" s="20" t="s">
        <v>6</v>
      </c>
      <c r="F295" s="81">
        <v>3</v>
      </c>
      <c r="G295" s="81">
        <v>11</v>
      </c>
      <c r="H295" s="3" t="str">
        <f t="shared" si="12"/>
        <v>GROEN</v>
      </c>
      <c r="I295" s="3" t="str">
        <f t="shared" si="13"/>
        <v>Karel</v>
      </c>
      <c r="J295" s="4" t="str">
        <f t="shared" si="14"/>
        <v>Stef D</v>
      </c>
      <c r="K295" s="147" t="str">
        <f>Tabel3[[#This Row],[Rood Verdediging]]&amp;Tabel3[[#This Row],[Rood Aanval]]</f>
        <v>NicolasMatthijs</v>
      </c>
      <c r="L295" s="147" t="str">
        <f>Tabel3[[#This Row],[Groen Verdediging]]&amp;Tabel3[[#This Row],[Groen Aanval]]</f>
        <v>KarelStef D</v>
      </c>
      <c r="M295" s="147" t="str">
        <f>Tabel3[[#This Row],[Winnaar 1]]&amp;Tabel3[[#This Row],[Winnaar 2]]</f>
        <v>KarelStef D</v>
      </c>
      <c r="N295" s="147" t="b">
        <f>IF(Tabel3[[#This Row],[Team Rood]]=Tabel3[[#This Row],[Winnaars]],Tabel3[[#This Row],[Team Rood]])</f>
        <v>0</v>
      </c>
      <c r="O295" s="147" t="str">
        <f>IF(Tabel3[[#This Row],[Team Groen]]=Tabel3[[#This Row],[Winnaars]],Tabel3[[#This Row],[Team Groen]])</f>
        <v>KarelStef D</v>
      </c>
    </row>
    <row r="296" spans="1:15" x14ac:dyDescent="0.25">
      <c r="A296" s="14">
        <v>296</v>
      </c>
      <c r="B296" s="19" t="s">
        <v>19</v>
      </c>
      <c r="C296" s="16" t="s">
        <v>44</v>
      </c>
      <c r="D296" s="20" t="s">
        <v>11</v>
      </c>
      <c r="E296" s="20" t="s">
        <v>8</v>
      </c>
      <c r="F296" s="81">
        <v>5</v>
      </c>
      <c r="G296" s="81">
        <v>11</v>
      </c>
      <c r="H296" s="3" t="str">
        <f t="shared" si="12"/>
        <v>GROEN</v>
      </c>
      <c r="I296" s="3" t="str">
        <f t="shared" si="13"/>
        <v>Matthijs</v>
      </c>
      <c r="J296" s="4" t="str">
        <f t="shared" si="14"/>
        <v>Louis</v>
      </c>
      <c r="K296" s="147" t="str">
        <f>Tabel3[[#This Row],[Rood Verdediging]]&amp;Tabel3[[#This Row],[Rood Aanval]]</f>
        <v xml:space="preserve">NicolasStef D </v>
      </c>
      <c r="L296" s="147" t="str">
        <f>Tabel3[[#This Row],[Groen Verdediging]]&amp;Tabel3[[#This Row],[Groen Aanval]]</f>
        <v>MatthijsLouis</v>
      </c>
      <c r="M296" s="147" t="str">
        <f>Tabel3[[#This Row],[Winnaar 1]]&amp;Tabel3[[#This Row],[Winnaar 2]]</f>
        <v>MatthijsLouis</v>
      </c>
      <c r="N296" s="147" t="b">
        <f>IF(Tabel3[[#This Row],[Team Rood]]=Tabel3[[#This Row],[Winnaars]],Tabel3[[#This Row],[Team Rood]])</f>
        <v>0</v>
      </c>
      <c r="O296" s="147" t="str">
        <f>IF(Tabel3[[#This Row],[Team Groen]]=Tabel3[[#This Row],[Winnaars]],Tabel3[[#This Row],[Team Groen]])</f>
        <v>MatthijsLouis</v>
      </c>
    </row>
    <row r="297" spans="1:15" x14ac:dyDescent="0.25">
      <c r="A297" s="14">
        <v>297</v>
      </c>
      <c r="B297" s="19" t="s">
        <v>0</v>
      </c>
      <c r="C297" s="16" t="s">
        <v>6</v>
      </c>
      <c r="D297" s="20" t="s">
        <v>19</v>
      </c>
      <c r="E297" s="20" t="s">
        <v>8</v>
      </c>
      <c r="F297" s="81">
        <v>11</v>
      </c>
      <c r="G297" s="81">
        <v>6</v>
      </c>
      <c r="H297" s="3" t="str">
        <f t="shared" si="12"/>
        <v>ROOD</v>
      </c>
      <c r="I297" s="3" t="str">
        <f t="shared" si="13"/>
        <v>Jonas</v>
      </c>
      <c r="J297" s="4" t="str">
        <f t="shared" si="14"/>
        <v>Stef D</v>
      </c>
      <c r="K297" s="147" t="str">
        <f>Tabel3[[#This Row],[Rood Verdediging]]&amp;Tabel3[[#This Row],[Rood Aanval]]</f>
        <v>JonasStef D</v>
      </c>
      <c r="L297" s="147" t="str">
        <f>Tabel3[[#This Row],[Groen Verdediging]]&amp;Tabel3[[#This Row],[Groen Aanval]]</f>
        <v>NicolasLouis</v>
      </c>
      <c r="M297" s="147" t="str">
        <f>Tabel3[[#This Row],[Winnaar 1]]&amp;Tabel3[[#This Row],[Winnaar 2]]</f>
        <v>JonasStef D</v>
      </c>
      <c r="N297" s="147" t="str">
        <f>IF(Tabel3[[#This Row],[Team Rood]]=Tabel3[[#This Row],[Winnaars]],Tabel3[[#This Row],[Team Rood]])</f>
        <v>JonasStef D</v>
      </c>
      <c r="O297" s="147" t="b">
        <f>IF(Tabel3[[#This Row],[Team Groen]]=Tabel3[[#This Row],[Winnaars]],Tabel3[[#This Row],[Team Groen]])</f>
        <v>0</v>
      </c>
    </row>
    <row r="298" spans="1:15" x14ac:dyDescent="0.25">
      <c r="A298" s="14">
        <v>298</v>
      </c>
      <c r="B298" s="19" t="s">
        <v>0</v>
      </c>
      <c r="C298" s="16" t="s">
        <v>6</v>
      </c>
      <c r="D298" s="20" t="s">
        <v>11</v>
      </c>
      <c r="E298" s="20" t="s">
        <v>8</v>
      </c>
      <c r="F298" s="81">
        <v>11</v>
      </c>
      <c r="G298" s="81">
        <v>9</v>
      </c>
      <c r="H298" s="3" t="str">
        <f t="shared" si="12"/>
        <v>ROOD</v>
      </c>
      <c r="I298" s="3" t="str">
        <f t="shared" si="13"/>
        <v>Jonas</v>
      </c>
      <c r="J298" s="4" t="str">
        <f t="shared" si="14"/>
        <v>Stef D</v>
      </c>
      <c r="K298" s="147" t="str">
        <f>Tabel3[[#This Row],[Rood Verdediging]]&amp;Tabel3[[#This Row],[Rood Aanval]]</f>
        <v>JonasStef D</v>
      </c>
      <c r="L298" s="147" t="str">
        <f>Tabel3[[#This Row],[Groen Verdediging]]&amp;Tabel3[[#This Row],[Groen Aanval]]</f>
        <v>MatthijsLouis</v>
      </c>
      <c r="M298" s="147" t="str">
        <f>Tabel3[[#This Row],[Winnaar 1]]&amp;Tabel3[[#This Row],[Winnaar 2]]</f>
        <v>JonasStef D</v>
      </c>
      <c r="N298" s="147" t="str">
        <f>IF(Tabel3[[#This Row],[Team Rood]]=Tabel3[[#This Row],[Winnaars]],Tabel3[[#This Row],[Team Rood]])</f>
        <v>JonasStef D</v>
      </c>
      <c r="O298" s="147" t="b">
        <f>IF(Tabel3[[#This Row],[Team Groen]]=Tabel3[[#This Row],[Winnaars]],Tabel3[[#This Row],[Team Groen]])</f>
        <v>0</v>
      </c>
    </row>
    <row r="299" spans="1:15" x14ac:dyDescent="0.25">
      <c r="A299" s="14">
        <v>299</v>
      </c>
      <c r="B299" s="19" t="s">
        <v>8</v>
      </c>
      <c r="C299" s="16" t="s">
        <v>11</v>
      </c>
      <c r="D299" s="20" t="s">
        <v>0</v>
      </c>
      <c r="E299" s="20" t="s">
        <v>19</v>
      </c>
      <c r="F299" s="81">
        <v>11</v>
      </c>
      <c r="G299" s="81">
        <v>8</v>
      </c>
      <c r="H299" s="3" t="str">
        <f t="shared" si="12"/>
        <v>ROOD</v>
      </c>
      <c r="I299" s="3" t="str">
        <f t="shared" si="13"/>
        <v>Louis</v>
      </c>
      <c r="J299" s="4" t="str">
        <f t="shared" si="14"/>
        <v>Matthijs</v>
      </c>
      <c r="K299" s="147" t="str">
        <f>Tabel3[[#This Row],[Rood Verdediging]]&amp;Tabel3[[#This Row],[Rood Aanval]]</f>
        <v>LouisMatthijs</v>
      </c>
      <c r="L299" s="147" t="str">
        <f>Tabel3[[#This Row],[Groen Verdediging]]&amp;Tabel3[[#This Row],[Groen Aanval]]</f>
        <v>JonasNicolas</v>
      </c>
      <c r="M299" s="147" t="str">
        <f>Tabel3[[#This Row],[Winnaar 1]]&amp;Tabel3[[#This Row],[Winnaar 2]]</f>
        <v>LouisMatthijs</v>
      </c>
      <c r="N299" s="147" t="str">
        <f>IF(Tabel3[[#This Row],[Team Rood]]=Tabel3[[#This Row],[Winnaars]],Tabel3[[#This Row],[Team Rood]])</f>
        <v>LouisMatthijs</v>
      </c>
      <c r="O299" s="147" t="b">
        <f>IF(Tabel3[[#This Row],[Team Groen]]=Tabel3[[#This Row],[Winnaars]],Tabel3[[#This Row],[Team Groen]])</f>
        <v>0</v>
      </c>
    </row>
    <row r="300" spans="1:15" x14ac:dyDescent="0.25">
      <c r="A300" s="14">
        <v>300</v>
      </c>
      <c r="B300" s="19" t="s">
        <v>19</v>
      </c>
      <c r="C300" s="16" t="s">
        <v>6</v>
      </c>
      <c r="D300" s="20" t="s">
        <v>11</v>
      </c>
      <c r="E300" s="20" t="s">
        <v>0</v>
      </c>
      <c r="F300" s="81">
        <v>11</v>
      </c>
      <c r="G300" s="81">
        <v>9</v>
      </c>
      <c r="H300" s="3" t="str">
        <f t="shared" si="12"/>
        <v>ROOD</v>
      </c>
      <c r="I300" s="3" t="str">
        <f t="shared" si="13"/>
        <v>Nicolas</v>
      </c>
      <c r="J300" s="4" t="str">
        <f t="shared" si="14"/>
        <v>Stef D</v>
      </c>
      <c r="K300" s="147" t="str">
        <f>Tabel3[[#This Row],[Rood Verdediging]]&amp;Tabel3[[#This Row],[Rood Aanval]]</f>
        <v>NicolasStef D</v>
      </c>
      <c r="L300" s="147" t="str">
        <f>Tabel3[[#This Row],[Groen Verdediging]]&amp;Tabel3[[#This Row],[Groen Aanval]]</f>
        <v>MatthijsJonas</v>
      </c>
      <c r="M300" s="147" t="str">
        <f>Tabel3[[#This Row],[Winnaar 1]]&amp;Tabel3[[#This Row],[Winnaar 2]]</f>
        <v>NicolasStef D</v>
      </c>
      <c r="N300" s="147" t="str">
        <f>IF(Tabel3[[#This Row],[Team Rood]]=Tabel3[[#This Row],[Winnaars]],Tabel3[[#This Row],[Team Rood]])</f>
        <v>NicolasStef D</v>
      </c>
      <c r="O300" s="147" t="b">
        <f>IF(Tabel3[[#This Row],[Team Groen]]=Tabel3[[#This Row],[Winnaars]],Tabel3[[#This Row],[Team Groen]])</f>
        <v>0</v>
      </c>
    </row>
    <row r="301" spans="1:15" x14ac:dyDescent="0.25">
      <c r="A301" s="14">
        <v>301</v>
      </c>
      <c r="B301" s="19" t="s">
        <v>11</v>
      </c>
      <c r="C301" s="16" t="s">
        <v>19</v>
      </c>
      <c r="D301" s="20" t="s">
        <v>6</v>
      </c>
      <c r="E301" s="20" t="s">
        <v>0</v>
      </c>
      <c r="F301" s="81">
        <v>4</v>
      </c>
      <c r="G301" s="81">
        <v>11</v>
      </c>
      <c r="H301" s="3" t="str">
        <f t="shared" si="12"/>
        <v>GROEN</v>
      </c>
      <c r="I301" s="3" t="str">
        <f t="shared" si="13"/>
        <v>Stef D</v>
      </c>
      <c r="J301" s="4" t="str">
        <f t="shared" si="14"/>
        <v>Jonas</v>
      </c>
      <c r="K301" s="147" t="str">
        <f>Tabel3[[#This Row],[Rood Verdediging]]&amp;Tabel3[[#This Row],[Rood Aanval]]</f>
        <v>MatthijsNicolas</v>
      </c>
      <c r="L301" s="147" t="str">
        <f>Tabel3[[#This Row],[Groen Verdediging]]&amp;Tabel3[[#This Row],[Groen Aanval]]</f>
        <v>Stef DJonas</v>
      </c>
      <c r="M301" s="147" t="str">
        <f>Tabel3[[#This Row],[Winnaar 1]]&amp;Tabel3[[#This Row],[Winnaar 2]]</f>
        <v>Stef DJonas</v>
      </c>
      <c r="N301" s="147" t="b">
        <f>IF(Tabel3[[#This Row],[Team Rood]]=Tabel3[[#This Row],[Winnaars]],Tabel3[[#This Row],[Team Rood]])</f>
        <v>0</v>
      </c>
      <c r="O301" s="147" t="str">
        <f>IF(Tabel3[[#This Row],[Team Groen]]=Tabel3[[#This Row],[Winnaars]],Tabel3[[#This Row],[Team Groen]])</f>
        <v>Stef DJonas</v>
      </c>
    </row>
    <row r="302" spans="1:15" x14ac:dyDescent="0.25">
      <c r="A302" s="14">
        <v>302</v>
      </c>
      <c r="B302" s="19" t="s">
        <v>19</v>
      </c>
      <c r="C302" s="16" t="s">
        <v>11</v>
      </c>
      <c r="D302" s="20" t="s">
        <v>8</v>
      </c>
      <c r="E302" s="20" t="s">
        <v>6</v>
      </c>
      <c r="F302" s="81">
        <v>9</v>
      </c>
      <c r="G302" s="81">
        <v>11</v>
      </c>
      <c r="H302" s="3" t="str">
        <f t="shared" si="12"/>
        <v>GROEN</v>
      </c>
      <c r="I302" s="3" t="str">
        <f t="shared" si="13"/>
        <v>Louis</v>
      </c>
      <c r="J302" s="4" t="str">
        <f t="shared" si="14"/>
        <v>Stef D</v>
      </c>
      <c r="K302" s="147" t="str">
        <f>Tabel3[[#This Row],[Rood Verdediging]]&amp;Tabel3[[#This Row],[Rood Aanval]]</f>
        <v>NicolasMatthijs</v>
      </c>
      <c r="L302" s="147" t="str">
        <f>Tabel3[[#This Row],[Groen Verdediging]]&amp;Tabel3[[#This Row],[Groen Aanval]]</f>
        <v>LouisStef D</v>
      </c>
      <c r="M302" s="147" t="str">
        <f>Tabel3[[#This Row],[Winnaar 1]]&amp;Tabel3[[#This Row],[Winnaar 2]]</f>
        <v>LouisStef D</v>
      </c>
      <c r="N302" s="147" t="b">
        <f>IF(Tabel3[[#This Row],[Team Rood]]=Tabel3[[#This Row],[Winnaars]],Tabel3[[#This Row],[Team Rood]])</f>
        <v>0</v>
      </c>
      <c r="O302" s="147" t="str">
        <f>IF(Tabel3[[#This Row],[Team Groen]]=Tabel3[[#This Row],[Winnaars]],Tabel3[[#This Row],[Team Groen]])</f>
        <v>LouisStef D</v>
      </c>
    </row>
    <row r="303" spans="1:15" x14ac:dyDescent="0.25">
      <c r="A303" s="14">
        <v>303</v>
      </c>
      <c r="B303" s="19" t="s">
        <v>11</v>
      </c>
      <c r="C303" s="16" t="s">
        <v>6</v>
      </c>
      <c r="D303" s="20" t="s">
        <v>19</v>
      </c>
      <c r="E303" s="20" t="s">
        <v>8</v>
      </c>
      <c r="F303" s="81">
        <v>11</v>
      </c>
      <c r="G303" s="81">
        <v>3</v>
      </c>
      <c r="H303" s="3" t="str">
        <f t="shared" si="12"/>
        <v>ROOD</v>
      </c>
      <c r="I303" s="3" t="str">
        <f t="shared" si="13"/>
        <v>Matthijs</v>
      </c>
      <c r="J303" s="4" t="str">
        <f t="shared" si="14"/>
        <v>Stef D</v>
      </c>
      <c r="K303" s="147" t="str">
        <f>Tabel3[[#This Row],[Rood Verdediging]]&amp;Tabel3[[#This Row],[Rood Aanval]]</f>
        <v>MatthijsStef D</v>
      </c>
      <c r="L303" s="147" t="str">
        <f>Tabel3[[#This Row],[Groen Verdediging]]&amp;Tabel3[[#This Row],[Groen Aanval]]</f>
        <v>NicolasLouis</v>
      </c>
      <c r="M303" s="147" t="str">
        <f>Tabel3[[#This Row],[Winnaar 1]]&amp;Tabel3[[#This Row],[Winnaar 2]]</f>
        <v>MatthijsStef D</v>
      </c>
      <c r="N303" s="147" t="str">
        <f>IF(Tabel3[[#This Row],[Team Rood]]=Tabel3[[#This Row],[Winnaars]],Tabel3[[#This Row],[Team Rood]])</f>
        <v>MatthijsStef D</v>
      </c>
      <c r="O303" s="147" t="b">
        <f>IF(Tabel3[[#This Row],[Team Groen]]=Tabel3[[#This Row],[Winnaars]],Tabel3[[#This Row],[Team Groen]])</f>
        <v>0</v>
      </c>
    </row>
    <row r="304" spans="1:15" x14ac:dyDescent="0.25">
      <c r="A304" s="14">
        <v>304</v>
      </c>
      <c r="B304" s="19" t="s">
        <v>19</v>
      </c>
      <c r="C304" s="16" t="s">
        <v>6</v>
      </c>
      <c r="D304" s="20" t="s">
        <v>8</v>
      </c>
      <c r="E304" s="20" t="s">
        <v>11</v>
      </c>
      <c r="F304" s="81">
        <v>11</v>
      </c>
      <c r="G304" s="81">
        <v>7</v>
      </c>
      <c r="H304" s="3" t="str">
        <f t="shared" si="12"/>
        <v>ROOD</v>
      </c>
      <c r="I304" s="3" t="str">
        <f t="shared" si="13"/>
        <v>Nicolas</v>
      </c>
      <c r="J304" s="4" t="str">
        <f t="shared" si="14"/>
        <v>Stef D</v>
      </c>
      <c r="K304" s="147" t="str">
        <f>Tabel3[[#This Row],[Rood Verdediging]]&amp;Tabel3[[#This Row],[Rood Aanval]]</f>
        <v>NicolasStef D</v>
      </c>
      <c r="L304" s="147" t="str">
        <f>Tabel3[[#This Row],[Groen Verdediging]]&amp;Tabel3[[#This Row],[Groen Aanval]]</f>
        <v>LouisMatthijs</v>
      </c>
      <c r="M304" s="147" t="str">
        <f>Tabel3[[#This Row],[Winnaar 1]]&amp;Tabel3[[#This Row],[Winnaar 2]]</f>
        <v>NicolasStef D</v>
      </c>
      <c r="N304" s="147" t="str">
        <f>IF(Tabel3[[#This Row],[Team Rood]]=Tabel3[[#This Row],[Winnaars]],Tabel3[[#This Row],[Team Rood]])</f>
        <v>NicolasStef D</v>
      </c>
      <c r="O304" s="147" t="b">
        <f>IF(Tabel3[[#This Row],[Team Groen]]=Tabel3[[#This Row],[Winnaars]],Tabel3[[#This Row],[Team Groen]])</f>
        <v>0</v>
      </c>
    </row>
    <row r="305" spans="1:15" x14ac:dyDescent="0.25">
      <c r="A305" s="14">
        <v>305</v>
      </c>
      <c r="B305" s="19" t="s">
        <v>45</v>
      </c>
      <c r="C305" s="16" t="s">
        <v>6</v>
      </c>
      <c r="D305" s="20" t="s">
        <v>0</v>
      </c>
      <c r="E305" s="20" t="s">
        <v>7</v>
      </c>
      <c r="F305" s="81">
        <v>11</v>
      </c>
      <c r="G305" s="81">
        <v>9</v>
      </c>
      <c r="H305" s="3" t="str">
        <f t="shared" si="12"/>
        <v>ROOD</v>
      </c>
      <c r="I305" s="3" t="str">
        <f t="shared" si="13"/>
        <v xml:space="preserve">Stijn </v>
      </c>
      <c r="J305" s="4" t="str">
        <f t="shared" si="14"/>
        <v>Stef D</v>
      </c>
      <c r="K305" s="147" t="str">
        <f>Tabel3[[#This Row],[Rood Verdediging]]&amp;Tabel3[[#This Row],[Rood Aanval]]</f>
        <v>Stijn Stef D</v>
      </c>
      <c r="L305" s="147" t="str">
        <f>Tabel3[[#This Row],[Groen Verdediging]]&amp;Tabel3[[#This Row],[Groen Aanval]]</f>
        <v>JonasTiemen</v>
      </c>
      <c r="M305" s="147" t="str">
        <f>Tabel3[[#This Row],[Winnaar 1]]&amp;Tabel3[[#This Row],[Winnaar 2]]</f>
        <v>Stijn Stef D</v>
      </c>
      <c r="N305" s="147" t="str">
        <f>IF(Tabel3[[#This Row],[Team Rood]]=Tabel3[[#This Row],[Winnaars]],Tabel3[[#This Row],[Team Rood]])</f>
        <v>Stijn Stef D</v>
      </c>
      <c r="O305" s="147" t="b">
        <f>IF(Tabel3[[#This Row],[Team Groen]]=Tabel3[[#This Row],[Winnaars]],Tabel3[[#This Row],[Team Groen]])</f>
        <v>0</v>
      </c>
    </row>
    <row r="306" spans="1:15" x14ac:dyDescent="0.25">
      <c r="A306" s="14">
        <v>306</v>
      </c>
      <c r="B306" s="19" t="s">
        <v>15</v>
      </c>
      <c r="C306" s="16" t="s">
        <v>8</v>
      </c>
      <c r="D306" s="20" t="s">
        <v>7</v>
      </c>
      <c r="E306" s="20" t="s">
        <v>0</v>
      </c>
      <c r="F306" s="81">
        <v>8</v>
      </c>
      <c r="G306" s="81">
        <v>11</v>
      </c>
      <c r="H306" s="3" t="str">
        <f t="shared" si="12"/>
        <v>GROEN</v>
      </c>
      <c r="I306" s="3" t="str">
        <f t="shared" si="13"/>
        <v>Tiemen</v>
      </c>
      <c r="J306" s="4" t="str">
        <f t="shared" si="14"/>
        <v>Jonas</v>
      </c>
      <c r="K306" t="str">
        <f>Tabel3[[#This Row],[Rood Verdediging]]&amp;Tabel3[[#This Row],[Rood Aanval]]</f>
        <v>StijnLouis</v>
      </c>
      <c r="L306" t="str">
        <f>Tabel3[[#This Row],[Groen Verdediging]]&amp;Tabel3[[#This Row],[Groen Aanval]]</f>
        <v>TiemenJonas</v>
      </c>
      <c r="M306" t="str">
        <f>Tabel3[[#This Row],[Winnaar 1]]&amp;Tabel3[[#This Row],[Winnaar 2]]</f>
        <v>TiemenJonas</v>
      </c>
      <c r="N306" t="b">
        <f>IF(Tabel3[[#This Row],[Team Rood]]=Tabel3[[#This Row],[Winnaars]],Tabel3[[#This Row],[Team Rood]])</f>
        <v>0</v>
      </c>
      <c r="O306" t="str">
        <f>IF(Tabel3[[#This Row],[Team Groen]]=Tabel3[[#This Row],[Winnaars]],Tabel3[[#This Row],[Team Groen]])</f>
        <v>TiemenJonas</v>
      </c>
    </row>
    <row r="307" spans="1:15" x14ac:dyDescent="0.25">
      <c r="A307" s="14">
        <v>307</v>
      </c>
      <c r="B307" s="19" t="s">
        <v>6</v>
      </c>
      <c r="C307" s="16" t="s">
        <v>8</v>
      </c>
      <c r="D307" s="20" t="s">
        <v>15</v>
      </c>
      <c r="E307" s="20" t="s">
        <v>7</v>
      </c>
      <c r="F307" s="81">
        <v>11</v>
      </c>
      <c r="G307" s="81">
        <v>8</v>
      </c>
      <c r="H307" s="3" t="str">
        <f t="shared" si="12"/>
        <v>ROOD</v>
      </c>
      <c r="I307" s="3" t="str">
        <f t="shared" si="13"/>
        <v>Stef D</v>
      </c>
      <c r="J307" s="4" t="str">
        <f t="shared" si="14"/>
        <v>Louis</v>
      </c>
      <c r="K307" t="str">
        <f>Tabel3[[#This Row],[Rood Verdediging]]&amp;Tabel3[[#This Row],[Rood Aanval]]</f>
        <v>Stef DLouis</v>
      </c>
      <c r="L307" t="str">
        <f>Tabel3[[#This Row],[Groen Verdediging]]&amp;Tabel3[[#This Row],[Groen Aanval]]</f>
        <v>StijnTiemen</v>
      </c>
      <c r="M307" t="str">
        <f>Tabel3[[#This Row],[Winnaar 1]]&amp;Tabel3[[#This Row],[Winnaar 2]]</f>
        <v>Stef DLouis</v>
      </c>
      <c r="N307" t="str">
        <f>IF(Tabel3[[#This Row],[Team Rood]]=Tabel3[[#This Row],[Winnaars]],Tabel3[[#This Row],[Team Rood]])</f>
        <v>Stef DLouis</v>
      </c>
      <c r="O307" t="b">
        <f>IF(Tabel3[[#This Row],[Team Groen]]=Tabel3[[#This Row],[Winnaars]],Tabel3[[#This Row],[Team Groen]])</f>
        <v>0</v>
      </c>
    </row>
    <row r="308" spans="1:15" x14ac:dyDescent="0.25">
      <c r="A308" s="14">
        <v>308</v>
      </c>
      <c r="B308" s="19" t="s">
        <v>8</v>
      </c>
      <c r="C308" s="16" t="s">
        <v>0</v>
      </c>
      <c r="D308" s="20" t="s">
        <v>6</v>
      </c>
      <c r="E308" s="20" t="s">
        <v>7</v>
      </c>
      <c r="F308" s="81">
        <v>13</v>
      </c>
      <c r="G308" s="81">
        <v>15</v>
      </c>
      <c r="H308" s="3" t="str">
        <f t="shared" si="12"/>
        <v>GROEN</v>
      </c>
      <c r="I308" s="3" t="str">
        <f t="shared" si="13"/>
        <v>Stef D</v>
      </c>
      <c r="J308" s="4" t="str">
        <f t="shared" si="14"/>
        <v>Tiemen</v>
      </c>
      <c r="K308" t="str">
        <f>Tabel3[[#This Row],[Rood Verdediging]]&amp;Tabel3[[#This Row],[Rood Aanval]]</f>
        <v>LouisJonas</v>
      </c>
      <c r="L308" t="str">
        <f>Tabel3[[#This Row],[Groen Verdediging]]&amp;Tabel3[[#This Row],[Groen Aanval]]</f>
        <v>Stef DTiemen</v>
      </c>
      <c r="M308" t="str">
        <f>Tabel3[[#This Row],[Winnaar 1]]&amp;Tabel3[[#This Row],[Winnaar 2]]</f>
        <v>Stef DTiemen</v>
      </c>
      <c r="N308" t="b">
        <f>IF(Tabel3[[#This Row],[Team Rood]]=Tabel3[[#This Row],[Winnaars]],Tabel3[[#This Row],[Team Rood]])</f>
        <v>0</v>
      </c>
      <c r="O308" t="str">
        <f>IF(Tabel3[[#This Row],[Team Groen]]=Tabel3[[#This Row],[Winnaars]],Tabel3[[#This Row],[Team Groen]])</f>
        <v>Stef DTiemen</v>
      </c>
    </row>
    <row r="309" spans="1:15" x14ac:dyDescent="0.25">
      <c r="A309" s="14">
        <v>309</v>
      </c>
      <c r="B309" s="19" t="s">
        <v>0</v>
      </c>
      <c r="C309" s="16" t="s">
        <v>8</v>
      </c>
      <c r="D309" s="20" t="s">
        <v>7</v>
      </c>
      <c r="E309" s="20" t="s">
        <v>15</v>
      </c>
      <c r="F309" s="81">
        <v>11</v>
      </c>
      <c r="G309" s="81">
        <v>5</v>
      </c>
      <c r="H309" s="3" t="str">
        <f t="shared" si="12"/>
        <v>ROOD</v>
      </c>
      <c r="I309" s="3" t="str">
        <f t="shared" si="13"/>
        <v>Jonas</v>
      </c>
      <c r="J309" s="4" t="str">
        <f t="shared" si="14"/>
        <v>Louis</v>
      </c>
      <c r="K309" t="str">
        <f>Tabel3[[#This Row],[Rood Verdediging]]&amp;Tabel3[[#This Row],[Rood Aanval]]</f>
        <v>JonasLouis</v>
      </c>
      <c r="L309" t="str">
        <f>Tabel3[[#This Row],[Groen Verdediging]]&amp;Tabel3[[#This Row],[Groen Aanval]]</f>
        <v>TiemenStijn</v>
      </c>
      <c r="M309" t="str">
        <f>Tabel3[[#This Row],[Winnaar 1]]&amp;Tabel3[[#This Row],[Winnaar 2]]</f>
        <v>JonasLouis</v>
      </c>
      <c r="N309" t="str">
        <f>IF(Tabel3[[#This Row],[Team Rood]]=Tabel3[[#This Row],[Winnaars]],Tabel3[[#This Row],[Team Rood]])</f>
        <v>JonasLouis</v>
      </c>
      <c r="O309" t="b">
        <f>IF(Tabel3[[#This Row],[Team Groen]]=Tabel3[[#This Row],[Winnaars]],Tabel3[[#This Row],[Team Groen]])</f>
        <v>0</v>
      </c>
    </row>
    <row r="310" spans="1:15" x14ac:dyDescent="0.25">
      <c r="A310" s="14">
        <v>310</v>
      </c>
      <c r="B310" s="19" t="s">
        <v>6</v>
      </c>
      <c r="C310" s="16" t="s">
        <v>7</v>
      </c>
      <c r="D310" s="20" t="s">
        <v>0</v>
      </c>
      <c r="E310" s="20" t="s">
        <v>15</v>
      </c>
      <c r="F310" s="81">
        <v>9</v>
      </c>
      <c r="G310" s="81">
        <v>11</v>
      </c>
      <c r="H310" s="3" t="str">
        <f t="shared" si="12"/>
        <v>GROEN</v>
      </c>
      <c r="I310" s="3" t="str">
        <f t="shared" si="13"/>
        <v>Jonas</v>
      </c>
      <c r="J310" s="4" t="str">
        <f t="shared" si="14"/>
        <v>Stijn</v>
      </c>
      <c r="K310" t="str">
        <f>Tabel3[[#This Row],[Rood Verdediging]]&amp;Tabel3[[#This Row],[Rood Aanval]]</f>
        <v>Stef DTiemen</v>
      </c>
      <c r="L310" t="str">
        <f>Tabel3[[#This Row],[Groen Verdediging]]&amp;Tabel3[[#This Row],[Groen Aanval]]</f>
        <v>JonasStijn</v>
      </c>
      <c r="M310" t="str">
        <f>Tabel3[[#This Row],[Winnaar 1]]&amp;Tabel3[[#This Row],[Winnaar 2]]</f>
        <v>JonasStijn</v>
      </c>
      <c r="N310" t="b">
        <f>IF(Tabel3[[#This Row],[Team Rood]]=Tabel3[[#This Row],[Winnaars]],Tabel3[[#This Row],[Team Rood]])</f>
        <v>0</v>
      </c>
      <c r="O310" t="str">
        <f>IF(Tabel3[[#This Row],[Team Groen]]=Tabel3[[#This Row],[Winnaars]],Tabel3[[#This Row],[Team Groen]])</f>
        <v>JonasStijn</v>
      </c>
    </row>
    <row r="311" spans="1:15" x14ac:dyDescent="0.25">
      <c r="A311" s="14">
        <v>311</v>
      </c>
      <c r="B311" s="19" t="s">
        <v>8</v>
      </c>
      <c r="C311" s="16" t="s">
        <v>15</v>
      </c>
      <c r="D311" s="20" t="s">
        <v>0</v>
      </c>
      <c r="E311" s="20" t="s">
        <v>6</v>
      </c>
      <c r="F311" s="81">
        <v>9</v>
      </c>
      <c r="G311" s="81">
        <v>11</v>
      </c>
      <c r="H311" s="3" t="str">
        <f t="shared" si="12"/>
        <v>GROEN</v>
      </c>
      <c r="I311" s="3" t="str">
        <f t="shared" si="13"/>
        <v>Jonas</v>
      </c>
      <c r="J311" s="4" t="str">
        <f t="shared" si="14"/>
        <v>Stef D</v>
      </c>
      <c r="K311" t="str">
        <f>Tabel3[[#This Row],[Rood Verdediging]]&amp;Tabel3[[#This Row],[Rood Aanval]]</f>
        <v>LouisStijn</v>
      </c>
      <c r="L311" t="str">
        <f>Tabel3[[#This Row],[Groen Verdediging]]&amp;Tabel3[[#This Row],[Groen Aanval]]</f>
        <v>JonasStef D</v>
      </c>
      <c r="M311" t="str">
        <f>Tabel3[[#This Row],[Winnaar 1]]&amp;Tabel3[[#This Row],[Winnaar 2]]</f>
        <v>JonasStef D</v>
      </c>
      <c r="N311" t="b">
        <f>IF(Tabel3[[#This Row],[Team Rood]]=Tabel3[[#This Row],[Winnaars]],Tabel3[[#This Row],[Team Rood]])</f>
        <v>0</v>
      </c>
      <c r="O311" t="str">
        <f>IF(Tabel3[[#This Row],[Team Groen]]=Tabel3[[#This Row],[Winnaars]],Tabel3[[#This Row],[Team Groen]])</f>
        <v>JonasStef D</v>
      </c>
    </row>
    <row r="312" spans="1:15" x14ac:dyDescent="0.25">
      <c r="A312" s="14">
        <v>312</v>
      </c>
      <c r="B312" s="19" t="s">
        <v>8</v>
      </c>
      <c r="C312" s="16" t="s">
        <v>7</v>
      </c>
      <c r="D312" s="20" t="s">
        <v>15</v>
      </c>
      <c r="E312" s="20" t="s">
        <v>6</v>
      </c>
      <c r="F312" s="81">
        <v>8</v>
      </c>
      <c r="G312" s="81">
        <v>11</v>
      </c>
      <c r="H312" s="3" t="str">
        <f t="shared" si="12"/>
        <v>GROEN</v>
      </c>
      <c r="I312" s="3" t="str">
        <f t="shared" si="13"/>
        <v>Stijn</v>
      </c>
      <c r="J312" s="4" t="str">
        <f t="shared" si="14"/>
        <v>Stef D</v>
      </c>
      <c r="K312" t="str">
        <f>Tabel3[[#This Row],[Rood Verdediging]]&amp;Tabel3[[#This Row],[Rood Aanval]]</f>
        <v>LouisTiemen</v>
      </c>
      <c r="L312" t="str">
        <f>Tabel3[[#This Row],[Groen Verdediging]]&amp;Tabel3[[#This Row],[Groen Aanval]]</f>
        <v>StijnStef D</v>
      </c>
      <c r="M312" t="str">
        <f>Tabel3[[#This Row],[Winnaar 1]]&amp;Tabel3[[#This Row],[Winnaar 2]]</f>
        <v>StijnStef D</v>
      </c>
      <c r="N312" t="b">
        <f>IF(Tabel3[[#This Row],[Team Rood]]=Tabel3[[#This Row],[Winnaars]],Tabel3[[#This Row],[Team Rood]])</f>
        <v>0</v>
      </c>
      <c r="O312" t="str">
        <f>IF(Tabel3[[#This Row],[Team Groen]]=Tabel3[[#This Row],[Winnaars]],Tabel3[[#This Row],[Team Groen]])</f>
        <v>StijnStef D</v>
      </c>
    </row>
    <row r="313" spans="1:15" x14ac:dyDescent="0.25">
      <c r="A313" s="14">
        <v>313</v>
      </c>
      <c r="B313" s="19" t="s">
        <v>8</v>
      </c>
      <c r="C313" s="16" t="s">
        <v>0</v>
      </c>
      <c r="D313" s="20" t="s">
        <v>11</v>
      </c>
      <c r="E313" s="20" t="s">
        <v>3</v>
      </c>
      <c r="F313" s="81">
        <v>9</v>
      </c>
      <c r="G313" s="81">
        <v>11</v>
      </c>
      <c r="H313" s="3" t="str">
        <f t="shared" si="12"/>
        <v>GROEN</v>
      </c>
      <c r="I313" s="3" t="str">
        <f t="shared" si="13"/>
        <v>Matthijs</v>
      </c>
      <c r="J313" s="4" t="str">
        <f t="shared" si="14"/>
        <v>Karel</v>
      </c>
      <c r="K313" t="str">
        <f>Tabel3[[#This Row],[Rood Verdediging]]&amp;Tabel3[[#This Row],[Rood Aanval]]</f>
        <v>LouisJonas</v>
      </c>
      <c r="L313" t="str">
        <f>Tabel3[[#This Row],[Groen Verdediging]]&amp;Tabel3[[#This Row],[Groen Aanval]]</f>
        <v>MatthijsKarel</v>
      </c>
      <c r="M313" t="str">
        <f>Tabel3[[#This Row],[Winnaar 1]]&amp;Tabel3[[#This Row],[Winnaar 2]]</f>
        <v>MatthijsKarel</v>
      </c>
      <c r="N313" t="b">
        <f>IF(Tabel3[[#This Row],[Team Rood]]=Tabel3[[#This Row],[Winnaars]],Tabel3[[#This Row],[Team Rood]])</f>
        <v>0</v>
      </c>
      <c r="O313" t="str">
        <f>IF(Tabel3[[#This Row],[Team Groen]]=Tabel3[[#This Row],[Winnaars]],Tabel3[[#This Row],[Team Groen]])</f>
        <v>MatthijsKarel</v>
      </c>
    </row>
    <row r="314" spans="1:15" x14ac:dyDescent="0.25">
      <c r="A314" s="14">
        <v>314</v>
      </c>
      <c r="B314" s="19" t="s">
        <v>11</v>
      </c>
      <c r="C314" s="16" t="s">
        <v>6</v>
      </c>
      <c r="D314" s="20" t="s">
        <v>3</v>
      </c>
      <c r="E314" s="20" t="s">
        <v>7</v>
      </c>
      <c r="F314" s="81">
        <v>11</v>
      </c>
      <c r="G314" s="81">
        <v>8</v>
      </c>
      <c r="H314" s="3" t="str">
        <f t="shared" si="12"/>
        <v>ROOD</v>
      </c>
      <c r="I314" s="3" t="str">
        <f t="shared" si="13"/>
        <v>Matthijs</v>
      </c>
      <c r="J314" s="4" t="str">
        <f t="shared" si="14"/>
        <v>Stef D</v>
      </c>
      <c r="K314" t="str">
        <f>Tabel3[[#This Row],[Rood Verdediging]]&amp;Tabel3[[#This Row],[Rood Aanval]]</f>
        <v>MatthijsStef D</v>
      </c>
      <c r="L314" t="str">
        <f>Tabel3[[#This Row],[Groen Verdediging]]&amp;Tabel3[[#This Row],[Groen Aanval]]</f>
        <v>KarelTiemen</v>
      </c>
      <c r="M314" t="str">
        <f>Tabel3[[#This Row],[Winnaar 1]]&amp;Tabel3[[#This Row],[Winnaar 2]]</f>
        <v>MatthijsStef D</v>
      </c>
      <c r="N314" t="str">
        <f>IF(Tabel3[[#This Row],[Team Rood]]=Tabel3[[#This Row],[Winnaars]],Tabel3[[#This Row],[Team Rood]])</f>
        <v>MatthijsStef D</v>
      </c>
      <c r="O314" t="b">
        <f>IF(Tabel3[[#This Row],[Team Groen]]=Tabel3[[#This Row],[Winnaars]],Tabel3[[#This Row],[Team Groen]])</f>
        <v>0</v>
      </c>
    </row>
    <row r="315" spans="1:15" x14ac:dyDescent="0.25">
      <c r="A315" s="14">
        <v>315</v>
      </c>
      <c r="B315" s="19" t="s">
        <v>15</v>
      </c>
      <c r="C315" s="16" t="s">
        <v>8</v>
      </c>
      <c r="D315" s="20" t="s">
        <v>0</v>
      </c>
      <c r="E315" s="20" t="s">
        <v>6</v>
      </c>
      <c r="F315" s="81">
        <v>10</v>
      </c>
      <c r="G315" s="81">
        <v>12</v>
      </c>
      <c r="H315" s="3" t="str">
        <f t="shared" si="12"/>
        <v>GROEN</v>
      </c>
      <c r="I315" s="3" t="str">
        <f t="shared" si="13"/>
        <v>Jonas</v>
      </c>
      <c r="J315" s="4" t="str">
        <f t="shared" si="14"/>
        <v>Stef D</v>
      </c>
      <c r="K315" t="str">
        <f>Tabel3[[#This Row],[Rood Verdediging]]&amp;Tabel3[[#This Row],[Rood Aanval]]</f>
        <v>StijnLouis</v>
      </c>
      <c r="L315" t="str">
        <f>Tabel3[[#This Row],[Groen Verdediging]]&amp;Tabel3[[#This Row],[Groen Aanval]]</f>
        <v>JonasStef D</v>
      </c>
      <c r="M315" t="str">
        <f>Tabel3[[#This Row],[Winnaar 1]]&amp;Tabel3[[#This Row],[Winnaar 2]]</f>
        <v>JonasStef D</v>
      </c>
      <c r="N315" t="b">
        <f>IF(Tabel3[[#This Row],[Team Rood]]=Tabel3[[#This Row],[Winnaars]],Tabel3[[#This Row],[Team Rood]])</f>
        <v>0</v>
      </c>
      <c r="O315" t="str">
        <f>IF(Tabel3[[#This Row],[Team Groen]]=Tabel3[[#This Row],[Winnaars]],Tabel3[[#This Row],[Team Groen]])</f>
        <v>JonasStef D</v>
      </c>
    </row>
    <row r="316" spans="1:15" x14ac:dyDescent="0.25">
      <c r="A316" s="14">
        <v>316</v>
      </c>
      <c r="B316" s="19" t="s">
        <v>4</v>
      </c>
      <c r="C316" s="16" t="s">
        <v>3</v>
      </c>
      <c r="D316" s="20" t="s">
        <v>11</v>
      </c>
      <c r="E316" s="20" t="s">
        <v>15</v>
      </c>
      <c r="F316" s="81">
        <v>11</v>
      </c>
      <c r="G316" s="81">
        <v>5</v>
      </c>
      <c r="H316" s="3" t="str">
        <f t="shared" si="12"/>
        <v>ROOD</v>
      </c>
      <c r="I316" s="3" t="str">
        <f t="shared" si="13"/>
        <v>Stef</v>
      </c>
      <c r="J316" s="4" t="str">
        <f t="shared" si="14"/>
        <v>Karel</v>
      </c>
      <c r="K316" t="str">
        <f>Tabel3[[#This Row],[Rood Verdediging]]&amp;Tabel3[[#This Row],[Rood Aanval]]</f>
        <v>StefKarel</v>
      </c>
      <c r="L316" t="str">
        <f>Tabel3[[#This Row],[Groen Verdediging]]&amp;Tabel3[[#This Row],[Groen Aanval]]</f>
        <v>MatthijsStijn</v>
      </c>
      <c r="M316" t="str">
        <f>Tabel3[[#This Row],[Winnaar 1]]&amp;Tabel3[[#This Row],[Winnaar 2]]</f>
        <v>StefKarel</v>
      </c>
      <c r="N316" t="str">
        <f>IF(Tabel3[[#This Row],[Team Rood]]=Tabel3[[#This Row],[Winnaars]],Tabel3[[#This Row],[Team Rood]])</f>
        <v>StefKarel</v>
      </c>
      <c r="O316" t="b">
        <f>IF(Tabel3[[#This Row],[Team Groen]]=Tabel3[[#This Row],[Winnaars]],Tabel3[[#This Row],[Team Groen]])</f>
        <v>0</v>
      </c>
    </row>
    <row r="317" spans="1:15" x14ac:dyDescent="0.25">
      <c r="A317" s="14">
        <v>317</v>
      </c>
      <c r="B317" s="19" t="s">
        <v>8</v>
      </c>
      <c r="C317" s="16" t="s">
        <v>11</v>
      </c>
      <c r="D317" s="20" t="s">
        <v>15</v>
      </c>
      <c r="E317" s="20" t="s">
        <v>3</v>
      </c>
      <c r="F317" s="81">
        <v>11</v>
      </c>
      <c r="G317" s="81">
        <v>9</v>
      </c>
      <c r="H317" s="3" t="str">
        <f t="shared" si="12"/>
        <v>ROOD</v>
      </c>
      <c r="I317" s="3" t="str">
        <f t="shared" si="13"/>
        <v>Louis</v>
      </c>
      <c r="J317" s="4" t="str">
        <f t="shared" si="14"/>
        <v>Matthijs</v>
      </c>
      <c r="K317" t="str">
        <f>Tabel3[[#This Row],[Rood Verdediging]]&amp;Tabel3[[#This Row],[Rood Aanval]]</f>
        <v>LouisMatthijs</v>
      </c>
      <c r="L317" t="str">
        <f>Tabel3[[#This Row],[Groen Verdediging]]&amp;Tabel3[[#This Row],[Groen Aanval]]</f>
        <v>StijnKarel</v>
      </c>
      <c r="M317" t="str">
        <f>Tabel3[[#This Row],[Winnaar 1]]&amp;Tabel3[[#This Row],[Winnaar 2]]</f>
        <v>LouisMatthijs</v>
      </c>
      <c r="N317" t="str">
        <f>IF(Tabel3[[#This Row],[Team Rood]]=Tabel3[[#This Row],[Winnaars]],Tabel3[[#This Row],[Team Rood]])</f>
        <v>LouisMatthijs</v>
      </c>
      <c r="O317" t="b">
        <f>IF(Tabel3[[#This Row],[Team Groen]]=Tabel3[[#This Row],[Winnaars]],Tabel3[[#This Row],[Team Groen]])</f>
        <v>0</v>
      </c>
    </row>
    <row r="318" spans="1:15" x14ac:dyDescent="0.25">
      <c r="A318" s="14">
        <v>318</v>
      </c>
      <c r="B318" s="19" t="s">
        <v>8</v>
      </c>
      <c r="C318" s="16" t="s">
        <v>6</v>
      </c>
      <c r="D318" s="20" t="s">
        <v>3</v>
      </c>
      <c r="E318" s="20" t="s">
        <v>15</v>
      </c>
      <c r="F318" s="81">
        <v>11</v>
      </c>
      <c r="G318" s="81">
        <v>6</v>
      </c>
      <c r="H318" s="3" t="str">
        <f t="shared" si="12"/>
        <v>ROOD</v>
      </c>
      <c r="I318" s="3" t="str">
        <f t="shared" si="13"/>
        <v>Louis</v>
      </c>
      <c r="J318" s="4" t="str">
        <f t="shared" si="14"/>
        <v>Stef D</v>
      </c>
      <c r="K318" t="str">
        <f>Tabel3[[#This Row],[Rood Verdediging]]&amp;Tabel3[[#This Row],[Rood Aanval]]</f>
        <v>LouisStef D</v>
      </c>
      <c r="L318" t="str">
        <f>Tabel3[[#This Row],[Groen Verdediging]]&amp;Tabel3[[#This Row],[Groen Aanval]]</f>
        <v>KarelStijn</v>
      </c>
      <c r="M318" t="str">
        <f>Tabel3[[#This Row],[Winnaar 1]]&amp;Tabel3[[#This Row],[Winnaar 2]]</f>
        <v>LouisStef D</v>
      </c>
      <c r="N318" t="str">
        <f>IF(Tabel3[[#This Row],[Team Rood]]=Tabel3[[#This Row],[Winnaars]],Tabel3[[#This Row],[Team Rood]])</f>
        <v>LouisStef D</v>
      </c>
      <c r="O318" t="b">
        <f>IF(Tabel3[[#This Row],[Team Groen]]=Tabel3[[#This Row],[Winnaars]],Tabel3[[#This Row],[Team Groen]])</f>
        <v>0</v>
      </c>
    </row>
    <row r="319" spans="1:15" x14ac:dyDescent="0.25">
      <c r="A319" s="14">
        <v>319</v>
      </c>
      <c r="B319" s="19" t="s">
        <v>15</v>
      </c>
      <c r="C319" s="16" t="s">
        <v>8</v>
      </c>
      <c r="D319" s="20" t="s">
        <v>11</v>
      </c>
      <c r="E319" s="20" t="s">
        <v>6</v>
      </c>
      <c r="F319" s="81">
        <v>3</v>
      </c>
      <c r="G319" s="81">
        <v>11</v>
      </c>
      <c r="H319" s="3" t="str">
        <f t="shared" si="12"/>
        <v>GROEN</v>
      </c>
      <c r="I319" s="3" t="str">
        <f t="shared" si="13"/>
        <v>Matthijs</v>
      </c>
      <c r="J319" s="4" t="str">
        <f t="shared" si="14"/>
        <v>Stef D</v>
      </c>
      <c r="K319" t="str">
        <f>Tabel3[[#This Row],[Rood Verdediging]]&amp;Tabel3[[#This Row],[Rood Aanval]]</f>
        <v>StijnLouis</v>
      </c>
      <c r="L319" t="str">
        <f>Tabel3[[#This Row],[Groen Verdediging]]&amp;Tabel3[[#This Row],[Groen Aanval]]</f>
        <v>MatthijsStef D</v>
      </c>
      <c r="M319" t="str">
        <f>Tabel3[[#This Row],[Winnaar 1]]&amp;Tabel3[[#This Row],[Winnaar 2]]</f>
        <v>MatthijsStef D</v>
      </c>
      <c r="N319" t="b">
        <f>IF(Tabel3[[#This Row],[Team Rood]]=Tabel3[[#This Row],[Winnaars]],Tabel3[[#This Row],[Team Rood]])</f>
        <v>0</v>
      </c>
      <c r="O319" t="str">
        <f>IF(Tabel3[[#This Row],[Team Groen]]=Tabel3[[#This Row],[Winnaars]],Tabel3[[#This Row],[Team Groen]])</f>
        <v>MatthijsStef D</v>
      </c>
    </row>
    <row r="320" spans="1:15" x14ac:dyDescent="0.25">
      <c r="A320" s="14">
        <v>320</v>
      </c>
      <c r="B320" s="19" t="s">
        <v>11</v>
      </c>
      <c r="C320" s="16" t="s">
        <v>0</v>
      </c>
      <c r="D320" s="20" t="s">
        <v>8</v>
      </c>
      <c r="E320" s="20" t="s">
        <v>6</v>
      </c>
      <c r="F320" s="81">
        <v>8</v>
      </c>
      <c r="G320" s="81">
        <v>11</v>
      </c>
      <c r="H320" s="3" t="str">
        <f t="shared" si="12"/>
        <v>GROEN</v>
      </c>
      <c r="I320" s="3" t="str">
        <f t="shared" si="13"/>
        <v>Louis</v>
      </c>
      <c r="J320" s="4" t="str">
        <f t="shared" si="14"/>
        <v>Stef D</v>
      </c>
      <c r="K320" t="str">
        <f>Tabel3[[#This Row],[Rood Verdediging]]&amp;Tabel3[[#This Row],[Rood Aanval]]</f>
        <v>MatthijsJonas</v>
      </c>
      <c r="L320" t="str">
        <f>Tabel3[[#This Row],[Groen Verdediging]]&amp;Tabel3[[#This Row],[Groen Aanval]]</f>
        <v>LouisStef D</v>
      </c>
      <c r="M320" t="str">
        <f>Tabel3[[#This Row],[Winnaar 1]]&amp;Tabel3[[#This Row],[Winnaar 2]]</f>
        <v>LouisStef D</v>
      </c>
      <c r="N320" t="b">
        <f>IF(Tabel3[[#This Row],[Team Rood]]=Tabel3[[#This Row],[Winnaars]],Tabel3[[#This Row],[Team Rood]])</f>
        <v>0</v>
      </c>
      <c r="O320" t="str">
        <f>IF(Tabel3[[#This Row],[Team Groen]]=Tabel3[[#This Row],[Winnaars]],Tabel3[[#This Row],[Team Groen]])</f>
        <v>LouisStef D</v>
      </c>
    </row>
    <row r="321" spans="1:15" x14ac:dyDescent="0.25">
      <c r="A321" s="14">
        <v>321</v>
      </c>
      <c r="B321" s="19" t="s">
        <v>8</v>
      </c>
      <c r="C321" s="16" t="s">
        <v>11</v>
      </c>
      <c r="D321" s="20" t="s">
        <v>3</v>
      </c>
      <c r="E321" s="20" t="s">
        <v>6</v>
      </c>
      <c r="F321" s="81">
        <v>3</v>
      </c>
      <c r="G321" s="81">
        <v>11</v>
      </c>
      <c r="H321" s="3" t="str">
        <f t="shared" si="12"/>
        <v>GROEN</v>
      </c>
      <c r="I321" s="3" t="str">
        <f t="shared" si="13"/>
        <v>Karel</v>
      </c>
      <c r="J321" s="4" t="str">
        <f t="shared" si="14"/>
        <v>Stef D</v>
      </c>
      <c r="K321" t="str">
        <f>Tabel3[[#This Row],[Rood Verdediging]]&amp;Tabel3[[#This Row],[Rood Aanval]]</f>
        <v>LouisMatthijs</v>
      </c>
      <c r="L321" t="str">
        <f>Tabel3[[#This Row],[Groen Verdediging]]&amp;Tabel3[[#This Row],[Groen Aanval]]</f>
        <v>KarelStef D</v>
      </c>
      <c r="M321" t="str">
        <f>Tabel3[[#This Row],[Winnaar 1]]&amp;Tabel3[[#This Row],[Winnaar 2]]</f>
        <v>KarelStef D</v>
      </c>
      <c r="N321" t="b">
        <f>IF(Tabel3[[#This Row],[Team Rood]]=Tabel3[[#This Row],[Winnaars]],Tabel3[[#This Row],[Team Rood]])</f>
        <v>0</v>
      </c>
      <c r="O321" t="str">
        <f>IF(Tabel3[[#This Row],[Team Groen]]=Tabel3[[#This Row],[Winnaars]],Tabel3[[#This Row],[Team Groen]])</f>
        <v>KarelStef D</v>
      </c>
    </row>
    <row r="322" spans="1:15" x14ac:dyDescent="0.25">
      <c r="A322" s="14">
        <v>322</v>
      </c>
      <c r="B322" s="19" t="s">
        <v>3</v>
      </c>
      <c r="C322" s="16" t="s">
        <v>13</v>
      </c>
      <c r="D322" s="20" t="s">
        <v>0</v>
      </c>
      <c r="E322" s="20" t="s">
        <v>11</v>
      </c>
      <c r="F322" s="81">
        <v>11</v>
      </c>
      <c r="G322" s="81">
        <v>8</v>
      </c>
      <c r="H322" s="3" t="str">
        <f t="shared" ref="H322:H385" si="15">IF(F322&gt;G322,"ROOD",IF(F322=G322,"","GROEN"))</f>
        <v>ROOD</v>
      </c>
      <c r="I322" s="3" t="str">
        <f t="shared" ref="I322:I332" si="16">IF(F322&gt;G322,B322,IF(F322=0,"",D322))</f>
        <v>Karel</v>
      </c>
      <c r="J322" s="4" t="str">
        <f t="shared" ref="J322:J332" si="17">IF(F322&gt;G322,C322,IF(F322=0,"",E322))</f>
        <v>Bert</v>
      </c>
      <c r="K322" t="str">
        <f>Tabel3[[#This Row],[Rood Verdediging]]&amp;Tabel3[[#This Row],[Rood Aanval]]</f>
        <v>KarelBert</v>
      </c>
      <c r="L322" t="str">
        <f>Tabel3[[#This Row],[Groen Verdediging]]&amp;Tabel3[[#This Row],[Groen Aanval]]</f>
        <v>JonasMatthijs</v>
      </c>
      <c r="M322" t="str">
        <f>Tabel3[[#This Row],[Winnaar 1]]&amp;Tabel3[[#This Row],[Winnaar 2]]</f>
        <v>KarelBert</v>
      </c>
      <c r="N322" t="str">
        <f>IF(Tabel3[[#This Row],[Team Rood]]=Tabel3[[#This Row],[Winnaars]],Tabel3[[#This Row],[Team Rood]])</f>
        <v>KarelBert</v>
      </c>
      <c r="O322" t="b">
        <f>IF(Tabel3[[#This Row],[Team Groen]]=Tabel3[[#This Row],[Winnaars]],Tabel3[[#This Row],[Team Groen]])</f>
        <v>0</v>
      </c>
    </row>
    <row r="323" spans="1:15" x14ac:dyDescent="0.25">
      <c r="A323" s="14">
        <v>323</v>
      </c>
      <c r="B323" s="19" t="s">
        <v>0</v>
      </c>
      <c r="C323" s="16" t="s">
        <v>6</v>
      </c>
      <c r="D323" s="20" t="s">
        <v>13</v>
      </c>
      <c r="E323" s="20" t="s">
        <v>8</v>
      </c>
      <c r="F323" s="81">
        <v>11</v>
      </c>
      <c r="G323" s="81">
        <v>9</v>
      </c>
      <c r="H323" s="3" t="str">
        <f t="shared" si="15"/>
        <v>ROOD</v>
      </c>
      <c r="I323" s="3" t="str">
        <f t="shared" si="16"/>
        <v>Jonas</v>
      </c>
      <c r="J323" s="4" t="str">
        <f t="shared" si="17"/>
        <v>Stef D</v>
      </c>
      <c r="K323" t="str">
        <f>Tabel3[[#This Row],[Rood Verdediging]]&amp;Tabel3[[#This Row],[Rood Aanval]]</f>
        <v>JonasStef D</v>
      </c>
      <c r="L323" t="str">
        <f>Tabel3[[#This Row],[Groen Verdediging]]&amp;Tabel3[[#This Row],[Groen Aanval]]</f>
        <v>BertLouis</v>
      </c>
      <c r="M323" t="str">
        <f>Tabel3[[#This Row],[Winnaar 1]]&amp;Tabel3[[#This Row],[Winnaar 2]]</f>
        <v>JonasStef D</v>
      </c>
      <c r="N323" t="str">
        <f>IF(Tabel3[[#This Row],[Team Rood]]=Tabel3[[#This Row],[Winnaars]],Tabel3[[#This Row],[Team Rood]])</f>
        <v>JonasStef D</v>
      </c>
      <c r="O323" t="b">
        <f>IF(Tabel3[[#This Row],[Team Groen]]=Tabel3[[#This Row],[Winnaars]],Tabel3[[#This Row],[Team Groen]])</f>
        <v>0</v>
      </c>
    </row>
    <row r="324" spans="1:15" x14ac:dyDescent="0.25">
      <c r="A324" s="14">
        <v>324</v>
      </c>
      <c r="B324" s="19" t="s">
        <v>0</v>
      </c>
      <c r="C324" s="16" t="s">
        <v>6</v>
      </c>
      <c r="D324" s="20" t="s">
        <v>8</v>
      </c>
      <c r="E324" s="20" t="s">
        <v>13</v>
      </c>
      <c r="F324" s="81">
        <v>7</v>
      </c>
      <c r="G324" s="81">
        <v>11</v>
      </c>
      <c r="H324" s="3" t="str">
        <f t="shared" si="15"/>
        <v>GROEN</v>
      </c>
      <c r="I324" s="3" t="str">
        <f t="shared" si="16"/>
        <v>Louis</v>
      </c>
      <c r="J324" s="4" t="str">
        <f t="shared" si="17"/>
        <v>Bert</v>
      </c>
      <c r="K324" t="str">
        <f>Tabel3[[#This Row],[Rood Verdediging]]&amp;Tabel3[[#This Row],[Rood Aanval]]</f>
        <v>JonasStef D</v>
      </c>
      <c r="L324" t="str">
        <f>Tabel3[[#This Row],[Groen Verdediging]]&amp;Tabel3[[#This Row],[Groen Aanval]]</f>
        <v>LouisBert</v>
      </c>
      <c r="M324" t="str">
        <f>Tabel3[[#This Row],[Winnaar 1]]&amp;Tabel3[[#This Row],[Winnaar 2]]</f>
        <v>LouisBert</v>
      </c>
      <c r="N324" t="b">
        <f>IF(Tabel3[[#This Row],[Team Rood]]=Tabel3[[#This Row],[Winnaars]],Tabel3[[#This Row],[Team Rood]])</f>
        <v>0</v>
      </c>
      <c r="O324" t="str">
        <f>IF(Tabel3[[#This Row],[Team Groen]]=Tabel3[[#This Row],[Winnaars]],Tabel3[[#This Row],[Team Groen]])</f>
        <v>LouisBert</v>
      </c>
    </row>
    <row r="325" spans="1:15" x14ac:dyDescent="0.25">
      <c r="A325" s="14">
        <v>325</v>
      </c>
      <c r="B325" s="19" t="s">
        <v>6</v>
      </c>
      <c r="C325" s="16" t="s">
        <v>11</v>
      </c>
      <c r="D325" s="20" t="s">
        <v>3</v>
      </c>
      <c r="E325" s="20" t="s">
        <v>0</v>
      </c>
      <c r="F325" s="81">
        <v>3</v>
      </c>
      <c r="G325" s="81">
        <v>11</v>
      </c>
      <c r="H325" s="3" t="str">
        <f t="shared" si="15"/>
        <v>GROEN</v>
      </c>
      <c r="I325" s="3" t="str">
        <f t="shared" si="16"/>
        <v>Karel</v>
      </c>
      <c r="J325" s="4" t="str">
        <f t="shared" si="17"/>
        <v>Jonas</v>
      </c>
      <c r="K325" t="str">
        <f>Tabel3[[#This Row],[Rood Verdediging]]&amp;Tabel3[[#This Row],[Rood Aanval]]</f>
        <v>Stef DMatthijs</v>
      </c>
      <c r="L325" t="str">
        <f>Tabel3[[#This Row],[Groen Verdediging]]&amp;Tabel3[[#This Row],[Groen Aanval]]</f>
        <v>KarelJonas</v>
      </c>
      <c r="M325" t="str">
        <f>Tabel3[[#This Row],[Winnaar 1]]&amp;Tabel3[[#This Row],[Winnaar 2]]</f>
        <v>KarelJonas</v>
      </c>
      <c r="N325" t="b">
        <f>IF(Tabel3[[#This Row],[Team Rood]]=Tabel3[[#This Row],[Winnaars]],Tabel3[[#This Row],[Team Rood]])</f>
        <v>0</v>
      </c>
      <c r="O325" t="str">
        <f>IF(Tabel3[[#This Row],[Team Groen]]=Tabel3[[#This Row],[Winnaars]],Tabel3[[#This Row],[Team Groen]])</f>
        <v>KarelJonas</v>
      </c>
    </row>
    <row r="326" spans="1:15" x14ac:dyDescent="0.25">
      <c r="A326" s="14">
        <v>326</v>
      </c>
      <c r="B326" s="19" t="s">
        <v>6</v>
      </c>
      <c r="C326" s="16" t="s">
        <v>19</v>
      </c>
      <c r="D326" s="20" t="s">
        <v>11</v>
      </c>
      <c r="E326" s="20" t="s">
        <v>0</v>
      </c>
      <c r="F326" s="81">
        <v>7</v>
      </c>
      <c r="G326" s="81">
        <v>11</v>
      </c>
      <c r="H326" s="3" t="str">
        <f t="shared" si="15"/>
        <v>GROEN</v>
      </c>
      <c r="I326" s="3" t="str">
        <f t="shared" si="16"/>
        <v>Matthijs</v>
      </c>
      <c r="J326" s="4" t="str">
        <f t="shared" si="17"/>
        <v>Jonas</v>
      </c>
      <c r="K326" t="str">
        <f>Tabel3[[#This Row],[Rood Verdediging]]&amp;Tabel3[[#This Row],[Rood Aanval]]</f>
        <v>Stef DNicolas</v>
      </c>
      <c r="L326" t="str">
        <f>Tabel3[[#This Row],[Groen Verdediging]]&amp;Tabel3[[#This Row],[Groen Aanval]]</f>
        <v>MatthijsJonas</v>
      </c>
      <c r="M326" t="str">
        <f>Tabel3[[#This Row],[Winnaar 1]]&amp;Tabel3[[#This Row],[Winnaar 2]]</f>
        <v>MatthijsJonas</v>
      </c>
      <c r="N326" t="b">
        <f>IF(Tabel3[[#This Row],[Team Rood]]=Tabel3[[#This Row],[Winnaars]],Tabel3[[#This Row],[Team Rood]])</f>
        <v>0</v>
      </c>
      <c r="O326" t="str">
        <f>IF(Tabel3[[#This Row],[Team Groen]]=Tabel3[[#This Row],[Winnaars]],Tabel3[[#This Row],[Team Groen]])</f>
        <v>MatthijsJonas</v>
      </c>
    </row>
    <row r="327" spans="1:15" x14ac:dyDescent="0.25">
      <c r="A327" s="14">
        <v>327</v>
      </c>
      <c r="B327" s="19" t="s">
        <v>19</v>
      </c>
      <c r="C327" s="16" t="s">
        <v>8</v>
      </c>
      <c r="D327" s="20" t="s">
        <v>11</v>
      </c>
      <c r="E327" s="20" t="s">
        <v>3</v>
      </c>
      <c r="F327" s="81">
        <v>4</v>
      </c>
      <c r="G327" s="81">
        <v>11</v>
      </c>
      <c r="H327" s="3" t="str">
        <f t="shared" si="15"/>
        <v>GROEN</v>
      </c>
      <c r="I327" s="3" t="str">
        <f t="shared" si="16"/>
        <v>Matthijs</v>
      </c>
      <c r="J327" s="4" t="str">
        <f t="shared" si="17"/>
        <v>Karel</v>
      </c>
      <c r="K327" t="str">
        <f>Tabel3[[#This Row],[Rood Verdediging]]&amp;Tabel3[[#This Row],[Rood Aanval]]</f>
        <v>NicolasLouis</v>
      </c>
      <c r="L327" t="str">
        <f>Tabel3[[#This Row],[Groen Verdediging]]&amp;Tabel3[[#This Row],[Groen Aanval]]</f>
        <v>MatthijsKarel</v>
      </c>
      <c r="M327" t="str">
        <f>Tabel3[[#This Row],[Winnaar 1]]&amp;Tabel3[[#This Row],[Winnaar 2]]</f>
        <v>MatthijsKarel</v>
      </c>
      <c r="N327" t="b">
        <f>IF(Tabel3[[#This Row],[Team Rood]]=Tabel3[[#This Row],[Winnaars]],Tabel3[[#This Row],[Team Rood]])</f>
        <v>0</v>
      </c>
      <c r="O327" t="str">
        <f>IF(Tabel3[[#This Row],[Team Groen]]=Tabel3[[#This Row],[Winnaars]],Tabel3[[#This Row],[Team Groen]])</f>
        <v>MatthijsKarel</v>
      </c>
    </row>
    <row r="328" spans="1:15" x14ac:dyDescent="0.25">
      <c r="A328" s="14">
        <v>328</v>
      </c>
      <c r="B328" s="19" t="s">
        <v>19</v>
      </c>
      <c r="C328" s="16" t="s">
        <v>8</v>
      </c>
      <c r="D328" s="20" t="s">
        <v>0</v>
      </c>
      <c r="E328" s="20" t="s">
        <v>13</v>
      </c>
      <c r="F328" s="81">
        <v>6</v>
      </c>
      <c r="G328" s="81">
        <v>11</v>
      </c>
      <c r="H328" s="3" t="str">
        <f t="shared" si="15"/>
        <v>GROEN</v>
      </c>
      <c r="I328" s="3" t="str">
        <f t="shared" si="16"/>
        <v>Jonas</v>
      </c>
      <c r="J328" s="4" t="str">
        <f t="shared" si="17"/>
        <v>Bert</v>
      </c>
      <c r="K328" t="str">
        <f>Tabel3[[#This Row],[Rood Verdediging]]&amp;Tabel3[[#This Row],[Rood Aanval]]</f>
        <v>NicolasLouis</v>
      </c>
      <c r="L328" t="str">
        <f>Tabel3[[#This Row],[Groen Verdediging]]&amp;Tabel3[[#This Row],[Groen Aanval]]</f>
        <v>JonasBert</v>
      </c>
      <c r="M328" t="str">
        <f>Tabel3[[#This Row],[Winnaar 1]]&amp;Tabel3[[#This Row],[Winnaar 2]]</f>
        <v>JonasBert</v>
      </c>
      <c r="N328" t="b">
        <f>IF(Tabel3[[#This Row],[Team Rood]]=Tabel3[[#This Row],[Winnaars]],Tabel3[[#This Row],[Team Rood]])</f>
        <v>0</v>
      </c>
      <c r="O328" t="str">
        <f>IF(Tabel3[[#This Row],[Team Groen]]=Tabel3[[#This Row],[Winnaars]],Tabel3[[#This Row],[Team Groen]])</f>
        <v>JonasBert</v>
      </c>
    </row>
    <row r="329" spans="1:15" x14ac:dyDescent="0.25">
      <c r="A329" s="14">
        <v>329</v>
      </c>
      <c r="B329" s="19" t="s">
        <v>13</v>
      </c>
      <c r="C329" s="16" t="s">
        <v>3</v>
      </c>
      <c r="D329" s="20" t="s">
        <v>11</v>
      </c>
      <c r="E329" s="20" t="s">
        <v>6</v>
      </c>
      <c r="F329" s="81">
        <v>11</v>
      </c>
      <c r="G329" s="81">
        <v>7</v>
      </c>
      <c r="H329" s="3" t="str">
        <f t="shared" si="15"/>
        <v>ROOD</v>
      </c>
      <c r="I329" s="3" t="str">
        <f t="shared" si="16"/>
        <v>Bert</v>
      </c>
      <c r="J329" s="4" t="str">
        <f t="shared" si="17"/>
        <v>Karel</v>
      </c>
      <c r="K329" t="str">
        <f>Tabel3[[#This Row],[Rood Verdediging]]&amp;Tabel3[[#This Row],[Rood Aanval]]</f>
        <v>BertKarel</v>
      </c>
      <c r="L329" t="str">
        <f>Tabel3[[#This Row],[Groen Verdediging]]&amp;Tabel3[[#This Row],[Groen Aanval]]</f>
        <v>MatthijsStef D</v>
      </c>
      <c r="M329" t="str">
        <f>Tabel3[[#This Row],[Winnaar 1]]&amp;Tabel3[[#This Row],[Winnaar 2]]</f>
        <v>BertKarel</v>
      </c>
      <c r="N329" t="str">
        <f>IF(Tabel3[[#This Row],[Team Rood]]=Tabel3[[#This Row],[Winnaars]],Tabel3[[#This Row],[Team Rood]])</f>
        <v>BertKarel</v>
      </c>
      <c r="O329" t="b">
        <f>IF(Tabel3[[#This Row],[Team Groen]]=Tabel3[[#This Row],[Winnaars]],Tabel3[[#This Row],[Team Groen]])</f>
        <v>0</v>
      </c>
    </row>
    <row r="330" spans="1:15" x14ac:dyDescent="0.25">
      <c r="A330" s="14">
        <v>330</v>
      </c>
      <c r="B330" s="19" t="s">
        <v>19</v>
      </c>
      <c r="C330" s="16" t="s">
        <v>8</v>
      </c>
      <c r="D330" s="20" t="s">
        <v>0</v>
      </c>
      <c r="E330" s="20" t="s">
        <v>6</v>
      </c>
      <c r="F330" s="81">
        <v>1</v>
      </c>
      <c r="G330" s="81">
        <v>11</v>
      </c>
      <c r="H330" s="3" t="s">
        <v>46</v>
      </c>
      <c r="I330" s="3" t="str">
        <f t="shared" si="16"/>
        <v>Jonas</v>
      </c>
      <c r="J330" s="4" t="str">
        <f t="shared" si="17"/>
        <v>Stef D</v>
      </c>
      <c r="K330" t="str">
        <f>Tabel3[[#This Row],[Rood Verdediging]]&amp;Tabel3[[#This Row],[Rood Aanval]]</f>
        <v>NicolasLouis</v>
      </c>
      <c r="L330" t="str">
        <f>Tabel3[[#This Row],[Groen Verdediging]]&amp;Tabel3[[#This Row],[Groen Aanval]]</f>
        <v>JonasStef D</v>
      </c>
      <c r="M330" t="str">
        <f>Tabel3[[#This Row],[Winnaar 1]]&amp;Tabel3[[#This Row],[Winnaar 2]]</f>
        <v>JonasStef D</v>
      </c>
      <c r="N330" t="b">
        <f>IF(Tabel3[[#This Row],[Team Rood]]=Tabel3[[#This Row],[Winnaars]],Tabel3[[#This Row],[Team Rood]])</f>
        <v>0</v>
      </c>
      <c r="O330" t="str">
        <f>IF(Tabel3[[#This Row],[Team Groen]]=Tabel3[[#This Row],[Winnaars]],Tabel3[[#This Row],[Team Groen]])</f>
        <v>JonasStef D</v>
      </c>
    </row>
    <row r="331" spans="1:15" x14ac:dyDescent="0.25">
      <c r="A331" s="14">
        <v>331</v>
      </c>
      <c r="B331" s="19" t="s">
        <v>11</v>
      </c>
      <c r="C331" s="16" t="s">
        <v>6</v>
      </c>
      <c r="D331" s="20" t="s">
        <v>0</v>
      </c>
      <c r="E331" s="20" t="s">
        <v>3</v>
      </c>
      <c r="F331" s="81">
        <v>11</v>
      </c>
      <c r="G331" s="81">
        <v>9</v>
      </c>
      <c r="H331" s="3" t="str">
        <f t="shared" si="15"/>
        <v>ROOD</v>
      </c>
      <c r="I331" s="3" t="str">
        <f t="shared" si="16"/>
        <v>Matthijs</v>
      </c>
      <c r="J331" s="4" t="str">
        <f t="shared" si="17"/>
        <v>Stef D</v>
      </c>
      <c r="K331" t="str">
        <f>Tabel3[[#This Row],[Rood Verdediging]]&amp;Tabel3[[#This Row],[Rood Aanval]]</f>
        <v>MatthijsStef D</v>
      </c>
      <c r="L331" t="str">
        <f>Tabel3[[#This Row],[Groen Verdediging]]&amp;Tabel3[[#This Row],[Groen Aanval]]</f>
        <v>JonasKarel</v>
      </c>
      <c r="M331" t="str">
        <f>Tabel3[[#This Row],[Winnaar 1]]&amp;Tabel3[[#This Row],[Winnaar 2]]</f>
        <v>MatthijsStef D</v>
      </c>
      <c r="N331" t="str">
        <f>IF(Tabel3[[#This Row],[Team Rood]]=Tabel3[[#This Row],[Winnaars]],Tabel3[[#This Row],[Team Rood]])</f>
        <v>MatthijsStef D</v>
      </c>
      <c r="O331" t="b">
        <f>IF(Tabel3[[#This Row],[Team Groen]]=Tabel3[[#This Row],[Winnaars]],Tabel3[[#This Row],[Team Groen]])</f>
        <v>0</v>
      </c>
    </row>
    <row r="332" spans="1:15" x14ac:dyDescent="0.25">
      <c r="A332" s="14">
        <v>332</v>
      </c>
      <c r="B332" s="19" t="s">
        <v>19</v>
      </c>
      <c r="C332" s="16" t="s">
        <v>6</v>
      </c>
      <c r="D332" s="20" t="s">
        <v>3</v>
      </c>
      <c r="E332" s="20" t="s">
        <v>11</v>
      </c>
      <c r="F332" s="81">
        <v>11</v>
      </c>
      <c r="G332" s="81">
        <v>8</v>
      </c>
      <c r="H332" s="3" t="str">
        <f t="shared" si="15"/>
        <v>ROOD</v>
      </c>
      <c r="I332" s="3" t="str">
        <f t="shared" si="16"/>
        <v>Nicolas</v>
      </c>
      <c r="J332" s="4" t="str">
        <f t="shared" si="17"/>
        <v>Stef D</v>
      </c>
      <c r="K332" t="str">
        <f>Tabel3[[#This Row],[Rood Verdediging]]&amp;Tabel3[[#This Row],[Rood Aanval]]</f>
        <v>NicolasStef D</v>
      </c>
      <c r="L332" t="str">
        <f>Tabel3[[#This Row],[Groen Verdediging]]&amp;Tabel3[[#This Row],[Groen Aanval]]</f>
        <v>KarelMatthijs</v>
      </c>
      <c r="M332" t="str">
        <f>Tabel3[[#This Row],[Winnaar 1]]&amp;Tabel3[[#This Row],[Winnaar 2]]</f>
        <v>NicolasStef D</v>
      </c>
      <c r="N332" t="str">
        <f>IF(Tabel3[[#This Row],[Team Rood]]=Tabel3[[#This Row],[Winnaars]],Tabel3[[#This Row],[Team Rood]])</f>
        <v>NicolasStef D</v>
      </c>
      <c r="O332" t="b">
        <f>IF(Tabel3[[#This Row],[Team Groen]]=Tabel3[[#This Row],[Winnaars]],Tabel3[[#This Row],[Team Groen]])</f>
        <v>0</v>
      </c>
    </row>
    <row r="333" spans="1:15" x14ac:dyDescent="0.25">
      <c r="A333" s="14">
        <v>333</v>
      </c>
      <c r="B333" s="19" t="s">
        <v>12</v>
      </c>
      <c r="C333" s="16" t="s">
        <v>7</v>
      </c>
      <c r="D333" s="20" t="s">
        <v>0</v>
      </c>
      <c r="E333" s="20" t="s">
        <v>6</v>
      </c>
      <c r="F333" s="81">
        <v>4</v>
      </c>
      <c r="G333" s="81">
        <v>11</v>
      </c>
      <c r="H333" s="3" t="str">
        <f t="shared" si="15"/>
        <v>GROEN</v>
      </c>
      <c r="I333" s="3" t="str">
        <f t="shared" ref="I333:I396" si="18">IF(F333&gt;G333,B333,IF(F333=0,"",D333))</f>
        <v>Jonas</v>
      </c>
      <c r="J333" s="4" t="str">
        <f t="shared" ref="J333:J396" si="19">IF(F333&gt;G333,C333,IF(F333=0,"",E333))</f>
        <v>Stef D</v>
      </c>
      <c r="K333" t="str">
        <f>Tabel3[[#This Row],[Rood Verdediging]]&amp;Tabel3[[#This Row],[Rood Aanval]]</f>
        <v>AlexanderTiemen</v>
      </c>
      <c r="L333" t="str">
        <f>Tabel3[[#This Row],[Groen Verdediging]]&amp;Tabel3[[#This Row],[Groen Aanval]]</f>
        <v>JonasStef D</v>
      </c>
      <c r="M333" t="str">
        <f>Tabel3[[#This Row],[Winnaar 1]]&amp;Tabel3[[#This Row],[Winnaar 2]]</f>
        <v>JonasStef D</v>
      </c>
      <c r="N333" t="b">
        <f>IF(Tabel3[[#This Row],[Team Rood]]=Tabel3[[#This Row],[Winnaars]],Tabel3[[#This Row],[Team Rood]])</f>
        <v>0</v>
      </c>
      <c r="O333" t="str">
        <f>IF(Tabel3[[#This Row],[Team Groen]]=Tabel3[[#This Row],[Winnaars]],Tabel3[[#This Row],[Team Groen]])</f>
        <v>JonasStef D</v>
      </c>
    </row>
    <row r="334" spans="1:15" x14ac:dyDescent="0.25">
      <c r="A334" s="14">
        <v>334</v>
      </c>
      <c r="B334" s="19" t="s">
        <v>0</v>
      </c>
      <c r="C334" s="16" t="s">
        <v>7</v>
      </c>
      <c r="D334" s="20" t="s">
        <v>6</v>
      </c>
      <c r="E334" s="20" t="s">
        <v>12</v>
      </c>
      <c r="F334" s="81">
        <v>11</v>
      </c>
      <c r="G334" s="81">
        <v>9</v>
      </c>
      <c r="H334" s="3" t="str">
        <f t="shared" si="15"/>
        <v>ROOD</v>
      </c>
      <c r="I334" s="3" t="str">
        <f t="shared" si="18"/>
        <v>Jonas</v>
      </c>
      <c r="J334" s="4" t="str">
        <f t="shared" si="19"/>
        <v>Tiemen</v>
      </c>
      <c r="K334" t="str">
        <f>Tabel3[[#This Row],[Rood Verdediging]]&amp;Tabel3[[#This Row],[Rood Aanval]]</f>
        <v>JonasTiemen</v>
      </c>
      <c r="L334" t="str">
        <f>Tabel3[[#This Row],[Groen Verdediging]]&amp;Tabel3[[#This Row],[Groen Aanval]]</f>
        <v>Stef DAlexander</v>
      </c>
      <c r="M334" t="str">
        <f>Tabel3[[#This Row],[Winnaar 1]]&amp;Tabel3[[#This Row],[Winnaar 2]]</f>
        <v>JonasTiemen</v>
      </c>
      <c r="N334" t="str">
        <f>IF(Tabel3[[#This Row],[Team Rood]]=Tabel3[[#This Row],[Winnaars]],Tabel3[[#This Row],[Team Rood]])</f>
        <v>JonasTiemen</v>
      </c>
      <c r="O334" t="b">
        <f>IF(Tabel3[[#This Row],[Team Groen]]=Tabel3[[#This Row],[Winnaars]],Tabel3[[#This Row],[Team Groen]])</f>
        <v>0</v>
      </c>
    </row>
    <row r="335" spans="1:15" x14ac:dyDescent="0.25">
      <c r="A335" s="14">
        <v>335</v>
      </c>
      <c r="B335" s="19" t="s">
        <v>0</v>
      </c>
      <c r="C335" s="16" t="s">
        <v>13</v>
      </c>
      <c r="D335" s="20" t="s">
        <v>6</v>
      </c>
      <c r="E335" s="20" t="s">
        <v>12</v>
      </c>
      <c r="F335" s="81">
        <v>11</v>
      </c>
      <c r="G335" s="81">
        <v>7</v>
      </c>
      <c r="H335" s="3" t="str">
        <f t="shared" si="15"/>
        <v>ROOD</v>
      </c>
      <c r="I335" s="3" t="str">
        <f t="shared" si="18"/>
        <v>Jonas</v>
      </c>
      <c r="J335" s="4" t="str">
        <f t="shared" si="19"/>
        <v>Bert</v>
      </c>
      <c r="K335" t="str">
        <f>Tabel3[[#This Row],[Rood Verdediging]]&amp;Tabel3[[#This Row],[Rood Aanval]]</f>
        <v>JonasBert</v>
      </c>
      <c r="L335" t="str">
        <f>Tabel3[[#This Row],[Groen Verdediging]]&amp;Tabel3[[#This Row],[Groen Aanval]]</f>
        <v>Stef DAlexander</v>
      </c>
      <c r="M335" t="str">
        <f>Tabel3[[#This Row],[Winnaar 1]]&amp;Tabel3[[#This Row],[Winnaar 2]]</f>
        <v>JonasBert</v>
      </c>
      <c r="N335" t="str">
        <f>IF(Tabel3[[#This Row],[Team Rood]]=Tabel3[[#This Row],[Winnaars]],Tabel3[[#This Row],[Team Rood]])</f>
        <v>JonasBert</v>
      </c>
      <c r="O335" t="b">
        <f>IF(Tabel3[[#This Row],[Team Groen]]=Tabel3[[#This Row],[Winnaars]],Tabel3[[#This Row],[Team Groen]])</f>
        <v>0</v>
      </c>
    </row>
    <row r="336" spans="1:15" x14ac:dyDescent="0.25">
      <c r="A336" s="14">
        <v>336</v>
      </c>
      <c r="B336" s="19" t="s">
        <v>12</v>
      </c>
      <c r="C336" s="16" t="s">
        <v>13</v>
      </c>
      <c r="D336" s="20" t="s">
        <v>6</v>
      </c>
      <c r="E336" s="20" t="s">
        <v>7</v>
      </c>
      <c r="F336" s="81">
        <v>5</v>
      </c>
      <c r="G336" s="81">
        <v>11</v>
      </c>
      <c r="H336" s="3" t="str">
        <f t="shared" si="15"/>
        <v>GROEN</v>
      </c>
      <c r="I336" s="3" t="str">
        <f t="shared" si="18"/>
        <v>Stef D</v>
      </c>
      <c r="J336" s="4" t="str">
        <f t="shared" si="19"/>
        <v>Tiemen</v>
      </c>
      <c r="K336" t="str">
        <f>Tabel3[[#This Row],[Rood Verdediging]]&amp;Tabel3[[#This Row],[Rood Aanval]]</f>
        <v>AlexanderBert</v>
      </c>
      <c r="L336" t="str">
        <f>Tabel3[[#This Row],[Groen Verdediging]]&amp;Tabel3[[#This Row],[Groen Aanval]]</f>
        <v>Stef DTiemen</v>
      </c>
      <c r="M336" t="str">
        <f>Tabel3[[#This Row],[Winnaar 1]]&amp;Tabel3[[#This Row],[Winnaar 2]]</f>
        <v>Stef DTiemen</v>
      </c>
      <c r="N336" t="b">
        <f>IF(Tabel3[[#This Row],[Team Rood]]=Tabel3[[#This Row],[Winnaars]],Tabel3[[#This Row],[Team Rood]])</f>
        <v>0</v>
      </c>
      <c r="O336" t="str">
        <f>IF(Tabel3[[#This Row],[Team Groen]]=Tabel3[[#This Row],[Winnaars]],Tabel3[[#This Row],[Team Groen]])</f>
        <v>Stef DTiemen</v>
      </c>
    </row>
    <row r="337" spans="1:15" x14ac:dyDescent="0.25">
      <c r="A337" s="14">
        <v>337</v>
      </c>
      <c r="B337" s="19" t="s">
        <v>7</v>
      </c>
      <c r="C337" s="16" t="s">
        <v>13</v>
      </c>
      <c r="D337" s="20" t="s">
        <v>0</v>
      </c>
      <c r="E337" s="20" t="s">
        <v>6</v>
      </c>
      <c r="F337" s="81">
        <v>8</v>
      </c>
      <c r="G337" s="81">
        <v>11</v>
      </c>
      <c r="H337" s="3" t="str">
        <f t="shared" si="15"/>
        <v>GROEN</v>
      </c>
      <c r="I337" s="3" t="str">
        <f t="shared" si="18"/>
        <v>Jonas</v>
      </c>
      <c r="J337" s="4" t="str">
        <f t="shared" si="19"/>
        <v>Stef D</v>
      </c>
      <c r="K337" t="str">
        <f>Tabel3[[#This Row],[Rood Verdediging]]&amp;Tabel3[[#This Row],[Rood Aanval]]</f>
        <v>TiemenBert</v>
      </c>
      <c r="L337" t="str">
        <f>Tabel3[[#This Row],[Groen Verdediging]]&amp;Tabel3[[#This Row],[Groen Aanval]]</f>
        <v>JonasStef D</v>
      </c>
      <c r="M337" t="str">
        <f>Tabel3[[#This Row],[Winnaar 1]]&amp;Tabel3[[#This Row],[Winnaar 2]]</f>
        <v>JonasStef D</v>
      </c>
      <c r="N337" t="b">
        <f>IF(Tabel3[[#This Row],[Team Rood]]=Tabel3[[#This Row],[Winnaars]],Tabel3[[#This Row],[Team Rood]])</f>
        <v>0</v>
      </c>
      <c r="O337" t="str">
        <f>IF(Tabel3[[#This Row],[Team Groen]]=Tabel3[[#This Row],[Winnaars]],Tabel3[[#This Row],[Team Groen]])</f>
        <v>JonasStef D</v>
      </c>
    </row>
    <row r="338" spans="1:15" x14ac:dyDescent="0.25">
      <c r="A338" s="14">
        <v>338</v>
      </c>
      <c r="B338" s="19" t="s">
        <v>13</v>
      </c>
      <c r="C338" s="16" t="s">
        <v>0</v>
      </c>
      <c r="D338" s="20" t="s">
        <v>6</v>
      </c>
      <c r="E338" s="20" t="s">
        <v>7</v>
      </c>
      <c r="F338" s="81">
        <v>12</v>
      </c>
      <c r="G338" s="81">
        <v>10</v>
      </c>
      <c r="H338" s="3" t="str">
        <f t="shared" si="15"/>
        <v>ROOD</v>
      </c>
      <c r="I338" s="3" t="str">
        <f t="shared" si="18"/>
        <v>Bert</v>
      </c>
      <c r="J338" s="4" t="str">
        <f t="shared" si="19"/>
        <v>Jonas</v>
      </c>
      <c r="K338" t="str">
        <f>Tabel3[[#This Row],[Rood Verdediging]]&amp;Tabel3[[#This Row],[Rood Aanval]]</f>
        <v>BertJonas</v>
      </c>
      <c r="L338" t="str">
        <f>Tabel3[[#This Row],[Groen Verdediging]]&amp;Tabel3[[#This Row],[Groen Aanval]]</f>
        <v>Stef DTiemen</v>
      </c>
      <c r="M338" t="str">
        <f>Tabel3[[#This Row],[Winnaar 1]]&amp;Tabel3[[#This Row],[Winnaar 2]]</f>
        <v>BertJonas</v>
      </c>
      <c r="N338" t="str">
        <f>IF(Tabel3[[#This Row],[Team Rood]]=Tabel3[[#This Row],[Winnaars]],Tabel3[[#This Row],[Team Rood]])</f>
        <v>BertJonas</v>
      </c>
      <c r="O338" t="b">
        <f>IF(Tabel3[[#This Row],[Team Groen]]=Tabel3[[#This Row],[Winnaars]],Tabel3[[#This Row],[Team Groen]])</f>
        <v>0</v>
      </c>
    </row>
    <row r="339" spans="1:15" x14ac:dyDescent="0.25">
      <c r="A339" s="14">
        <v>339</v>
      </c>
      <c r="B339" s="19" t="s">
        <v>0</v>
      </c>
      <c r="C339" s="16" t="s">
        <v>7</v>
      </c>
      <c r="D339" s="20" t="s">
        <v>13</v>
      </c>
      <c r="E339" s="20" t="s">
        <v>6</v>
      </c>
      <c r="F339" s="81">
        <v>11</v>
      </c>
      <c r="G339" s="81">
        <v>9</v>
      </c>
      <c r="H339" s="3" t="str">
        <f t="shared" si="15"/>
        <v>ROOD</v>
      </c>
      <c r="I339" s="3" t="str">
        <f t="shared" si="18"/>
        <v>Jonas</v>
      </c>
      <c r="J339" s="4" t="str">
        <f t="shared" si="19"/>
        <v>Tiemen</v>
      </c>
      <c r="K339" t="str">
        <f>Tabel3[[#This Row],[Rood Verdediging]]&amp;Tabel3[[#This Row],[Rood Aanval]]</f>
        <v>JonasTiemen</v>
      </c>
      <c r="L339" t="str">
        <f>Tabel3[[#This Row],[Groen Verdediging]]&amp;Tabel3[[#This Row],[Groen Aanval]]</f>
        <v>BertStef D</v>
      </c>
      <c r="M339" t="str">
        <f>Tabel3[[#This Row],[Winnaar 1]]&amp;Tabel3[[#This Row],[Winnaar 2]]</f>
        <v>JonasTiemen</v>
      </c>
      <c r="N339" t="str">
        <f>IF(Tabel3[[#This Row],[Team Rood]]=Tabel3[[#This Row],[Winnaars]],Tabel3[[#This Row],[Team Rood]])</f>
        <v>JonasTiemen</v>
      </c>
      <c r="O339" t="b">
        <f>IF(Tabel3[[#This Row],[Team Groen]]=Tabel3[[#This Row],[Winnaars]],Tabel3[[#This Row],[Team Groen]])</f>
        <v>0</v>
      </c>
    </row>
    <row r="340" spans="1:15" x14ac:dyDescent="0.25">
      <c r="A340" s="14">
        <v>340</v>
      </c>
      <c r="B340" s="19" t="s">
        <v>7</v>
      </c>
      <c r="C340" s="16" t="s">
        <v>0</v>
      </c>
      <c r="D340" s="20" t="s">
        <v>11</v>
      </c>
      <c r="E340" s="20" t="s">
        <v>6</v>
      </c>
      <c r="F340" s="81">
        <v>11</v>
      </c>
      <c r="G340" s="81">
        <v>9</v>
      </c>
      <c r="H340" s="3" t="str">
        <f t="shared" si="15"/>
        <v>ROOD</v>
      </c>
      <c r="I340" s="3" t="str">
        <f t="shared" si="18"/>
        <v>Tiemen</v>
      </c>
      <c r="J340" s="4" t="str">
        <f t="shared" si="19"/>
        <v>Jonas</v>
      </c>
      <c r="K340" t="str">
        <f>Tabel3[[#This Row],[Rood Verdediging]]&amp;Tabel3[[#This Row],[Rood Aanval]]</f>
        <v>TiemenJonas</v>
      </c>
      <c r="L340" t="str">
        <f>Tabel3[[#This Row],[Groen Verdediging]]&amp;Tabel3[[#This Row],[Groen Aanval]]</f>
        <v>MatthijsStef D</v>
      </c>
      <c r="M340" t="str">
        <f>Tabel3[[#This Row],[Winnaar 1]]&amp;Tabel3[[#This Row],[Winnaar 2]]</f>
        <v>TiemenJonas</v>
      </c>
      <c r="N340" t="str">
        <f>IF(Tabel3[[#This Row],[Team Rood]]=Tabel3[[#This Row],[Winnaars]],Tabel3[[#This Row],[Team Rood]])</f>
        <v>TiemenJonas</v>
      </c>
      <c r="O340" t="b">
        <f>IF(Tabel3[[#This Row],[Team Groen]]=Tabel3[[#This Row],[Winnaars]],Tabel3[[#This Row],[Team Groen]])</f>
        <v>0</v>
      </c>
    </row>
    <row r="341" spans="1:15" x14ac:dyDescent="0.25">
      <c r="A341" s="14">
        <v>341</v>
      </c>
      <c r="B341" s="19" t="s">
        <v>8</v>
      </c>
      <c r="C341" s="16" t="s">
        <v>0</v>
      </c>
      <c r="D341" s="20" t="s">
        <v>6</v>
      </c>
      <c r="E341" s="20" t="s">
        <v>13</v>
      </c>
      <c r="F341" s="81">
        <v>11</v>
      </c>
      <c r="G341" s="81">
        <v>3</v>
      </c>
      <c r="H341" s="3" t="str">
        <f t="shared" si="15"/>
        <v>ROOD</v>
      </c>
      <c r="I341" s="3" t="str">
        <f t="shared" si="18"/>
        <v>Louis</v>
      </c>
      <c r="J341" s="4" t="str">
        <f t="shared" si="19"/>
        <v>Jonas</v>
      </c>
      <c r="K341" t="str">
        <f>Tabel3[[#This Row],[Rood Verdediging]]&amp;Tabel3[[#This Row],[Rood Aanval]]</f>
        <v>LouisJonas</v>
      </c>
      <c r="L341" t="str">
        <f>Tabel3[[#This Row],[Groen Verdediging]]&amp;Tabel3[[#This Row],[Groen Aanval]]</f>
        <v>Stef DBert</v>
      </c>
      <c r="M341" t="str">
        <f>Tabel3[[#This Row],[Winnaar 1]]&amp;Tabel3[[#This Row],[Winnaar 2]]</f>
        <v>LouisJonas</v>
      </c>
      <c r="N341" t="str">
        <f>IF(Tabel3[[#This Row],[Team Rood]]=Tabel3[[#This Row],[Winnaars]],Tabel3[[#This Row],[Team Rood]])</f>
        <v>LouisJonas</v>
      </c>
      <c r="O341" t="b">
        <f>IF(Tabel3[[#This Row],[Team Groen]]=Tabel3[[#This Row],[Winnaars]],Tabel3[[#This Row],[Team Groen]])</f>
        <v>0</v>
      </c>
    </row>
    <row r="342" spans="1:15" x14ac:dyDescent="0.25">
      <c r="A342" s="14">
        <v>342</v>
      </c>
      <c r="B342" s="19" t="s">
        <v>11</v>
      </c>
      <c r="C342" s="16" t="s">
        <v>6</v>
      </c>
      <c r="D342" s="20" t="s">
        <v>0</v>
      </c>
      <c r="E342" s="20" t="s">
        <v>7</v>
      </c>
      <c r="F342" s="81">
        <v>11</v>
      </c>
      <c r="G342" s="81">
        <v>8</v>
      </c>
      <c r="H342" s="3" t="str">
        <f t="shared" si="15"/>
        <v>ROOD</v>
      </c>
      <c r="I342" s="3" t="str">
        <f t="shared" si="18"/>
        <v>Matthijs</v>
      </c>
      <c r="J342" s="4" t="str">
        <f t="shared" si="19"/>
        <v>Stef D</v>
      </c>
      <c r="K342" t="str">
        <f>Tabel3[[#This Row],[Rood Verdediging]]&amp;Tabel3[[#This Row],[Rood Aanval]]</f>
        <v>MatthijsStef D</v>
      </c>
      <c r="L342" t="str">
        <f>Tabel3[[#This Row],[Groen Verdediging]]&amp;Tabel3[[#This Row],[Groen Aanval]]</f>
        <v>JonasTiemen</v>
      </c>
      <c r="M342" t="str">
        <f>Tabel3[[#This Row],[Winnaar 1]]&amp;Tabel3[[#This Row],[Winnaar 2]]</f>
        <v>MatthijsStef D</v>
      </c>
      <c r="N342" t="str">
        <f>IF(Tabel3[[#This Row],[Team Rood]]=Tabel3[[#This Row],[Winnaars]],Tabel3[[#This Row],[Team Rood]])</f>
        <v>MatthijsStef D</v>
      </c>
      <c r="O342" t="b">
        <f>IF(Tabel3[[#This Row],[Team Groen]]=Tabel3[[#This Row],[Winnaars]],Tabel3[[#This Row],[Team Groen]])</f>
        <v>0</v>
      </c>
    </row>
    <row r="343" spans="1:15" x14ac:dyDescent="0.25">
      <c r="A343" s="14">
        <v>343</v>
      </c>
      <c r="B343" s="207" t="s">
        <v>11</v>
      </c>
      <c r="C343" s="207" t="s">
        <v>19</v>
      </c>
      <c r="D343" s="208" t="s">
        <v>6</v>
      </c>
      <c r="E343" s="208" t="s">
        <v>7</v>
      </c>
      <c r="F343" s="81">
        <v>9</v>
      </c>
      <c r="G343" s="81">
        <v>11</v>
      </c>
      <c r="H343" s="3" t="str">
        <f t="shared" si="15"/>
        <v>GROEN</v>
      </c>
      <c r="I343" s="3" t="str">
        <f t="shared" si="18"/>
        <v>Stef D</v>
      </c>
      <c r="J343" s="4" t="str">
        <f t="shared" si="19"/>
        <v>Tiemen</v>
      </c>
      <c r="K343" t="str">
        <f>Tabel3[[#This Row],[Rood Verdediging]]&amp;Tabel3[[#This Row],[Rood Aanval]]</f>
        <v>MatthijsNicolas</v>
      </c>
      <c r="L343" t="str">
        <f>Tabel3[[#This Row],[Groen Verdediging]]&amp;Tabel3[[#This Row],[Groen Aanval]]</f>
        <v>Stef DTiemen</v>
      </c>
      <c r="M343" t="str">
        <f>Tabel3[[#This Row],[Winnaar 1]]&amp;Tabel3[[#This Row],[Winnaar 2]]</f>
        <v>Stef DTiemen</v>
      </c>
      <c r="N343" t="b">
        <f>IF(Tabel3[[#This Row],[Team Rood]]=Tabel3[[#This Row],[Winnaars]],Tabel3[[#This Row],[Team Rood]])</f>
        <v>0</v>
      </c>
      <c r="O343" t="str">
        <f>IF(Tabel3[[#This Row],[Team Groen]]=Tabel3[[#This Row],[Winnaars]],Tabel3[[#This Row],[Team Groen]])</f>
        <v>Stef DTiemen</v>
      </c>
    </row>
    <row r="344" spans="1:15" x14ac:dyDescent="0.25">
      <c r="A344" s="14">
        <v>344</v>
      </c>
      <c r="B344" s="205" t="s">
        <v>0</v>
      </c>
      <c r="C344" s="205" t="s">
        <v>11</v>
      </c>
      <c r="D344" s="206" t="s">
        <v>7</v>
      </c>
      <c r="E344" s="206" t="s">
        <v>6</v>
      </c>
      <c r="F344" s="81">
        <v>11</v>
      </c>
      <c r="G344" s="81">
        <v>9</v>
      </c>
      <c r="H344" s="3" t="str">
        <f t="shared" si="15"/>
        <v>ROOD</v>
      </c>
      <c r="I344" s="3" t="str">
        <f t="shared" si="18"/>
        <v>Jonas</v>
      </c>
      <c r="J344" s="4" t="str">
        <f t="shared" si="19"/>
        <v>Matthijs</v>
      </c>
      <c r="K344" t="str">
        <f>Tabel3[[#This Row],[Rood Verdediging]]&amp;Tabel3[[#This Row],[Rood Aanval]]</f>
        <v>JonasMatthijs</v>
      </c>
      <c r="L344" t="str">
        <f>Tabel3[[#This Row],[Groen Verdediging]]&amp;Tabel3[[#This Row],[Groen Aanval]]</f>
        <v>TiemenStef D</v>
      </c>
      <c r="M344" t="str">
        <f>Tabel3[[#This Row],[Winnaar 1]]&amp;Tabel3[[#This Row],[Winnaar 2]]</f>
        <v>JonasMatthijs</v>
      </c>
      <c r="N344" t="str">
        <f>IF(Tabel3[[#This Row],[Team Rood]]=Tabel3[[#This Row],[Winnaars]],Tabel3[[#This Row],[Team Rood]])</f>
        <v>JonasMatthijs</v>
      </c>
      <c r="O344" t="b">
        <f>IF(Tabel3[[#This Row],[Team Groen]]=Tabel3[[#This Row],[Winnaars]],Tabel3[[#This Row],[Team Groen]])</f>
        <v>0</v>
      </c>
    </row>
    <row r="345" spans="1:15" x14ac:dyDescent="0.25">
      <c r="A345" s="14">
        <v>345</v>
      </c>
      <c r="B345" s="205" t="s">
        <v>0</v>
      </c>
      <c r="C345" s="205" t="s">
        <v>6</v>
      </c>
      <c r="D345" s="206" t="s">
        <v>11</v>
      </c>
      <c r="E345" s="206" t="s">
        <v>7</v>
      </c>
      <c r="F345" s="81">
        <v>11</v>
      </c>
      <c r="G345" s="81">
        <v>6</v>
      </c>
      <c r="H345" s="3" t="str">
        <f t="shared" si="15"/>
        <v>ROOD</v>
      </c>
      <c r="I345" s="3" t="str">
        <f t="shared" si="18"/>
        <v>Jonas</v>
      </c>
      <c r="J345" s="4" t="str">
        <f t="shared" si="19"/>
        <v>Stef D</v>
      </c>
      <c r="K345" t="str">
        <f>Tabel3[[#This Row],[Rood Verdediging]]&amp;Tabel3[[#This Row],[Rood Aanval]]</f>
        <v>JonasStef D</v>
      </c>
      <c r="L345" t="str">
        <f>Tabel3[[#This Row],[Groen Verdediging]]&amp;Tabel3[[#This Row],[Groen Aanval]]</f>
        <v>MatthijsTiemen</v>
      </c>
      <c r="M345" t="str">
        <f>Tabel3[[#This Row],[Winnaar 1]]&amp;Tabel3[[#This Row],[Winnaar 2]]</f>
        <v>JonasStef D</v>
      </c>
      <c r="N345" t="str">
        <f>IF(Tabel3[[#This Row],[Team Rood]]=Tabel3[[#This Row],[Winnaars]],Tabel3[[#This Row],[Team Rood]])</f>
        <v>JonasStef D</v>
      </c>
      <c r="O345" t="b">
        <f>IF(Tabel3[[#This Row],[Team Groen]]=Tabel3[[#This Row],[Winnaars]],Tabel3[[#This Row],[Team Groen]])</f>
        <v>0</v>
      </c>
    </row>
    <row r="346" spans="1:15" x14ac:dyDescent="0.25">
      <c r="A346" s="14">
        <v>346</v>
      </c>
      <c r="B346" s="205" t="s">
        <v>11</v>
      </c>
      <c r="C346" s="205" t="s">
        <v>0</v>
      </c>
      <c r="D346" s="206" t="s">
        <v>19</v>
      </c>
      <c r="E346" s="206" t="s">
        <v>44</v>
      </c>
      <c r="F346" s="81">
        <v>11</v>
      </c>
      <c r="G346" s="81">
        <v>9</v>
      </c>
      <c r="H346" s="3" t="str">
        <f t="shared" si="15"/>
        <v>ROOD</v>
      </c>
      <c r="I346" s="3" t="str">
        <f t="shared" si="18"/>
        <v>Matthijs</v>
      </c>
      <c r="J346" s="4" t="str">
        <f t="shared" si="19"/>
        <v>Jonas</v>
      </c>
      <c r="K346" t="str">
        <f>Tabel3[[#This Row],[Rood Verdediging]]&amp;Tabel3[[#This Row],[Rood Aanval]]</f>
        <v>MatthijsJonas</v>
      </c>
      <c r="L346" t="str">
        <f>Tabel3[[#This Row],[Groen Verdediging]]&amp;Tabel3[[#This Row],[Groen Aanval]]</f>
        <v xml:space="preserve">NicolasStef D </v>
      </c>
      <c r="M346" t="str">
        <f>Tabel3[[#This Row],[Winnaar 1]]&amp;Tabel3[[#This Row],[Winnaar 2]]</f>
        <v>MatthijsJonas</v>
      </c>
      <c r="N346" t="str">
        <f>IF(Tabel3[[#This Row],[Team Rood]]=Tabel3[[#This Row],[Winnaars]],Tabel3[[#This Row],[Team Rood]])</f>
        <v>MatthijsJonas</v>
      </c>
      <c r="O346" t="b">
        <f>IF(Tabel3[[#This Row],[Team Groen]]=Tabel3[[#This Row],[Winnaars]],Tabel3[[#This Row],[Team Groen]])</f>
        <v>0</v>
      </c>
    </row>
    <row r="347" spans="1:15" x14ac:dyDescent="0.25">
      <c r="A347" s="14">
        <v>347</v>
      </c>
      <c r="B347" s="205" t="s">
        <v>8</v>
      </c>
      <c r="C347" s="205" t="s">
        <v>7</v>
      </c>
      <c r="D347" s="206" t="s">
        <v>6</v>
      </c>
      <c r="E347" s="206" t="s">
        <v>13</v>
      </c>
      <c r="F347" s="81">
        <v>11</v>
      </c>
      <c r="G347" s="81">
        <v>8</v>
      </c>
      <c r="H347" s="3" t="str">
        <f t="shared" si="15"/>
        <v>ROOD</v>
      </c>
      <c r="I347" s="3" t="str">
        <f t="shared" si="18"/>
        <v>Louis</v>
      </c>
      <c r="J347" s="4" t="str">
        <f t="shared" si="19"/>
        <v>Tiemen</v>
      </c>
      <c r="K347" t="str">
        <f>Tabel3[[#This Row],[Rood Verdediging]]&amp;Tabel3[[#This Row],[Rood Aanval]]</f>
        <v>LouisTiemen</v>
      </c>
      <c r="L347" t="str">
        <f>Tabel3[[#This Row],[Groen Verdediging]]&amp;Tabel3[[#This Row],[Groen Aanval]]</f>
        <v>Stef DBert</v>
      </c>
      <c r="M347" t="str">
        <f>Tabel3[[#This Row],[Winnaar 1]]&amp;Tabel3[[#This Row],[Winnaar 2]]</f>
        <v>LouisTiemen</v>
      </c>
      <c r="N347" t="str">
        <f>IF(Tabel3[[#This Row],[Team Rood]]=Tabel3[[#This Row],[Winnaars]],Tabel3[[#This Row],[Team Rood]])</f>
        <v>LouisTiemen</v>
      </c>
      <c r="O347" t="b">
        <f>IF(Tabel3[[#This Row],[Team Groen]]=Tabel3[[#This Row],[Winnaars]],Tabel3[[#This Row],[Team Groen]])</f>
        <v>0</v>
      </c>
    </row>
    <row r="348" spans="1:15" x14ac:dyDescent="0.25">
      <c r="A348" s="14">
        <v>348</v>
      </c>
      <c r="B348" s="205" t="s">
        <v>11</v>
      </c>
      <c r="C348" s="205" t="s">
        <v>6</v>
      </c>
      <c r="D348" s="206" t="s">
        <v>0</v>
      </c>
      <c r="E348" s="206" t="s">
        <v>7</v>
      </c>
      <c r="F348" s="81">
        <v>11</v>
      </c>
      <c r="G348" s="81">
        <v>6</v>
      </c>
      <c r="H348" s="3" t="str">
        <f t="shared" si="15"/>
        <v>ROOD</v>
      </c>
      <c r="I348" s="3" t="str">
        <f t="shared" si="18"/>
        <v>Matthijs</v>
      </c>
      <c r="J348" s="4" t="str">
        <f t="shared" si="19"/>
        <v>Stef D</v>
      </c>
      <c r="K348" t="str">
        <f>Tabel3[[#This Row],[Rood Verdediging]]&amp;Tabel3[[#This Row],[Rood Aanval]]</f>
        <v>MatthijsStef D</v>
      </c>
      <c r="L348" t="str">
        <f>Tabel3[[#This Row],[Groen Verdediging]]&amp;Tabel3[[#This Row],[Groen Aanval]]</f>
        <v>JonasTiemen</v>
      </c>
      <c r="M348" t="str">
        <f>Tabel3[[#This Row],[Winnaar 1]]&amp;Tabel3[[#This Row],[Winnaar 2]]</f>
        <v>MatthijsStef D</v>
      </c>
      <c r="N348" t="str">
        <f>IF(Tabel3[[#This Row],[Team Rood]]=Tabel3[[#This Row],[Winnaars]],Tabel3[[#This Row],[Team Rood]])</f>
        <v>MatthijsStef D</v>
      </c>
      <c r="O348" t="b">
        <f>IF(Tabel3[[#This Row],[Team Groen]]=Tabel3[[#This Row],[Winnaars]],Tabel3[[#This Row],[Team Groen]])</f>
        <v>0</v>
      </c>
    </row>
    <row r="349" spans="1:15" x14ac:dyDescent="0.25">
      <c r="A349" s="14">
        <v>349</v>
      </c>
      <c r="B349" s="205" t="s">
        <v>8</v>
      </c>
      <c r="C349" s="205" t="s">
        <v>13</v>
      </c>
      <c r="D349" s="206" t="s">
        <v>3</v>
      </c>
      <c r="E349" s="206" t="s">
        <v>6</v>
      </c>
      <c r="F349" s="81">
        <v>8</v>
      </c>
      <c r="G349" s="81">
        <v>11</v>
      </c>
      <c r="H349" s="3" t="str">
        <f t="shared" si="15"/>
        <v>GROEN</v>
      </c>
      <c r="I349" s="3" t="str">
        <f t="shared" si="18"/>
        <v>Karel</v>
      </c>
      <c r="J349" s="4" t="str">
        <f t="shared" si="19"/>
        <v>Stef D</v>
      </c>
      <c r="K349" t="str">
        <f>Tabel3[[#This Row],[Rood Verdediging]]&amp;Tabel3[[#This Row],[Rood Aanval]]</f>
        <v>LouisBert</v>
      </c>
      <c r="L349" t="str">
        <f>Tabel3[[#This Row],[Groen Verdediging]]&amp;Tabel3[[#This Row],[Groen Aanval]]</f>
        <v>KarelStef D</v>
      </c>
      <c r="M349" t="str">
        <f>Tabel3[[#This Row],[Winnaar 1]]&amp;Tabel3[[#This Row],[Winnaar 2]]</f>
        <v>KarelStef D</v>
      </c>
      <c r="N349" t="b">
        <f>IF(Tabel3[[#This Row],[Team Rood]]=Tabel3[[#This Row],[Winnaars]],Tabel3[[#This Row],[Team Rood]])</f>
        <v>0</v>
      </c>
      <c r="O349" t="str">
        <f>IF(Tabel3[[#This Row],[Team Groen]]=Tabel3[[#This Row],[Winnaars]],Tabel3[[#This Row],[Team Groen]])</f>
        <v>KarelStef D</v>
      </c>
    </row>
    <row r="350" spans="1:15" x14ac:dyDescent="0.25">
      <c r="A350" s="14">
        <v>350</v>
      </c>
      <c r="B350" s="205" t="s">
        <v>7</v>
      </c>
      <c r="C350" s="205" t="s">
        <v>0</v>
      </c>
      <c r="D350" s="206" t="s">
        <v>11</v>
      </c>
      <c r="E350" s="206" t="s">
        <v>19</v>
      </c>
      <c r="F350" s="81">
        <v>11</v>
      </c>
      <c r="G350" s="81">
        <v>0</v>
      </c>
      <c r="H350" s="3" t="str">
        <f t="shared" si="15"/>
        <v>ROOD</v>
      </c>
      <c r="I350" s="3" t="str">
        <f t="shared" si="18"/>
        <v>Tiemen</v>
      </c>
      <c r="J350" s="4" t="str">
        <f t="shared" si="19"/>
        <v>Jonas</v>
      </c>
      <c r="K350" t="str">
        <f>Tabel3[[#This Row],[Rood Verdediging]]&amp;Tabel3[[#This Row],[Rood Aanval]]</f>
        <v>TiemenJonas</v>
      </c>
      <c r="L350" t="str">
        <f>Tabel3[[#This Row],[Groen Verdediging]]&amp;Tabel3[[#This Row],[Groen Aanval]]</f>
        <v>MatthijsNicolas</v>
      </c>
      <c r="M350" t="str">
        <f>Tabel3[[#This Row],[Winnaar 1]]&amp;Tabel3[[#This Row],[Winnaar 2]]</f>
        <v>TiemenJonas</v>
      </c>
      <c r="N350" t="str">
        <f>IF(Tabel3[[#This Row],[Team Rood]]=Tabel3[[#This Row],[Winnaars]],Tabel3[[#This Row],[Team Rood]])</f>
        <v>TiemenJonas</v>
      </c>
      <c r="O350" t="b">
        <f>IF(Tabel3[[#This Row],[Team Groen]]=Tabel3[[#This Row],[Winnaars]],Tabel3[[#This Row],[Team Groen]])</f>
        <v>0</v>
      </c>
    </row>
    <row r="351" spans="1:15" x14ac:dyDescent="0.25">
      <c r="A351" s="14">
        <v>351</v>
      </c>
      <c r="B351" s="205" t="s">
        <v>0</v>
      </c>
      <c r="C351" s="205" t="s">
        <v>3</v>
      </c>
      <c r="D351" s="206" t="s">
        <v>8</v>
      </c>
      <c r="E351" s="206" t="s">
        <v>6</v>
      </c>
      <c r="F351" s="81">
        <v>8</v>
      </c>
      <c r="G351" s="81">
        <v>11</v>
      </c>
      <c r="H351" s="3" t="str">
        <f t="shared" si="15"/>
        <v>GROEN</v>
      </c>
      <c r="I351" s="3" t="str">
        <f t="shared" si="18"/>
        <v>Louis</v>
      </c>
      <c r="J351" s="4" t="str">
        <f t="shared" si="19"/>
        <v>Stef D</v>
      </c>
      <c r="K351" t="str">
        <f>Tabel3[[#This Row],[Rood Verdediging]]&amp;Tabel3[[#This Row],[Rood Aanval]]</f>
        <v>JonasKarel</v>
      </c>
      <c r="L351" t="str">
        <f>Tabel3[[#This Row],[Groen Verdediging]]&amp;Tabel3[[#This Row],[Groen Aanval]]</f>
        <v>LouisStef D</v>
      </c>
      <c r="M351" t="str">
        <f>Tabel3[[#This Row],[Winnaar 1]]&amp;Tabel3[[#This Row],[Winnaar 2]]</f>
        <v>LouisStef D</v>
      </c>
      <c r="N351" t="b">
        <f>IF(Tabel3[[#This Row],[Team Rood]]=Tabel3[[#This Row],[Winnaars]],Tabel3[[#This Row],[Team Rood]])</f>
        <v>0</v>
      </c>
      <c r="O351" t="str">
        <f>IF(Tabel3[[#This Row],[Team Groen]]=Tabel3[[#This Row],[Winnaars]],Tabel3[[#This Row],[Team Groen]])</f>
        <v>LouisStef D</v>
      </c>
    </row>
    <row r="352" spans="1:15" x14ac:dyDescent="0.25">
      <c r="A352" s="14">
        <v>352</v>
      </c>
      <c r="B352" s="205" t="s">
        <v>7</v>
      </c>
      <c r="C352" s="205" t="s">
        <v>6</v>
      </c>
      <c r="D352" s="206" t="s">
        <v>11</v>
      </c>
      <c r="E352" s="206" t="s">
        <v>3</v>
      </c>
      <c r="F352" s="81">
        <v>9</v>
      </c>
      <c r="G352" s="81">
        <v>11</v>
      </c>
      <c r="H352" s="3" t="str">
        <f t="shared" si="15"/>
        <v>GROEN</v>
      </c>
      <c r="I352" s="3" t="str">
        <f t="shared" si="18"/>
        <v>Matthijs</v>
      </c>
      <c r="J352" s="4" t="str">
        <f t="shared" si="19"/>
        <v>Karel</v>
      </c>
      <c r="K352" t="str">
        <f>Tabel3[[#This Row],[Rood Verdediging]]&amp;Tabel3[[#This Row],[Rood Aanval]]</f>
        <v>TiemenStef D</v>
      </c>
      <c r="L352" t="str">
        <f>Tabel3[[#This Row],[Groen Verdediging]]&amp;Tabel3[[#This Row],[Groen Aanval]]</f>
        <v>MatthijsKarel</v>
      </c>
      <c r="M352" t="str">
        <f>Tabel3[[#This Row],[Winnaar 1]]&amp;Tabel3[[#This Row],[Winnaar 2]]</f>
        <v>MatthijsKarel</v>
      </c>
      <c r="N352" t="b">
        <f>IF(Tabel3[[#This Row],[Team Rood]]=Tabel3[[#This Row],[Winnaars]],Tabel3[[#This Row],[Team Rood]])</f>
        <v>0</v>
      </c>
      <c r="O352" t="str">
        <f>IF(Tabel3[[#This Row],[Team Groen]]=Tabel3[[#This Row],[Winnaars]],Tabel3[[#This Row],[Team Groen]])</f>
        <v>MatthijsKarel</v>
      </c>
    </row>
    <row r="353" spans="1:15" x14ac:dyDescent="0.25">
      <c r="A353" s="14">
        <v>353</v>
      </c>
      <c r="B353" s="205" t="s">
        <v>13</v>
      </c>
      <c r="C353" s="205" t="s">
        <v>0</v>
      </c>
      <c r="D353" s="206" t="s">
        <v>19</v>
      </c>
      <c r="E353" s="206" t="s">
        <v>6</v>
      </c>
      <c r="F353" s="81">
        <v>11</v>
      </c>
      <c r="G353" s="81">
        <v>9</v>
      </c>
      <c r="H353" s="3" t="str">
        <f t="shared" si="15"/>
        <v>ROOD</v>
      </c>
      <c r="I353" s="3" t="str">
        <f t="shared" si="18"/>
        <v>Bert</v>
      </c>
      <c r="J353" s="4" t="str">
        <f t="shared" si="19"/>
        <v>Jonas</v>
      </c>
      <c r="K353" t="str">
        <f>Tabel3[[#This Row],[Rood Verdediging]]&amp;Tabel3[[#This Row],[Rood Aanval]]</f>
        <v>BertJonas</v>
      </c>
      <c r="L353" t="str">
        <f>Tabel3[[#This Row],[Groen Verdediging]]&amp;Tabel3[[#This Row],[Groen Aanval]]</f>
        <v>NicolasStef D</v>
      </c>
      <c r="M353" t="str">
        <f>Tabel3[[#This Row],[Winnaar 1]]&amp;Tabel3[[#This Row],[Winnaar 2]]</f>
        <v>BertJonas</v>
      </c>
      <c r="N353" t="str">
        <f>IF(Tabel3[[#This Row],[Team Rood]]=Tabel3[[#This Row],[Winnaars]],Tabel3[[#This Row],[Team Rood]])</f>
        <v>BertJonas</v>
      </c>
      <c r="O353" t="b">
        <f>IF(Tabel3[[#This Row],[Team Groen]]=Tabel3[[#This Row],[Winnaars]],Tabel3[[#This Row],[Team Groen]])</f>
        <v>0</v>
      </c>
    </row>
    <row r="354" spans="1:15" x14ac:dyDescent="0.25">
      <c r="A354" s="14">
        <v>354</v>
      </c>
      <c r="B354" s="205" t="s">
        <v>0</v>
      </c>
      <c r="C354" s="205" t="s">
        <v>19</v>
      </c>
      <c r="D354" s="206" t="s">
        <v>3</v>
      </c>
      <c r="E354" s="206" t="s">
        <v>6</v>
      </c>
      <c r="F354" s="81">
        <v>6</v>
      </c>
      <c r="G354" s="81">
        <v>11</v>
      </c>
      <c r="H354" s="3" t="str">
        <f t="shared" si="15"/>
        <v>GROEN</v>
      </c>
      <c r="I354" s="3" t="str">
        <f t="shared" si="18"/>
        <v>Karel</v>
      </c>
      <c r="J354" s="4" t="str">
        <f t="shared" si="19"/>
        <v>Stef D</v>
      </c>
      <c r="K354" t="str">
        <f>Tabel3[[#This Row],[Rood Verdediging]]&amp;Tabel3[[#This Row],[Rood Aanval]]</f>
        <v>JonasNicolas</v>
      </c>
      <c r="L354" t="str">
        <f>Tabel3[[#This Row],[Groen Verdediging]]&amp;Tabel3[[#This Row],[Groen Aanval]]</f>
        <v>KarelStef D</v>
      </c>
      <c r="M354" t="str">
        <f>Tabel3[[#This Row],[Winnaar 1]]&amp;Tabel3[[#This Row],[Winnaar 2]]</f>
        <v>KarelStef D</v>
      </c>
      <c r="N354" t="b">
        <f>IF(Tabel3[[#This Row],[Team Rood]]=Tabel3[[#This Row],[Winnaars]],Tabel3[[#This Row],[Team Rood]])</f>
        <v>0</v>
      </c>
      <c r="O354" t="str">
        <f>IF(Tabel3[[#This Row],[Team Groen]]=Tabel3[[#This Row],[Winnaars]],Tabel3[[#This Row],[Team Groen]])</f>
        <v>KarelStef D</v>
      </c>
    </row>
    <row r="355" spans="1:15" x14ac:dyDescent="0.25">
      <c r="A355" s="14">
        <v>355</v>
      </c>
      <c r="B355" s="205" t="s">
        <v>11</v>
      </c>
      <c r="C355" s="205" t="s">
        <v>0</v>
      </c>
      <c r="D355" s="206" t="s">
        <v>7</v>
      </c>
      <c r="E355" s="206" t="s">
        <v>3</v>
      </c>
      <c r="F355" s="81">
        <v>8</v>
      </c>
      <c r="G355" s="81">
        <v>11</v>
      </c>
      <c r="H355" s="3" t="str">
        <f t="shared" si="15"/>
        <v>GROEN</v>
      </c>
      <c r="I355" s="3" t="str">
        <f t="shared" si="18"/>
        <v>Tiemen</v>
      </c>
      <c r="J355" s="4" t="str">
        <f t="shared" si="19"/>
        <v>Karel</v>
      </c>
      <c r="K355" t="str">
        <f>Tabel3[[#This Row],[Rood Verdediging]]&amp;Tabel3[[#This Row],[Rood Aanval]]</f>
        <v>MatthijsJonas</v>
      </c>
      <c r="L355" t="str">
        <f>Tabel3[[#This Row],[Groen Verdediging]]&amp;Tabel3[[#This Row],[Groen Aanval]]</f>
        <v>TiemenKarel</v>
      </c>
      <c r="M355" t="str">
        <f>Tabel3[[#This Row],[Winnaar 1]]&amp;Tabel3[[#This Row],[Winnaar 2]]</f>
        <v>TiemenKarel</v>
      </c>
      <c r="N355" t="b">
        <f>IF(Tabel3[[#This Row],[Team Rood]]=Tabel3[[#This Row],[Winnaars]],Tabel3[[#This Row],[Team Rood]])</f>
        <v>0</v>
      </c>
      <c r="O355" t="str">
        <f>IF(Tabel3[[#This Row],[Team Groen]]=Tabel3[[#This Row],[Winnaars]],Tabel3[[#This Row],[Team Groen]])</f>
        <v>TiemenKarel</v>
      </c>
    </row>
    <row r="356" spans="1:15" x14ac:dyDescent="0.25">
      <c r="A356" s="14">
        <v>356</v>
      </c>
      <c r="B356" s="205" t="s">
        <v>8</v>
      </c>
      <c r="C356" s="205" t="s">
        <v>6</v>
      </c>
      <c r="D356" s="206" t="s">
        <v>3</v>
      </c>
      <c r="E356" s="206" t="s">
        <v>13</v>
      </c>
      <c r="F356" s="81">
        <v>11</v>
      </c>
      <c r="G356" s="81">
        <v>8</v>
      </c>
      <c r="H356" s="3" t="str">
        <f t="shared" si="15"/>
        <v>ROOD</v>
      </c>
      <c r="I356" s="3" t="str">
        <f t="shared" si="18"/>
        <v>Louis</v>
      </c>
      <c r="J356" s="4" t="str">
        <f t="shared" si="19"/>
        <v>Stef D</v>
      </c>
      <c r="K356" t="str">
        <f>Tabel3[[#This Row],[Rood Verdediging]]&amp;Tabel3[[#This Row],[Rood Aanval]]</f>
        <v>LouisStef D</v>
      </c>
      <c r="L356" t="str">
        <f>Tabel3[[#This Row],[Groen Verdediging]]&amp;Tabel3[[#This Row],[Groen Aanval]]</f>
        <v>KarelBert</v>
      </c>
      <c r="M356" t="str">
        <f>Tabel3[[#This Row],[Winnaar 1]]&amp;Tabel3[[#This Row],[Winnaar 2]]</f>
        <v>LouisStef D</v>
      </c>
      <c r="N356" t="str">
        <f>IF(Tabel3[[#This Row],[Team Rood]]=Tabel3[[#This Row],[Winnaars]],Tabel3[[#This Row],[Team Rood]])</f>
        <v>LouisStef D</v>
      </c>
      <c r="O356" t="b">
        <f>IF(Tabel3[[#This Row],[Team Groen]]=Tabel3[[#This Row],[Winnaars]],Tabel3[[#This Row],[Team Groen]])</f>
        <v>0</v>
      </c>
    </row>
    <row r="357" spans="1:15" x14ac:dyDescent="0.25">
      <c r="A357" s="14">
        <v>357</v>
      </c>
      <c r="B357" s="205" t="s">
        <v>19</v>
      </c>
      <c r="C357" s="205" t="s">
        <v>7</v>
      </c>
      <c r="D357" s="206" t="s">
        <v>0</v>
      </c>
      <c r="E357" s="206" t="s">
        <v>6</v>
      </c>
      <c r="F357" s="81">
        <v>6</v>
      </c>
      <c r="G357" s="81">
        <v>11</v>
      </c>
      <c r="H357" s="3" t="str">
        <f t="shared" si="15"/>
        <v>GROEN</v>
      </c>
      <c r="I357" s="3" t="str">
        <f t="shared" si="18"/>
        <v>Jonas</v>
      </c>
      <c r="J357" s="4" t="str">
        <f t="shared" si="19"/>
        <v>Stef D</v>
      </c>
      <c r="K357" t="str">
        <f>Tabel3[[#This Row],[Rood Verdediging]]&amp;Tabel3[[#This Row],[Rood Aanval]]</f>
        <v>NicolasTiemen</v>
      </c>
      <c r="L357" t="str">
        <f>Tabel3[[#This Row],[Groen Verdediging]]&amp;Tabel3[[#This Row],[Groen Aanval]]</f>
        <v>JonasStef D</v>
      </c>
      <c r="M357" t="str">
        <f>Tabel3[[#This Row],[Winnaar 1]]&amp;Tabel3[[#This Row],[Winnaar 2]]</f>
        <v>JonasStef D</v>
      </c>
      <c r="N357" t="b">
        <f>IF(Tabel3[[#This Row],[Team Rood]]=Tabel3[[#This Row],[Winnaars]],Tabel3[[#This Row],[Team Rood]])</f>
        <v>0</v>
      </c>
      <c r="O357" t="str">
        <f>IF(Tabel3[[#This Row],[Team Groen]]=Tabel3[[#This Row],[Winnaars]],Tabel3[[#This Row],[Team Groen]])</f>
        <v>JonasStef D</v>
      </c>
    </row>
    <row r="358" spans="1:15" x14ac:dyDescent="0.25">
      <c r="A358" s="14">
        <v>358</v>
      </c>
      <c r="B358" s="205" t="s">
        <v>7</v>
      </c>
      <c r="C358" s="205" t="s">
        <v>19</v>
      </c>
      <c r="D358" s="206" t="s">
        <v>6</v>
      </c>
      <c r="E358" s="206" t="s">
        <v>0</v>
      </c>
      <c r="F358" s="81">
        <v>3</v>
      </c>
      <c r="G358" s="81">
        <v>11</v>
      </c>
      <c r="H358" s="3" t="str">
        <f t="shared" si="15"/>
        <v>GROEN</v>
      </c>
      <c r="I358" s="3" t="str">
        <f t="shared" si="18"/>
        <v>Stef D</v>
      </c>
      <c r="J358" s="4" t="str">
        <f t="shared" si="19"/>
        <v>Jonas</v>
      </c>
      <c r="K358" t="str">
        <f>Tabel3[[#This Row],[Rood Verdediging]]&amp;Tabel3[[#This Row],[Rood Aanval]]</f>
        <v>TiemenNicolas</v>
      </c>
      <c r="L358" t="str">
        <f>Tabel3[[#This Row],[Groen Verdediging]]&amp;Tabel3[[#This Row],[Groen Aanval]]</f>
        <v>Stef DJonas</v>
      </c>
      <c r="M358" t="str">
        <f>Tabel3[[#This Row],[Winnaar 1]]&amp;Tabel3[[#This Row],[Winnaar 2]]</f>
        <v>Stef DJonas</v>
      </c>
      <c r="N358" t="b">
        <f>IF(Tabel3[[#This Row],[Team Rood]]=Tabel3[[#This Row],[Winnaars]],Tabel3[[#This Row],[Team Rood]])</f>
        <v>0</v>
      </c>
      <c r="O358" t="str">
        <f>IF(Tabel3[[#This Row],[Team Groen]]=Tabel3[[#This Row],[Winnaars]],Tabel3[[#This Row],[Team Groen]])</f>
        <v>Stef DJonas</v>
      </c>
    </row>
    <row r="359" spans="1:15" x14ac:dyDescent="0.25">
      <c r="A359" s="14">
        <v>359</v>
      </c>
      <c r="B359" s="205" t="s">
        <v>0</v>
      </c>
      <c r="C359" s="205" t="s">
        <v>7</v>
      </c>
      <c r="D359" s="206" t="s">
        <v>6</v>
      </c>
      <c r="E359" s="206" t="s">
        <v>19</v>
      </c>
      <c r="F359" s="81">
        <v>11</v>
      </c>
      <c r="G359" s="81">
        <v>9</v>
      </c>
      <c r="H359" s="3" t="str">
        <f t="shared" si="15"/>
        <v>ROOD</v>
      </c>
      <c r="I359" s="3" t="str">
        <f t="shared" si="18"/>
        <v>Jonas</v>
      </c>
      <c r="J359" s="4" t="str">
        <f t="shared" si="19"/>
        <v>Tiemen</v>
      </c>
      <c r="K359" t="str">
        <f>Tabel3[[#This Row],[Rood Verdediging]]&amp;Tabel3[[#This Row],[Rood Aanval]]</f>
        <v>JonasTiemen</v>
      </c>
      <c r="L359" t="str">
        <f>Tabel3[[#This Row],[Groen Verdediging]]&amp;Tabel3[[#This Row],[Groen Aanval]]</f>
        <v>Stef DNicolas</v>
      </c>
      <c r="M359" t="str">
        <f>Tabel3[[#This Row],[Winnaar 1]]&amp;Tabel3[[#This Row],[Winnaar 2]]</f>
        <v>JonasTiemen</v>
      </c>
      <c r="N359" t="str">
        <f>IF(Tabel3[[#This Row],[Team Rood]]=Tabel3[[#This Row],[Winnaars]],Tabel3[[#This Row],[Team Rood]])</f>
        <v>JonasTiemen</v>
      </c>
      <c r="O359" t="b">
        <f>IF(Tabel3[[#This Row],[Team Groen]]=Tabel3[[#This Row],[Winnaars]],Tabel3[[#This Row],[Team Groen]])</f>
        <v>0</v>
      </c>
    </row>
    <row r="360" spans="1:15" x14ac:dyDescent="0.25">
      <c r="A360" s="14">
        <v>360</v>
      </c>
      <c r="B360" s="205" t="s">
        <v>8</v>
      </c>
      <c r="C360" s="205" t="s">
        <v>7</v>
      </c>
      <c r="D360" s="206" t="s">
        <v>19</v>
      </c>
      <c r="E360" s="206" t="s">
        <v>6</v>
      </c>
      <c r="F360" s="81">
        <v>11</v>
      </c>
      <c r="G360" s="81">
        <v>13</v>
      </c>
      <c r="H360" s="3" t="str">
        <f t="shared" si="15"/>
        <v>GROEN</v>
      </c>
      <c r="I360" s="3" t="str">
        <f t="shared" si="18"/>
        <v>Nicolas</v>
      </c>
      <c r="J360" s="4" t="str">
        <f t="shared" si="19"/>
        <v>Stef D</v>
      </c>
      <c r="K360" t="str">
        <f>Tabel3[[#This Row],[Rood Verdediging]]&amp;Tabel3[[#This Row],[Rood Aanval]]</f>
        <v>LouisTiemen</v>
      </c>
      <c r="L360" t="str">
        <f>Tabel3[[#This Row],[Groen Verdediging]]&amp;Tabel3[[#This Row],[Groen Aanval]]</f>
        <v>NicolasStef D</v>
      </c>
      <c r="M360" t="str">
        <f>Tabel3[[#This Row],[Winnaar 1]]&amp;Tabel3[[#This Row],[Winnaar 2]]</f>
        <v>NicolasStef D</v>
      </c>
      <c r="N360" t="b">
        <f>IF(Tabel3[[#This Row],[Team Rood]]=Tabel3[[#This Row],[Winnaars]],Tabel3[[#This Row],[Team Rood]])</f>
        <v>0</v>
      </c>
      <c r="O360" t="str">
        <f>IF(Tabel3[[#This Row],[Team Groen]]=Tabel3[[#This Row],[Winnaars]],Tabel3[[#This Row],[Team Groen]])</f>
        <v>NicolasStef D</v>
      </c>
    </row>
    <row r="361" spans="1:15" x14ac:dyDescent="0.25">
      <c r="A361" s="14">
        <v>361</v>
      </c>
      <c r="B361" s="205" t="s">
        <v>19</v>
      </c>
      <c r="C361" s="205" t="s">
        <v>6</v>
      </c>
      <c r="D361" s="206" t="s">
        <v>7</v>
      </c>
      <c r="E361" s="206" t="s">
        <v>0</v>
      </c>
      <c r="F361" s="81">
        <v>9</v>
      </c>
      <c r="G361" s="81">
        <v>11</v>
      </c>
      <c r="H361" s="3" t="str">
        <f t="shared" si="15"/>
        <v>GROEN</v>
      </c>
      <c r="I361" s="3" t="str">
        <f t="shared" si="18"/>
        <v>Tiemen</v>
      </c>
      <c r="J361" s="4" t="str">
        <f t="shared" si="19"/>
        <v>Jonas</v>
      </c>
      <c r="K361" t="str">
        <f>Tabel3[[#This Row],[Rood Verdediging]]&amp;Tabel3[[#This Row],[Rood Aanval]]</f>
        <v>NicolasStef D</v>
      </c>
      <c r="L361" t="str">
        <f>Tabel3[[#This Row],[Groen Verdediging]]&amp;Tabel3[[#This Row],[Groen Aanval]]</f>
        <v>TiemenJonas</v>
      </c>
      <c r="M361" t="str">
        <f>Tabel3[[#This Row],[Winnaar 1]]&amp;Tabel3[[#This Row],[Winnaar 2]]</f>
        <v>TiemenJonas</v>
      </c>
      <c r="N361" t="b">
        <f>IF(Tabel3[[#This Row],[Team Rood]]=Tabel3[[#This Row],[Winnaars]],Tabel3[[#This Row],[Team Rood]])</f>
        <v>0</v>
      </c>
      <c r="O361" t="str">
        <f>IF(Tabel3[[#This Row],[Team Groen]]=Tabel3[[#This Row],[Winnaars]],Tabel3[[#This Row],[Team Groen]])</f>
        <v>TiemenJonas</v>
      </c>
    </row>
    <row r="362" spans="1:15" x14ac:dyDescent="0.25">
      <c r="A362" s="14">
        <v>362</v>
      </c>
      <c r="B362" s="205" t="s">
        <v>7</v>
      </c>
      <c r="C362" s="205" t="s">
        <v>6</v>
      </c>
      <c r="D362" s="206" t="s">
        <v>0</v>
      </c>
      <c r="E362" s="206" t="s">
        <v>19</v>
      </c>
      <c r="F362" s="81">
        <v>11</v>
      </c>
      <c r="G362" s="81">
        <v>1</v>
      </c>
      <c r="H362" s="3" t="str">
        <f t="shared" si="15"/>
        <v>ROOD</v>
      </c>
      <c r="I362" s="3" t="str">
        <f t="shared" si="18"/>
        <v>Tiemen</v>
      </c>
      <c r="J362" s="4" t="str">
        <f t="shared" si="19"/>
        <v>Stef D</v>
      </c>
      <c r="K362" t="str">
        <f>Tabel3[[#This Row],[Rood Verdediging]]&amp;Tabel3[[#This Row],[Rood Aanval]]</f>
        <v>TiemenStef D</v>
      </c>
      <c r="L362" t="str">
        <f>Tabel3[[#This Row],[Groen Verdediging]]&amp;Tabel3[[#This Row],[Groen Aanval]]</f>
        <v>JonasNicolas</v>
      </c>
      <c r="M362" t="str">
        <f>Tabel3[[#This Row],[Winnaar 1]]&amp;Tabel3[[#This Row],[Winnaar 2]]</f>
        <v>TiemenStef D</v>
      </c>
      <c r="N362" t="str">
        <f>IF(Tabel3[[#This Row],[Team Rood]]=Tabel3[[#This Row],[Winnaars]],Tabel3[[#This Row],[Team Rood]])</f>
        <v>TiemenStef D</v>
      </c>
      <c r="O362" t="b">
        <f>IF(Tabel3[[#This Row],[Team Groen]]=Tabel3[[#This Row],[Winnaars]],Tabel3[[#This Row],[Team Groen]])</f>
        <v>0</v>
      </c>
    </row>
    <row r="363" spans="1:15" x14ac:dyDescent="0.25">
      <c r="A363" s="14">
        <v>363</v>
      </c>
      <c r="B363" s="205" t="s">
        <v>6</v>
      </c>
      <c r="C363" s="205" t="s">
        <v>7</v>
      </c>
      <c r="D363" s="206" t="s">
        <v>0</v>
      </c>
      <c r="E363" s="206" t="s">
        <v>13</v>
      </c>
      <c r="F363" s="81">
        <v>9</v>
      </c>
      <c r="G363" s="81">
        <v>11</v>
      </c>
      <c r="H363" s="3" t="str">
        <f t="shared" si="15"/>
        <v>GROEN</v>
      </c>
      <c r="I363" s="3" t="str">
        <f t="shared" si="18"/>
        <v>Jonas</v>
      </c>
      <c r="J363" s="4" t="str">
        <f t="shared" si="19"/>
        <v>Bert</v>
      </c>
      <c r="K363" t="str">
        <f>Tabel3[[#This Row],[Rood Verdediging]]&amp;Tabel3[[#This Row],[Rood Aanval]]</f>
        <v>Stef DTiemen</v>
      </c>
      <c r="L363" t="str">
        <f>Tabel3[[#This Row],[Groen Verdediging]]&amp;Tabel3[[#This Row],[Groen Aanval]]</f>
        <v>JonasBert</v>
      </c>
      <c r="M363" t="str">
        <f>Tabel3[[#This Row],[Winnaar 1]]&amp;Tabel3[[#This Row],[Winnaar 2]]</f>
        <v>JonasBert</v>
      </c>
      <c r="N363" t="b">
        <f>IF(Tabel3[[#This Row],[Team Rood]]=Tabel3[[#This Row],[Winnaars]],Tabel3[[#This Row],[Team Rood]])</f>
        <v>0</v>
      </c>
      <c r="O363" t="str">
        <f>IF(Tabel3[[#This Row],[Team Groen]]=Tabel3[[#This Row],[Winnaars]],Tabel3[[#This Row],[Team Groen]])</f>
        <v>JonasBert</v>
      </c>
    </row>
    <row r="364" spans="1:15" x14ac:dyDescent="0.25">
      <c r="A364" s="14">
        <v>364</v>
      </c>
      <c r="B364" s="205" t="s">
        <v>6</v>
      </c>
      <c r="C364" s="205" t="s">
        <v>7</v>
      </c>
      <c r="D364" s="206" t="s">
        <v>19</v>
      </c>
      <c r="E364" s="206" t="s">
        <v>0</v>
      </c>
      <c r="F364" s="81">
        <v>11</v>
      </c>
      <c r="G364" s="81">
        <v>7</v>
      </c>
      <c r="H364" s="3" t="str">
        <f t="shared" si="15"/>
        <v>ROOD</v>
      </c>
      <c r="I364" s="3" t="str">
        <f t="shared" si="18"/>
        <v>Stef D</v>
      </c>
      <c r="J364" s="4" t="str">
        <f t="shared" si="19"/>
        <v>Tiemen</v>
      </c>
      <c r="K364" t="str">
        <f>Tabel3[[#This Row],[Rood Verdediging]]&amp;Tabel3[[#This Row],[Rood Aanval]]</f>
        <v>Stef DTiemen</v>
      </c>
      <c r="L364" t="str">
        <f>Tabel3[[#This Row],[Groen Verdediging]]&amp;Tabel3[[#This Row],[Groen Aanval]]</f>
        <v>NicolasJonas</v>
      </c>
      <c r="M364" t="str">
        <f>Tabel3[[#This Row],[Winnaar 1]]&amp;Tabel3[[#This Row],[Winnaar 2]]</f>
        <v>Stef DTiemen</v>
      </c>
      <c r="N364" t="str">
        <f>IF(Tabel3[[#This Row],[Team Rood]]=Tabel3[[#This Row],[Winnaars]],Tabel3[[#This Row],[Team Rood]])</f>
        <v>Stef DTiemen</v>
      </c>
      <c r="O364" t="b">
        <f>IF(Tabel3[[#This Row],[Team Groen]]=Tabel3[[#This Row],[Winnaars]],Tabel3[[#This Row],[Team Groen]])</f>
        <v>0</v>
      </c>
    </row>
    <row r="365" spans="1:15" x14ac:dyDescent="0.25">
      <c r="A365" s="14">
        <v>365</v>
      </c>
      <c r="B365" s="205" t="s">
        <v>3</v>
      </c>
      <c r="C365" s="205" t="s">
        <v>6</v>
      </c>
      <c r="D365" s="206" t="s">
        <v>11</v>
      </c>
      <c r="E365" s="206" t="s">
        <v>7</v>
      </c>
      <c r="F365" s="81">
        <v>11</v>
      </c>
      <c r="G365" s="81">
        <v>13</v>
      </c>
      <c r="H365" s="3" t="str">
        <f t="shared" si="15"/>
        <v>GROEN</v>
      </c>
      <c r="I365" s="3" t="str">
        <f t="shared" si="18"/>
        <v>Matthijs</v>
      </c>
      <c r="J365" s="4" t="str">
        <f t="shared" si="19"/>
        <v>Tiemen</v>
      </c>
      <c r="K365" t="str">
        <f>Tabel3[[#This Row],[Rood Verdediging]]&amp;Tabel3[[#This Row],[Rood Aanval]]</f>
        <v>KarelStef D</v>
      </c>
      <c r="L365" t="str">
        <f>Tabel3[[#This Row],[Groen Verdediging]]&amp;Tabel3[[#This Row],[Groen Aanval]]</f>
        <v>MatthijsTiemen</v>
      </c>
      <c r="M365" t="str">
        <f>Tabel3[[#This Row],[Winnaar 1]]&amp;Tabel3[[#This Row],[Winnaar 2]]</f>
        <v>MatthijsTiemen</v>
      </c>
      <c r="N365" t="b">
        <f>IF(Tabel3[[#This Row],[Team Rood]]=Tabel3[[#This Row],[Winnaars]],Tabel3[[#This Row],[Team Rood]])</f>
        <v>0</v>
      </c>
      <c r="O365" t="str">
        <f>IF(Tabel3[[#This Row],[Team Groen]]=Tabel3[[#This Row],[Winnaars]],Tabel3[[#This Row],[Team Groen]])</f>
        <v>MatthijsTiemen</v>
      </c>
    </row>
    <row r="366" spans="1:15" x14ac:dyDescent="0.25">
      <c r="A366" s="14">
        <v>366</v>
      </c>
      <c r="B366" s="205" t="s">
        <v>6</v>
      </c>
      <c r="C366" s="205" t="s">
        <v>3</v>
      </c>
      <c r="D366" s="206" t="s">
        <v>7</v>
      </c>
      <c r="E366" s="206" t="s">
        <v>11</v>
      </c>
      <c r="F366" s="81">
        <v>9</v>
      </c>
      <c r="G366" s="81">
        <v>11</v>
      </c>
      <c r="H366" s="3" t="str">
        <f t="shared" si="15"/>
        <v>GROEN</v>
      </c>
      <c r="I366" s="3" t="str">
        <f t="shared" si="18"/>
        <v>Tiemen</v>
      </c>
      <c r="J366" s="4" t="str">
        <f t="shared" si="19"/>
        <v>Matthijs</v>
      </c>
      <c r="K366" t="str">
        <f>Tabel3[[#This Row],[Rood Verdediging]]&amp;Tabel3[[#This Row],[Rood Aanval]]</f>
        <v>Stef DKarel</v>
      </c>
      <c r="L366" t="str">
        <f>Tabel3[[#This Row],[Groen Verdediging]]&amp;Tabel3[[#This Row],[Groen Aanval]]</f>
        <v>TiemenMatthijs</v>
      </c>
      <c r="M366" t="str">
        <f>Tabel3[[#This Row],[Winnaar 1]]&amp;Tabel3[[#This Row],[Winnaar 2]]</f>
        <v>TiemenMatthijs</v>
      </c>
      <c r="N366" t="b">
        <f>IF(Tabel3[[#This Row],[Team Rood]]=Tabel3[[#This Row],[Winnaars]],Tabel3[[#This Row],[Team Rood]])</f>
        <v>0</v>
      </c>
      <c r="O366" t="str">
        <f>IF(Tabel3[[#This Row],[Team Groen]]=Tabel3[[#This Row],[Winnaars]],Tabel3[[#This Row],[Team Groen]])</f>
        <v>TiemenMatthijs</v>
      </c>
    </row>
    <row r="367" spans="1:15" x14ac:dyDescent="0.25">
      <c r="A367" s="14">
        <v>367</v>
      </c>
      <c r="B367" s="205" t="s">
        <v>7</v>
      </c>
      <c r="C367" s="205" t="s">
        <v>6</v>
      </c>
      <c r="D367" s="206" t="s">
        <v>3</v>
      </c>
      <c r="E367" s="206" t="s">
        <v>11</v>
      </c>
      <c r="F367" s="81">
        <v>11</v>
      </c>
      <c r="G367" s="81">
        <v>7</v>
      </c>
      <c r="H367" s="3" t="str">
        <f t="shared" si="15"/>
        <v>ROOD</v>
      </c>
      <c r="I367" s="3" t="str">
        <f t="shared" si="18"/>
        <v>Tiemen</v>
      </c>
      <c r="J367" s="4" t="str">
        <f t="shared" si="19"/>
        <v>Stef D</v>
      </c>
      <c r="K367" t="str">
        <f>Tabel3[[#This Row],[Rood Verdediging]]&amp;Tabel3[[#This Row],[Rood Aanval]]</f>
        <v>TiemenStef D</v>
      </c>
      <c r="L367" t="str">
        <f>Tabel3[[#This Row],[Groen Verdediging]]&amp;Tabel3[[#This Row],[Groen Aanval]]</f>
        <v>KarelMatthijs</v>
      </c>
      <c r="M367" t="str">
        <f>Tabel3[[#This Row],[Winnaar 1]]&amp;Tabel3[[#This Row],[Winnaar 2]]</f>
        <v>TiemenStef D</v>
      </c>
      <c r="N367" t="str">
        <f>IF(Tabel3[[#This Row],[Team Rood]]=Tabel3[[#This Row],[Winnaars]],Tabel3[[#This Row],[Team Rood]])</f>
        <v>TiemenStef D</v>
      </c>
      <c r="O367" t="b">
        <f>IF(Tabel3[[#This Row],[Team Groen]]=Tabel3[[#This Row],[Winnaars]],Tabel3[[#This Row],[Team Groen]])</f>
        <v>0</v>
      </c>
    </row>
    <row r="368" spans="1:15" x14ac:dyDescent="0.25">
      <c r="A368" s="14">
        <v>368</v>
      </c>
      <c r="B368" s="205" t="s">
        <v>6</v>
      </c>
      <c r="C368" s="205" t="s">
        <v>7</v>
      </c>
      <c r="D368" s="206" t="s">
        <v>11</v>
      </c>
      <c r="E368" s="206" t="s">
        <v>3</v>
      </c>
      <c r="F368" s="81">
        <v>9</v>
      </c>
      <c r="G368" s="81">
        <v>11</v>
      </c>
      <c r="H368" s="3" t="str">
        <f t="shared" si="15"/>
        <v>GROEN</v>
      </c>
      <c r="I368" s="3" t="str">
        <f t="shared" si="18"/>
        <v>Matthijs</v>
      </c>
      <c r="J368" s="4" t="str">
        <f t="shared" si="19"/>
        <v>Karel</v>
      </c>
      <c r="K368" t="str">
        <f>Tabel3[[#This Row],[Rood Verdediging]]&amp;Tabel3[[#This Row],[Rood Aanval]]</f>
        <v>Stef DTiemen</v>
      </c>
      <c r="L368" t="str">
        <f>Tabel3[[#This Row],[Groen Verdediging]]&amp;Tabel3[[#This Row],[Groen Aanval]]</f>
        <v>MatthijsKarel</v>
      </c>
      <c r="M368" t="str">
        <f>Tabel3[[#This Row],[Winnaar 1]]&amp;Tabel3[[#This Row],[Winnaar 2]]</f>
        <v>MatthijsKarel</v>
      </c>
      <c r="N368" t="b">
        <f>IF(Tabel3[[#This Row],[Team Rood]]=Tabel3[[#This Row],[Winnaars]],Tabel3[[#This Row],[Team Rood]])</f>
        <v>0</v>
      </c>
      <c r="O368" t="str">
        <f>IF(Tabel3[[#This Row],[Team Groen]]=Tabel3[[#This Row],[Winnaars]],Tabel3[[#This Row],[Team Groen]])</f>
        <v>MatthijsKarel</v>
      </c>
    </row>
    <row r="369" spans="1:15" x14ac:dyDescent="0.25">
      <c r="A369" s="14">
        <v>369</v>
      </c>
      <c r="B369" s="205" t="s">
        <v>7</v>
      </c>
      <c r="C369" s="205" t="s">
        <v>3</v>
      </c>
      <c r="D369" s="206" t="s">
        <v>11</v>
      </c>
      <c r="E369" s="206" t="s">
        <v>6</v>
      </c>
      <c r="F369" s="81">
        <v>4</v>
      </c>
      <c r="G369" s="81">
        <v>11</v>
      </c>
      <c r="H369" s="3" t="str">
        <f t="shared" si="15"/>
        <v>GROEN</v>
      </c>
      <c r="I369" s="3" t="str">
        <f t="shared" si="18"/>
        <v>Matthijs</v>
      </c>
      <c r="J369" s="4" t="str">
        <f t="shared" si="19"/>
        <v>Stef D</v>
      </c>
      <c r="K369" t="str">
        <f>Tabel3[[#This Row],[Rood Verdediging]]&amp;Tabel3[[#This Row],[Rood Aanval]]</f>
        <v>TiemenKarel</v>
      </c>
      <c r="L369" t="str">
        <f>Tabel3[[#This Row],[Groen Verdediging]]&amp;Tabel3[[#This Row],[Groen Aanval]]</f>
        <v>MatthijsStef D</v>
      </c>
      <c r="M369" t="str">
        <f>Tabel3[[#This Row],[Winnaar 1]]&amp;Tabel3[[#This Row],[Winnaar 2]]</f>
        <v>MatthijsStef D</v>
      </c>
      <c r="N369" t="b">
        <f>IF(Tabel3[[#This Row],[Team Rood]]=Tabel3[[#This Row],[Winnaars]],Tabel3[[#This Row],[Team Rood]])</f>
        <v>0</v>
      </c>
      <c r="O369" t="str">
        <f>IF(Tabel3[[#This Row],[Team Groen]]=Tabel3[[#This Row],[Winnaars]],Tabel3[[#This Row],[Team Groen]])</f>
        <v>MatthijsStef D</v>
      </c>
    </row>
    <row r="370" spans="1:15" x14ac:dyDescent="0.25">
      <c r="A370" s="14">
        <v>370</v>
      </c>
      <c r="B370" s="205" t="s">
        <v>3</v>
      </c>
      <c r="C370" s="205" t="s">
        <v>7</v>
      </c>
      <c r="D370" s="206" t="s">
        <v>6</v>
      </c>
      <c r="E370" s="206" t="s">
        <v>11</v>
      </c>
      <c r="F370" s="81">
        <v>11</v>
      </c>
      <c r="G370" s="81">
        <v>8</v>
      </c>
      <c r="H370" s="3" t="str">
        <f t="shared" si="15"/>
        <v>ROOD</v>
      </c>
      <c r="I370" s="3" t="str">
        <f t="shared" si="18"/>
        <v>Karel</v>
      </c>
      <c r="J370" s="4" t="str">
        <f t="shared" si="19"/>
        <v>Tiemen</v>
      </c>
      <c r="K370" t="str">
        <f>Tabel3[[#This Row],[Rood Verdediging]]&amp;Tabel3[[#This Row],[Rood Aanval]]</f>
        <v>KarelTiemen</v>
      </c>
      <c r="L370" t="str">
        <f>Tabel3[[#This Row],[Groen Verdediging]]&amp;Tabel3[[#This Row],[Groen Aanval]]</f>
        <v>Stef DMatthijs</v>
      </c>
      <c r="M370" t="str">
        <f>Tabel3[[#This Row],[Winnaar 1]]&amp;Tabel3[[#This Row],[Winnaar 2]]</f>
        <v>KarelTiemen</v>
      </c>
      <c r="N370" t="str">
        <f>IF(Tabel3[[#This Row],[Team Rood]]=Tabel3[[#This Row],[Winnaars]],Tabel3[[#This Row],[Team Rood]])</f>
        <v>KarelTiemen</v>
      </c>
      <c r="O370" t="b">
        <f>IF(Tabel3[[#This Row],[Team Groen]]=Tabel3[[#This Row],[Winnaars]],Tabel3[[#This Row],[Team Groen]])</f>
        <v>0</v>
      </c>
    </row>
    <row r="371" spans="1:15" x14ac:dyDescent="0.25">
      <c r="A371" s="14">
        <v>371</v>
      </c>
      <c r="B371" s="205" t="s">
        <v>6</v>
      </c>
      <c r="C371" s="205" t="s">
        <v>3</v>
      </c>
      <c r="D371" s="206" t="s">
        <v>11</v>
      </c>
      <c r="E371" s="206" t="s">
        <v>7</v>
      </c>
      <c r="F371" s="81">
        <v>11</v>
      </c>
      <c r="G371" s="81">
        <v>9</v>
      </c>
      <c r="H371" s="3" t="str">
        <f t="shared" si="15"/>
        <v>ROOD</v>
      </c>
      <c r="I371" s="3" t="str">
        <f t="shared" si="18"/>
        <v>Stef D</v>
      </c>
      <c r="J371" s="4" t="str">
        <f t="shared" si="19"/>
        <v>Karel</v>
      </c>
      <c r="K371" t="str">
        <f>Tabel3[[#This Row],[Rood Verdediging]]&amp;Tabel3[[#This Row],[Rood Aanval]]</f>
        <v>Stef DKarel</v>
      </c>
      <c r="L371" t="str">
        <f>Tabel3[[#This Row],[Groen Verdediging]]&amp;Tabel3[[#This Row],[Groen Aanval]]</f>
        <v>MatthijsTiemen</v>
      </c>
      <c r="M371" t="str">
        <f>Tabel3[[#This Row],[Winnaar 1]]&amp;Tabel3[[#This Row],[Winnaar 2]]</f>
        <v>Stef DKarel</v>
      </c>
      <c r="N371" t="str">
        <f>IF(Tabel3[[#This Row],[Team Rood]]=Tabel3[[#This Row],[Winnaars]],Tabel3[[#This Row],[Team Rood]])</f>
        <v>Stef DKarel</v>
      </c>
      <c r="O371" t="b">
        <f>IF(Tabel3[[#This Row],[Team Groen]]=Tabel3[[#This Row],[Winnaars]],Tabel3[[#This Row],[Team Groen]])</f>
        <v>0</v>
      </c>
    </row>
    <row r="372" spans="1:15" x14ac:dyDescent="0.25">
      <c r="A372" s="14">
        <v>372</v>
      </c>
      <c r="B372" s="205" t="s">
        <v>3</v>
      </c>
      <c r="C372" s="205" t="s">
        <v>6</v>
      </c>
      <c r="D372" s="206" t="s">
        <v>7</v>
      </c>
      <c r="E372" s="206" t="s">
        <v>11</v>
      </c>
      <c r="F372" s="81">
        <v>11</v>
      </c>
      <c r="G372" s="81">
        <v>8</v>
      </c>
      <c r="H372" s="3" t="str">
        <f t="shared" si="15"/>
        <v>ROOD</v>
      </c>
      <c r="I372" s="3" t="str">
        <f t="shared" si="18"/>
        <v>Karel</v>
      </c>
      <c r="J372" s="4" t="str">
        <f t="shared" si="19"/>
        <v>Stef D</v>
      </c>
      <c r="K372" t="str">
        <f>Tabel3[[#This Row],[Rood Verdediging]]&amp;Tabel3[[#This Row],[Rood Aanval]]</f>
        <v>KarelStef D</v>
      </c>
      <c r="L372" t="str">
        <f>Tabel3[[#This Row],[Groen Verdediging]]&amp;Tabel3[[#This Row],[Groen Aanval]]</f>
        <v>TiemenMatthijs</v>
      </c>
      <c r="M372" t="str">
        <f>Tabel3[[#This Row],[Winnaar 1]]&amp;Tabel3[[#This Row],[Winnaar 2]]</f>
        <v>KarelStef D</v>
      </c>
      <c r="N372" t="str">
        <f>IF(Tabel3[[#This Row],[Team Rood]]=Tabel3[[#This Row],[Winnaars]],Tabel3[[#This Row],[Team Rood]])</f>
        <v>KarelStef D</v>
      </c>
      <c r="O372" t="b">
        <f>IF(Tabel3[[#This Row],[Team Groen]]=Tabel3[[#This Row],[Winnaars]],Tabel3[[#This Row],[Team Groen]])</f>
        <v>0</v>
      </c>
    </row>
    <row r="373" spans="1:15" x14ac:dyDescent="0.25">
      <c r="A373" s="14">
        <v>373</v>
      </c>
      <c r="B373" s="205" t="s">
        <v>6</v>
      </c>
      <c r="C373" s="205" t="s">
        <v>7</v>
      </c>
      <c r="D373" s="206" t="s">
        <v>11</v>
      </c>
      <c r="E373" s="206" t="s">
        <v>3</v>
      </c>
      <c r="F373" s="81">
        <v>11</v>
      </c>
      <c r="G373" s="81">
        <v>9</v>
      </c>
      <c r="H373" s="3" t="str">
        <f t="shared" si="15"/>
        <v>ROOD</v>
      </c>
      <c r="I373" s="3" t="str">
        <f t="shared" si="18"/>
        <v>Stef D</v>
      </c>
      <c r="J373" s="4" t="str">
        <f t="shared" si="19"/>
        <v>Tiemen</v>
      </c>
      <c r="K373" t="str">
        <f>Tabel3[[#This Row],[Rood Verdediging]]&amp;Tabel3[[#This Row],[Rood Aanval]]</f>
        <v>Stef DTiemen</v>
      </c>
      <c r="L373" t="str">
        <f>Tabel3[[#This Row],[Groen Verdediging]]&amp;Tabel3[[#This Row],[Groen Aanval]]</f>
        <v>MatthijsKarel</v>
      </c>
      <c r="M373" t="str">
        <f>Tabel3[[#This Row],[Winnaar 1]]&amp;Tabel3[[#This Row],[Winnaar 2]]</f>
        <v>Stef DTiemen</v>
      </c>
      <c r="N373" t="str">
        <f>IF(Tabel3[[#This Row],[Team Rood]]=Tabel3[[#This Row],[Winnaars]],Tabel3[[#This Row],[Team Rood]])</f>
        <v>Stef DTiemen</v>
      </c>
      <c r="O373" t="b">
        <f>IF(Tabel3[[#This Row],[Team Groen]]=Tabel3[[#This Row],[Winnaars]],Tabel3[[#This Row],[Team Groen]])</f>
        <v>0</v>
      </c>
    </row>
    <row r="374" spans="1:15" x14ac:dyDescent="0.25">
      <c r="A374" s="14">
        <v>374</v>
      </c>
      <c r="B374" s="205" t="s">
        <v>7</v>
      </c>
      <c r="C374" s="205" t="s">
        <v>6</v>
      </c>
      <c r="D374" s="206" t="s">
        <v>3</v>
      </c>
      <c r="E374" s="206" t="s">
        <v>11</v>
      </c>
      <c r="F374" s="81">
        <v>11</v>
      </c>
      <c r="G374" s="81">
        <v>4</v>
      </c>
      <c r="H374" s="3" t="str">
        <f t="shared" si="15"/>
        <v>ROOD</v>
      </c>
      <c r="I374" s="3" t="str">
        <f t="shared" si="18"/>
        <v>Tiemen</v>
      </c>
      <c r="J374" s="4" t="str">
        <f t="shared" si="19"/>
        <v>Stef D</v>
      </c>
      <c r="K374" t="str">
        <f>Tabel3[[#This Row],[Rood Verdediging]]&amp;Tabel3[[#This Row],[Rood Aanval]]</f>
        <v>TiemenStef D</v>
      </c>
      <c r="L374" t="str">
        <f>Tabel3[[#This Row],[Groen Verdediging]]&amp;Tabel3[[#This Row],[Groen Aanval]]</f>
        <v>KarelMatthijs</v>
      </c>
      <c r="M374" t="str">
        <f>Tabel3[[#This Row],[Winnaar 1]]&amp;Tabel3[[#This Row],[Winnaar 2]]</f>
        <v>TiemenStef D</v>
      </c>
      <c r="N374" t="str">
        <f>IF(Tabel3[[#This Row],[Team Rood]]=Tabel3[[#This Row],[Winnaars]],Tabel3[[#This Row],[Team Rood]])</f>
        <v>TiemenStef D</v>
      </c>
      <c r="O374" t="b">
        <f>IF(Tabel3[[#This Row],[Team Groen]]=Tabel3[[#This Row],[Winnaars]],Tabel3[[#This Row],[Team Groen]])</f>
        <v>0</v>
      </c>
    </row>
    <row r="375" spans="1:15" x14ac:dyDescent="0.25">
      <c r="A375" s="14">
        <v>375</v>
      </c>
      <c r="B375" s="205" t="s">
        <v>3</v>
      </c>
      <c r="C375" s="205" t="s">
        <v>7</v>
      </c>
      <c r="D375" s="206" t="s">
        <v>6</v>
      </c>
      <c r="E375" s="206" t="s">
        <v>11</v>
      </c>
      <c r="F375" s="81">
        <v>11</v>
      </c>
      <c r="G375" s="81">
        <v>8</v>
      </c>
      <c r="H375" s="3" t="str">
        <f t="shared" si="15"/>
        <v>ROOD</v>
      </c>
      <c r="I375" s="3" t="str">
        <f t="shared" si="18"/>
        <v>Karel</v>
      </c>
      <c r="J375" s="4" t="str">
        <f t="shared" si="19"/>
        <v>Tiemen</v>
      </c>
      <c r="K375" t="str">
        <f>Tabel3[[#This Row],[Rood Verdediging]]&amp;Tabel3[[#This Row],[Rood Aanval]]</f>
        <v>KarelTiemen</v>
      </c>
      <c r="L375" t="str">
        <f>Tabel3[[#This Row],[Groen Verdediging]]&amp;Tabel3[[#This Row],[Groen Aanval]]</f>
        <v>Stef DMatthijs</v>
      </c>
      <c r="M375" t="str">
        <f>Tabel3[[#This Row],[Winnaar 1]]&amp;Tabel3[[#This Row],[Winnaar 2]]</f>
        <v>KarelTiemen</v>
      </c>
      <c r="N375" t="str">
        <f>IF(Tabel3[[#This Row],[Team Rood]]=Tabel3[[#This Row],[Winnaars]],Tabel3[[#This Row],[Team Rood]])</f>
        <v>KarelTiemen</v>
      </c>
      <c r="O375" t="b">
        <f>IF(Tabel3[[#This Row],[Team Groen]]=Tabel3[[#This Row],[Winnaars]],Tabel3[[#This Row],[Team Groen]])</f>
        <v>0</v>
      </c>
    </row>
    <row r="376" spans="1:15" x14ac:dyDescent="0.25">
      <c r="A376" s="14">
        <v>376</v>
      </c>
      <c r="B376" s="205" t="s">
        <v>7</v>
      </c>
      <c r="C376" s="205" t="s">
        <v>3</v>
      </c>
      <c r="D376" s="206" t="s">
        <v>11</v>
      </c>
      <c r="E376" s="206" t="s">
        <v>6</v>
      </c>
      <c r="F376" s="81">
        <v>11</v>
      </c>
      <c r="G376" s="81">
        <v>3</v>
      </c>
      <c r="H376" s="3" t="str">
        <f t="shared" si="15"/>
        <v>ROOD</v>
      </c>
      <c r="I376" s="3" t="str">
        <f t="shared" si="18"/>
        <v>Tiemen</v>
      </c>
      <c r="J376" s="4" t="str">
        <f t="shared" si="19"/>
        <v>Karel</v>
      </c>
      <c r="K376" t="str">
        <f>Tabel3[[#This Row],[Rood Verdediging]]&amp;Tabel3[[#This Row],[Rood Aanval]]</f>
        <v>TiemenKarel</v>
      </c>
      <c r="L376" t="str">
        <f>Tabel3[[#This Row],[Groen Verdediging]]&amp;Tabel3[[#This Row],[Groen Aanval]]</f>
        <v>MatthijsStef D</v>
      </c>
      <c r="M376" t="str">
        <f>Tabel3[[#This Row],[Winnaar 1]]&amp;Tabel3[[#This Row],[Winnaar 2]]</f>
        <v>TiemenKarel</v>
      </c>
      <c r="N376" t="str">
        <f>IF(Tabel3[[#This Row],[Team Rood]]=Tabel3[[#This Row],[Winnaars]],Tabel3[[#This Row],[Team Rood]])</f>
        <v>TiemenKarel</v>
      </c>
      <c r="O376" t="b">
        <f>IF(Tabel3[[#This Row],[Team Groen]]=Tabel3[[#This Row],[Winnaars]],Tabel3[[#This Row],[Team Groen]])</f>
        <v>0</v>
      </c>
    </row>
    <row r="377" spans="1:15" x14ac:dyDescent="0.25">
      <c r="A377" s="14">
        <v>377</v>
      </c>
      <c r="B377" s="205" t="s">
        <v>8</v>
      </c>
      <c r="C377" s="205" t="s">
        <v>6</v>
      </c>
      <c r="D377" s="206" t="s">
        <v>0</v>
      </c>
      <c r="E377" s="206" t="s">
        <v>3</v>
      </c>
      <c r="F377" s="81">
        <v>11</v>
      </c>
      <c r="G377" s="81">
        <v>9</v>
      </c>
      <c r="H377" s="3" t="str">
        <f t="shared" si="15"/>
        <v>ROOD</v>
      </c>
      <c r="I377" s="3" t="str">
        <f t="shared" si="18"/>
        <v>Louis</v>
      </c>
      <c r="J377" s="4" t="str">
        <f t="shared" si="19"/>
        <v>Stef D</v>
      </c>
      <c r="K377" t="str">
        <f>Tabel3[[#This Row],[Rood Verdediging]]&amp;Tabel3[[#This Row],[Rood Aanval]]</f>
        <v>LouisStef D</v>
      </c>
      <c r="L377" t="str">
        <f>Tabel3[[#This Row],[Groen Verdediging]]&amp;Tabel3[[#This Row],[Groen Aanval]]</f>
        <v>JonasKarel</v>
      </c>
      <c r="M377" t="str">
        <f>Tabel3[[#This Row],[Winnaar 1]]&amp;Tabel3[[#This Row],[Winnaar 2]]</f>
        <v>LouisStef D</v>
      </c>
      <c r="N377" t="str">
        <f>IF(Tabel3[[#This Row],[Team Rood]]=Tabel3[[#This Row],[Winnaars]],Tabel3[[#This Row],[Team Rood]])</f>
        <v>LouisStef D</v>
      </c>
      <c r="O377" t="b">
        <f>IF(Tabel3[[#This Row],[Team Groen]]=Tabel3[[#This Row],[Winnaars]],Tabel3[[#This Row],[Team Groen]])</f>
        <v>0</v>
      </c>
    </row>
    <row r="378" spans="1:15" x14ac:dyDescent="0.25">
      <c r="A378" s="14">
        <v>378</v>
      </c>
      <c r="B378" s="205" t="s">
        <v>6</v>
      </c>
      <c r="C378" s="205" t="s">
        <v>8</v>
      </c>
      <c r="D378" s="206" t="s">
        <v>3</v>
      </c>
      <c r="E378" s="206" t="s">
        <v>0</v>
      </c>
      <c r="F378" s="81">
        <v>11</v>
      </c>
      <c r="G378" s="81">
        <v>8</v>
      </c>
      <c r="H378" s="3" t="str">
        <f t="shared" si="15"/>
        <v>ROOD</v>
      </c>
      <c r="I378" s="3" t="str">
        <f t="shared" si="18"/>
        <v>Stef D</v>
      </c>
      <c r="J378" s="4" t="str">
        <f t="shared" si="19"/>
        <v>Louis</v>
      </c>
      <c r="K378" t="str">
        <f>Tabel3[[#This Row],[Rood Verdediging]]&amp;Tabel3[[#This Row],[Rood Aanval]]</f>
        <v>Stef DLouis</v>
      </c>
      <c r="L378" t="str">
        <f>Tabel3[[#This Row],[Groen Verdediging]]&amp;Tabel3[[#This Row],[Groen Aanval]]</f>
        <v>KarelJonas</v>
      </c>
      <c r="M378" t="str">
        <f>Tabel3[[#This Row],[Winnaar 1]]&amp;Tabel3[[#This Row],[Winnaar 2]]</f>
        <v>Stef DLouis</v>
      </c>
      <c r="N378" t="str">
        <f>IF(Tabel3[[#This Row],[Team Rood]]=Tabel3[[#This Row],[Winnaars]],Tabel3[[#This Row],[Team Rood]])</f>
        <v>Stef DLouis</v>
      </c>
      <c r="O378" t="b">
        <f>IF(Tabel3[[#This Row],[Team Groen]]=Tabel3[[#This Row],[Winnaars]],Tabel3[[#This Row],[Team Groen]])</f>
        <v>0</v>
      </c>
    </row>
    <row r="379" spans="1:15" x14ac:dyDescent="0.25">
      <c r="A379" s="14">
        <v>379</v>
      </c>
      <c r="B379" s="205" t="s">
        <v>8</v>
      </c>
      <c r="C379" s="205" t="s">
        <v>3</v>
      </c>
      <c r="D379" s="206" t="s">
        <v>0</v>
      </c>
      <c r="E379" s="206" t="s">
        <v>6</v>
      </c>
      <c r="F379" s="81">
        <v>9</v>
      </c>
      <c r="G379" s="81">
        <v>11</v>
      </c>
      <c r="H379" s="3" t="str">
        <f t="shared" si="15"/>
        <v>GROEN</v>
      </c>
      <c r="I379" s="3" t="str">
        <f t="shared" si="18"/>
        <v>Jonas</v>
      </c>
      <c r="J379" s="4" t="str">
        <f t="shared" si="19"/>
        <v>Stef D</v>
      </c>
      <c r="K379" t="str">
        <f>Tabel3[[#This Row],[Rood Verdediging]]&amp;Tabel3[[#This Row],[Rood Aanval]]</f>
        <v>LouisKarel</v>
      </c>
      <c r="L379" t="str">
        <f>Tabel3[[#This Row],[Groen Verdediging]]&amp;Tabel3[[#This Row],[Groen Aanval]]</f>
        <v>JonasStef D</v>
      </c>
      <c r="M379" t="str">
        <f>Tabel3[[#This Row],[Winnaar 1]]&amp;Tabel3[[#This Row],[Winnaar 2]]</f>
        <v>JonasStef D</v>
      </c>
      <c r="N379" t="b">
        <f>IF(Tabel3[[#This Row],[Team Rood]]=Tabel3[[#This Row],[Winnaars]],Tabel3[[#This Row],[Team Rood]])</f>
        <v>0</v>
      </c>
      <c r="O379" t="str">
        <f>IF(Tabel3[[#This Row],[Team Groen]]=Tabel3[[#This Row],[Winnaars]],Tabel3[[#This Row],[Team Groen]])</f>
        <v>JonasStef D</v>
      </c>
    </row>
    <row r="380" spans="1:15" x14ac:dyDescent="0.25">
      <c r="A380" s="14">
        <v>380</v>
      </c>
      <c r="B380" s="205" t="s">
        <v>3</v>
      </c>
      <c r="C380" s="205" t="s">
        <v>8</v>
      </c>
      <c r="D380" s="206" t="s">
        <v>6</v>
      </c>
      <c r="E380" s="206" t="s">
        <v>0</v>
      </c>
      <c r="F380" s="81">
        <v>3</v>
      </c>
      <c r="G380" s="81">
        <v>11</v>
      </c>
      <c r="H380" s="3" t="str">
        <f t="shared" si="15"/>
        <v>GROEN</v>
      </c>
      <c r="I380" s="3" t="str">
        <f t="shared" si="18"/>
        <v>Stef D</v>
      </c>
      <c r="J380" s="4" t="str">
        <f t="shared" si="19"/>
        <v>Jonas</v>
      </c>
      <c r="K380" t="str">
        <f>Tabel3[[#This Row],[Rood Verdediging]]&amp;Tabel3[[#This Row],[Rood Aanval]]</f>
        <v>KarelLouis</v>
      </c>
      <c r="L380" t="str">
        <f>Tabel3[[#This Row],[Groen Verdediging]]&amp;Tabel3[[#This Row],[Groen Aanval]]</f>
        <v>Stef DJonas</v>
      </c>
      <c r="M380" t="str">
        <f>Tabel3[[#This Row],[Winnaar 1]]&amp;Tabel3[[#This Row],[Winnaar 2]]</f>
        <v>Stef DJonas</v>
      </c>
      <c r="N380" t="b">
        <f>IF(Tabel3[[#This Row],[Team Rood]]=Tabel3[[#This Row],[Winnaars]],Tabel3[[#This Row],[Team Rood]])</f>
        <v>0</v>
      </c>
      <c r="O380" t="str">
        <f>IF(Tabel3[[#This Row],[Team Groen]]=Tabel3[[#This Row],[Winnaars]],Tabel3[[#This Row],[Team Groen]])</f>
        <v>Stef DJonas</v>
      </c>
    </row>
    <row r="381" spans="1:15" x14ac:dyDescent="0.25">
      <c r="A381" s="14">
        <v>381</v>
      </c>
      <c r="B381" s="205" t="s">
        <v>8</v>
      </c>
      <c r="C381" s="205" t="s">
        <v>0</v>
      </c>
      <c r="D381" s="206" t="s">
        <v>6</v>
      </c>
      <c r="E381" s="206" t="s">
        <v>3</v>
      </c>
      <c r="F381" s="81">
        <v>7</v>
      </c>
      <c r="G381" s="81">
        <v>11</v>
      </c>
      <c r="H381" s="3" t="str">
        <f t="shared" si="15"/>
        <v>GROEN</v>
      </c>
      <c r="I381" s="3" t="str">
        <f t="shared" si="18"/>
        <v>Stef D</v>
      </c>
      <c r="J381" s="4" t="str">
        <f t="shared" si="19"/>
        <v>Karel</v>
      </c>
      <c r="K381" t="str">
        <f>Tabel3[[#This Row],[Rood Verdediging]]&amp;Tabel3[[#This Row],[Rood Aanval]]</f>
        <v>LouisJonas</v>
      </c>
      <c r="L381" t="str">
        <f>Tabel3[[#This Row],[Groen Verdediging]]&amp;Tabel3[[#This Row],[Groen Aanval]]</f>
        <v>Stef DKarel</v>
      </c>
      <c r="M381" t="str">
        <f>Tabel3[[#This Row],[Winnaar 1]]&amp;Tabel3[[#This Row],[Winnaar 2]]</f>
        <v>Stef DKarel</v>
      </c>
      <c r="N381" t="b">
        <f>IF(Tabel3[[#This Row],[Team Rood]]=Tabel3[[#This Row],[Winnaars]],Tabel3[[#This Row],[Team Rood]])</f>
        <v>0</v>
      </c>
      <c r="O381" t="str">
        <f>IF(Tabel3[[#This Row],[Team Groen]]=Tabel3[[#This Row],[Winnaars]],Tabel3[[#This Row],[Team Groen]])</f>
        <v>Stef DKarel</v>
      </c>
    </row>
    <row r="382" spans="1:15" x14ac:dyDescent="0.25">
      <c r="A382" s="14">
        <v>382</v>
      </c>
      <c r="B382" s="205" t="s">
        <v>0</v>
      </c>
      <c r="C382" s="205" t="s">
        <v>8</v>
      </c>
      <c r="D382" s="206" t="s">
        <v>3</v>
      </c>
      <c r="E382" s="206" t="s">
        <v>6</v>
      </c>
      <c r="F382" s="81">
        <v>8</v>
      </c>
      <c r="G382" s="81">
        <v>11</v>
      </c>
      <c r="H382" s="3" t="str">
        <f t="shared" si="15"/>
        <v>GROEN</v>
      </c>
      <c r="I382" s="3" t="str">
        <f t="shared" si="18"/>
        <v>Karel</v>
      </c>
      <c r="J382" s="4" t="str">
        <f t="shared" si="19"/>
        <v>Stef D</v>
      </c>
      <c r="K382" t="str">
        <f>Tabel3[[#This Row],[Rood Verdediging]]&amp;Tabel3[[#This Row],[Rood Aanval]]</f>
        <v>JonasLouis</v>
      </c>
      <c r="L382" t="str">
        <f>Tabel3[[#This Row],[Groen Verdediging]]&amp;Tabel3[[#This Row],[Groen Aanval]]</f>
        <v>KarelStef D</v>
      </c>
      <c r="M382" t="str">
        <f>Tabel3[[#This Row],[Winnaar 1]]&amp;Tabel3[[#This Row],[Winnaar 2]]</f>
        <v>KarelStef D</v>
      </c>
      <c r="N382" t="b">
        <f>IF(Tabel3[[#This Row],[Team Rood]]=Tabel3[[#This Row],[Winnaars]],Tabel3[[#This Row],[Team Rood]])</f>
        <v>0</v>
      </c>
      <c r="O382" t="str">
        <f>IF(Tabel3[[#This Row],[Team Groen]]=Tabel3[[#This Row],[Winnaars]],Tabel3[[#This Row],[Team Groen]])</f>
        <v>KarelStef D</v>
      </c>
    </row>
    <row r="383" spans="1:15" x14ac:dyDescent="0.25">
      <c r="A383" s="14">
        <v>383</v>
      </c>
      <c r="B383" s="205" t="s">
        <v>19</v>
      </c>
      <c r="C383" s="205" t="s">
        <v>6</v>
      </c>
      <c r="D383" s="206" t="s">
        <v>3</v>
      </c>
      <c r="E383" s="206" t="s">
        <v>0</v>
      </c>
      <c r="F383" s="81">
        <v>7</v>
      </c>
      <c r="G383" s="81">
        <v>11</v>
      </c>
      <c r="H383" s="3" t="str">
        <f t="shared" si="15"/>
        <v>GROEN</v>
      </c>
      <c r="I383" s="3" t="str">
        <f t="shared" si="18"/>
        <v>Karel</v>
      </c>
      <c r="J383" s="4" t="str">
        <f t="shared" si="19"/>
        <v>Jonas</v>
      </c>
      <c r="K383" t="str">
        <f>Tabel3[[#This Row],[Rood Verdediging]]&amp;Tabel3[[#This Row],[Rood Aanval]]</f>
        <v>NicolasStef D</v>
      </c>
      <c r="L383" t="str">
        <f>Tabel3[[#This Row],[Groen Verdediging]]&amp;Tabel3[[#This Row],[Groen Aanval]]</f>
        <v>KarelJonas</v>
      </c>
      <c r="M383" t="str">
        <f>Tabel3[[#This Row],[Winnaar 1]]&amp;Tabel3[[#This Row],[Winnaar 2]]</f>
        <v>KarelJonas</v>
      </c>
      <c r="N383" t="b">
        <f>IF(Tabel3[[#This Row],[Team Rood]]=Tabel3[[#This Row],[Winnaars]],Tabel3[[#This Row],[Team Rood]])</f>
        <v>0</v>
      </c>
      <c r="O383" t="str">
        <f>IF(Tabel3[[#This Row],[Team Groen]]=Tabel3[[#This Row],[Winnaars]],Tabel3[[#This Row],[Team Groen]])</f>
        <v>KarelJonas</v>
      </c>
    </row>
    <row r="384" spans="1:15" x14ac:dyDescent="0.25">
      <c r="A384" s="14">
        <v>384</v>
      </c>
      <c r="B384" s="205" t="s">
        <v>19</v>
      </c>
      <c r="C384" s="205" t="s">
        <v>6</v>
      </c>
      <c r="D384" s="206" t="s">
        <v>8</v>
      </c>
      <c r="E384" s="206" t="s">
        <v>3</v>
      </c>
      <c r="F384" s="81">
        <v>2</v>
      </c>
      <c r="G384" s="81">
        <v>11</v>
      </c>
      <c r="H384" s="3" t="str">
        <f t="shared" si="15"/>
        <v>GROEN</v>
      </c>
      <c r="I384" s="3" t="str">
        <f t="shared" si="18"/>
        <v>Louis</v>
      </c>
      <c r="J384" s="4" t="str">
        <f t="shared" si="19"/>
        <v>Karel</v>
      </c>
      <c r="K384" t="str">
        <f>Tabel3[[#This Row],[Rood Verdediging]]&amp;Tabel3[[#This Row],[Rood Aanval]]</f>
        <v>NicolasStef D</v>
      </c>
      <c r="L384" t="str">
        <f>Tabel3[[#This Row],[Groen Verdediging]]&amp;Tabel3[[#This Row],[Groen Aanval]]</f>
        <v>LouisKarel</v>
      </c>
      <c r="M384" t="str">
        <f>Tabel3[[#This Row],[Winnaar 1]]&amp;Tabel3[[#This Row],[Winnaar 2]]</f>
        <v>LouisKarel</v>
      </c>
      <c r="N384" t="b">
        <f>IF(Tabel3[[#This Row],[Team Rood]]=Tabel3[[#This Row],[Winnaars]],Tabel3[[#This Row],[Team Rood]])</f>
        <v>0</v>
      </c>
      <c r="O384" t="str">
        <f>IF(Tabel3[[#This Row],[Team Groen]]=Tabel3[[#This Row],[Winnaars]],Tabel3[[#This Row],[Team Groen]])</f>
        <v>LouisKarel</v>
      </c>
    </row>
    <row r="385" spans="1:15" x14ac:dyDescent="0.25">
      <c r="A385" s="14">
        <v>385</v>
      </c>
      <c r="B385" s="205" t="s">
        <v>3</v>
      </c>
      <c r="C385" s="205" t="s">
        <v>6</v>
      </c>
      <c r="D385" s="206" t="s">
        <v>19</v>
      </c>
      <c r="E385" s="206" t="s">
        <v>0</v>
      </c>
      <c r="F385" s="81">
        <v>11</v>
      </c>
      <c r="G385" s="81">
        <v>8</v>
      </c>
      <c r="H385" s="3" t="str">
        <f t="shared" si="15"/>
        <v>ROOD</v>
      </c>
      <c r="I385" s="3" t="str">
        <f t="shared" si="18"/>
        <v>Karel</v>
      </c>
      <c r="J385" s="4" t="str">
        <f t="shared" si="19"/>
        <v>Stef D</v>
      </c>
      <c r="K385" t="str">
        <f>Tabel3[[#This Row],[Rood Verdediging]]&amp;Tabel3[[#This Row],[Rood Aanval]]</f>
        <v>KarelStef D</v>
      </c>
      <c r="L385" t="str">
        <f>Tabel3[[#This Row],[Groen Verdediging]]&amp;Tabel3[[#This Row],[Groen Aanval]]</f>
        <v>NicolasJonas</v>
      </c>
      <c r="M385" t="str">
        <f>Tabel3[[#This Row],[Winnaar 1]]&amp;Tabel3[[#This Row],[Winnaar 2]]</f>
        <v>KarelStef D</v>
      </c>
      <c r="N385" t="str">
        <f>IF(Tabel3[[#This Row],[Team Rood]]=Tabel3[[#This Row],[Winnaars]],Tabel3[[#This Row],[Team Rood]])</f>
        <v>KarelStef D</v>
      </c>
      <c r="O385" t="b">
        <f>IF(Tabel3[[#This Row],[Team Groen]]=Tabel3[[#This Row],[Winnaars]],Tabel3[[#This Row],[Team Groen]])</f>
        <v>0</v>
      </c>
    </row>
    <row r="386" spans="1:15" x14ac:dyDescent="0.25">
      <c r="A386" s="14">
        <v>386</v>
      </c>
      <c r="B386" s="205" t="s">
        <v>19</v>
      </c>
      <c r="C386" s="205" t="s">
        <v>3</v>
      </c>
      <c r="D386" s="206" t="s">
        <v>6</v>
      </c>
      <c r="E386" s="206" t="s">
        <v>8</v>
      </c>
      <c r="F386" s="81">
        <v>12</v>
      </c>
      <c r="G386" s="81">
        <v>10</v>
      </c>
      <c r="H386" s="3" t="str">
        <f t="shared" ref="H386:H449" si="20">IF(F386&gt;G386,"ROOD",IF(F386=G386,"","GROEN"))</f>
        <v>ROOD</v>
      </c>
      <c r="I386" s="3" t="str">
        <f t="shared" si="18"/>
        <v>Nicolas</v>
      </c>
      <c r="J386" s="4" t="str">
        <f t="shared" si="19"/>
        <v>Karel</v>
      </c>
      <c r="K386" t="str">
        <f>Tabel3[[#This Row],[Rood Verdediging]]&amp;Tabel3[[#This Row],[Rood Aanval]]</f>
        <v>NicolasKarel</v>
      </c>
      <c r="L386" t="str">
        <f>Tabel3[[#This Row],[Groen Verdediging]]&amp;Tabel3[[#This Row],[Groen Aanval]]</f>
        <v>Stef DLouis</v>
      </c>
      <c r="M386" t="str">
        <f>Tabel3[[#This Row],[Winnaar 1]]&amp;Tabel3[[#This Row],[Winnaar 2]]</f>
        <v>NicolasKarel</v>
      </c>
      <c r="N386" t="str">
        <f>IF(Tabel3[[#This Row],[Team Rood]]=Tabel3[[#This Row],[Winnaars]],Tabel3[[#This Row],[Team Rood]])</f>
        <v>NicolasKarel</v>
      </c>
      <c r="O386" t="b">
        <f>IF(Tabel3[[#This Row],[Team Groen]]=Tabel3[[#This Row],[Winnaars]],Tabel3[[#This Row],[Team Groen]])</f>
        <v>0</v>
      </c>
    </row>
    <row r="387" spans="1:15" x14ac:dyDescent="0.25">
      <c r="A387" s="14">
        <v>387</v>
      </c>
      <c r="B387" s="205" t="s">
        <v>19</v>
      </c>
      <c r="C387" s="205" t="s">
        <v>0</v>
      </c>
      <c r="D387" s="206" t="s">
        <v>6</v>
      </c>
      <c r="E387" s="206" t="s">
        <v>3</v>
      </c>
      <c r="F387" s="81">
        <v>9</v>
      </c>
      <c r="G387" s="81">
        <v>11</v>
      </c>
      <c r="H387" s="3" t="str">
        <f t="shared" si="20"/>
        <v>GROEN</v>
      </c>
      <c r="I387" s="3" t="str">
        <f t="shared" si="18"/>
        <v>Stef D</v>
      </c>
      <c r="J387" s="4" t="str">
        <f t="shared" si="19"/>
        <v>Karel</v>
      </c>
      <c r="K387" t="str">
        <f>Tabel3[[#This Row],[Rood Verdediging]]&amp;Tabel3[[#This Row],[Rood Aanval]]</f>
        <v>NicolasJonas</v>
      </c>
      <c r="L387" t="str">
        <f>Tabel3[[#This Row],[Groen Verdediging]]&amp;Tabel3[[#This Row],[Groen Aanval]]</f>
        <v>Stef DKarel</v>
      </c>
      <c r="M387" t="str">
        <f>Tabel3[[#This Row],[Winnaar 1]]&amp;Tabel3[[#This Row],[Winnaar 2]]</f>
        <v>Stef DKarel</v>
      </c>
      <c r="N387" t="b">
        <f>IF(Tabel3[[#This Row],[Team Rood]]=Tabel3[[#This Row],[Winnaars]],Tabel3[[#This Row],[Team Rood]])</f>
        <v>0</v>
      </c>
      <c r="O387" t="str">
        <f>IF(Tabel3[[#This Row],[Team Groen]]=Tabel3[[#This Row],[Winnaars]],Tabel3[[#This Row],[Team Groen]])</f>
        <v>Stef DKarel</v>
      </c>
    </row>
    <row r="388" spans="1:15" x14ac:dyDescent="0.25">
      <c r="A388" s="14">
        <v>388</v>
      </c>
      <c r="B388" s="205" t="s">
        <v>0</v>
      </c>
      <c r="C388" s="205" t="s">
        <v>19</v>
      </c>
      <c r="D388" s="206" t="s">
        <v>6</v>
      </c>
      <c r="E388" s="206" t="s">
        <v>3</v>
      </c>
      <c r="F388" s="81">
        <v>7</v>
      </c>
      <c r="G388" s="81">
        <v>11</v>
      </c>
      <c r="H388" s="3" t="str">
        <f t="shared" si="20"/>
        <v>GROEN</v>
      </c>
      <c r="I388" s="3" t="str">
        <f t="shared" si="18"/>
        <v>Stef D</v>
      </c>
      <c r="J388" s="4" t="str">
        <f t="shared" si="19"/>
        <v>Karel</v>
      </c>
      <c r="K388" t="str">
        <f>Tabel3[[#This Row],[Rood Verdediging]]&amp;Tabel3[[#This Row],[Rood Aanval]]</f>
        <v>JonasNicolas</v>
      </c>
      <c r="L388" t="str">
        <f>Tabel3[[#This Row],[Groen Verdediging]]&amp;Tabel3[[#This Row],[Groen Aanval]]</f>
        <v>Stef DKarel</v>
      </c>
      <c r="M388" t="str">
        <f>Tabel3[[#This Row],[Winnaar 1]]&amp;Tabel3[[#This Row],[Winnaar 2]]</f>
        <v>Stef DKarel</v>
      </c>
      <c r="N388" t="b">
        <f>IF(Tabel3[[#This Row],[Team Rood]]=Tabel3[[#This Row],[Winnaars]],Tabel3[[#This Row],[Team Rood]])</f>
        <v>0</v>
      </c>
      <c r="O388" t="str">
        <f>IF(Tabel3[[#This Row],[Team Groen]]=Tabel3[[#This Row],[Winnaars]],Tabel3[[#This Row],[Team Groen]])</f>
        <v>Stef DKarel</v>
      </c>
    </row>
    <row r="389" spans="1:15" x14ac:dyDescent="0.25">
      <c r="A389" s="14">
        <v>389</v>
      </c>
      <c r="B389" s="205" t="s">
        <v>3</v>
      </c>
      <c r="C389" s="205" t="s">
        <v>19</v>
      </c>
      <c r="D389" s="206" t="s">
        <v>0</v>
      </c>
      <c r="E389" s="206" t="s">
        <v>6</v>
      </c>
      <c r="F389" s="81">
        <v>7</v>
      </c>
      <c r="G389" s="81">
        <v>11</v>
      </c>
      <c r="H389" s="3" t="str">
        <f t="shared" si="20"/>
        <v>GROEN</v>
      </c>
      <c r="I389" s="3" t="str">
        <f t="shared" si="18"/>
        <v>Jonas</v>
      </c>
      <c r="J389" s="4" t="str">
        <f t="shared" si="19"/>
        <v>Stef D</v>
      </c>
      <c r="K389" t="str">
        <f>Tabel3[[#This Row],[Rood Verdediging]]&amp;Tabel3[[#This Row],[Rood Aanval]]</f>
        <v>KarelNicolas</v>
      </c>
      <c r="L389" t="str">
        <f>Tabel3[[#This Row],[Groen Verdediging]]&amp;Tabel3[[#This Row],[Groen Aanval]]</f>
        <v>JonasStef D</v>
      </c>
      <c r="M389" t="str">
        <f>Tabel3[[#This Row],[Winnaar 1]]&amp;Tabel3[[#This Row],[Winnaar 2]]</f>
        <v>JonasStef D</v>
      </c>
      <c r="N389" t="b">
        <f>IF(Tabel3[[#This Row],[Team Rood]]=Tabel3[[#This Row],[Winnaars]],Tabel3[[#This Row],[Team Rood]])</f>
        <v>0</v>
      </c>
      <c r="O389" t="str">
        <f>IF(Tabel3[[#This Row],[Team Groen]]=Tabel3[[#This Row],[Winnaars]],Tabel3[[#This Row],[Team Groen]])</f>
        <v>JonasStef D</v>
      </c>
    </row>
    <row r="390" spans="1:15" x14ac:dyDescent="0.25">
      <c r="A390" s="14">
        <v>390</v>
      </c>
      <c r="B390" s="205" t="s">
        <v>19</v>
      </c>
      <c r="C390" s="205" t="s">
        <v>3</v>
      </c>
      <c r="D390" s="206" t="s">
        <v>6</v>
      </c>
      <c r="E390" s="206" t="s">
        <v>0</v>
      </c>
      <c r="F390" s="81">
        <v>11</v>
      </c>
      <c r="G390" s="81">
        <v>9</v>
      </c>
      <c r="H390" s="3" t="str">
        <f t="shared" si="20"/>
        <v>ROOD</v>
      </c>
      <c r="I390" s="3" t="str">
        <f t="shared" si="18"/>
        <v>Nicolas</v>
      </c>
      <c r="J390" s="4" t="str">
        <f t="shared" si="19"/>
        <v>Karel</v>
      </c>
      <c r="K390" t="str">
        <f>Tabel3[[#This Row],[Rood Verdediging]]&amp;Tabel3[[#This Row],[Rood Aanval]]</f>
        <v>NicolasKarel</v>
      </c>
      <c r="L390" t="str">
        <f>Tabel3[[#This Row],[Groen Verdediging]]&amp;Tabel3[[#This Row],[Groen Aanval]]</f>
        <v>Stef DJonas</v>
      </c>
      <c r="M390" t="str">
        <f>Tabel3[[#This Row],[Winnaar 1]]&amp;Tabel3[[#This Row],[Winnaar 2]]</f>
        <v>NicolasKarel</v>
      </c>
      <c r="N390" t="str">
        <f>IF(Tabel3[[#This Row],[Team Rood]]=Tabel3[[#This Row],[Winnaars]],Tabel3[[#This Row],[Team Rood]])</f>
        <v>NicolasKarel</v>
      </c>
      <c r="O390" t="b">
        <f>IF(Tabel3[[#This Row],[Team Groen]]=Tabel3[[#This Row],[Winnaars]],Tabel3[[#This Row],[Team Groen]])</f>
        <v>0</v>
      </c>
    </row>
    <row r="391" spans="1:15" x14ac:dyDescent="0.25">
      <c r="A391" s="14">
        <v>391</v>
      </c>
      <c r="B391" s="205" t="s">
        <v>19</v>
      </c>
      <c r="C391" s="205" t="s">
        <v>6</v>
      </c>
      <c r="D391" s="206" t="s">
        <v>3</v>
      </c>
      <c r="E391" s="206" t="s">
        <v>0</v>
      </c>
      <c r="F391" s="81">
        <v>4</v>
      </c>
      <c r="G391" s="81">
        <v>11</v>
      </c>
      <c r="H391" s="3" t="str">
        <f t="shared" si="20"/>
        <v>GROEN</v>
      </c>
      <c r="I391" s="3" t="str">
        <f t="shared" si="18"/>
        <v>Karel</v>
      </c>
      <c r="J391" s="4" t="str">
        <f t="shared" si="19"/>
        <v>Jonas</v>
      </c>
      <c r="K391" t="str">
        <f>Tabel3[[#This Row],[Rood Verdediging]]&amp;Tabel3[[#This Row],[Rood Aanval]]</f>
        <v>NicolasStef D</v>
      </c>
      <c r="L391" t="str">
        <f>Tabel3[[#This Row],[Groen Verdediging]]&amp;Tabel3[[#This Row],[Groen Aanval]]</f>
        <v>KarelJonas</v>
      </c>
      <c r="M391" t="str">
        <f>Tabel3[[#This Row],[Winnaar 1]]&amp;Tabel3[[#This Row],[Winnaar 2]]</f>
        <v>KarelJonas</v>
      </c>
      <c r="N391" t="b">
        <f>IF(Tabel3[[#This Row],[Team Rood]]=Tabel3[[#This Row],[Winnaars]],Tabel3[[#This Row],[Team Rood]])</f>
        <v>0</v>
      </c>
      <c r="O391" t="str">
        <f>IF(Tabel3[[#This Row],[Team Groen]]=Tabel3[[#This Row],[Winnaars]],Tabel3[[#This Row],[Team Groen]])</f>
        <v>KarelJonas</v>
      </c>
    </row>
    <row r="392" spans="1:15" x14ac:dyDescent="0.25">
      <c r="A392" s="14">
        <v>392</v>
      </c>
      <c r="B392" s="205" t="s">
        <v>6</v>
      </c>
      <c r="C392" s="205" t="s">
        <v>19</v>
      </c>
      <c r="D392" s="206" t="s">
        <v>0</v>
      </c>
      <c r="E392" s="206" t="s">
        <v>3</v>
      </c>
      <c r="F392" s="81">
        <v>9</v>
      </c>
      <c r="G392" s="81">
        <v>11</v>
      </c>
      <c r="H392" s="3" t="str">
        <f t="shared" si="20"/>
        <v>GROEN</v>
      </c>
      <c r="I392" s="3" t="str">
        <f t="shared" si="18"/>
        <v>Jonas</v>
      </c>
      <c r="J392" s="4" t="str">
        <f t="shared" si="19"/>
        <v>Karel</v>
      </c>
      <c r="K392" t="str">
        <f>Tabel3[[#This Row],[Rood Verdediging]]&amp;Tabel3[[#This Row],[Rood Aanval]]</f>
        <v>Stef DNicolas</v>
      </c>
      <c r="L392" t="str">
        <f>Tabel3[[#This Row],[Groen Verdediging]]&amp;Tabel3[[#This Row],[Groen Aanval]]</f>
        <v>JonasKarel</v>
      </c>
      <c r="M392" t="str">
        <f>Tabel3[[#This Row],[Winnaar 1]]&amp;Tabel3[[#This Row],[Winnaar 2]]</f>
        <v>JonasKarel</v>
      </c>
      <c r="N392" t="b">
        <f>IF(Tabel3[[#This Row],[Team Rood]]=Tabel3[[#This Row],[Winnaars]],Tabel3[[#This Row],[Team Rood]])</f>
        <v>0</v>
      </c>
      <c r="O392" t="str">
        <f>IF(Tabel3[[#This Row],[Team Groen]]=Tabel3[[#This Row],[Winnaars]],Tabel3[[#This Row],[Team Groen]])</f>
        <v>JonasKarel</v>
      </c>
    </row>
    <row r="393" spans="1:15" x14ac:dyDescent="0.25">
      <c r="A393" s="14">
        <v>393</v>
      </c>
      <c r="B393" s="205" t="s">
        <v>6</v>
      </c>
      <c r="C393" s="205" t="s">
        <v>3</v>
      </c>
      <c r="D393" s="206" t="s">
        <v>0</v>
      </c>
      <c r="E393" s="206" t="s">
        <v>19</v>
      </c>
      <c r="F393" s="81">
        <v>11</v>
      </c>
      <c r="G393" s="81">
        <v>7</v>
      </c>
      <c r="H393" s="3" t="str">
        <f t="shared" si="20"/>
        <v>ROOD</v>
      </c>
      <c r="I393" s="3" t="str">
        <f t="shared" si="18"/>
        <v>Stef D</v>
      </c>
      <c r="J393" s="4" t="str">
        <f t="shared" si="19"/>
        <v>Karel</v>
      </c>
      <c r="K393" t="str">
        <f>Tabel3[[#This Row],[Rood Verdediging]]&amp;Tabel3[[#This Row],[Rood Aanval]]</f>
        <v>Stef DKarel</v>
      </c>
      <c r="L393" t="str">
        <f>Tabel3[[#This Row],[Groen Verdediging]]&amp;Tabel3[[#This Row],[Groen Aanval]]</f>
        <v>JonasNicolas</v>
      </c>
      <c r="M393" t="str">
        <f>Tabel3[[#This Row],[Winnaar 1]]&amp;Tabel3[[#This Row],[Winnaar 2]]</f>
        <v>Stef DKarel</v>
      </c>
      <c r="N393" t="str">
        <f>IF(Tabel3[[#This Row],[Team Rood]]=Tabel3[[#This Row],[Winnaars]],Tabel3[[#This Row],[Team Rood]])</f>
        <v>Stef DKarel</v>
      </c>
      <c r="O393" t="b">
        <f>IF(Tabel3[[#This Row],[Team Groen]]=Tabel3[[#This Row],[Winnaars]],Tabel3[[#This Row],[Team Groen]])</f>
        <v>0</v>
      </c>
    </row>
    <row r="394" spans="1:15" x14ac:dyDescent="0.25">
      <c r="A394" s="14">
        <v>394</v>
      </c>
      <c r="B394" s="205" t="s">
        <v>19</v>
      </c>
      <c r="C394" s="205" t="s">
        <v>11</v>
      </c>
      <c r="D394" s="206" t="s">
        <v>8</v>
      </c>
      <c r="E394" s="206" t="s">
        <v>6</v>
      </c>
      <c r="F394" s="81">
        <v>7</v>
      </c>
      <c r="G394" s="81">
        <v>11</v>
      </c>
      <c r="H394" s="3" t="str">
        <f t="shared" si="20"/>
        <v>GROEN</v>
      </c>
      <c r="I394" s="3" t="str">
        <f t="shared" si="18"/>
        <v>Louis</v>
      </c>
      <c r="J394" s="4" t="str">
        <f t="shared" si="19"/>
        <v>Stef D</v>
      </c>
      <c r="K394" t="str">
        <f>Tabel3[[#This Row],[Rood Verdediging]]&amp;Tabel3[[#This Row],[Rood Aanval]]</f>
        <v>NicolasMatthijs</v>
      </c>
      <c r="L394" t="str">
        <f>Tabel3[[#This Row],[Groen Verdediging]]&amp;Tabel3[[#This Row],[Groen Aanval]]</f>
        <v>LouisStef D</v>
      </c>
      <c r="M394" t="str">
        <f>Tabel3[[#This Row],[Winnaar 1]]&amp;Tabel3[[#This Row],[Winnaar 2]]</f>
        <v>LouisStef D</v>
      </c>
      <c r="N394" t="b">
        <f>IF(Tabel3[[#This Row],[Team Rood]]=Tabel3[[#This Row],[Winnaars]],Tabel3[[#This Row],[Team Rood]])</f>
        <v>0</v>
      </c>
      <c r="O394" t="str">
        <f>IF(Tabel3[[#This Row],[Team Groen]]=Tabel3[[#This Row],[Winnaars]],Tabel3[[#This Row],[Team Groen]])</f>
        <v>LouisStef D</v>
      </c>
    </row>
    <row r="395" spans="1:15" x14ac:dyDescent="0.25">
      <c r="A395" s="14">
        <v>395</v>
      </c>
      <c r="B395" s="205" t="s">
        <v>0</v>
      </c>
      <c r="C395" s="205" t="s">
        <v>19</v>
      </c>
      <c r="D395" s="206" t="s">
        <v>11</v>
      </c>
      <c r="E395" s="206" t="s">
        <v>6</v>
      </c>
      <c r="F395" s="81">
        <v>11</v>
      </c>
      <c r="G395" s="81">
        <v>9</v>
      </c>
      <c r="H395" s="3" t="str">
        <f t="shared" si="20"/>
        <v>ROOD</v>
      </c>
      <c r="I395" s="3" t="str">
        <f t="shared" si="18"/>
        <v>Jonas</v>
      </c>
      <c r="J395" s="4" t="str">
        <f t="shared" si="19"/>
        <v>Nicolas</v>
      </c>
      <c r="K395" t="str">
        <f>Tabel3[[#This Row],[Rood Verdediging]]&amp;Tabel3[[#This Row],[Rood Aanval]]</f>
        <v>JonasNicolas</v>
      </c>
      <c r="L395" t="str">
        <f>Tabel3[[#This Row],[Groen Verdediging]]&amp;Tabel3[[#This Row],[Groen Aanval]]</f>
        <v>MatthijsStef D</v>
      </c>
      <c r="M395" t="str">
        <f>Tabel3[[#This Row],[Winnaar 1]]&amp;Tabel3[[#This Row],[Winnaar 2]]</f>
        <v>JonasNicolas</v>
      </c>
      <c r="N395" t="str">
        <f>IF(Tabel3[[#This Row],[Team Rood]]=Tabel3[[#This Row],[Winnaars]],Tabel3[[#This Row],[Team Rood]])</f>
        <v>JonasNicolas</v>
      </c>
      <c r="O395" t="b">
        <f>IF(Tabel3[[#This Row],[Team Groen]]=Tabel3[[#This Row],[Winnaars]],Tabel3[[#This Row],[Team Groen]])</f>
        <v>0</v>
      </c>
    </row>
    <row r="396" spans="1:15" x14ac:dyDescent="0.25">
      <c r="A396" s="14">
        <v>396</v>
      </c>
      <c r="B396" s="205" t="s">
        <v>19</v>
      </c>
      <c r="C396" s="205" t="s">
        <v>8</v>
      </c>
      <c r="D396" s="206" t="s">
        <v>6</v>
      </c>
      <c r="E396" s="206" t="s">
        <v>11</v>
      </c>
      <c r="F396" s="81">
        <v>9</v>
      </c>
      <c r="G396" s="81">
        <v>11</v>
      </c>
      <c r="H396" s="3" t="str">
        <f t="shared" si="20"/>
        <v>GROEN</v>
      </c>
      <c r="I396" s="3" t="str">
        <f t="shared" si="18"/>
        <v>Stef D</v>
      </c>
      <c r="J396" s="4" t="str">
        <f t="shared" si="19"/>
        <v>Matthijs</v>
      </c>
      <c r="K396" t="str">
        <f>Tabel3[[#This Row],[Rood Verdediging]]&amp;Tabel3[[#This Row],[Rood Aanval]]</f>
        <v>NicolasLouis</v>
      </c>
      <c r="L396" t="str">
        <f>Tabel3[[#This Row],[Groen Verdediging]]&amp;Tabel3[[#This Row],[Groen Aanval]]</f>
        <v>Stef DMatthijs</v>
      </c>
      <c r="M396" t="str">
        <f>Tabel3[[#This Row],[Winnaar 1]]&amp;Tabel3[[#This Row],[Winnaar 2]]</f>
        <v>Stef DMatthijs</v>
      </c>
      <c r="N396" t="b">
        <f>IF(Tabel3[[#This Row],[Team Rood]]=Tabel3[[#This Row],[Winnaars]],Tabel3[[#This Row],[Team Rood]])</f>
        <v>0</v>
      </c>
      <c r="O396" t="str">
        <f>IF(Tabel3[[#This Row],[Team Groen]]=Tabel3[[#This Row],[Winnaars]],Tabel3[[#This Row],[Team Groen]])</f>
        <v>Stef DMatthijs</v>
      </c>
    </row>
    <row r="397" spans="1:15" x14ac:dyDescent="0.25">
      <c r="A397" s="14">
        <v>397</v>
      </c>
      <c r="B397" s="205" t="s">
        <v>0</v>
      </c>
      <c r="C397" s="205" t="s">
        <v>6</v>
      </c>
      <c r="D397" s="206" t="s">
        <v>8</v>
      </c>
      <c r="E397" s="206" t="s">
        <v>11</v>
      </c>
      <c r="F397" s="81">
        <v>11</v>
      </c>
      <c r="G397" s="81">
        <v>7</v>
      </c>
      <c r="H397" s="3" t="str">
        <f t="shared" si="20"/>
        <v>ROOD</v>
      </c>
      <c r="I397" s="3" t="str">
        <f t="shared" ref="I397:I460" si="21">IF(F397&gt;G397,B397,IF(F397=0,"",D397))</f>
        <v>Jonas</v>
      </c>
      <c r="J397" s="4" t="str">
        <f t="shared" ref="J397:J460" si="22">IF(F397&gt;G397,C397,IF(F397=0,"",E397))</f>
        <v>Stef D</v>
      </c>
      <c r="K397" t="str">
        <f>Tabel3[[#This Row],[Rood Verdediging]]&amp;Tabel3[[#This Row],[Rood Aanval]]</f>
        <v>JonasStef D</v>
      </c>
      <c r="L397" t="str">
        <f>Tabel3[[#This Row],[Groen Verdediging]]&amp;Tabel3[[#This Row],[Groen Aanval]]</f>
        <v>LouisMatthijs</v>
      </c>
      <c r="M397" t="str">
        <f>Tabel3[[#This Row],[Winnaar 1]]&amp;Tabel3[[#This Row],[Winnaar 2]]</f>
        <v>JonasStef D</v>
      </c>
      <c r="N397" t="str">
        <f>IF(Tabel3[[#This Row],[Team Rood]]=Tabel3[[#This Row],[Winnaars]],Tabel3[[#This Row],[Team Rood]])</f>
        <v>JonasStef D</v>
      </c>
      <c r="O397" t="b">
        <f>IF(Tabel3[[#This Row],[Team Groen]]=Tabel3[[#This Row],[Winnaars]],Tabel3[[#This Row],[Team Groen]])</f>
        <v>0</v>
      </c>
    </row>
    <row r="398" spans="1:15" x14ac:dyDescent="0.25">
      <c r="A398" s="14">
        <v>398</v>
      </c>
      <c r="B398" s="205" t="s">
        <v>8</v>
      </c>
      <c r="C398" s="205" t="s">
        <v>19</v>
      </c>
      <c r="D398" s="206" t="s">
        <v>11</v>
      </c>
      <c r="E398" s="206" t="s">
        <v>0</v>
      </c>
      <c r="F398" s="81">
        <v>9</v>
      </c>
      <c r="G398" s="81">
        <v>11</v>
      </c>
      <c r="H398" s="3" t="str">
        <f t="shared" si="20"/>
        <v>GROEN</v>
      </c>
      <c r="I398" s="3" t="str">
        <f t="shared" si="21"/>
        <v>Matthijs</v>
      </c>
      <c r="J398" s="4" t="str">
        <f t="shared" si="22"/>
        <v>Jonas</v>
      </c>
      <c r="K398" t="str">
        <f>Tabel3[[#This Row],[Rood Verdediging]]&amp;Tabel3[[#This Row],[Rood Aanval]]</f>
        <v>LouisNicolas</v>
      </c>
      <c r="L398" t="str">
        <f>Tabel3[[#This Row],[Groen Verdediging]]&amp;Tabel3[[#This Row],[Groen Aanval]]</f>
        <v>MatthijsJonas</v>
      </c>
      <c r="M398" t="str">
        <f>Tabel3[[#This Row],[Winnaar 1]]&amp;Tabel3[[#This Row],[Winnaar 2]]</f>
        <v>MatthijsJonas</v>
      </c>
      <c r="N398" t="b">
        <f>IF(Tabel3[[#This Row],[Team Rood]]=Tabel3[[#This Row],[Winnaars]],Tabel3[[#This Row],[Team Rood]])</f>
        <v>0</v>
      </c>
      <c r="O398" t="str">
        <f>IF(Tabel3[[#This Row],[Team Groen]]=Tabel3[[#This Row],[Winnaars]],Tabel3[[#This Row],[Team Groen]])</f>
        <v>MatthijsJonas</v>
      </c>
    </row>
    <row r="399" spans="1:15" x14ac:dyDescent="0.25">
      <c r="A399" s="14">
        <v>399</v>
      </c>
      <c r="B399" s="205" t="s">
        <v>11</v>
      </c>
      <c r="C399" s="205" t="s">
        <v>6</v>
      </c>
      <c r="D399" s="206" t="s">
        <v>0</v>
      </c>
      <c r="E399" s="206" t="s">
        <v>8</v>
      </c>
      <c r="F399" s="81">
        <v>11</v>
      </c>
      <c r="G399" s="81">
        <v>4</v>
      </c>
      <c r="H399" s="3" t="str">
        <f t="shared" si="20"/>
        <v>ROOD</v>
      </c>
      <c r="I399" s="3" t="str">
        <f t="shared" si="21"/>
        <v>Matthijs</v>
      </c>
      <c r="J399" s="4" t="str">
        <f t="shared" si="22"/>
        <v>Stef D</v>
      </c>
      <c r="K399" t="str">
        <f>Tabel3[[#This Row],[Rood Verdediging]]&amp;Tabel3[[#This Row],[Rood Aanval]]</f>
        <v>MatthijsStef D</v>
      </c>
      <c r="L399" t="str">
        <f>Tabel3[[#This Row],[Groen Verdediging]]&amp;Tabel3[[#This Row],[Groen Aanval]]</f>
        <v>JonasLouis</v>
      </c>
      <c r="M399" t="str">
        <f>Tabel3[[#This Row],[Winnaar 1]]&amp;Tabel3[[#This Row],[Winnaar 2]]</f>
        <v>MatthijsStef D</v>
      </c>
      <c r="N399" t="str">
        <f>IF(Tabel3[[#This Row],[Team Rood]]=Tabel3[[#This Row],[Winnaars]],Tabel3[[#This Row],[Team Rood]])</f>
        <v>MatthijsStef D</v>
      </c>
      <c r="O399" t="b">
        <f>IF(Tabel3[[#This Row],[Team Groen]]=Tabel3[[#This Row],[Winnaars]],Tabel3[[#This Row],[Team Groen]])</f>
        <v>0</v>
      </c>
    </row>
    <row r="400" spans="1:15" x14ac:dyDescent="0.25">
      <c r="A400" s="14">
        <v>400</v>
      </c>
      <c r="B400" s="205" t="s">
        <v>19</v>
      </c>
      <c r="C400" s="205" t="s">
        <v>6</v>
      </c>
      <c r="D400" s="206" t="s">
        <v>0</v>
      </c>
      <c r="E400" s="206" t="s">
        <v>8</v>
      </c>
      <c r="F400" s="81">
        <v>13</v>
      </c>
      <c r="G400" s="81">
        <v>11</v>
      </c>
      <c r="H400" s="3" t="str">
        <f t="shared" si="20"/>
        <v>ROOD</v>
      </c>
      <c r="I400" s="3" t="str">
        <f t="shared" si="21"/>
        <v>Nicolas</v>
      </c>
      <c r="J400" s="4" t="str">
        <f t="shared" si="22"/>
        <v>Stef D</v>
      </c>
      <c r="K400" t="str">
        <f>Tabel3[[#This Row],[Rood Verdediging]]&amp;Tabel3[[#This Row],[Rood Aanval]]</f>
        <v>NicolasStef D</v>
      </c>
      <c r="L400" t="str">
        <f>Tabel3[[#This Row],[Groen Verdediging]]&amp;Tabel3[[#This Row],[Groen Aanval]]</f>
        <v>JonasLouis</v>
      </c>
      <c r="M400" t="str">
        <f>Tabel3[[#This Row],[Winnaar 1]]&amp;Tabel3[[#This Row],[Winnaar 2]]</f>
        <v>NicolasStef D</v>
      </c>
      <c r="N400" t="str">
        <f>IF(Tabel3[[#This Row],[Team Rood]]=Tabel3[[#This Row],[Winnaars]],Tabel3[[#This Row],[Team Rood]])</f>
        <v>NicolasStef D</v>
      </c>
      <c r="O400" t="b">
        <f>IF(Tabel3[[#This Row],[Team Groen]]=Tabel3[[#This Row],[Winnaars]],Tabel3[[#This Row],[Team Groen]])</f>
        <v>0</v>
      </c>
    </row>
    <row r="401" spans="1:15" x14ac:dyDescent="0.25">
      <c r="A401" s="14">
        <v>401</v>
      </c>
      <c r="B401" s="205" t="s">
        <v>0</v>
      </c>
      <c r="C401" s="205" t="s">
        <v>6</v>
      </c>
      <c r="D401" s="206" t="s">
        <v>11</v>
      </c>
      <c r="E401" s="206" t="s">
        <v>8</v>
      </c>
      <c r="F401" s="81">
        <v>11</v>
      </c>
      <c r="G401" s="81">
        <v>9</v>
      </c>
      <c r="H401" s="3" t="str">
        <f t="shared" si="20"/>
        <v>ROOD</v>
      </c>
      <c r="I401" s="3" t="str">
        <f t="shared" si="21"/>
        <v>Jonas</v>
      </c>
      <c r="J401" s="4" t="str">
        <f t="shared" si="22"/>
        <v>Stef D</v>
      </c>
      <c r="K401" t="str">
        <f>Tabel3[[#This Row],[Rood Verdediging]]&amp;Tabel3[[#This Row],[Rood Aanval]]</f>
        <v>JonasStef D</v>
      </c>
      <c r="L401" t="str">
        <f>Tabel3[[#This Row],[Groen Verdediging]]&amp;Tabel3[[#This Row],[Groen Aanval]]</f>
        <v>MatthijsLouis</v>
      </c>
      <c r="M401" t="str">
        <f>Tabel3[[#This Row],[Winnaar 1]]&amp;Tabel3[[#This Row],[Winnaar 2]]</f>
        <v>JonasStef D</v>
      </c>
      <c r="N401" t="str">
        <f>IF(Tabel3[[#This Row],[Team Rood]]=Tabel3[[#This Row],[Winnaars]],Tabel3[[#This Row],[Team Rood]])</f>
        <v>JonasStef D</v>
      </c>
      <c r="O401" t="b">
        <f>IF(Tabel3[[#This Row],[Team Groen]]=Tabel3[[#This Row],[Winnaars]],Tabel3[[#This Row],[Team Groen]])</f>
        <v>0</v>
      </c>
    </row>
    <row r="402" spans="1:15" x14ac:dyDescent="0.25">
      <c r="A402" s="14">
        <v>402</v>
      </c>
      <c r="B402" s="205" t="s">
        <v>8</v>
      </c>
      <c r="C402" s="205" t="s">
        <v>6</v>
      </c>
      <c r="D402" s="206" t="s">
        <v>19</v>
      </c>
      <c r="E402" s="206" t="s">
        <v>11</v>
      </c>
      <c r="F402" s="81">
        <v>11</v>
      </c>
      <c r="G402" s="81">
        <v>4</v>
      </c>
      <c r="H402" s="3" t="str">
        <f t="shared" si="20"/>
        <v>ROOD</v>
      </c>
      <c r="I402" s="3" t="str">
        <f t="shared" si="21"/>
        <v>Louis</v>
      </c>
      <c r="J402" s="4" t="str">
        <f t="shared" si="22"/>
        <v>Stef D</v>
      </c>
      <c r="K402" t="str">
        <f>Tabel3[[#This Row],[Rood Verdediging]]&amp;Tabel3[[#This Row],[Rood Aanval]]</f>
        <v>LouisStef D</v>
      </c>
      <c r="L402" t="str">
        <f>Tabel3[[#This Row],[Groen Verdediging]]&amp;Tabel3[[#This Row],[Groen Aanval]]</f>
        <v>NicolasMatthijs</v>
      </c>
      <c r="M402" t="str">
        <f>Tabel3[[#This Row],[Winnaar 1]]&amp;Tabel3[[#This Row],[Winnaar 2]]</f>
        <v>LouisStef D</v>
      </c>
      <c r="N402" t="str">
        <f>IF(Tabel3[[#This Row],[Team Rood]]=Tabel3[[#This Row],[Winnaars]],Tabel3[[#This Row],[Team Rood]])</f>
        <v>LouisStef D</v>
      </c>
      <c r="O402" t="b">
        <f>IF(Tabel3[[#This Row],[Team Groen]]=Tabel3[[#This Row],[Winnaars]],Tabel3[[#This Row],[Team Groen]])</f>
        <v>0</v>
      </c>
    </row>
    <row r="403" spans="1:15" x14ac:dyDescent="0.25">
      <c r="A403" s="14">
        <v>403</v>
      </c>
      <c r="B403" s="205" t="s">
        <v>6</v>
      </c>
      <c r="C403" s="205" t="s">
        <v>11</v>
      </c>
      <c r="D403" s="206" t="s">
        <v>0</v>
      </c>
      <c r="E403" s="206" t="s">
        <v>19</v>
      </c>
      <c r="F403" s="81">
        <v>11</v>
      </c>
      <c r="G403" s="81">
        <v>7</v>
      </c>
      <c r="H403" s="3" t="str">
        <f t="shared" si="20"/>
        <v>ROOD</v>
      </c>
      <c r="I403" s="3" t="str">
        <f t="shared" si="21"/>
        <v>Stef D</v>
      </c>
      <c r="J403" s="4" t="str">
        <f t="shared" si="22"/>
        <v>Matthijs</v>
      </c>
      <c r="K403" t="str">
        <f>Tabel3[[#This Row],[Rood Verdediging]]&amp;Tabel3[[#This Row],[Rood Aanval]]</f>
        <v>Stef DMatthijs</v>
      </c>
      <c r="L403" t="str">
        <f>Tabel3[[#This Row],[Groen Verdediging]]&amp;Tabel3[[#This Row],[Groen Aanval]]</f>
        <v>JonasNicolas</v>
      </c>
      <c r="M403" t="str">
        <f>Tabel3[[#This Row],[Winnaar 1]]&amp;Tabel3[[#This Row],[Winnaar 2]]</f>
        <v>Stef DMatthijs</v>
      </c>
      <c r="N403" t="str">
        <f>IF(Tabel3[[#This Row],[Team Rood]]=Tabel3[[#This Row],[Winnaars]],Tabel3[[#This Row],[Team Rood]])</f>
        <v>Stef DMatthijs</v>
      </c>
      <c r="O403" t="b">
        <f>IF(Tabel3[[#This Row],[Team Groen]]=Tabel3[[#This Row],[Winnaars]],Tabel3[[#This Row],[Team Groen]])</f>
        <v>0</v>
      </c>
    </row>
    <row r="404" spans="1:15" x14ac:dyDescent="0.25">
      <c r="A404" s="14">
        <v>404</v>
      </c>
      <c r="B404" s="205" t="s">
        <v>11</v>
      </c>
      <c r="C404" s="205" t="s">
        <v>6</v>
      </c>
      <c r="D404" s="206" t="s">
        <v>8</v>
      </c>
      <c r="E404" s="206" t="s">
        <v>0</v>
      </c>
      <c r="F404" s="81">
        <v>11</v>
      </c>
      <c r="G404" s="81">
        <v>5</v>
      </c>
      <c r="H404" s="3" t="str">
        <f t="shared" si="20"/>
        <v>ROOD</v>
      </c>
      <c r="I404" s="3" t="str">
        <f t="shared" si="21"/>
        <v>Matthijs</v>
      </c>
      <c r="J404" s="4" t="str">
        <f t="shared" si="22"/>
        <v>Stef D</v>
      </c>
      <c r="K404" t="str">
        <f>Tabel3[[#This Row],[Rood Verdediging]]&amp;Tabel3[[#This Row],[Rood Aanval]]</f>
        <v>MatthijsStef D</v>
      </c>
      <c r="L404" t="str">
        <f>Tabel3[[#This Row],[Groen Verdediging]]&amp;Tabel3[[#This Row],[Groen Aanval]]</f>
        <v>LouisJonas</v>
      </c>
      <c r="M404" t="str">
        <f>Tabel3[[#This Row],[Winnaar 1]]&amp;Tabel3[[#This Row],[Winnaar 2]]</f>
        <v>MatthijsStef D</v>
      </c>
      <c r="N404" t="str">
        <f>IF(Tabel3[[#This Row],[Team Rood]]=Tabel3[[#This Row],[Winnaars]],Tabel3[[#This Row],[Team Rood]])</f>
        <v>MatthijsStef D</v>
      </c>
      <c r="O404" t="b">
        <f>IF(Tabel3[[#This Row],[Team Groen]]=Tabel3[[#This Row],[Winnaars]],Tabel3[[#This Row],[Team Groen]])</f>
        <v>0</v>
      </c>
    </row>
    <row r="405" spans="1:15" x14ac:dyDescent="0.25">
      <c r="A405" s="14">
        <v>405</v>
      </c>
      <c r="B405" s="205" t="s">
        <v>13</v>
      </c>
      <c r="C405" s="205" t="s">
        <v>6</v>
      </c>
      <c r="D405" s="206" t="s">
        <v>3</v>
      </c>
      <c r="E405" s="206" t="s">
        <v>15</v>
      </c>
      <c r="F405" s="81">
        <v>11</v>
      </c>
      <c r="G405" s="81">
        <v>9</v>
      </c>
      <c r="H405" s="3" t="str">
        <f t="shared" si="20"/>
        <v>ROOD</v>
      </c>
      <c r="I405" s="3" t="str">
        <f t="shared" si="21"/>
        <v>Bert</v>
      </c>
      <c r="J405" s="4" t="str">
        <f t="shared" si="22"/>
        <v>Stef D</v>
      </c>
      <c r="K405" t="str">
        <f>Tabel3[[#This Row],[Rood Verdediging]]&amp;Tabel3[[#This Row],[Rood Aanval]]</f>
        <v>BertStef D</v>
      </c>
      <c r="L405" t="str">
        <f>Tabel3[[#This Row],[Groen Verdediging]]&amp;Tabel3[[#This Row],[Groen Aanval]]</f>
        <v>KarelStijn</v>
      </c>
      <c r="M405" t="str">
        <f>Tabel3[[#This Row],[Winnaar 1]]&amp;Tabel3[[#This Row],[Winnaar 2]]</f>
        <v>BertStef D</v>
      </c>
      <c r="N405" t="str">
        <f>IF(Tabel3[[#This Row],[Team Rood]]=Tabel3[[#This Row],[Winnaars]],Tabel3[[#This Row],[Team Rood]])</f>
        <v>BertStef D</v>
      </c>
      <c r="O405" t="b">
        <f>IF(Tabel3[[#This Row],[Team Groen]]=Tabel3[[#This Row],[Winnaars]],Tabel3[[#This Row],[Team Groen]])</f>
        <v>0</v>
      </c>
    </row>
    <row r="406" spans="1:15" x14ac:dyDescent="0.25">
      <c r="A406" s="14">
        <v>406</v>
      </c>
      <c r="B406" s="205" t="s">
        <v>8</v>
      </c>
      <c r="C406" s="205" t="s">
        <v>6</v>
      </c>
      <c r="D406" s="206" t="s">
        <v>7</v>
      </c>
      <c r="E406" s="206" t="s">
        <v>15</v>
      </c>
      <c r="F406" s="81">
        <v>14</v>
      </c>
      <c r="G406" s="81">
        <v>12</v>
      </c>
      <c r="H406" s="3" t="str">
        <f t="shared" si="20"/>
        <v>ROOD</v>
      </c>
      <c r="I406" s="3" t="str">
        <f t="shared" si="21"/>
        <v>Louis</v>
      </c>
      <c r="J406" s="4" t="str">
        <f t="shared" si="22"/>
        <v>Stef D</v>
      </c>
      <c r="K406" t="str">
        <f>Tabel3[[#This Row],[Rood Verdediging]]&amp;Tabel3[[#This Row],[Rood Aanval]]</f>
        <v>LouisStef D</v>
      </c>
      <c r="L406" t="str">
        <f>Tabel3[[#This Row],[Groen Verdediging]]&amp;Tabel3[[#This Row],[Groen Aanval]]</f>
        <v>TiemenStijn</v>
      </c>
      <c r="M406" t="str">
        <f>Tabel3[[#This Row],[Winnaar 1]]&amp;Tabel3[[#This Row],[Winnaar 2]]</f>
        <v>LouisStef D</v>
      </c>
      <c r="N406" t="str">
        <f>IF(Tabel3[[#This Row],[Team Rood]]=Tabel3[[#This Row],[Winnaars]],Tabel3[[#This Row],[Team Rood]])</f>
        <v>LouisStef D</v>
      </c>
      <c r="O406" t="b">
        <f>IF(Tabel3[[#This Row],[Team Groen]]=Tabel3[[#This Row],[Winnaars]],Tabel3[[#This Row],[Team Groen]])</f>
        <v>0</v>
      </c>
    </row>
    <row r="407" spans="1:15" x14ac:dyDescent="0.25">
      <c r="A407" s="14">
        <v>407</v>
      </c>
      <c r="B407" s="205" t="s">
        <v>0</v>
      </c>
      <c r="C407" s="205" t="s">
        <v>3</v>
      </c>
      <c r="D407" s="206" t="s">
        <v>7</v>
      </c>
      <c r="E407" s="206" t="s">
        <v>13</v>
      </c>
      <c r="F407" s="81">
        <v>11</v>
      </c>
      <c r="G407" s="81">
        <v>7</v>
      </c>
      <c r="H407" s="3" t="str">
        <f t="shared" si="20"/>
        <v>ROOD</v>
      </c>
      <c r="I407" s="3" t="str">
        <f t="shared" si="21"/>
        <v>Jonas</v>
      </c>
      <c r="J407" s="4" t="str">
        <f t="shared" si="22"/>
        <v>Karel</v>
      </c>
      <c r="K407" t="str">
        <f>Tabel3[[#This Row],[Rood Verdediging]]&amp;Tabel3[[#This Row],[Rood Aanval]]</f>
        <v>JonasKarel</v>
      </c>
      <c r="L407" t="str">
        <f>Tabel3[[#This Row],[Groen Verdediging]]&amp;Tabel3[[#This Row],[Groen Aanval]]</f>
        <v>TiemenBert</v>
      </c>
      <c r="M407" t="str">
        <f>Tabel3[[#This Row],[Winnaar 1]]&amp;Tabel3[[#This Row],[Winnaar 2]]</f>
        <v>JonasKarel</v>
      </c>
      <c r="N407" t="str">
        <f>IF(Tabel3[[#This Row],[Team Rood]]=Tabel3[[#This Row],[Winnaars]],Tabel3[[#This Row],[Team Rood]])</f>
        <v>JonasKarel</v>
      </c>
      <c r="O407" t="b">
        <f>IF(Tabel3[[#This Row],[Team Groen]]=Tabel3[[#This Row],[Winnaars]],Tabel3[[#This Row],[Team Groen]])</f>
        <v>0</v>
      </c>
    </row>
    <row r="408" spans="1:15" x14ac:dyDescent="0.25">
      <c r="A408" s="14">
        <v>408</v>
      </c>
      <c r="B408" s="205" t="s">
        <v>0</v>
      </c>
      <c r="C408" s="205" t="s">
        <v>7</v>
      </c>
      <c r="D408" s="206" t="s">
        <v>8</v>
      </c>
      <c r="E408" s="206" t="s">
        <v>6</v>
      </c>
      <c r="F408" s="81">
        <v>10</v>
      </c>
      <c r="G408" s="81">
        <v>12</v>
      </c>
      <c r="H408" s="3" t="str">
        <f t="shared" si="20"/>
        <v>GROEN</v>
      </c>
      <c r="I408" s="3" t="str">
        <f t="shared" si="21"/>
        <v>Louis</v>
      </c>
      <c r="J408" s="4" t="str">
        <f t="shared" si="22"/>
        <v>Stef D</v>
      </c>
      <c r="K408" t="str">
        <f>Tabel3[[#This Row],[Rood Verdediging]]&amp;Tabel3[[#This Row],[Rood Aanval]]</f>
        <v>JonasTiemen</v>
      </c>
      <c r="L408" t="str">
        <f>Tabel3[[#This Row],[Groen Verdediging]]&amp;Tabel3[[#This Row],[Groen Aanval]]</f>
        <v>LouisStef D</v>
      </c>
      <c r="M408" t="str">
        <f>Tabel3[[#This Row],[Winnaar 1]]&amp;Tabel3[[#This Row],[Winnaar 2]]</f>
        <v>LouisStef D</v>
      </c>
      <c r="N408" t="b">
        <f>IF(Tabel3[[#This Row],[Team Rood]]=Tabel3[[#This Row],[Winnaars]],Tabel3[[#This Row],[Team Rood]])</f>
        <v>0</v>
      </c>
      <c r="O408" t="str">
        <f>IF(Tabel3[[#This Row],[Team Groen]]=Tabel3[[#This Row],[Winnaars]],Tabel3[[#This Row],[Team Groen]])</f>
        <v>LouisStef D</v>
      </c>
    </row>
    <row r="409" spans="1:15" x14ac:dyDescent="0.25">
      <c r="A409" s="14">
        <v>409</v>
      </c>
      <c r="B409" s="205" t="s">
        <v>3</v>
      </c>
      <c r="C409" s="205" t="s">
        <v>13</v>
      </c>
      <c r="D409" s="206" t="s">
        <v>8</v>
      </c>
      <c r="E409" s="206" t="s">
        <v>15</v>
      </c>
      <c r="F409" s="81">
        <v>11</v>
      </c>
      <c r="G409" s="81">
        <v>6</v>
      </c>
      <c r="H409" s="3" t="str">
        <f t="shared" si="20"/>
        <v>ROOD</v>
      </c>
      <c r="I409" s="3" t="str">
        <f t="shared" si="21"/>
        <v>Karel</v>
      </c>
      <c r="J409" s="4" t="str">
        <f t="shared" si="22"/>
        <v>Bert</v>
      </c>
      <c r="K409" t="str">
        <f>Tabel3[[#This Row],[Rood Verdediging]]&amp;Tabel3[[#This Row],[Rood Aanval]]</f>
        <v>KarelBert</v>
      </c>
      <c r="L409" t="str">
        <f>Tabel3[[#This Row],[Groen Verdediging]]&amp;Tabel3[[#This Row],[Groen Aanval]]</f>
        <v>LouisStijn</v>
      </c>
      <c r="M409" t="str">
        <f>Tabel3[[#This Row],[Winnaar 1]]&amp;Tabel3[[#This Row],[Winnaar 2]]</f>
        <v>KarelBert</v>
      </c>
      <c r="N409" t="str">
        <f>IF(Tabel3[[#This Row],[Team Rood]]=Tabel3[[#This Row],[Winnaars]],Tabel3[[#This Row],[Team Rood]])</f>
        <v>KarelBert</v>
      </c>
      <c r="O409" t="b">
        <f>IF(Tabel3[[#This Row],[Team Groen]]=Tabel3[[#This Row],[Winnaars]],Tabel3[[#This Row],[Team Groen]])</f>
        <v>0</v>
      </c>
    </row>
    <row r="410" spans="1:15" x14ac:dyDescent="0.25">
      <c r="A410" s="14">
        <v>410</v>
      </c>
      <c r="B410" s="205" t="s">
        <v>7</v>
      </c>
      <c r="C410" s="205" t="s">
        <v>0</v>
      </c>
      <c r="D410" s="206" t="s">
        <v>19</v>
      </c>
      <c r="E410" s="206" t="s">
        <v>6</v>
      </c>
      <c r="F410" s="81">
        <v>11</v>
      </c>
      <c r="G410" s="81">
        <v>6</v>
      </c>
      <c r="H410" s="3" t="str">
        <f t="shared" si="20"/>
        <v>ROOD</v>
      </c>
      <c r="I410" s="3" t="str">
        <f t="shared" si="21"/>
        <v>Tiemen</v>
      </c>
      <c r="J410" s="4" t="str">
        <f t="shared" si="22"/>
        <v>Jonas</v>
      </c>
      <c r="K410" t="str">
        <f>Tabel3[[#This Row],[Rood Verdediging]]&amp;Tabel3[[#This Row],[Rood Aanval]]</f>
        <v>TiemenJonas</v>
      </c>
      <c r="L410" t="str">
        <f>Tabel3[[#This Row],[Groen Verdediging]]&amp;Tabel3[[#This Row],[Groen Aanval]]</f>
        <v>NicolasStef D</v>
      </c>
      <c r="M410" t="str">
        <f>Tabel3[[#This Row],[Winnaar 1]]&amp;Tabel3[[#This Row],[Winnaar 2]]</f>
        <v>TiemenJonas</v>
      </c>
      <c r="N410" t="str">
        <f>IF(Tabel3[[#This Row],[Team Rood]]=Tabel3[[#This Row],[Winnaars]],Tabel3[[#This Row],[Team Rood]])</f>
        <v>TiemenJonas</v>
      </c>
      <c r="O410" t="b">
        <f>IF(Tabel3[[#This Row],[Team Groen]]=Tabel3[[#This Row],[Winnaars]],Tabel3[[#This Row],[Team Groen]])</f>
        <v>0</v>
      </c>
    </row>
    <row r="411" spans="1:15" x14ac:dyDescent="0.25">
      <c r="A411" s="14">
        <v>411</v>
      </c>
      <c r="B411" s="205" t="s">
        <v>3</v>
      </c>
      <c r="C411" s="205" t="s">
        <v>6</v>
      </c>
      <c r="D411" s="206" t="s">
        <v>0</v>
      </c>
      <c r="E411" s="206" t="s">
        <v>15</v>
      </c>
      <c r="F411" s="81">
        <v>11</v>
      </c>
      <c r="G411" s="81">
        <v>8</v>
      </c>
      <c r="H411" s="3" t="str">
        <f t="shared" si="20"/>
        <v>ROOD</v>
      </c>
      <c r="I411" s="3" t="str">
        <f t="shared" si="21"/>
        <v>Karel</v>
      </c>
      <c r="J411" s="4" t="str">
        <f t="shared" si="22"/>
        <v>Stef D</v>
      </c>
      <c r="K411" t="str">
        <f>Tabel3[[#This Row],[Rood Verdediging]]&amp;Tabel3[[#This Row],[Rood Aanval]]</f>
        <v>KarelStef D</v>
      </c>
      <c r="L411" t="str">
        <f>Tabel3[[#This Row],[Groen Verdediging]]&amp;Tabel3[[#This Row],[Groen Aanval]]</f>
        <v>JonasStijn</v>
      </c>
      <c r="M411" t="str">
        <f>Tabel3[[#This Row],[Winnaar 1]]&amp;Tabel3[[#This Row],[Winnaar 2]]</f>
        <v>KarelStef D</v>
      </c>
      <c r="N411" t="str">
        <f>IF(Tabel3[[#This Row],[Team Rood]]=Tabel3[[#This Row],[Winnaars]],Tabel3[[#This Row],[Team Rood]])</f>
        <v>KarelStef D</v>
      </c>
      <c r="O411" t="b">
        <f>IF(Tabel3[[#This Row],[Team Groen]]=Tabel3[[#This Row],[Winnaars]],Tabel3[[#This Row],[Team Groen]])</f>
        <v>0</v>
      </c>
    </row>
    <row r="412" spans="1:15" x14ac:dyDescent="0.25">
      <c r="A412" s="14">
        <v>412</v>
      </c>
      <c r="B412" s="205" t="s">
        <v>6</v>
      </c>
      <c r="C412" s="205" t="s">
        <v>7</v>
      </c>
      <c r="D412" s="206" t="s">
        <v>15</v>
      </c>
      <c r="E412" s="206" t="s">
        <v>19</v>
      </c>
      <c r="F412" s="81">
        <v>11</v>
      </c>
      <c r="G412" s="81">
        <v>5</v>
      </c>
      <c r="H412" s="3" t="str">
        <f t="shared" si="20"/>
        <v>ROOD</v>
      </c>
      <c r="I412" s="3" t="str">
        <f t="shared" si="21"/>
        <v>Stef D</v>
      </c>
      <c r="J412" s="4" t="str">
        <f t="shared" si="22"/>
        <v>Tiemen</v>
      </c>
      <c r="K412" t="str">
        <f>Tabel3[[#This Row],[Rood Verdediging]]&amp;Tabel3[[#This Row],[Rood Aanval]]</f>
        <v>Stef DTiemen</v>
      </c>
      <c r="L412" t="str">
        <f>Tabel3[[#This Row],[Groen Verdediging]]&amp;Tabel3[[#This Row],[Groen Aanval]]</f>
        <v>StijnNicolas</v>
      </c>
      <c r="M412" t="str">
        <f>Tabel3[[#This Row],[Winnaar 1]]&amp;Tabel3[[#This Row],[Winnaar 2]]</f>
        <v>Stef DTiemen</v>
      </c>
      <c r="N412" t="str">
        <f>IF(Tabel3[[#This Row],[Team Rood]]=Tabel3[[#This Row],[Winnaars]],Tabel3[[#This Row],[Team Rood]])</f>
        <v>Stef DTiemen</v>
      </c>
      <c r="O412" t="b">
        <f>IF(Tabel3[[#This Row],[Team Groen]]=Tabel3[[#This Row],[Winnaars]],Tabel3[[#This Row],[Team Groen]])</f>
        <v>0</v>
      </c>
    </row>
    <row r="413" spans="1:15" x14ac:dyDescent="0.25">
      <c r="A413" s="14">
        <v>413</v>
      </c>
      <c r="B413" s="205" t="s">
        <v>6</v>
      </c>
      <c r="C413" s="205" t="s">
        <v>15</v>
      </c>
      <c r="D413" s="206" t="s">
        <v>7</v>
      </c>
      <c r="E413" s="206" t="s">
        <v>19</v>
      </c>
      <c r="F413" s="81">
        <v>6</v>
      </c>
      <c r="G413" s="81">
        <v>11</v>
      </c>
      <c r="H413" s="3" t="str">
        <f t="shared" si="20"/>
        <v>GROEN</v>
      </c>
      <c r="I413" s="3" t="str">
        <f t="shared" si="21"/>
        <v>Tiemen</v>
      </c>
      <c r="J413" s="4" t="str">
        <f t="shared" si="22"/>
        <v>Nicolas</v>
      </c>
      <c r="K413" t="str">
        <f>Tabel3[[#This Row],[Rood Verdediging]]&amp;Tabel3[[#This Row],[Rood Aanval]]</f>
        <v>Stef DStijn</v>
      </c>
      <c r="L413" t="str">
        <f>Tabel3[[#This Row],[Groen Verdediging]]&amp;Tabel3[[#This Row],[Groen Aanval]]</f>
        <v>TiemenNicolas</v>
      </c>
      <c r="M413" t="str">
        <f>Tabel3[[#This Row],[Winnaar 1]]&amp;Tabel3[[#This Row],[Winnaar 2]]</f>
        <v>TiemenNicolas</v>
      </c>
      <c r="N413" t="b">
        <f>IF(Tabel3[[#This Row],[Team Rood]]=Tabel3[[#This Row],[Winnaars]],Tabel3[[#This Row],[Team Rood]])</f>
        <v>0</v>
      </c>
      <c r="O413" t="str">
        <f>IF(Tabel3[[#This Row],[Team Groen]]=Tabel3[[#This Row],[Winnaars]],Tabel3[[#This Row],[Team Groen]])</f>
        <v>TiemenNicolas</v>
      </c>
    </row>
    <row r="414" spans="1:15" x14ac:dyDescent="0.25">
      <c r="A414" s="14">
        <v>414</v>
      </c>
      <c r="B414" s="205" t="s">
        <v>6</v>
      </c>
      <c r="C414" s="205" t="s">
        <v>15</v>
      </c>
      <c r="D414" s="206" t="s">
        <v>3</v>
      </c>
      <c r="E414" s="206" t="s">
        <v>13</v>
      </c>
      <c r="F414" s="81">
        <v>8</v>
      </c>
      <c r="G414" s="81">
        <v>11</v>
      </c>
      <c r="H414" s="3" t="str">
        <f t="shared" si="20"/>
        <v>GROEN</v>
      </c>
      <c r="I414" s="3" t="str">
        <f t="shared" si="21"/>
        <v>Karel</v>
      </c>
      <c r="J414" s="4" t="str">
        <f t="shared" si="22"/>
        <v>Bert</v>
      </c>
      <c r="K414" t="str">
        <f>Tabel3[[#This Row],[Rood Verdediging]]&amp;Tabel3[[#This Row],[Rood Aanval]]</f>
        <v>Stef DStijn</v>
      </c>
      <c r="L414" t="str">
        <f>Tabel3[[#This Row],[Groen Verdediging]]&amp;Tabel3[[#This Row],[Groen Aanval]]</f>
        <v>KarelBert</v>
      </c>
      <c r="M414" t="str">
        <f>Tabel3[[#This Row],[Winnaar 1]]&amp;Tabel3[[#This Row],[Winnaar 2]]</f>
        <v>KarelBert</v>
      </c>
      <c r="N414" t="b">
        <f>IF(Tabel3[[#This Row],[Team Rood]]=Tabel3[[#This Row],[Winnaars]],Tabel3[[#This Row],[Team Rood]])</f>
        <v>0</v>
      </c>
      <c r="O414" t="str">
        <f>IF(Tabel3[[#This Row],[Team Groen]]=Tabel3[[#This Row],[Winnaars]],Tabel3[[#This Row],[Team Groen]])</f>
        <v>KarelBert</v>
      </c>
    </row>
    <row r="415" spans="1:15" x14ac:dyDescent="0.25">
      <c r="A415" s="14">
        <v>415</v>
      </c>
      <c r="B415" s="205" t="s">
        <v>3</v>
      </c>
      <c r="C415" s="205" t="s">
        <v>15</v>
      </c>
      <c r="D415" s="206" t="s">
        <v>6</v>
      </c>
      <c r="E415" s="206" t="s">
        <v>13</v>
      </c>
      <c r="F415" s="81">
        <v>6</v>
      </c>
      <c r="G415" s="81">
        <v>11</v>
      </c>
      <c r="H415" s="3" t="str">
        <f t="shared" si="20"/>
        <v>GROEN</v>
      </c>
      <c r="I415" s="3" t="str">
        <f t="shared" si="21"/>
        <v>Stef D</v>
      </c>
      <c r="J415" s="4" t="str">
        <f t="shared" si="22"/>
        <v>Bert</v>
      </c>
      <c r="K415" t="str">
        <f>Tabel3[[#This Row],[Rood Verdediging]]&amp;Tabel3[[#This Row],[Rood Aanval]]</f>
        <v>KarelStijn</v>
      </c>
      <c r="L415" t="str">
        <f>Tabel3[[#This Row],[Groen Verdediging]]&amp;Tabel3[[#This Row],[Groen Aanval]]</f>
        <v>Stef DBert</v>
      </c>
      <c r="M415" t="str">
        <f>Tabel3[[#This Row],[Winnaar 1]]&amp;Tabel3[[#This Row],[Winnaar 2]]</f>
        <v>Stef DBert</v>
      </c>
      <c r="N415" t="b">
        <f>IF(Tabel3[[#This Row],[Team Rood]]=Tabel3[[#This Row],[Winnaars]],Tabel3[[#This Row],[Team Rood]])</f>
        <v>0</v>
      </c>
      <c r="O415" t="str">
        <f>IF(Tabel3[[#This Row],[Team Groen]]=Tabel3[[#This Row],[Winnaars]],Tabel3[[#This Row],[Team Groen]])</f>
        <v>Stef DBert</v>
      </c>
    </row>
    <row r="416" spans="1:15" x14ac:dyDescent="0.25">
      <c r="A416" s="14">
        <v>416</v>
      </c>
      <c r="B416" s="205" t="s">
        <v>7</v>
      </c>
      <c r="C416" s="205" t="s">
        <v>6</v>
      </c>
      <c r="D416" s="206" t="s">
        <v>11</v>
      </c>
      <c r="E416" s="206" t="s">
        <v>0</v>
      </c>
      <c r="F416" s="81">
        <v>12</v>
      </c>
      <c r="G416" s="81">
        <v>10</v>
      </c>
      <c r="H416" s="3" t="str">
        <f t="shared" si="20"/>
        <v>ROOD</v>
      </c>
      <c r="I416" s="3" t="str">
        <f t="shared" si="21"/>
        <v>Tiemen</v>
      </c>
      <c r="J416" s="4" t="str">
        <f t="shared" si="22"/>
        <v>Stef D</v>
      </c>
      <c r="K416" t="str">
        <f>Tabel3[[#This Row],[Rood Verdediging]]&amp;Tabel3[[#This Row],[Rood Aanval]]</f>
        <v>TiemenStef D</v>
      </c>
      <c r="L416" t="str">
        <f>Tabel3[[#This Row],[Groen Verdediging]]&amp;Tabel3[[#This Row],[Groen Aanval]]</f>
        <v>MatthijsJonas</v>
      </c>
      <c r="M416" t="str">
        <f>Tabel3[[#This Row],[Winnaar 1]]&amp;Tabel3[[#This Row],[Winnaar 2]]</f>
        <v>TiemenStef D</v>
      </c>
      <c r="N416" t="str">
        <f>IF(Tabel3[[#This Row],[Team Rood]]=Tabel3[[#This Row],[Winnaars]],Tabel3[[#This Row],[Team Rood]])</f>
        <v>TiemenStef D</v>
      </c>
      <c r="O416" t="b">
        <f>IF(Tabel3[[#This Row],[Team Groen]]=Tabel3[[#This Row],[Winnaars]],Tabel3[[#This Row],[Team Groen]])</f>
        <v>0</v>
      </c>
    </row>
    <row r="417" spans="1:15" x14ac:dyDescent="0.25">
      <c r="A417" s="14">
        <v>417</v>
      </c>
      <c r="B417" s="205" t="s">
        <v>8</v>
      </c>
      <c r="C417" s="205" t="s">
        <v>13</v>
      </c>
      <c r="D417" s="206" t="s">
        <v>6</v>
      </c>
      <c r="E417" s="206" t="s">
        <v>67</v>
      </c>
      <c r="F417" s="81">
        <v>9</v>
      </c>
      <c r="G417" s="81">
        <v>11</v>
      </c>
      <c r="H417" s="3" t="str">
        <f t="shared" si="20"/>
        <v>GROEN</v>
      </c>
      <c r="I417" s="3" t="str">
        <f t="shared" si="21"/>
        <v>Stef D</v>
      </c>
      <c r="J417" s="4" t="str">
        <f t="shared" si="22"/>
        <v>Lawrence</v>
      </c>
      <c r="K417" t="str">
        <f>Tabel3[[#This Row],[Rood Verdediging]]&amp;Tabel3[[#This Row],[Rood Aanval]]</f>
        <v>LouisBert</v>
      </c>
      <c r="L417" t="str">
        <f>Tabel3[[#This Row],[Groen Verdediging]]&amp;Tabel3[[#This Row],[Groen Aanval]]</f>
        <v>Stef DLawrence</v>
      </c>
      <c r="M417" t="str">
        <f>Tabel3[[#This Row],[Winnaar 1]]&amp;Tabel3[[#This Row],[Winnaar 2]]</f>
        <v>Stef DLawrence</v>
      </c>
      <c r="N417" t="b">
        <f>IF(Tabel3[[#This Row],[Team Rood]]=Tabel3[[#This Row],[Winnaars]],Tabel3[[#This Row],[Team Rood]])</f>
        <v>0</v>
      </c>
      <c r="O417" t="str">
        <f>IF(Tabel3[[#This Row],[Team Groen]]=Tabel3[[#This Row],[Winnaars]],Tabel3[[#This Row],[Team Groen]])</f>
        <v>Stef DLawrence</v>
      </c>
    </row>
    <row r="418" spans="1:15" x14ac:dyDescent="0.25">
      <c r="A418" s="14">
        <v>418</v>
      </c>
      <c r="B418" s="205" t="s">
        <v>11</v>
      </c>
      <c r="C418" s="205" t="s">
        <v>7</v>
      </c>
      <c r="D418" s="206" t="s">
        <v>0</v>
      </c>
      <c r="E418" s="206" t="s">
        <v>67</v>
      </c>
      <c r="F418" s="81">
        <v>12</v>
      </c>
      <c r="G418" s="81">
        <v>14</v>
      </c>
      <c r="H418" s="3" t="str">
        <f t="shared" si="20"/>
        <v>GROEN</v>
      </c>
      <c r="I418" s="3" t="str">
        <f t="shared" si="21"/>
        <v>Jonas</v>
      </c>
      <c r="J418" s="4" t="str">
        <f t="shared" si="22"/>
        <v>Lawrence</v>
      </c>
      <c r="K418" t="str">
        <f>Tabel3[[#This Row],[Rood Verdediging]]&amp;Tabel3[[#This Row],[Rood Aanval]]</f>
        <v>MatthijsTiemen</v>
      </c>
      <c r="L418" t="str">
        <f>Tabel3[[#This Row],[Groen Verdediging]]&amp;Tabel3[[#This Row],[Groen Aanval]]</f>
        <v>JonasLawrence</v>
      </c>
      <c r="M418" t="str">
        <f>Tabel3[[#This Row],[Winnaar 1]]&amp;Tabel3[[#This Row],[Winnaar 2]]</f>
        <v>JonasLawrence</v>
      </c>
      <c r="N418" t="b">
        <f>IF(Tabel3[[#This Row],[Team Rood]]=Tabel3[[#This Row],[Winnaars]],Tabel3[[#This Row],[Team Rood]])</f>
        <v>0</v>
      </c>
      <c r="O418" t="str">
        <f>IF(Tabel3[[#This Row],[Team Groen]]=Tabel3[[#This Row],[Winnaars]],Tabel3[[#This Row],[Team Groen]])</f>
        <v>JonasLawrence</v>
      </c>
    </row>
    <row r="419" spans="1:15" x14ac:dyDescent="0.25">
      <c r="A419" s="14">
        <v>419</v>
      </c>
      <c r="B419" s="205" t="s">
        <v>8</v>
      </c>
      <c r="C419" s="205" t="s">
        <v>6</v>
      </c>
      <c r="D419" s="206" t="s">
        <v>7</v>
      </c>
      <c r="E419" s="206" t="s">
        <v>13</v>
      </c>
      <c r="F419" s="81">
        <v>5</v>
      </c>
      <c r="G419" s="81">
        <v>11</v>
      </c>
      <c r="H419" s="3" t="str">
        <f t="shared" si="20"/>
        <v>GROEN</v>
      </c>
      <c r="I419" s="3" t="str">
        <f t="shared" si="21"/>
        <v>Tiemen</v>
      </c>
      <c r="J419" s="4" t="str">
        <f t="shared" si="22"/>
        <v>Bert</v>
      </c>
      <c r="K419" t="str">
        <f>Tabel3[[#This Row],[Rood Verdediging]]&amp;Tabel3[[#This Row],[Rood Aanval]]</f>
        <v>LouisStef D</v>
      </c>
      <c r="L419" t="str">
        <f>Tabel3[[#This Row],[Groen Verdediging]]&amp;Tabel3[[#This Row],[Groen Aanval]]</f>
        <v>TiemenBert</v>
      </c>
      <c r="M419" t="str">
        <f>Tabel3[[#This Row],[Winnaar 1]]&amp;Tabel3[[#This Row],[Winnaar 2]]</f>
        <v>TiemenBert</v>
      </c>
      <c r="N419" t="b">
        <f>IF(Tabel3[[#This Row],[Team Rood]]=Tabel3[[#This Row],[Winnaars]],Tabel3[[#This Row],[Team Rood]])</f>
        <v>0</v>
      </c>
      <c r="O419" t="str">
        <f>IF(Tabel3[[#This Row],[Team Groen]]=Tabel3[[#This Row],[Winnaars]],Tabel3[[#This Row],[Team Groen]])</f>
        <v>TiemenBert</v>
      </c>
    </row>
    <row r="420" spans="1:15" x14ac:dyDescent="0.25">
      <c r="A420" s="14">
        <v>420</v>
      </c>
      <c r="B420" s="205" t="s">
        <v>11</v>
      </c>
      <c r="C420" s="205" t="s">
        <v>67</v>
      </c>
      <c r="D420" s="206" t="s">
        <v>0</v>
      </c>
      <c r="E420" s="206" t="s">
        <v>6</v>
      </c>
      <c r="F420" s="81">
        <v>9</v>
      </c>
      <c r="G420" s="81">
        <v>11</v>
      </c>
      <c r="H420" s="3" t="str">
        <f t="shared" si="20"/>
        <v>GROEN</v>
      </c>
      <c r="I420" s="3" t="str">
        <f t="shared" si="21"/>
        <v>Jonas</v>
      </c>
      <c r="J420" s="4" t="str">
        <f t="shared" si="22"/>
        <v>Stef D</v>
      </c>
      <c r="K420" t="str">
        <f>Tabel3[[#This Row],[Rood Verdediging]]&amp;Tabel3[[#This Row],[Rood Aanval]]</f>
        <v>MatthijsLawrence</v>
      </c>
      <c r="L420" t="str">
        <f>Tabel3[[#This Row],[Groen Verdediging]]&amp;Tabel3[[#This Row],[Groen Aanval]]</f>
        <v>JonasStef D</v>
      </c>
      <c r="M420" t="str">
        <f>Tabel3[[#This Row],[Winnaar 1]]&amp;Tabel3[[#This Row],[Winnaar 2]]</f>
        <v>JonasStef D</v>
      </c>
      <c r="N420" t="b">
        <f>IF(Tabel3[[#This Row],[Team Rood]]=Tabel3[[#This Row],[Winnaars]],Tabel3[[#This Row],[Team Rood]])</f>
        <v>0</v>
      </c>
      <c r="O420" t="str">
        <f>IF(Tabel3[[#This Row],[Team Groen]]=Tabel3[[#This Row],[Winnaars]],Tabel3[[#This Row],[Team Groen]])</f>
        <v>JonasStef D</v>
      </c>
    </row>
    <row r="421" spans="1:15" x14ac:dyDescent="0.25">
      <c r="A421" s="14">
        <v>421</v>
      </c>
      <c r="B421" s="205" t="s">
        <v>0</v>
      </c>
      <c r="C421" s="205" t="s">
        <v>7</v>
      </c>
      <c r="D421" s="206" t="s">
        <v>8</v>
      </c>
      <c r="E421" s="206" t="s">
        <v>13</v>
      </c>
      <c r="F421" s="81">
        <v>11</v>
      </c>
      <c r="G421" s="81">
        <v>9</v>
      </c>
      <c r="H421" s="3" t="str">
        <f t="shared" si="20"/>
        <v>ROOD</v>
      </c>
      <c r="I421" s="3" t="str">
        <f t="shared" si="21"/>
        <v>Jonas</v>
      </c>
      <c r="J421" s="4" t="str">
        <f t="shared" si="22"/>
        <v>Tiemen</v>
      </c>
      <c r="K421" t="str">
        <f>Tabel3[[#This Row],[Rood Verdediging]]&amp;Tabel3[[#This Row],[Rood Aanval]]</f>
        <v>JonasTiemen</v>
      </c>
      <c r="L421" t="str">
        <f>Tabel3[[#This Row],[Groen Verdediging]]&amp;Tabel3[[#This Row],[Groen Aanval]]</f>
        <v>LouisBert</v>
      </c>
      <c r="M421" t="str">
        <f>Tabel3[[#This Row],[Winnaar 1]]&amp;Tabel3[[#This Row],[Winnaar 2]]</f>
        <v>JonasTiemen</v>
      </c>
      <c r="N421" t="str">
        <f>IF(Tabel3[[#This Row],[Team Rood]]=Tabel3[[#This Row],[Winnaars]],Tabel3[[#This Row],[Team Rood]])</f>
        <v>JonasTiemen</v>
      </c>
      <c r="O421" t="b">
        <f>IF(Tabel3[[#This Row],[Team Groen]]=Tabel3[[#This Row],[Winnaars]],Tabel3[[#This Row],[Team Groen]])</f>
        <v>0</v>
      </c>
    </row>
    <row r="422" spans="1:15" x14ac:dyDescent="0.25">
      <c r="A422" s="14">
        <v>422</v>
      </c>
      <c r="B422" s="205" t="s">
        <v>0</v>
      </c>
      <c r="C422" s="205" t="s">
        <v>11</v>
      </c>
      <c r="D422" s="206" t="s">
        <v>67</v>
      </c>
      <c r="E422" s="206" t="s">
        <v>6</v>
      </c>
      <c r="F422" s="81">
        <v>11</v>
      </c>
      <c r="G422" s="81">
        <v>9</v>
      </c>
      <c r="H422" s="3" t="str">
        <f t="shared" si="20"/>
        <v>ROOD</v>
      </c>
      <c r="I422" s="3" t="str">
        <f t="shared" si="21"/>
        <v>Jonas</v>
      </c>
      <c r="J422" s="4" t="str">
        <f t="shared" si="22"/>
        <v>Matthijs</v>
      </c>
      <c r="K422" t="str">
        <f>Tabel3[[#This Row],[Rood Verdediging]]&amp;Tabel3[[#This Row],[Rood Aanval]]</f>
        <v>JonasMatthijs</v>
      </c>
      <c r="L422" t="str">
        <f>Tabel3[[#This Row],[Groen Verdediging]]&amp;Tabel3[[#This Row],[Groen Aanval]]</f>
        <v>LawrenceStef D</v>
      </c>
      <c r="M422" t="str">
        <f>Tabel3[[#This Row],[Winnaar 1]]&amp;Tabel3[[#This Row],[Winnaar 2]]</f>
        <v>JonasMatthijs</v>
      </c>
      <c r="N422" t="str">
        <f>IF(Tabel3[[#This Row],[Team Rood]]=Tabel3[[#This Row],[Winnaars]],Tabel3[[#This Row],[Team Rood]])</f>
        <v>JonasMatthijs</v>
      </c>
      <c r="O422" t="b">
        <f>IF(Tabel3[[#This Row],[Team Groen]]=Tabel3[[#This Row],[Winnaars]],Tabel3[[#This Row],[Team Groen]])</f>
        <v>0</v>
      </c>
    </row>
    <row r="423" spans="1:15" x14ac:dyDescent="0.25">
      <c r="A423" s="14">
        <v>423</v>
      </c>
      <c r="B423" s="205" t="s">
        <v>13</v>
      </c>
      <c r="C423" s="205" t="s">
        <v>7</v>
      </c>
      <c r="D423" s="206" t="s">
        <v>8</v>
      </c>
      <c r="E423" s="206" t="s">
        <v>6</v>
      </c>
      <c r="F423" s="81">
        <v>11</v>
      </c>
      <c r="G423" s="81">
        <v>6</v>
      </c>
      <c r="H423" s="3" t="str">
        <f t="shared" si="20"/>
        <v>ROOD</v>
      </c>
      <c r="I423" s="3" t="str">
        <f t="shared" si="21"/>
        <v>Bert</v>
      </c>
      <c r="J423" s="4" t="str">
        <f t="shared" si="22"/>
        <v>Tiemen</v>
      </c>
      <c r="K423" t="str">
        <f>Tabel3[[#This Row],[Rood Verdediging]]&amp;Tabel3[[#This Row],[Rood Aanval]]</f>
        <v>BertTiemen</v>
      </c>
      <c r="L423" t="str">
        <f>Tabel3[[#This Row],[Groen Verdediging]]&amp;Tabel3[[#This Row],[Groen Aanval]]</f>
        <v>LouisStef D</v>
      </c>
      <c r="M423" t="str">
        <f>Tabel3[[#This Row],[Winnaar 1]]&amp;Tabel3[[#This Row],[Winnaar 2]]</f>
        <v>BertTiemen</v>
      </c>
      <c r="N423" t="str">
        <f>IF(Tabel3[[#This Row],[Team Rood]]=Tabel3[[#This Row],[Winnaars]],Tabel3[[#This Row],[Team Rood]])</f>
        <v>BertTiemen</v>
      </c>
      <c r="O423" t="b">
        <f>IF(Tabel3[[#This Row],[Team Groen]]=Tabel3[[#This Row],[Winnaars]],Tabel3[[#This Row],[Team Groen]])</f>
        <v>0</v>
      </c>
    </row>
    <row r="424" spans="1:15" x14ac:dyDescent="0.25">
      <c r="A424" s="14">
        <v>424</v>
      </c>
      <c r="B424" s="205" t="s">
        <v>11</v>
      </c>
      <c r="C424" s="205" t="s">
        <v>8</v>
      </c>
      <c r="D424" s="206" t="s">
        <v>6</v>
      </c>
      <c r="E424" s="206" t="s">
        <v>13</v>
      </c>
      <c r="F424" s="81">
        <v>4</v>
      </c>
      <c r="G424" s="81">
        <v>11</v>
      </c>
      <c r="H424" s="3" t="str">
        <f t="shared" si="20"/>
        <v>GROEN</v>
      </c>
      <c r="I424" s="3" t="str">
        <f t="shared" si="21"/>
        <v>Stef D</v>
      </c>
      <c r="J424" s="4" t="str">
        <f t="shared" si="22"/>
        <v>Bert</v>
      </c>
      <c r="K424" t="str">
        <f>Tabel3[[#This Row],[Rood Verdediging]]&amp;Tabel3[[#This Row],[Rood Aanval]]</f>
        <v>MatthijsLouis</v>
      </c>
      <c r="L424" t="str">
        <f>Tabel3[[#This Row],[Groen Verdediging]]&amp;Tabel3[[#This Row],[Groen Aanval]]</f>
        <v>Stef DBert</v>
      </c>
      <c r="M424" t="str">
        <f>Tabel3[[#This Row],[Winnaar 1]]&amp;Tabel3[[#This Row],[Winnaar 2]]</f>
        <v>Stef DBert</v>
      </c>
      <c r="N424" t="b">
        <f>IF(Tabel3[[#This Row],[Team Rood]]=Tabel3[[#This Row],[Winnaars]],Tabel3[[#This Row],[Team Rood]])</f>
        <v>0</v>
      </c>
      <c r="O424" t="str">
        <f>IF(Tabel3[[#This Row],[Team Groen]]=Tabel3[[#This Row],[Winnaars]],Tabel3[[#This Row],[Team Groen]])</f>
        <v>Stef DBert</v>
      </c>
    </row>
    <row r="425" spans="1:15" x14ac:dyDescent="0.25">
      <c r="A425" s="14">
        <v>425</v>
      </c>
      <c r="B425" s="205" t="s">
        <v>11</v>
      </c>
      <c r="C425" s="205" t="s">
        <v>6</v>
      </c>
      <c r="D425" s="206" t="s">
        <v>8</v>
      </c>
      <c r="E425" s="206" t="s">
        <v>13</v>
      </c>
      <c r="F425" s="81">
        <v>8</v>
      </c>
      <c r="G425" s="81">
        <v>11</v>
      </c>
      <c r="H425" s="3" t="str">
        <f t="shared" si="20"/>
        <v>GROEN</v>
      </c>
      <c r="I425" s="3" t="str">
        <f t="shared" si="21"/>
        <v>Louis</v>
      </c>
      <c r="J425" s="4" t="str">
        <f t="shared" si="22"/>
        <v>Bert</v>
      </c>
      <c r="K425" t="str">
        <f>Tabel3[[#This Row],[Rood Verdediging]]&amp;Tabel3[[#This Row],[Rood Aanval]]</f>
        <v>MatthijsStef D</v>
      </c>
      <c r="L425" t="str">
        <f>Tabel3[[#This Row],[Groen Verdediging]]&amp;Tabel3[[#This Row],[Groen Aanval]]</f>
        <v>LouisBert</v>
      </c>
      <c r="M425" t="str">
        <f>Tabel3[[#This Row],[Winnaar 1]]&amp;Tabel3[[#This Row],[Winnaar 2]]</f>
        <v>LouisBert</v>
      </c>
      <c r="N425" t="b">
        <f>IF(Tabel3[[#This Row],[Team Rood]]=Tabel3[[#This Row],[Winnaars]],Tabel3[[#This Row],[Team Rood]])</f>
        <v>0</v>
      </c>
      <c r="O425" t="str">
        <f>IF(Tabel3[[#This Row],[Team Groen]]=Tabel3[[#This Row],[Winnaars]],Tabel3[[#This Row],[Team Groen]])</f>
        <v>LouisBert</v>
      </c>
    </row>
    <row r="426" spans="1:15" x14ac:dyDescent="0.25">
      <c r="A426" s="14">
        <v>426</v>
      </c>
      <c r="B426" s="205" t="s">
        <v>6</v>
      </c>
      <c r="C426" s="205" t="s">
        <v>8</v>
      </c>
      <c r="D426" s="206" t="s">
        <v>19</v>
      </c>
      <c r="E426" s="206" t="s">
        <v>13</v>
      </c>
      <c r="F426" s="81">
        <v>11</v>
      </c>
      <c r="G426" s="81">
        <v>2</v>
      </c>
      <c r="H426" s="3" t="str">
        <f t="shared" si="20"/>
        <v>ROOD</v>
      </c>
      <c r="I426" s="3" t="str">
        <f t="shared" si="21"/>
        <v>Stef D</v>
      </c>
      <c r="J426" s="4" t="str">
        <f t="shared" si="22"/>
        <v>Louis</v>
      </c>
      <c r="K426" t="str">
        <f>Tabel3[[#This Row],[Rood Verdediging]]&amp;Tabel3[[#This Row],[Rood Aanval]]</f>
        <v>Stef DLouis</v>
      </c>
      <c r="L426" t="str">
        <f>Tabel3[[#This Row],[Groen Verdediging]]&amp;Tabel3[[#This Row],[Groen Aanval]]</f>
        <v>NicolasBert</v>
      </c>
      <c r="M426" t="str">
        <f>Tabel3[[#This Row],[Winnaar 1]]&amp;Tabel3[[#This Row],[Winnaar 2]]</f>
        <v>Stef DLouis</v>
      </c>
      <c r="N426" t="str">
        <f>IF(Tabel3[[#This Row],[Team Rood]]=Tabel3[[#This Row],[Winnaars]],Tabel3[[#This Row],[Team Rood]])</f>
        <v>Stef DLouis</v>
      </c>
      <c r="O426" t="b">
        <f>IF(Tabel3[[#This Row],[Team Groen]]=Tabel3[[#This Row],[Winnaars]],Tabel3[[#This Row],[Team Groen]])</f>
        <v>0</v>
      </c>
    </row>
    <row r="427" spans="1:15" x14ac:dyDescent="0.25">
      <c r="A427" s="14">
        <v>427</v>
      </c>
      <c r="B427" s="205" t="s">
        <v>6</v>
      </c>
      <c r="C427" s="205" t="s">
        <v>11</v>
      </c>
      <c r="D427" s="206" t="s">
        <v>13</v>
      </c>
      <c r="E427" s="206" t="s">
        <v>8</v>
      </c>
      <c r="F427" s="81">
        <v>11</v>
      </c>
      <c r="G427" s="81">
        <v>6</v>
      </c>
      <c r="H427" s="3" t="str">
        <f t="shared" si="20"/>
        <v>ROOD</v>
      </c>
      <c r="I427" s="3" t="str">
        <f t="shared" si="21"/>
        <v>Stef D</v>
      </c>
      <c r="J427" s="4" t="str">
        <f t="shared" si="22"/>
        <v>Matthijs</v>
      </c>
      <c r="K427" t="str">
        <f>Tabel3[[#This Row],[Rood Verdediging]]&amp;Tabel3[[#This Row],[Rood Aanval]]</f>
        <v>Stef DMatthijs</v>
      </c>
      <c r="L427" t="str">
        <f>Tabel3[[#This Row],[Groen Verdediging]]&amp;Tabel3[[#This Row],[Groen Aanval]]</f>
        <v>BertLouis</v>
      </c>
      <c r="M427" t="str">
        <f>Tabel3[[#This Row],[Winnaar 1]]&amp;Tabel3[[#This Row],[Winnaar 2]]</f>
        <v>Stef DMatthijs</v>
      </c>
      <c r="N427" t="str">
        <f>IF(Tabel3[[#This Row],[Team Rood]]=Tabel3[[#This Row],[Winnaars]],Tabel3[[#This Row],[Team Rood]])</f>
        <v>Stef DMatthijs</v>
      </c>
      <c r="O427" t="b">
        <f>IF(Tabel3[[#This Row],[Team Groen]]=Tabel3[[#This Row],[Winnaars]],Tabel3[[#This Row],[Team Groen]])</f>
        <v>0</v>
      </c>
    </row>
    <row r="428" spans="1:15" x14ac:dyDescent="0.25">
      <c r="A428" s="14">
        <v>428</v>
      </c>
      <c r="B428" s="205" t="s">
        <v>6</v>
      </c>
      <c r="C428" s="205" t="s">
        <v>13</v>
      </c>
      <c r="D428" s="206" t="s">
        <v>8</v>
      </c>
      <c r="E428" s="206" t="s">
        <v>15</v>
      </c>
      <c r="F428" s="81">
        <v>11</v>
      </c>
      <c r="G428" s="81">
        <v>6</v>
      </c>
      <c r="H428" s="3" t="str">
        <f t="shared" si="20"/>
        <v>ROOD</v>
      </c>
      <c r="I428" s="3" t="str">
        <f t="shared" si="21"/>
        <v>Stef D</v>
      </c>
      <c r="J428" s="4" t="str">
        <f t="shared" si="22"/>
        <v>Bert</v>
      </c>
      <c r="K428" t="str">
        <f>Tabel3[[#This Row],[Rood Verdediging]]&amp;Tabel3[[#This Row],[Rood Aanval]]</f>
        <v>Stef DBert</v>
      </c>
      <c r="L428" t="str">
        <f>Tabel3[[#This Row],[Groen Verdediging]]&amp;Tabel3[[#This Row],[Groen Aanval]]</f>
        <v>LouisStijn</v>
      </c>
      <c r="M428" t="str">
        <f>Tabel3[[#This Row],[Winnaar 1]]&amp;Tabel3[[#This Row],[Winnaar 2]]</f>
        <v>Stef DBert</v>
      </c>
      <c r="N428" t="str">
        <f>IF(Tabel3[[#This Row],[Team Rood]]=Tabel3[[#This Row],[Winnaars]],Tabel3[[#This Row],[Team Rood]])</f>
        <v>Stef DBert</v>
      </c>
      <c r="O428" t="b">
        <f>IF(Tabel3[[#This Row],[Team Groen]]=Tabel3[[#This Row],[Winnaars]],Tabel3[[#This Row],[Team Groen]])</f>
        <v>0</v>
      </c>
    </row>
    <row r="429" spans="1:15" x14ac:dyDescent="0.25">
      <c r="A429" s="14">
        <v>429</v>
      </c>
      <c r="B429" s="205" t="s">
        <v>11</v>
      </c>
      <c r="C429" s="205" t="s">
        <v>3</v>
      </c>
      <c r="D429" s="206" t="s">
        <v>15</v>
      </c>
      <c r="E429" s="206" t="s">
        <v>4</v>
      </c>
      <c r="F429" s="81">
        <v>7</v>
      </c>
      <c r="G429" s="81">
        <v>11</v>
      </c>
      <c r="H429" s="3" t="str">
        <f t="shared" si="20"/>
        <v>GROEN</v>
      </c>
      <c r="I429" s="3" t="str">
        <f t="shared" si="21"/>
        <v>Stijn</v>
      </c>
      <c r="J429" s="4" t="str">
        <f t="shared" si="22"/>
        <v>Stef</v>
      </c>
      <c r="K429" t="str">
        <f>Tabel3[[#This Row],[Rood Verdediging]]&amp;Tabel3[[#This Row],[Rood Aanval]]</f>
        <v>MatthijsKarel</v>
      </c>
      <c r="L429" t="str">
        <f>Tabel3[[#This Row],[Groen Verdediging]]&amp;Tabel3[[#This Row],[Groen Aanval]]</f>
        <v>StijnStef</v>
      </c>
      <c r="M429" t="str">
        <f>Tabel3[[#This Row],[Winnaar 1]]&amp;Tabel3[[#This Row],[Winnaar 2]]</f>
        <v>StijnStef</v>
      </c>
      <c r="N429" t="b">
        <f>IF(Tabel3[[#This Row],[Team Rood]]=Tabel3[[#This Row],[Winnaars]],Tabel3[[#This Row],[Team Rood]])</f>
        <v>0</v>
      </c>
      <c r="O429" t="str">
        <f>IF(Tabel3[[#This Row],[Team Groen]]=Tabel3[[#This Row],[Winnaars]],Tabel3[[#This Row],[Team Groen]])</f>
        <v>StijnStef</v>
      </c>
    </row>
    <row r="430" spans="1:15" x14ac:dyDescent="0.25">
      <c r="A430" s="14">
        <v>430</v>
      </c>
      <c r="B430" s="205" t="s">
        <v>8</v>
      </c>
      <c r="C430" s="205" t="s">
        <v>3</v>
      </c>
      <c r="D430" s="206" t="s">
        <v>11</v>
      </c>
      <c r="E430" s="206" t="s">
        <v>13</v>
      </c>
      <c r="F430" s="81">
        <v>11</v>
      </c>
      <c r="G430" s="81">
        <v>8</v>
      </c>
      <c r="H430" s="3" t="str">
        <f t="shared" si="20"/>
        <v>ROOD</v>
      </c>
      <c r="I430" s="3" t="str">
        <f t="shared" si="21"/>
        <v>Louis</v>
      </c>
      <c r="J430" s="4" t="str">
        <f t="shared" si="22"/>
        <v>Karel</v>
      </c>
      <c r="K430" t="str">
        <f>Tabel3[[#This Row],[Rood Verdediging]]&amp;Tabel3[[#This Row],[Rood Aanval]]</f>
        <v>LouisKarel</v>
      </c>
      <c r="L430" t="str">
        <f>Tabel3[[#This Row],[Groen Verdediging]]&amp;Tabel3[[#This Row],[Groen Aanval]]</f>
        <v>MatthijsBert</v>
      </c>
      <c r="M430" t="str">
        <f>Tabel3[[#This Row],[Winnaar 1]]&amp;Tabel3[[#This Row],[Winnaar 2]]</f>
        <v>LouisKarel</v>
      </c>
      <c r="N430" t="str">
        <f>IF(Tabel3[[#This Row],[Team Rood]]=Tabel3[[#This Row],[Winnaars]],Tabel3[[#This Row],[Team Rood]])</f>
        <v>LouisKarel</v>
      </c>
      <c r="O430" t="b">
        <f>IF(Tabel3[[#This Row],[Team Groen]]=Tabel3[[#This Row],[Winnaars]],Tabel3[[#This Row],[Team Groen]])</f>
        <v>0</v>
      </c>
    </row>
    <row r="431" spans="1:15" x14ac:dyDescent="0.25">
      <c r="A431" s="14">
        <v>431</v>
      </c>
      <c r="B431" s="205" t="s">
        <v>0</v>
      </c>
      <c r="C431" s="205" t="s">
        <v>6</v>
      </c>
      <c r="D431" s="206" t="s">
        <v>45</v>
      </c>
      <c r="E431" s="206" t="s">
        <v>43</v>
      </c>
      <c r="F431" s="81">
        <v>11</v>
      </c>
      <c r="G431" s="81">
        <v>4</v>
      </c>
      <c r="H431" s="3" t="str">
        <f t="shared" si="20"/>
        <v>ROOD</v>
      </c>
      <c r="I431" s="3" t="str">
        <f t="shared" si="21"/>
        <v>Jonas</v>
      </c>
      <c r="J431" s="4" t="str">
        <f t="shared" si="22"/>
        <v>Stef D</v>
      </c>
      <c r="K431" t="str">
        <f>Tabel3[[#This Row],[Rood Verdediging]]&amp;Tabel3[[#This Row],[Rood Aanval]]</f>
        <v>JonasStef D</v>
      </c>
      <c r="L431" t="str">
        <f>Tabel3[[#This Row],[Groen Verdediging]]&amp;Tabel3[[#This Row],[Groen Aanval]]</f>
        <v xml:space="preserve">Stijn Louis </v>
      </c>
      <c r="M431" t="str">
        <f>Tabel3[[#This Row],[Winnaar 1]]&amp;Tabel3[[#This Row],[Winnaar 2]]</f>
        <v>JonasStef D</v>
      </c>
      <c r="N431" t="str">
        <f>IF(Tabel3[[#This Row],[Team Rood]]=Tabel3[[#This Row],[Winnaars]],Tabel3[[#This Row],[Team Rood]])</f>
        <v>JonasStef D</v>
      </c>
      <c r="O431" t="b">
        <f>IF(Tabel3[[#This Row],[Team Groen]]=Tabel3[[#This Row],[Winnaars]],Tabel3[[#This Row],[Team Groen]])</f>
        <v>0</v>
      </c>
    </row>
    <row r="432" spans="1:15" x14ac:dyDescent="0.25">
      <c r="A432" s="14">
        <v>432</v>
      </c>
      <c r="B432" s="205" t="s">
        <v>3</v>
      </c>
      <c r="C432" s="205" t="s">
        <v>13</v>
      </c>
      <c r="D432" s="206" t="s">
        <v>6</v>
      </c>
      <c r="E432" s="206" t="s">
        <v>19</v>
      </c>
      <c r="F432" s="81">
        <v>11</v>
      </c>
      <c r="G432" s="81">
        <v>9</v>
      </c>
      <c r="H432" s="3" t="str">
        <f t="shared" si="20"/>
        <v>ROOD</v>
      </c>
      <c r="I432" s="3" t="str">
        <f t="shared" si="21"/>
        <v>Karel</v>
      </c>
      <c r="J432" s="4" t="str">
        <f t="shared" si="22"/>
        <v>Bert</v>
      </c>
      <c r="K432" t="str">
        <f>Tabel3[[#This Row],[Rood Verdediging]]&amp;Tabel3[[#This Row],[Rood Aanval]]</f>
        <v>KarelBert</v>
      </c>
      <c r="L432" t="str">
        <f>Tabel3[[#This Row],[Groen Verdediging]]&amp;Tabel3[[#This Row],[Groen Aanval]]</f>
        <v>Stef DNicolas</v>
      </c>
      <c r="M432" t="str">
        <f>Tabel3[[#This Row],[Winnaar 1]]&amp;Tabel3[[#This Row],[Winnaar 2]]</f>
        <v>KarelBert</v>
      </c>
      <c r="N432" t="str">
        <f>IF(Tabel3[[#This Row],[Team Rood]]=Tabel3[[#This Row],[Winnaars]],Tabel3[[#This Row],[Team Rood]])</f>
        <v>KarelBert</v>
      </c>
      <c r="O432" t="b">
        <f>IF(Tabel3[[#This Row],[Team Groen]]=Tabel3[[#This Row],[Winnaars]],Tabel3[[#This Row],[Team Groen]])</f>
        <v>0</v>
      </c>
    </row>
    <row r="433" spans="1:15" x14ac:dyDescent="0.25">
      <c r="A433" s="14">
        <v>433</v>
      </c>
      <c r="B433" s="205" t="s">
        <v>0</v>
      </c>
      <c r="C433" s="205" t="s">
        <v>11</v>
      </c>
      <c r="D433" s="206" t="s">
        <v>15</v>
      </c>
      <c r="E433" s="206" t="s">
        <v>13</v>
      </c>
      <c r="F433" s="81">
        <v>10</v>
      </c>
      <c r="G433" s="81">
        <v>12</v>
      </c>
      <c r="H433" s="3" t="str">
        <f t="shared" si="20"/>
        <v>GROEN</v>
      </c>
      <c r="I433" s="3" t="str">
        <f t="shared" si="21"/>
        <v>Stijn</v>
      </c>
      <c r="J433" s="4" t="str">
        <f t="shared" si="22"/>
        <v>Bert</v>
      </c>
      <c r="K433" t="str">
        <f>Tabel3[[#This Row],[Rood Verdediging]]&amp;Tabel3[[#This Row],[Rood Aanval]]</f>
        <v>JonasMatthijs</v>
      </c>
      <c r="L433" t="str">
        <f>Tabel3[[#This Row],[Groen Verdediging]]&amp;Tabel3[[#This Row],[Groen Aanval]]</f>
        <v>StijnBert</v>
      </c>
      <c r="M433" t="str">
        <f>Tabel3[[#This Row],[Winnaar 1]]&amp;Tabel3[[#This Row],[Winnaar 2]]</f>
        <v>StijnBert</v>
      </c>
      <c r="N433" t="b">
        <f>IF(Tabel3[[#This Row],[Team Rood]]=Tabel3[[#This Row],[Winnaars]],Tabel3[[#This Row],[Team Rood]])</f>
        <v>0</v>
      </c>
      <c r="O433" t="str">
        <f>IF(Tabel3[[#This Row],[Team Groen]]=Tabel3[[#This Row],[Winnaars]],Tabel3[[#This Row],[Team Groen]])</f>
        <v>StijnBert</v>
      </c>
    </row>
    <row r="434" spans="1:15" x14ac:dyDescent="0.25">
      <c r="A434" s="14">
        <v>434</v>
      </c>
      <c r="B434" s="205" t="s">
        <v>8</v>
      </c>
      <c r="C434" s="205" t="s">
        <v>19</v>
      </c>
      <c r="D434" s="206" t="s">
        <v>6</v>
      </c>
      <c r="E434" s="206" t="s">
        <v>3</v>
      </c>
      <c r="F434" s="81">
        <v>6</v>
      </c>
      <c r="G434" s="81">
        <v>11</v>
      </c>
      <c r="H434" s="3" t="str">
        <f t="shared" si="20"/>
        <v>GROEN</v>
      </c>
      <c r="I434" s="3" t="str">
        <f t="shared" si="21"/>
        <v>Stef D</v>
      </c>
      <c r="J434" s="4" t="str">
        <f t="shared" si="22"/>
        <v>Karel</v>
      </c>
      <c r="K434" t="str">
        <f>Tabel3[[#This Row],[Rood Verdediging]]&amp;Tabel3[[#This Row],[Rood Aanval]]</f>
        <v>LouisNicolas</v>
      </c>
      <c r="L434" t="str">
        <f>Tabel3[[#This Row],[Groen Verdediging]]&amp;Tabel3[[#This Row],[Groen Aanval]]</f>
        <v>Stef DKarel</v>
      </c>
      <c r="M434" t="str">
        <f>Tabel3[[#This Row],[Winnaar 1]]&amp;Tabel3[[#This Row],[Winnaar 2]]</f>
        <v>Stef DKarel</v>
      </c>
      <c r="N434" t="b">
        <f>IF(Tabel3[[#This Row],[Team Rood]]=Tabel3[[#This Row],[Winnaars]],Tabel3[[#This Row],[Team Rood]])</f>
        <v>0</v>
      </c>
      <c r="O434" t="str">
        <f>IF(Tabel3[[#This Row],[Team Groen]]=Tabel3[[#This Row],[Winnaars]],Tabel3[[#This Row],[Team Groen]])</f>
        <v>Stef DKarel</v>
      </c>
    </row>
    <row r="435" spans="1:15" x14ac:dyDescent="0.25">
      <c r="A435" s="14">
        <v>435</v>
      </c>
      <c r="B435" s="205" t="s">
        <v>13</v>
      </c>
      <c r="C435" s="205" t="s">
        <v>11</v>
      </c>
      <c r="D435" s="206" t="s">
        <v>15</v>
      </c>
      <c r="E435" s="206" t="s">
        <v>0</v>
      </c>
      <c r="F435" s="81">
        <v>11</v>
      </c>
      <c r="G435" s="81">
        <v>5</v>
      </c>
      <c r="H435" s="3" t="str">
        <f t="shared" si="20"/>
        <v>ROOD</v>
      </c>
      <c r="I435" s="3" t="str">
        <f t="shared" si="21"/>
        <v>Bert</v>
      </c>
      <c r="J435" s="4" t="str">
        <f t="shared" si="22"/>
        <v>Matthijs</v>
      </c>
      <c r="K435" t="str">
        <f>Tabel3[[#This Row],[Rood Verdediging]]&amp;Tabel3[[#This Row],[Rood Aanval]]</f>
        <v>BertMatthijs</v>
      </c>
      <c r="L435" t="str">
        <f>Tabel3[[#This Row],[Groen Verdediging]]&amp;Tabel3[[#This Row],[Groen Aanval]]</f>
        <v>StijnJonas</v>
      </c>
      <c r="M435" t="str">
        <f>Tabel3[[#This Row],[Winnaar 1]]&amp;Tabel3[[#This Row],[Winnaar 2]]</f>
        <v>BertMatthijs</v>
      </c>
      <c r="N435" t="str">
        <f>IF(Tabel3[[#This Row],[Team Rood]]=Tabel3[[#This Row],[Winnaars]],Tabel3[[#This Row],[Team Rood]])</f>
        <v>BertMatthijs</v>
      </c>
      <c r="O435" t="b">
        <f>IF(Tabel3[[#This Row],[Team Groen]]=Tabel3[[#This Row],[Winnaars]],Tabel3[[#This Row],[Team Groen]])</f>
        <v>0</v>
      </c>
    </row>
    <row r="436" spans="1:15" x14ac:dyDescent="0.25">
      <c r="A436" s="14">
        <v>436</v>
      </c>
      <c r="B436" s="205" t="s">
        <v>19</v>
      </c>
      <c r="C436" s="205" t="s">
        <v>3</v>
      </c>
      <c r="D436" s="206" t="s">
        <v>8</v>
      </c>
      <c r="E436" s="206" t="s">
        <v>4</v>
      </c>
      <c r="F436" s="81">
        <v>9</v>
      </c>
      <c r="G436" s="81">
        <v>11</v>
      </c>
      <c r="H436" s="3" t="str">
        <f t="shared" si="20"/>
        <v>GROEN</v>
      </c>
      <c r="I436" s="3" t="str">
        <f t="shared" si="21"/>
        <v>Louis</v>
      </c>
      <c r="J436" s="4" t="str">
        <f t="shared" si="22"/>
        <v>Stef</v>
      </c>
      <c r="K436" t="str">
        <f>Tabel3[[#This Row],[Rood Verdediging]]&amp;Tabel3[[#This Row],[Rood Aanval]]</f>
        <v>NicolasKarel</v>
      </c>
      <c r="L436" t="str">
        <f>Tabel3[[#This Row],[Groen Verdediging]]&amp;Tabel3[[#This Row],[Groen Aanval]]</f>
        <v>LouisStef</v>
      </c>
      <c r="M436" t="str">
        <f>Tabel3[[#This Row],[Winnaar 1]]&amp;Tabel3[[#This Row],[Winnaar 2]]</f>
        <v>LouisStef</v>
      </c>
      <c r="N436" t="b">
        <f>IF(Tabel3[[#This Row],[Team Rood]]=Tabel3[[#This Row],[Winnaars]],Tabel3[[#This Row],[Team Rood]])</f>
        <v>0</v>
      </c>
      <c r="O436" t="str">
        <f>IF(Tabel3[[#This Row],[Team Groen]]=Tabel3[[#This Row],[Winnaars]],Tabel3[[#This Row],[Team Groen]])</f>
        <v>LouisStef</v>
      </c>
    </row>
    <row r="437" spans="1:15" x14ac:dyDescent="0.25">
      <c r="A437" s="14">
        <v>437</v>
      </c>
      <c r="B437" s="205" t="s">
        <v>0</v>
      </c>
      <c r="C437" s="205" t="s">
        <v>13</v>
      </c>
      <c r="D437" s="206" t="s">
        <v>15</v>
      </c>
      <c r="E437" s="206" t="s">
        <v>5</v>
      </c>
      <c r="F437" s="81">
        <v>13</v>
      </c>
      <c r="G437" s="81">
        <v>11</v>
      </c>
      <c r="H437" s="3" t="str">
        <f t="shared" si="20"/>
        <v>ROOD</v>
      </c>
      <c r="I437" s="3" t="str">
        <f t="shared" si="21"/>
        <v>Jonas</v>
      </c>
      <c r="J437" s="4" t="str">
        <f t="shared" si="22"/>
        <v>Bert</v>
      </c>
      <c r="K437" t="str">
        <f>Tabel3[[#This Row],[Rood Verdediging]]&amp;Tabel3[[#This Row],[Rood Aanval]]</f>
        <v>JonasBert</v>
      </c>
      <c r="L437" t="str">
        <f>Tabel3[[#This Row],[Groen Verdediging]]&amp;Tabel3[[#This Row],[Groen Aanval]]</f>
        <v xml:space="preserve">StijnStef </v>
      </c>
      <c r="M437" t="str">
        <f>Tabel3[[#This Row],[Winnaar 1]]&amp;Tabel3[[#This Row],[Winnaar 2]]</f>
        <v>JonasBert</v>
      </c>
      <c r="N437" t="str">
        <f>IF(Tabel3[[#This Row],[Team Rood]]=Tabel3[[#This Row],[Winnaars]],Tabel3[[#This Row],[Team Rood]])</f>
        <v>JonasBert</v>
      </c>
      <c r="O437" t="b">
        <f>IF(Tabel3[[#This Row],[Team Groen]]=Tabel3[[#This Row],[Winnaars]],Tabel3[[#This Row],[Team Groen]])</f>
        <v>0</v>
      </c>
    </row>
    <row r="438" spans="1:15" x14ac:dyDescent="0.25">
      <c r="A438" s="14">
        <v>438</v>
      </c>
      <c r="B438" s="205" t="s">
        <v>11</v>
      </c>
      <c r="C438" s="205" t="s">
        <v>6</v>
      </c>
      <c r="D438" s="206" t="s">
        <v>15</v>
      </c>
      <c r="E438" s="206" t="s">
        <v>3</v>
      </c>
      <c r="F438" s="81">
        <v>15</v>
      </c>
      <c r="G438" s="81">
        <v>13</v>
      </c>
      <c r="H438" s="3" t="str">
        <f t="shared" si="20"/>
        <v>ROOD</v>
      </c>
      <c r="I438" s="3" t="str">
        <f t="shared" si="21"/>
        <v>Matthijs</v>
      </c>
      <c r="J438" s="4" t="str">
        <f t="shared" si="22"/>
        <v>Stef D</v>
      </c>
      <c r="K438" t="str">
        <f>Tabel3[[#This Row],[Rood Verdediging]]&amp;Tabel3[[#This Row],[Rood Aanval]]</f>
        <v>MatthijsStef D</v>
      </c>
      <c r="L438" t="str">
        <f>Tabel3[[#This Row],[Groen Verdediging]]&amp;Tabel3[[#This Row],[Groen Aanval]]</f>
        <v>StijnKarel</v>
      </c>
      <c r="M438" t="str">
        <f>Tabel3[[#This Row],[Winnaar 1]]&amp;Tabel3[[#This Row],[Winnaar 2]]</f>
        <v>MatthijsStef D</v>
      </c>
      <c r="N438" t="str">
        <f>IF(Tabel3[[#This Row],[Team Rood]]=Tabel3[[#This Row],[Winnaars]],Tabel3[[#This Row],[Team Rood]])</f>
        <v>MatthijsStef D</v>
      </c>
      <c r="O438" t="b">
        <f>IF(Tabel3[[#This Row],[Team Groen]]=Tabel3[[#This Row],[Winnaars]],Tabel3[[#This Row],[Team Groen]])</f>
        <v>0</v>
      </c>
    </row>
    <row r="439" spans="1:15" x14ac:dyDescent="0.25">
      <c r="A439" s="14">
        <v>439</v>
      </c>
      <c r="B439" s="205" t="s">
        <v>3</v>
      </c>
      <c r="C439" s="205" t="s">
        <v>11</v>
      </c>
      <c r="D439" s="206" t="s">
        <v>13</v>
      </c>
      <c r="E439" s="206" t="s">
        <v>8</v>
      </c>
      <c r="F439" s="81">
        <v>11</v>
      </c>
      <c r="G439" s="81">
        <v>8</v>
      </c>
      <c r="H439" s="3" t="str">
        <f t="shared" si="20"/>
        <v>ROOD</v>
      </c>
      <c r="I439" s="3" t="str">
        <f t="shared" si="21"/>
        <v>Karel</v>
      </c>
      <c r="J439" s="4" t="str">
        <f t="shared" si="22"/>
        <v>Matthijs</v>
      </c>
      <c r="K439" t="str">
        <f>Tabel3[[#This Row],[Rood Verdediging]]&amp;Tabel3[[#This Row],[Rood Aanval]]</f>
        <v>KarelMatthijs</v>
      </c>
      <c r="L439" t="str">
        <f>Tabel3[[#This Row],[Groen Verdediging]]&amp;Tabel3[[#This Row],[Groen Aanval]]</f>
        <v>BertLouis</v>
      </c>
      <c r="M439" t="str">
        <f>Tabel3[[#This Row],[Winnaar 1]]&amp;Tabel3[[#This Row],[Winnaar 2]]</f>
        <v>KarelMatthijs</v>
      </c>
      <c r="N439" t="str">
        <f>IF(Tabel3[[#This Row],[Team Rood]]=Tabel3[[#This Row],[Winnaars]],Tabel3[[#This Row],[Team Rood]])</f>
        <v>KarelMatthijs</v>
      </c>
      <c r="O439" t="b">
        <f>IF(Tabel3[[#This Row],[Team Groen]]=Tabel3[[#This Row],[Winnaars]],Tabel3[[#This Row],[Team Groen]])</f>
        <v>0</v>
      </c>
    </row>
    <row r="440" spans="1:15" x14ac:dyDescent="0.25">
      <c r="A440" s="14">
        <v>440</v>
      </c>
      <c r="B440" s="205" t="s">
        <v>13</v>
      </c>
      <c r="C440" s="205" t="s">
        <v>6</v>
      </c>
      <c r="D440" s="206" t="s">
        <v>15</v>
      </c>
      <c r="E440" s="206" t="s">
        <v>8</v>
      </c>
      <c r="F440" s="81">
        <v>11</v>
      </c>
      <c r="G440" s="81">
        <v>4</v>
      </c>
      <c r="H440" s="3" t="str">
        <f t="shared" si="20"/>
        <v>ROOD</v>
      </c>
      <c r="I440" s="3" t="str">
        <f t="shared" si="21"/>
        <v>Bert</v>
      </c>
      <c r="J440" s="4" t="str">
        <f t="shared" si="22"/>
        <v>Stef D</v>
      </c>
      <c r="K440" t="str">
        <f>Tabel3[[#This Row],[Rood Verdediging]]&amp;Tabel3[[#This Row],[Rood Aanval]]</f>
        <v>BertStef D</v>
      </c>
      <c r="L440" t="str">
        <f>Tabel3[[#This Row],[Groen Verdediging]]&amp;Tabel3[[#This Row],[Groen Aanval]]</f>
        <v>StijnLouis</v>
      </c>
      <c r="M440" t="str">
        <f>Tabel3[[#This Row],[Winnaar 1]]&amp;Tabel3[[#This Row],[Winnaar 2]]</f>
        <v>BertStef D</v>
      </c>
      <c r="N440" t="str">
        <f>IF(Tabel3[[#This Row],[Team Rood]]=Tabel3[[#This Row],[Winnaars]],Tabel3[[#This Row],[Team Rood]])</f>
        <v>BertStef D</v>
      </c>
      <c r="O440" t="b">
        <f>IF(Tabel3[[#This Row],[Team Groen]]=Tabel3[[#This Row],[Winnaars]],Tabel3[[#This Row],[Team Groen]])</f>
        <v>0</v>
      </c>
    </row>
    <row r="441" spans="1:15" x14ac:dyDescent="0.25">
      <c r="A441" s="14">
        <v>441</v>
      </c>
      <c r="B441" s="205" t="s">
        <v>6</v>
      </c>
      <c r="C441" s="205" t="s">
        <v>3</v>
      </c>
      <c r="D441" s="206" t="s">
        <v>15</v>
      </c>
      <c r="E441" s="206" t="s">
        <v>11</v>
      </c>
      <c r="F441" s="81">
        <v>11</v>
      </c>
      <c r="G441" s="81">
        <v>6</v>
      </c>
      <c r="H441" s="3" t="str">
        <f t="shared" si="20"/>
        <v>ROOD</v>
      </c>
      <c r="I441" s="3" t="str">
        <f t="shared" si="21"/>
        <v>Stef D</v>
      </c>
      <c r="J441" s="4" t="str">
        <f t="shared" si="22"/>
        <v>Karel</v>
      </c>
      <c r="K441" t="str">
        <f>Tabel3[[#This Row],[Rood Verdediging]]&amp;Tabel3[[#This Row],[Rood Aanval]]</f>
        <v>Stef DKarel</v>
      </c>
      <c r="L441" t="str">
        <f>Tabel3[[#This Row],[Groen Verdediging]]&amp;Tabel3[[#This Row],[Groen Aanval]]</f>
        <v>StijnMatthijs</v>
      </c>
      <c r="M441" t="str">
        <f>Tabel3[[#This Row],[Winnaar 1]]&amp;Tabel3[[#This Row],[Winnaar 2]]</f>
        <v>Stef DKarel</v>
      </c>
      <c r="N441" t="str">
        <f>IF(Tabel3[[#This Row],[Team Rood]]=Tabel3[[#This Row],[Winnaars]],Tabel3[[#This Row],[Team Rood]])</f>
        <v>Stef DKarel</v>
      </c>
      <c r="O441" t="b">
        <f>IF(Tabel3[[#This Row],[Team Groen]]=Tabel3[[#This Row],[Winnaars]],Tabel3[[#This Row],[Team Groen]])</f>
        <v>0</v>
      </c>
    </row>
    <row r="442" spans="1:15" x14ac:dyDescent="0.25">
      <c r="A442" s="14">
        <v>442</v>
      </c>
      <c r="B442" s="205" t="s">
        <v>11</v>
      </c>
      <c r="C442" s="205" t="s">
        <v>6</v>
      </c>
      <c r="D442" s="206" t="s">
        <v>7</v>
      </c>
      <c r="E442" s="206" t="s">
        <v>3</v>
      </c>
      <c r="F442" s="81">
        <v>11</v>
      </c>
      <c r="G442" s="81">
        <v>9</v>
      </c>
      <c r="H442" s="3" t="str">
        <f t="shared" si="20"/>
        <v>ROOD</v>
      </c>
      <c r="I442" s="3" t="str">
        <f t="shared" si="21"/>
        <v>Matthijs</v>
      </c>
      <c r="J442" s="4" t="str">
        <f t="shared" si="22"/>
        <v>Stef D</v>
      </c>
      <c r="K442" t="str">
        <f>Tabel3[[#This Row],[Rood Verdediging]]&amp;Tabel3[[#This Row],[Rood Aanval]]</f>
        <v>MatthijsStef D</v>
      </c>
      <c r="L442" t="str">
        <f>Tabel3[[#This Row],[Groen Verdediging]]&amp;Tabel3[[#This Row],[Groen Aanval]]</f>
        <v>TiemenKarel</v>
      </c>
      <c r="M442" t="str">
        <f>Tabel3[[#This Row],[Winnaar 1]]&amp;Tabel3[[#This Row],[Winnaar 2]]</f>
        <v>MatthijsStef D</v>
      </c>
      <c r="N442" t="str">
        <f>IF(Tabel3[[#This Row],[Team Rood]]=Tabel3[[#This Row],[Winnaars]],Tabel3[[#This Row],[Team Rood]])</f>
        <v>MatthijsStef D</v>
      </c>
      <c r="O442" t="b">
        <f>IF(Tabel3[[#This Row],[Team Groen]]=Tabel3[[#This Row],[Winnaars]],Tabel3[[#This Row],[Team Groen]])</f>
        <v>0</v>
      </c>
    </row>
    <row r="443" spans="1:15" x14ac:dyDescent="0.25">
      <c r="A443" s="14">
        <v>443</v>
      </c>
      <c r="B443" s="205" t="s">
        <v>3</v>
      </c>
      <c r="C443" s="205" t="s">
        <v>11</v>
      </c>
      <c r="D443" s="206" t="s">
        <v>6</v>
      </c>
      <c r="E443" s="206" t="s">
        <v>7</v>
      </c>
      <c r="F443" s="81">
        <v>11</v>
      </c>
      <c r="G443" s="81">
        <v>6</v>
      </c>
      <c r="H443" s="3" t="str">
        <f t="shared" si="20"/>
        <v>ROOD</v>
      </c>
      <c r="I443" s="3" t="str">
        <f t="shared" si="21"/>
        <v>Karel</v>
      </c>
      <c r="J443" s="4" t="str">
        <f t="shared" si="22"/>
        <v>Matthijs</v>
      </c>
      <c r="K443" t="str">
        <f>Tabel3[[#This Row],[Rood Verdediging]]&amp;Tabel3[[#This Row],[Rood Aanval]]</f>
        <v>KarelMatthijs</v>
      </c>
      <c r="L443" t="str">
        <f>Tabel3[[#This Row],[Groen Verdediging]]&amp;Tabel3[[#This Row],[Groen Aanval]]</f>
        <v>Stef DTiemen</v>
      </c>
      <c r="M443" t="str">
        <f>Tabel3[[#This Row],[Winnaar 1]]&amp;Tabel3[[#This Row],[Winnaar 2]]</f>
        <v>KarelMatthijs</v>
      </c>
      <c r="N443" t="str">
        <f>IF(Tabel3[[#This Row],[Team Rood]]=Tabel3[[#This Row],[Winnaars]],Tabel3[[#This Row],[Team Rood]])</f>
        <v>KarelMatthijs</v>
      </c>
      <c r="O443" t="b">
        <f>IF(Tabel3[[#This Row],[Team Groen]]=Tabel3[[#This Row],[Winnaars]],Tabel3[[#This Row],[Team Groen]])</f>
        <v>0</v>
      </c>
    </row>
    <row r="444" spans="1:15" x14ac:dyDescent="0.25">
      <c r="A444" s="14">
        <v>444</v>
      </c>
      <c r="B444" s="205" t="s">
        <v>7</v>
      </c>
      <c r="C444" s="205" t="s">
        <v>11</v>
      </c>
      <c r="D444" s="206" t="s">
        <v>3</v>
      </c>
      <c r="E444" s="206" t="s">
        <v>6</v>
      </c>
      <c r="F444" s="81">
        <v>6</v>
      </c>
      <c r="G444" s="81">
        <v>11</v>
      </c>
      <c r="H444" s="3" t="str">
        <f t="shared" si="20"/>
        <v>GROEN</v>
      </c>
      <c r="I444" s="3" t="str">
        <f t="shared" si="21"/>
        <v>Karel</v>
      </c>
      <c r="J444" s="4" t="str">
        <f t="shared" si="22"/>
        <v>Stef D</v>
      </c>
      <c r="K444" t="str">
        <f>Tabel3[[#This Row],[Rood Verdediging]]&amp;Tabel3[[#This Row],[Rood Aanval]]</f>
        <v>TiemenMatthijs</v>
      </c>
      <c r="L444" t="str">
        <f>Tabel3[[#This Row],[Groen Verdediging]]&amp;Tabel3[[#This Row],[Groen Aanval]]</f>
        <v>KarelStef D</v>
      </c>
      <c r="M444" t="str">
        <f>Tabel3[[#This Row],[Winnaar 1]]&amp;Tabel3[[#This Row],[Winnaar 2]]</f>
        <v>KarelStef D</v>
      </c>
      <c r="N444" t="b">
        <f>IF(Tabel3[[#This Row],[Team Rood]]=Tabel3[[#This Row],[Winnaars]],Tabel3[[#This Row],[Team Rood]])</f>
        <v>0</v>
      </c>
      <c r="O444" t="str">
        <f>IF(Tabel3[[#This Row],[Team Groen]]=Tabel3[[#This Row],[Winnaars]],Tabel3[[#This Row],[Team Groen]])</f>
        <v>KarelStef D</v>
      </c>
    </row>
    <row r="445" spans="1:15" x14ac:dyDescent="0.25">
      <c r="A445" s="14">
        <v>445</v>
      </c>
      <c r="B445" s="205" t="s">
        <v>6</v>
      </c>
      <c r="C445" s="205" t="s">
        <v>11</v>
      </c>
      <c r="D445" s="206" t="s">
        <v>3</v>
      </c>
      <c r="E445" s="206" t="s">
        <v>7</v>
      </c>
      <c r="F445" s="81">
        <v>6</v>
      </c>
      <c r="G445" s="81">
        <v>11</v>
      </c>
      <c r="H445" s="3" t="str">
        <f t="shared" si="20"/>
        <v>GROEN</v>
      </c>
      <c r="I445" s="3" t="str">
        <f t="shared" si="21"/>
        <v>Karel</v>
      </c>
      <c r="J445" s="4" t="str">
        <f t="shared" si="22"/>
        <v>Tiemen</v>
      </c>
      <c r="K445" t="str">
        <f>Tabel3[[#This Row],[Rood Verdediging]]&amp;Tabel3[[#This Row],[Rood Aanval]]</f>
        <v>Stef DMatthijs</v>
      </c>
      <c r="L445" t="str">
        <f>Tabel3[[#This Row],[Groen Verdediging]]&amp;Tabel3[[#This Row],[Groen Aanval]]</f>
        <v>KarelTiemen</v>
      </c>
      <c r="M445" t="str">
        <f>Tabel3[[#This Row],[Winnaar 1]]&amp;Tabel3[[#This Row],[Winnaar 2]]</f>
        <v>KarelTiemen</v>
      </c>
      <c r="N445" t="b">
        <f>IF(Tabel3[[#This Row],[Team Rood]]=Tabel3[[#This Row],[Winnaars]],Tabel3[[#This Row],[Team Rood]])</f>
        <v>0</v>
      </c>
      <c r="O445" t="str">
        <f>IF(Tabel3[[#This Row],[Team Groen]]=Tabel3[[#This Row],[Winnaars]],Tabel3[[#This Row],[Team Groen]])</f>
        <v>KarelTiemen</v>
      </c>
    </row>
    <row r="446" spans="1:15" x14ac:dyDescent="0.25">
      <c r="A446" s="14">
        <v>446</v>
      </c>
      <c r="B446" s="205" t="s">
        <v>7</v>
      </c>
      <c r="C446" s="205" t="s">
        <v>6</v>
      </c>
      <c r="D446" s="206" t="s">
        <v>11</v>
      </c>
      <c r="E446" s="206" t="s">
        <v>3</v>
      </c>
      <c r="F446" s="81">
        <v>8</v>
      </c>
      <c r="G446" s="81">
        <v>11</v>
      </c>
      <c r="H446" s="3" t="str">
        <f t="shared" si="20"/>
        <v>GROEN</v>
      </c>
      <c r="I446" s="3" t="str">
        <f t="shared" si="21"/>
        <v>Matthijs</v>
      </c>
      <c r="J446" s="4" t="str">
        <f t="shared" si="22"/>
        <v>Karel</v>
      </c>
      <c r="K446" t="str">
        <f>Tabel3[[#This Row],[Rood Verdediging]]&amp;Tabel3[[#This Row],[Rood Aanval]]</f>
        <v>TiemenStef D</v>
      </c>
      <c r="L446" t="str">
        <f>Tabel3[[#This Row],[Groen Verdediging]]&amp;Tabel3[[#This Row],[Groen Aanval]]</f>
        <v>MatthijsKarel</v>
      </c>
      <c r="M446" t="str">
        <f>Tabel3[[#This Row],[Winnaar 1]]&amp;Tabel3[[#This Row],[Winnaar 2]]</f>
        <v>MatthijsKarel</v>
      </c>
      <c r="N446" t="b">
        <f>IF(Tabel3[[#This Row],[Team Rood]]=Tabel3[[#This Row],[Winnaars]],Tabel3[[#This Row],[Team Rood]])</f>
        <v>0</v>
      </c>
      <c r="O446" t="str">
        <f>IF(Tabel3[[#This Row],[Team Groen]]=Tabel3[[#This Row],[Winnaars]],Tabel3[[#This Row],[Team Groen]])</f>
        <v>MatthijsKarel</v>
      </c>
    </row>
    <row r="447" spans="1:15" x14ac:dyDescent="0.25">
      <c r="A447" s="14">
        <v>447</v>
      </c>
      <c r="B447" s="205" t="s">
        <v>6</v>
      </c>
      <c r="C447" s="205" t="s">
        <v>3</v>
      </c>
      <c r="D447" s="206" t="s">
        <v>11</v>
      </c>
      <c r="E447" s="206" t="s">
        <v>7</v>
      </c>
      <c r="F447" s="81">
        <v>11</v>
      </c>
      <c r="G447" s="81">
        <v>4</v>
      </c>
      <c r="H447" s="3" t="str">
        <f t="shared" si="20"/>
        <v>ROOD</v>
      </c>
      <c r="I447" s="3" t="str">
        <f t="shared" si="21"/>
        <v>Stef D</v>
      </c>
      <c r="J447" s="4" t="str">
        <f t="shared" si="22"/>
        <v>Karel</v>
      </c>
      <c r="K447" t="str">
        <f>Tabel3[[#This Row],[Rood Verdediging]]&amp;Tabel3[[#This Row],[Rood Aanval]]</f>
        <v>Stef DKarel</v>
      </c>
      <c r="L447" t="str">
        <f>Tabel3[[#This Row],[Groen Verdediging]]&amp;Tabel3[[#This Row],[Groen Aanval]]</f>
        <v>MatthijsTiemen</v>
      </c>
      <c r="M447" t="str">
        <f>Tabel3[[#This Row],[Winnaar 1]]&amp;Tabel3[[#This Row],[Winnaar 2]]</f>
        <v>Stef DKarel</v>
      </c>
      <c r="N447" t="str">
        <f>IF(Tabel3[[#This Row],[Team Rood]]=Tabel3[[#This Row],[Winnaars]],Tabel3[[#This Row],[Team Rood]])</f>
        <v>Stef DKarel</v>
      </c>
      <c r="O447" t="b">
        <f>IF(Tabel3[[#This Row],[Team Groen]]=Tabel3[[#This Row],[Winnaars]],Tabel3[[#This Row],[Team Groen]])</f>
        <v>0</v>
      </c>
    </row>
    <row r="448" spans="1:15" x14ac:dyDescent="0.25">
      <c r="A448" s="14">
        <v>448</v>
      </c>
      <c r="B448" s="205" t="s">
        <v>7</v>
      </c>
      <c r="C448" s="205" t="s">
        <v>3</v>
      </c>
      <c r="D448" s="206" t="s">
        <v>11</v>
      </c>
      <c r="E448" s="206" t="s">
        <v>6</v>
      </c>
      <c r="F448" s="81">
        <v>11</v>
      </c>
      <c r="G448" s="81">
        <v>8</v>
      </c>
      <c r="H448" s="3" t="str">
        <f t="shared" si="20"/>
        <v>ROOD</v>
      </c>
      <c r="I448" s="3" t="str">
        <f t="shared" si="21"/>
        <v>Tiemen</v>
      </c>
      <c r="J448" s="4" t="str">
        <f t="shared" si="22"/>
        <v>Karel</v>
      </c>
      <c r="K448" t="str">
        <f>Tabel3[[#This Row],[Rood Verdediging]]&amp;Tabel3[[#This Row],[Rood Aanval]]</f>
        <v>TiemenKarel</v>
      </c>
      <c r="L448" t="str">
        <f>Tabel3[[#This Row],[Groen Verdediging]]&amp;Tabel3[[#This Row],[Groen Aanval]]</f>
        <v>MatthijsStef D</v>
      </c>
      <c r="M448" t="str">
        <f>Tabel3[[#This Row],[Winnaar 1]]&amp;Tabel3[[#This Row],[Winnaar 2]]</f>
        <v>TiemenKarel</v>
      </c>
      <c r="N448" t="str">
        <f>IF(Tabel3[[#This Row],[Team Rood]]=Tabel3[[#This Row],[Winnaars]],Tabel3[[#This Row],[Team Rood]])</f>
        <v>TiemenKarel</v>
      </c>
      <c r="O448" t="b">
        <f>IF(Tabel3[[#This Row],[Team Groen]]=Tabel3[[#This Row],[Winnaars]],Tabel3[[#This Row],[Team Groen]])</f>
        <v>0</v>
      </c>
    </row>
    <row r="449" spans="1:15" x14ac:dyDescent="0.25">
      <c r="A449" s="14">
        <v>449</v>
      </c>
      <c r="B449" s="205" t="s">
        <v>3</v>
      </c>
      <c r="C449" s="205" t="s">
        <v>11</v>
      </c>
      <c r="D449" s="206" t="s">
        <v>7</v>
      </c>
      <c r="E449" s="206" t="s">
        <v>6</v>
      </c>
      <c r="F449" s="81">
        <v>14</v>
      </c>
      <c r="G449" s="81">
        <v>16</v>
      </c>
      <c r="H449" s="3" t="str">
        <f t="shared" si="20"/>
        <v>GROEN</v>
      </c>
      <c r="I449" s="3" t="str">
        <f t="shared" si="21"/>
        <v>Tiemen</v>
      </c>
      <c r="J449" s="4" t="str">
        <f t="shared" si="22"/>
        <v>Stef D</v>
      </c>
      <c r="K449" t="str">
        <f>Tabel3[[#This Row],[Rood Verdediging]]&amp;Tabel3[[#This Row],[Rood Aanval]]</f>
        <v>KarelMatthijs</v>
      </c>
      <c r="L449" t="str">
        <f>Tabel3[[#This Row],[Groen Verdediging]]&amp;Tabel3[[#This Row],[Groen Aanval]]</f>
        <v>TiemenStef D</v>
      </c>
      <c r="M449" t="str">
        <f>Tabel3[[#This Row],[Winnaar 1]]&amp;Tabel3[[#This Row],[Winnaar 2]]</f>
        <v>TiemenStef D</v>
      </c>
      <c r="N449" t="b">
        <f>IF(Tabel3[[#This Row],[Team Rood]]=Tabel3[[#This Row],[Winnaars]],Tabel3[[#This Row],[Team Rood]])</f>
        <v>0</v>
      </c>
      <c r="O449" t="str">
        <f>IF(Tabel3[[#This Row],[Team Groen]]=Tabel3[[#This Row],[Winnaars]],Tabel3[[#This Row],[Team Groen]])</f>
        <v>TiemenStef D</v>
      </c>
    </row>
    <row r="450" spans="1:15" x14ac:dyDescent="0.25">
      <c r="A450" s="14">
        <v>450</v>
      </c>
      <c r="B450" s="205" t="s">
        <v>11</v>
      </c>
      <c r="C450" s="205" t="s">
        <v>7</v>
      </c>
      <c r="D450" s="206" t="s">
        <v>3</v>
      </c>
      <c r="E450" s="206" t="s">
        <v>6</v>
      </c>
      <c r="F450" s="81">
        <v>12</v>
      </c>
      <c r="G450" s="81">
        <v>10</v>
      </c>
      <c r="H450" s="3" t="str">
        <f t="shared" ref="H450:H513" si="23">IF(F450&gt;G450,"ROOD",IF(F450=G450,"","GROEN"))</f>
        <v>ROOD</v>
      </c>
      <c r="I450" s="3" t="str">
        <f t="shared" si="21"/>
        <v>Matthijs</v>
      </c>
      <c r="J450" s="4" t="str">
        <f t="shared" si="22"/>
        <v>Tiemen</v>
      </c>
      <c r="K450" t="str">
        <f>Tabel3[[#This Row],[Rood Verdediging]]&amp;Tabel3[[#This Row],[Rood Aanval]]</f>
        <v>MatthijsTiemen</v>
      </c>
      <c r="L450" t="str">
        <f>Tabel3[[#This Row],[Groen Verdediging]]&amp;Tabel3[[#This Row],[Groen Aanval]]</f>
        <v>KarelStef D</v>
      </c>
      <c r="M450" t="str">
        <f>Tabel3[[#This Row],[Winnaar 1]]&amp;Tabel3[[#This Row],[Winnaar 2]]</f>
        <v>MatthijsTiemen</v>
      </c>
      <c r="N450" t="str">
        <f>IF(Tabel3[[#This Row],[Team Rood]]=Tabel3[[#This Row],[Winnaars]],Tabel3[[#This Row],[Team Rood]])</f>
        <v>MatthijsTiemen</v>
      </c>
      <c r="O450" t="b">
        <f>IF(Tabel3[[#This Row],[Team Groen]]=Tabel3[[#This Row],[Winnaars]],Tabel3[[#This Row],[Team Groen]])</f>
        <v>0</v>
      </c>
    </row>
    <row r="451" spans="1:15" x14ac:dyDescent="0.25">
      <c r="A451" s="14">
        <v>451</v>
      </c>
      <c r="B451" s="205" t="s">
        <v>11</v>
      </c>
      <c r="C451" s="205" t="s">
        <v>7</v>
      </c>
      <c r="D451" s="206" t="s">
        <v>8</v>
      </c>
      <c r="E451" s="206" t="s">
        <v>13</v>
      </c>
      <c r="F451" s="81">
        <v>11</v>
      </c>
      <c r="G451" s="81">
        <v>8</v>
      </c>
      <c r="H451" s="3" t="str">
        <f t="shared" si="23"/>
        <v>ROOD</v>
      </c>
      <c r="I451" s="3" t="str">
        <f t="shared" si="21"/>
        <v>Matthijs</v>
      </c>
      <c r="J451" s="4" t="str">
        <f t="shared" si="22"/>
        <v>Tiemen</v>
      </c>
      <c r="K451" t="str">
        <f>Tabel3[[#This Row],[Rood Verdediging]]&amp;Tabel3[[#This Row],[Rood Aanval]]</f>
        <v>MatthijsTiemen</v>
      </c>
      <c r="L451" t="str">
        <f>Tabel3[[#This Row],[Groen Verdediging]]&amp;Tabel3[[#This Row],[Groen Aanval]]</f>
        <v>LouisBert</v>
      </c>
      <c r="M451" t="str">
        <f>Tabel3[[#This Row],[Winnaar 1]]&amp;Tabel3[[#This Row],[Winnaar 2]]</f>
        <v>MatthijsTiemen</v>
      </c>
      <c r="N451" t="str">
        <f>IF(Tabel3[[#This Row],[Team Rood]]=Tabel3[[#This Row],[Winnaars]],Tabel3[[#This Row],[Team Rood]])</f>
        <v>MatthijsTiemen</v>
      </c>
      <c r="O451" t="b">
        <f>IF(Tabel3[[#This Row],[Team Groen]]=Tabel3[[#This Row],[Winnaars]],Tabel3[[#This Row],[Team Groen]])</f>
        <v>0</v>
      </c>
    </row>
    <row r="452" spans="1:15" x14ac:dyDescent="0.25">
      <c r="A452" s="14">
        <v>452</v>
      </c>
      <c r="B452" s="205" t="s">
        <v>0</v>
      </c>
      <c r="C452" s="205" t="s">
        <v>11</v>
      </c>
      <c r="D452" s="206" t="s">
        <v>7</v>
      </c>
      <c r="E452" s="206" t="s">
        <v>13</v>
      </c>
      <c r="F452" s="81">
        <v>11</v>
      </c>
      <c r="G452" s="81">
        <v>5</v>
      </c>
      <c r="H452" s="3" t="str">
        <f t="shared" si="23"/>
        <v>ROOD</v>
      </c>
      <c r="I452" s="3" t="str">
        <f t="shared" si="21"/>
        <v>Jonas</v>
      </c>
      <c r="J452" s="4" t="str">
        <f t="shared" si="22"/>
        <v>Matthijs</v>
      </c>
      <c r="K452" t="str">
        <f>Tabel3[[#This Row],[Rood Verdediging]]&amp;Tabel3[[#This Row],[Rood Aanval]]</f>
        <v>JonasMatthijs</v>
      </c>
      <c r="L452" t="str">
        <f>Tabel3[[#This Row],[Groen Verdediging]]&amp;Tabel3[[#This Row],[Groen Aanval]]</f>
        <v>TiemenBert</v>
      </c>
      <c r="M452" t="str">
        <f>Tabel3[[#This Row],[Winnaar 1]]&amp;Tabel3[[#This Row],[Winnaar 2]]</f>
        <v>JonasMatthijs</v>
      </c>
      <c r="N452" t="str">
        <f>IF(Tabel3[[#This Row],[Team Rood]]=Tabel3[[#This Row],[Winnaars]],Tabel3[[#This Row],[Team Rood]])</f>
        <v>JonasMatthijs</v>
      </c>
      <c r="O452" t="b">
        <f>IF(Tabel3[[#This Row],[Team Groen]]=Tabel3[[#This Row],[Winnaars]],Tabel3[[#This Row],[Team Groen]])</f>
        <v>0</v>
      </c>
    </row>
    <row r="453" spans="1:15" x14ac:dyDescent="0.25">
      <c r="A453" s="14">
        <v>453</v>
      </c>
      <c r="B453" s="205" t="s">
        <v>43</v>
      </c>
      <c r="C453" s="205" t="s">
        <v>0</v>
      </c>
      <c r="D453" s="206" t="s">
        <v>11</v>
      </c>
      <c r="E453" s="206" t="s">
        <v>7</v>
      </c>
      <c r="F453" s="81">
        <v>5</v>
      </c>
      <c r="G453" s="81">
        <v>11</v>
      </c>
      <c r="H453" s="3" t="str">
        <f t="shared" si="23"/>
        <v>GROEN</v>
      </c>
      <c r="I453" s="3" t="str">
        <f t="shared" si="21"/>
        <v>Matthijs</v>
      </c>
      <c r="J453" s="4" t="str">
        <f t="shared" si="22"/>
        <v>Tiemen</v>
      </c>
      <c r="K453" t="str">
        <f>Tabel3[[#This Row],[Rood Verdediging]]&amp;Tabel3[[#This Row],[Rood Aanval]]</f>
        <v>Louis Jonas</v>
      </c>
      <c r="L453" t="str">
        <f>Tabel3[[#This Row],[Groen Verdediging]]&amp;Tabel3[[#This Row],[Groen Aanval]]</f>
        <v>MatthijsTiemen</v>
      </c>
      <c r="M453" t="str">
        <f>Tabel3[[#This Row],[Winnaar 1]]&amp;Tabel3[[#This Row],[Winnaar 2]]</f>
        <v>MatthijsTiemen</v>
      </c>
      <c r="N453" t="b">
        <f>IF(Tabel3[[#This Row],[Team Rood]]=Tabel3[[#This Row],[Winnaars]],Tabel3[[#This Row],[Team Rood]])</f>
        <v>0</v>
      </c>
      <c r="O453" t="str">
        <f>IF(Tabel3[[#This Row],[Team Groen]]=Tabel3[[#This Row],[Winnaars]],Tabel3[[#This Row],[Team Groen]])</f>
        <v>MatthijsTiemen</v>
      </c>
    </row>
    <row r="454" spans="1:15" x14ac:dyDescent="0.25">
      <c r="A454" s="14">
        <v>454</v>
      </c>
      <c r="B454" s="205" t="s">
        <v>8</v>
      </c>
      <c r="C454" s="205" t="s">
        <v>11</v>
      </c>
      <c r="D454" s="206" t="s">
        <v>0</v>
      </c>
      <c r="E454" s="206" t="s">
        <v>13</v>
      </c>
      <c r="F454" s="81">
        <v>11</v>
      </c>
      <c r="G454" s="81">
        <v>13</v>
      </c>
      <c r="H454" s="3" t="str">
        <f t="shared" si="23"/>
        <v>GROEN</v>
      </c>
      <c r="I454" s="3" t="str">
        <f t="shared" si="21"/>
        <v>Jonas</v>
      </c>
      <c r="J454" s="4" t="str">
        <f t="shared" si="22"/>
        <v>Bert</v>
      </c>
      <c r="K454" t="str">
        <f>Tabel3[[#This Row],[Rood Verdediging]]&amp;Tabel3[[#This Row],[Rood Aanval]]</f>
        <v>LouisMatthijs</v>
      </c>
      <c r="L454" t="str">
        <f>Tabel3[[#This Row],[Groen Verdediging]]&amp;Tabel3[[#This Row],[Groen Aanval]]</f>
        <v>JonasBert</v>
      </c>
      <c r="M454" t="str">
        <f>Tabel3[[#This Row],[Winnaar 1]]&amp;Tabel3[[#This Row],[Winnaar 2]]</f>
        <v>JonasBert</v>
      </c>
      <c r="N454" t="b">
        <f>IF(Tabel3[[#This Row],[Team Rood]]=Tabel3[[#This Row],[Winnaars]],Tabel3[[#This Row],[Team Rood]])</f>
        <v>0</v>
      </c>
      <c r="O454" t="str">
        <f>IF(Tabel3[[#This Row],[Team Groen]]=Tabel3[[#This Row],[Winnaars]],Tabel3[[#This Row],[Team Groen]])</f>
        <v>JonasBert</v>
      </c>
    </row>
    <row r="455" spans="1:15" x14ac:dyDescent="0.25">
      <c r="A455" s="14">
        <v>455</v>
      </c>
      <c r="B455" s="205" t="s">
        <v>0</v>
      </c>
      <c r="C455" s="205" t="s">
        <v>8</v>
      </c>
      <c r="D455" s="206" t="s">
        <v>6</v>
      </c>
      <c r="E455" s="206" t="s">
        <v>7</v>
      </c>
      <c r="F455" s="81">
        <v>8</v>
      </c>
      <c r="G455" s="81">
        <v>11</v>
      </c>
      <c r="H455" s="3" t="str">
        <f t="shared" si="23"/>
        <v>GROEN</v>
      </c>
      <c r="I455" s="3" t="str">
        <f t="shared" si="21"/>
        <v>Stef D</v>
      </c>
      <c r="J455" s="4" t="str">
        <f t="shared" si="22"/>
        <v>Tiemen</v>
      </c>
      <c r="K455" t="str">
        <f>Tabel3[[#This Row],[Rood Verdediging]]&amp;Tabel3[[#This Row],[Rood Aanval]]</f>
        <v>JonasLouis</v>
      </c>
      <c r="L455" t="str">
        <f>Tabel3[[#This Row],[Groen Verdediging]]&amp;Tabel3[[#This Row],[Groen Aanval]]</f>
        <v>Stef DTiemen</v>
      </c>
      <c r="M455" t="str">
        <f>Tabel3[[#This Row],[Winnaar 1]]&amp;Tabel3[[#This Row],[Winnaar 2]]</f>
        <v>Stef DTiemen</v>
      </c>
      <c r="N455" t="b">
        <f>IF(Tabel3[[#This Row],[Team Rood]]=Tabel3[[#This Row],[Winnaars]],Tabel3[[#This Row],[Team Rood]])</f>
        <v>0</v>
      </c>
      <c r="O455" t="str">
        <f>IF(Tabel3[[#This Row],[Team Groen]]=Tabel3[[#This Row],[Winnaars]],Tabel3[[#This Row],[Team Groen]])</f>
        <v>Stef DTiemen</v>
      </c>
    </row>
    <row r="456" spans="1:15" x14ac:dyDescent="0.25">
      <c r="A456" s="14">
        <v>456</v>
      </c>
      <c r="B456" s="205" t="s">
        <v>11</v>
      </c>
      <c r="C456" s="205" t="s">
        <v>6</v>
      </c>
      <c r="D456" s="206" t="s">
        <v>8</v>
      </c>
      <c r="E456" s="206" t="s">
        <v>13</v>
      </c>
      <c r="F456" s="81">
        <v>11</v>
      </c>
      <c r="G456" s="81">
        <v>8</v>
      </c>
      <c r="H456" s="3" t="str">
        <f t="shared" si="23"/>
        <v>ROOD</v>
      </c>
      <c r="I456" s="3" t="str">
        <f t="shared" si="21"/>
        <v>Matthijs</v>
      </c>
      <c r="J456" s="4" t="str">
        <f t="shared" si="22"/>
        <v>Stef D</v>
      </c>
      <c r="K456" t="str">
        <f>Tabel3[[#This Row],[Rood Verdediging]]&amp;Tabel3[[#This Row],[Rood Aanval]]</f>
        <v>MatthijsStef D</v>
      </c>
      <c r="L456" t="str">
        <f>Tabel3[[#This Row],[Groen Verdediging]]&amp;Tabel3[[#This Row],[Groen Aanval]]</f>
        <v>LouisBert</v>
      </c>
      <c r="M456" t="str">
        <f>Tabel3[[#This Row],[Winnaar 1]]&amp;Tabel3[[#This Row],[Winnaar 2]]</f>
        <v>MatthijsStef D</v>
      </c>
      <c r="N456" t="str">
        <f>IF(Tabel3[[#This Row],[Team Rood]]=Tabel3[[#This Row],[Winnaars]],Tabel3[[#This Row],[Team Rood]])</f>
        <v>MatthijsStef D</v>
      </c>
      <c r="O456" t="b">
        <f>IF(Tabel3[[#This Row],[Team Groen]]=Tabel3[[#This Row],[Winnaars]],Tabel3[[#This Row],[Team Groen]])</f>
        <v>0</v>
      </c>
    </row>
    <row r="457" spans="1:15" x14ac:dyDescent="0.25">
      <c r="A457" s="14">
        <v>457</v>
      </c>
      <c r="B457" s="205" t="s">
        <v>8</v>
      </c>
      <c r="C457" s="205" t="s">
        <v>11</v>
      </c>
      <c r="D457" s="206" t="s">
        <v>0</v>
      </c>
      <c r="E457" s="206" t="s">
        <v>7</v>
      </c>
      <c r="F457" s="81">
        <v>3</v>
      </c>
      <c r="G457" s="81">
        <v>11</v>
      </c>
      <c r="H457" s="3" t="str">
        <f t="shared" si="23"/>
        <v>GROEN</v>
      </c>
      <c r="I457" s="3" t="str">
        <f t="shared" si="21"/>
        <v>Jonas</v>
      </c>
      <c r="J457" s="4" t="str">
        <f t="shared" si="22"/>
        <v>Tiemen</v>
      </c>
      <c r="K457" t="str">
        <f>Tabel3[[#This Row],[Rood Verdediging]]&amp;Tabel3[[#This Row],[Rood Aanval]]</f>
        <v>LouisMatthijs</v>
      </c>
      <c r="L457" t="str">
        <f>Tabel3[[#This Row],[Groen Verdediging]]&amp;Tabel3[[#This Row],[Groen Aanval]]</f>
        <v>JonasTiemen</v>
      </c>
      <c r="M457" t="str">
        <f>Tabel3[[#This Row],[Winnaar 1]]&amp;Tabel3[[#This Row],[Winnaar 2]]</f>
        <v>JonasTiemen</v>
      </c>
      <c r="N457" t="b">
        <f>IF(Tabel3[[#This Row],[Team Rood]]=Tabel3[[#This Row],[Winnaars]],Tabel3[[#This Row],[Team Rood]])</f>
        <v>0</v>
      </c>
      <c r="O457" t="str">
        <f>IF(Tabel3[[#This Row],[Team Groen]]=Tabel3[[#This Row],[Winnaars]],Tabel3[[#This Row],[Team Groen]])</f>
        <v>JonasTiemen</v>
      </c>
    </row>
    <row r="458" spans="1:15" x14ac:dyDescent="0.25">
      <c r="A458" s="14">
        <v>458</v>
      </c>
      <c r="B458" s="205" t="s">
        <v>11</v>
      </c>
      <c r="C458" s="205" t="s">
        <v>13</v>
      </c>
      <c r="D458" s="206" t="s">
        <v>0</v>
      </c>
      <c r="E458" s="206" t="s">
        <v>6</v>
      </c>
      <c r="F458" s="81">
        <v>7</v>
      </c>
      <c r="G458" s="81">
        <v>11</v>
      </c>
      <c r="H458" s="3" t="str">
        <f t="shared" si="23"/>
        <v>GROEN</v>
      </c>
      <c r="I458" s="3" t="str">
        <f t="shared" si="21"/>
        <v>Jonas</v>
      </c>
      <c r="J458" s="4" t="str">
        <f t="shared" si="22"/>
        <v>Stef D</v>
      </c>
      <c r="K458" t="str">
        <f>Tabel3[[#This Row],[Rood Verdediging]]&amp;Tabel3[[#This Row],[Rood Aanval]]</f>
        <v>MatthijsBert</v>
      </c>
      <c r="L458" t="str">
        <f>Tabel3[[#This Row],[Groen Verdediging]]&amp;Tabel3[[#This Row],[Groen Aanval]]</f>
        <v>JonasStef D</v>
      </c>
      <c r="M458" t="str">
        <f>Tabel3[[#This Row],[Winnaar 1]]&amp;Tabel3[[#This Row],[Winnaar 2]]</f>
        <v>JonasStef D</v>
      </c>
      <c r="N458" t="b">
        <f>IF(Tabel3[[#This Row],[Team Rood]]=Tabel3[[#This Row],[Winnaars]],Tabel3[[#This Row],[Team Rood]])</f>
        <v>0</v>
      </c>
      <c r="O458" t="str">
        <f>IF(Tabel3[[#This Row],[Team Groen]]=Tabel3[[#This Row],[Winnaars]],Tabel3[[#This Row],[Team Groen]])</f>
        <v>JonasStef D</v>
      </c>
    </row>
    <row r="459" spans="1:15" x14ac:dyDescent="0.25">
      <c r="A459" s="14">
        <v>459</v>
      </c>
      <c r="B459" s="205" t="s">
        <v>7</v>
      </c>
      <c r="C459" s="205" t="s">
        <v>11</v>
      </c>
      <c r="D459" s="206" t="s">
        <v>0</v>
      </c>
      <c r="E459" s="206" t="s">
        <v>6</v>
      </c>
      <c r="F459" s="81">
        <v>13</v>
      </c>
      <c r="G459" s="81">
        <v>15</v>
      </c>
      <c r="H459" s="3" t="str">
        <f t="shared" si="23"/>
        <v>GROEN</v>
      </c>
      <c r="I459" s="3" t="str">
        <f t="shared" si="21"/>
        <v>Jonas</v>
      </c>
      <c r="J459" s="4" t="str">
        <f t="shared" si="22"/>
        <v>Stef D</v>
      </c>
      <c r="K459" t="str">
        <f>Tabel3[[#This Row],[Rood Verdediging]]&amp;Tabel3[[#This Row],[Rood Aanval]]</f>
        <v>TiemenMatthijs</v>
      </c>
      <c r="L459" t="str">
        <f>Tabel3[[#This Row],[Groen Verdediging]]&amp;Tabel3[[#This Row],[Groen Aanval]]</f>
        <v>JonasStef D</v>
      </c>
      <c r="M459" t="str">
        <f>Tabel3[[#This Row],[Winnaar 1]]&amp;Tabel3[[#This Row],[Winnaar 2]]</f>
        <v>JonasStef D</v>
      </c>
      <c r="N459" t="b">
        <f>IF(Tabel3[[#This Row],[Team Rood]]=Tabel3[[#This Row],[Winnaars]],Tabel3[[#This Row],[Team Rood]])</f>
        <v>0</v>
      </c>
      <c r="O459" t="str">
        <f>IF(Tabel3[[#This Row],[Team Groen]]=Tabel3[[#This Row],[Winnaars]],Tabel3[[#This Row],[Team Groen]])</f>
        <v>JonasStef D</v>
      </c>
    </row>
    <row r="460" spans="1:15" x14ac:dyDescent="0.25">
      <c r="A460" s="14">
        <v>460</v>
      </c>
      <c r="B460" s="205" t="s">
        <v>0</v>
      </c>
      <c r="C460" s="205" t="s">
        <v>7</v>
      </c>
      <c r="D460" s="206" t="s">
        <v>19</v>
      </c>
      <c r="E460" s="206" t="s">
        <v>6</v>
      </c>
      <c r="F460" s="81">
        <v>19</v>
      </c>
      <c r="G460" s="81">
        <v>17</v>
      </c>
      <c r="H460" s="3" t="str">
        <f t="shared" si="23"/>
        <v>ROOD</v>
      </c>
      <c r="I460" s="3" t="str">
        <f t="shared" si="21"/>
        <v>Jonas</v>
      </c>
      <c r="J460" s="4" t="str">
        <f t="shared" si="22"/>
        <v>Tiemen</v>
      </c>
      <c r="K460" t="str">
        <f>Tabel3[[#This Row],[Rood Verdediging]]&amp;Tabel3[[#This Row],[Rood Aanval]]</f>
        <v>JonasTiemen</v>
      </c>
      <c r="L460" t="str">
        <f>Tabel3[[#This Row],[Groen Verdediging]]&amp;Tabel3[[#This Row],[Groen Aanval]]</f>
        <v>NicolasStef D</v>
      </c>
      <c r="M460" t="str">
        <f>Tabel3[[#This Row],[Winnaar 1]]&amp;Tabel3[[#This Row],[Winnaar 2]]</f>
        <v>JonasTiemen</v>
      </c>
      <c r="N460" t="str">
        <f>IF(Tabel3[[#This Row],[Team Rood]]=Tabel3[[#This Row],[Winnaars]],Tabel3[[#This Row],[Team Rood]])</f>
        <v>JonasTiemen</v>
      </c>
      <c r="O460" t="b">
        <f>IF(Tabel3[[#This Row],[Team Groen]]=Tabel3[[#This Row],[Winnaars]],Tabel3[[#This Row],[Team Groen]])</f>
        <v>0</v>
      </c>
    </row>
    <row r="461" spans="1:15" x14ac:dyDescent="0.25">
      <c r="A461" s="14">
        <v>461</v>
      </c>
      <c r="B461" s="205" t="s">
        <v>0</v>
      </c>
      <c r="C461" s="205" t="s">
        <v>6</v>
      </c>
      <c r="D461" s="206" t="s">
        <v>7</v>
      </c>
      <c r="E461" s="206" t="s">
        <v>3</v>
      </c>
      <c r="F461" s="81">
        <v>8</v>
      </c>
      <c r="G461" s="81">
        <v>11</v>
      </c>
      <c r="H461" s="3" t="str">
        <f t="shared" si="23"/>
        <v>GROEN</v>
      </c>
      <c r="I461" s="3" t="str">
        <f t="shared" ref="I461:I524" si="24">IF(F461&gt;G461,B461,IF(F461=0,"",D461))</f>
        <v>Tiemen</v>
      </c>
      <c r="J461" s="4" t="str">
        <f t="shared" ref="J461:J524" si="25">IF(F461&gt;G461,C461,IF(F461=0,"",E461))</f>
        <v>Karel</v>
      </c>
      <c r="K461" t="str">
        <f>Tabel3[[#This Row],[Rood Verdediging]]&amp;Tabel3[[#This Row],[Rood Aanval]]</f>
        <v>JonasStef D</v>
      </c>
      <c r="L461" t="str">
        <f>Tabel3[[#This Row],[Groen Verdediging]]&amp;Tabel3[[#This Row],[Groen Aanval]]</f>
        <v>TiemenKarel</v>
      </c>
      <c r="M461" t="str">
        <f>Tabel3[[#This Row],[Winnaar 1]]&amp;Tabel3[[#This Row],[Winnaar 2]]</f>
        <v>TiemenKarel</v>
      </c>
      <c r="N461" t="b">
        <f>IF(Tabel3[[#This Row],[Team Rood]]=Tabel3[[#This Row],[Winnaars]],Tabel3[[#This Row],[Team Rood]])</f>
        <v>0</v>
      </c>
      <c r="O461" t="str">
        <f>IF(Tabel3[[#This Row],[Team Groen]]=Tabel3[[#This Row],[Winnaars]],Tabel3[[#This Row],[Team Groen]])</f>
        <v>TiemenKarel</v>
      </c>
    </row>
    <row r="462" spans="1:15" x14ac:dyDescent="0.25">
      <c r="A462" s="14">
        <v>462</v>
      </c>
      <c r="B462" s="205" t="s">
        <v>7</v>
      </c>
      <c r="C462" s="205" t="s">
        <v>6</v>
      </c>
      <c r="D462" s="206" t="s">
        <v>3</v>
      </c>
      <c r="E462" s="206" t="s">
        <v>19</v>
      </c>
      <c r="F462" s="81">
        <v>11</v>
      </c>
      <c r="G462" s="81">
        <v>6</v>
      </c>
      <c r="H462" s="3" t="str">
        <f t="shared" si="23"/>
        <v>ROOD</v>
      </c>
      <c r="I462" s="3" t="str">
        <f t="shared" si="24"/>
        <v>Tiemen</v>
      </c>
      <c r="J462" s="4" t="str">
        <f t="shared" si="25"/>
        <v>Stef D</v>
      </c>
      <c r="K462" t="str">
        <f>Tabel3[[#This Row],[Rood Verdediging]]&amp;Tabel3[[#This Row],[Rood Aanval]]</f>
        <v>TiemenStef D</v>
      </c>
      <c r="L462" t="str">
        <f>Tabel3[[#This Row],[Groen Verdediging]]&amp;Tabel3[[#This Row],[Groen Aanval]]</f>
        <v>KarelNicolas</v>
      </c>
      <c r="M462" t="str">
        <f>Tabel3[[#This Row],[Winnaar 1]]&amp;Tabel3[[#This Row],[Winnaar 2]]</f>
        <v>TiemenStef D</v>
      </c>
      <c r="N462" t="str">
        <f>IF(Tabel3[[#This Row],[Team Rood]]=Tabel3[[#This Row],[Winnaars]],Tabel3[[#This Row],[Team Rood]])</f>
        <v>TiemenStef D</v>
      </c>
      <c r="O462" t="b">
        <f>IF(Tabel3[[#This Row],[Team Groen]]=Tabel3[[#This Row],[Winnaars]],Tabel3[[#This Row],[Team Groen]])</f>
        <v>0</v>
      </c>
    </row>
    <row r="463" spans="1:15" x14ac:dyDescent="0.25">
      <c r="A463" s="14">
        <v>463</v>
      </c>
      <c r="B463" s="205" t="s">
        <v>3</v>
      </c>
      <c r="C463" s="205" t="s">
        <v>0</v>
      </c>
      <c r="D463" s="206" t="s">
        <v>7</v>
      </c>
      <c r="E463" s="206" t="s">
        <v>19</v>
      </c>
      <c r="F463" s="81">
        <v>8</v>
      </c>
      <c r="G463" s="81">
        <v>11</v>
      </c>
      <c r="H463" s="3" t="str">
        <f t="shared" si="23"/>
        <v>GROEN</v>
      </c>
      <c r="I463" s="3" t="str">
        <f t="shared" si="24"/>
        <v>Tiemen</v>
      </c>
      <c r="J463" s="4" t="str">
        <f t="shared" si="25"/>
        <v>Nicolas</v>
      </c>
      <c r="K463" t="str">
        <f>Tabel3[[#This Row],[Rood Verdediging]]&amp;Tabel3[[#This Row],[Rood Aanval]]</f>
        <v>KarelJonas</v>
      </c>
      <c r="L463" t="str">
        <f>Tabel3[[#This Row],[Groen Verdediging]]&amp;Tabel3[[#This Row],[Groen Aanval]]</f>
        <v>TiemenNicolas</v>
      </c>
      <c r="M463" t="str">
        <f>Tabel3[[#This Row],[Winnaar 1]]&amp;Tabel3[[#This Row],[Winnaar 2]]</f>
        <v>TiemenNicolas</v>
      </c>
      <c r="N463" t="b">
        <f>IF(Tabel3[[#This Row],[Team Rood]]=Tabel3[[#This Row],[Winnaars]],Tabel3[[#This Row],[Team Rood]])</f>
        <v>0</v>
      </c>
      <c r="O463" t="str">
        <f>IF(Tabel3[[#This Row],[Team Groen]]=Tabel3[[#This Row],[Winnaars]],Tabel3[[#This Row],[Team Groen]])</f>
        <v>TiemenNicolas</v>
      </c>
    </row>
    <row r="464" spans="1:15" x14ac:dyDescent="0.25">
      <c r="A464" s="14">
        <v>464</v>
      </c>
      <c r="B464" s="205" t="s">
        <v>6</v>
      </c>
      <c r="C464" s="205" t="s">
        <v>3</v>
      </c>
      <c r="D464" s="206" t="s">
        <v>0</v>
      </c>
      <c r="E464" s="206" t="s">
        <v>19</v>
      </c>
      <c r="F464" s="81">
        <v>11</v>
      </c>
      <c r="G464" s="81">
        <v>8</v>
      </c>
      <c r="H464" s="3" t="str">
        <f t="shared" si="23"/>
        <v>ROOD</v>
      </c>
      <c r="I464" s="3" t="str">
        <f t="shared" si="24"/>
        <v>Stef D</v>
      </c>
      <c r="J464" s="4" t="str">
        <f t="shared" si="25"/>
        <v>Karel</v>
      </c>
      <c r="K464" t="str">
        <f>Tabel3[[#This Row],[Rood Verdediging]]&amp;Tabel3[[#This Row],[Rood Aanval]]</f>
        <v>Stef DKarel</v>
      </c>
      <c r="L464" t="str">
        <f>Tabel3[[#This Row],[Groen Verdediging]]&amp;Tabel3[[#This Row],[Groen Aanval]]</f>
        <v>JonasNicolas</v>
      </c>
      <c r="M464" t="str">
        <f>Tabel3[[#This Row],[Winnaar 1]]&amp;Tabel3[[#This Row],[Winnaar 2]]</f>
        <v>Stef DKarel</v>
      </c>
      <c r="N464" t="str">
        <f>IF(Tabel3[[#This Row],[Team Rood]]=Tabel3[[#This Row],[Winnaars]],Tabel3[[#This Row],[Team Rood]])</f>
        <v>Stef DKarel</v>
      </c>
      <c r="O464" t="b">
        <f>IF(Tabel3[[#This Row],[Team Groen]]=Tabel3[[#This Row],[Winnaars]],Tabel3[[#This Row],[Team Groen]])</f>
        <v>0</v>
      </c>
    </row>
    <row r="465" spans="1:15" x14ac:dyDescent="0.25">
      <c r="A465" s="14">
        <v>465</v>
      </c>
      <c r="B465" s="205" t="s">
        <v>7</v>
      </c>
      <c r="C465" s="205" t="s">
        <v>6</v>
      </c>
      <c r="D465" s="206" t="s">
        <v>0</v>
      </c>
      <c r="E465" s="206" t="s">
        <v>3</v>
      </c>
      <c r="F465" s="81">
        <v>6</v>
      </c>
      <c r="G465" s="81">
        <v>11</v>
      </c>
      <c r="H465" s="3" t="str">
        <f t="shared" si="23"/>
        <v>GROEN</v>
      </c>
      <c r="I465" s="3" t="str">
        <f t="shared" si="24"/>
        <v>Jonas</v>
      </c>
      <c r="J465" s="4" t="str">
        <f t="shared" si="25"/>
        <v>Karel</v>
      </c>
      <c r="K465" t="str">
        <f>Tabel3[[#This Row],[Rood Verdediging]]&amp;Tabel3[[#This Row],[Rood Aanval]]</f>
        <v>TiemenStef D</v>
      </c>
      <c r="L465" t="str">
        <f>Tabel3[[#This Row],[Groen Verdediging]]&amp;Tabel3[[#This Row],[Groen Aanval]]</f>
        <v>JonasKarel</v>
      </c>
      <c r="M465" t="str">
        <f>Tabel3[[#This Row],[Winnaar 1]]&amp;Tabel3[[#This Row],[Winnaar 2]]</f>
        <v>JonasKarel</v>
      </c>
      <c r="N465" t="b">
        <f>IF(Tabel3[[#This Row],[Team Rood]]=Tabel3[[#This Row],[Winnaars]],Tabel3[[#This Row],[Team Rood]])</f>
        <v>0</v>
      </c>
      <c r="O465" t="str">
        <f>IF(Tabel3[[#This Row],[Team Groen]]=Tabel3[[#This Row],[Winnaars]],Tabel3[[#This Row],[Team Groen]])</f>
        <v>JonasKarel</v>
      </c>
    </row>
    <row r="466" spans="1:15" x14ac:dyDescent="0.25">
      <c r="A466" s="14">
        <v>466</v>
      </c>
      <c r="B466" s="205" t="s">
        <v>0</v>
      </c>
      <c r="C466" s="205" t="s">
        <v>7</v>
      </c>
      <c r="D466" s="206" t="s">
        <v>6</v>
      </c>
      <c r="E466" s="206" t="s">
        <v>19</v>
      </c>
      <c r="F466" s="81">
        <v>11</v>
      </c>
      <c r="G466" s="81">
        <v>6</v>
      </c>
      <c r="H466" s="3" t="str">
        <f t="shared" si="23"/>
        <v>ROOD</v>
      </c>
      <c r="I466" s="3" t="str">
        <f t="shared" si="24"/>
        <v>Jonas</v>
      </c>
      <c r="J466" s="4" t="str">
        <f t="shared" si="25"/>
        <v>Tiemen</v>
      </c>
      <c r="K466" t="str">
        <f>Tabel3[[#This Row],[Rood Verdediging]]&amp;Tabel3[[#This Row],[Rood Aanval]]</f>
        <v>JonasTiemen</v>
      </c>
      <c r="L466" t="str">
        <f>Tabel3[[#This Row],[Groen Verdediging]]&amp;Tabel3[[#This Row],[Groen Aanval]]</f>
        <v>Stef DNicolas</v>
      </c>
      <c r="M466" t="str">
        <f>Tabel3[[#This Row],[Winnaar 1]]&amp;Tabel3[[#This Row],[Winnaar 2]]</f>
        <v>JonasTiemen</v>
      </c>
      <c r="N466" t="str">
        <f>IF(Tabel3[[#This Row],[Team Rood]]=Tabel3[[#This Row],[Winnaars]],Tabel3[[#This Row],[Team Rood]])</f>
        <v>JonasTiemen</v>
      </c>
      <c r="O466" t="b">
        <f>IF(Tabel3[[#This Row],[Team Groen]]=Tabel3[[#This Row],[Winnaars]],Tabel3[[#This Row],[Team Groen]])</f>
        <v>0</v>
      </c>
    </row>
    <row r="467" spans="1:15" x14ac:dyDescent="0.25">
      <c r="A467" s="14">
        <v>467</v>
      </c>
      <c r="B467" s="205" t="s">
        <v>0</v>
      </c>
      <c r="C467" s="205" t="s">
        <v>19</v>
      </c>
      <c r="D467" s="206" t="s">
        <v>7</v>
      </c>
      <c r="E467" s="206" t="s">
        <v>3</v>
      </c>
      <c r="F467" s="81">
        <v>11</v>
      </c>
      <c r="G467" s="81">
        <v>13</v>
      </c>
      <c r="H467" s="3" t="str">
        <f t="shared" si="23"/>
        <v>GROEN</v>
      </c>
      <c r="I467" s="3" t="str">
        <f t="shared" si="24"/>
        <v>Tiemen</v>
      </c>
      <c r="J467" s="4" t="str">
        <f t="shared" si="25"/>
        <v>Karel</v>
      </c>
      <c r="K467" t="str">
        <f>Tabel3[[#This Row],[Rood Verdediging]]&amp;Tabel3[[#This Row],[Rood Aanval]]</f>
        <v>JonasNicolas</v>
      </c>
      <c r="L467" t="str">
        <f>Tabel3[[#This Row],[Groen Verdediging]]&amp;Tabel3[[#This Row],[Groen Aanval]]</f>
        <v>TiemenKarel</v>
      </c>
      <c r="M467" t="str">
        <f>Tabel3[[#This Row],[Winnaar 1]]&amp;Tabel3[[#This Row],[Winnaar 2]]</f>
        <v>TiemenKarel</v>
      </c>
      <c r="N467" t="b">
        <f>IF(Tabel3[[#This Row],[Team Rood]]=Tabel3[[#This Row],[Winnaars]],Tabel3[[#This Row],[Team Rood]])</f>
        <v>0</v>
      </c>
      <c r="O467" t="str">
        <f>IF(Tabel3[[#This Row],[Team Groen]]=Tabel3[[#This Row],[Winnaars]],Tabel3[[#This Row],[Team Groen]])</f>
        <v>TiemenKarel</v>
      </c>
    </row>
    <row r="468" spans="1:15" x14ac:dyDescent="0.25">
      <c r="A468" s="14">
        <v>468</v>
      </c>
      <c r="B468" s="205" t="s">
        <v>3</v>
      </c>
      <c r="C468" s="205" t="s">
        <v>6</v>
      </c>
      <c r="D468" s="206" t="s">
        <v>0</v>
      </c>
      <c r="E468" s="206" t="s">
        <v>7</v>
      </c>
      <c r="F468" s="81">
        <v>6</v>
      </c>
      <c r="G468" s="81">
        <v>11</v>
      </c>
      <c r="H468" s="3" t="str">
        <f t="shared" si="23"/>
        <v>GROEN</v>
      </c>
      <c r="I468" s="3" t="str">
        <f t="shared" si="24"/>
        <v>Jonas</v>
      </c>
      <c r="J468" s="4" t="str">
        <f t="shared" si="25"/>
        <v>Tiemen</v>
      </c>
      <c r="K468" t="str">
        <f>Tabel3[[#This Row],[Rood Verdediging]]&amp;Tabel3[[#This Row],[Rood Aanval]]</f>
        <v>KarelStef D</v>
      </c>
      <c r="L468" t="str">
        <f>Tabel3[[#This Row],[Groen Verdediging]]&amp;Tabel3[[#This Row],[Groen Aanval]]</f>
        <v>JonasTiemen</v>
      </c>
      <c r="M468" t="str">
        <f>Tabel3[[#This Row],[Winnaar 1]]&amp;Tabel3[[#This Row],[Winnaar 2]]</f>
        <v>JonasTiemen</v>
      </c>
      <c r="N468" t="b">
        <f>IF(Tabel3[[#This Row],[Team Rood]]=Tabel3[[#This Row],[Winnaars]],Tabel3[[#This Row],[Team Rood]])</f>
        <v>0</v>
      </c>
      <c r="O468" t="str">
        <f>IF(Tabel3[[#This Row],[Team Groen]]=Tabel3[[#This Row],[Winnaars]],Tabel3[[#This Row],[Team Groen]])</f>
        <v>JonasTiemen</v>
      </c>
    </row>
    <row r="469" spans="1:15" x14ac:dyDescent="0.25">
      <c r="A469" s="14">
        <v>469</v>
      </c>
      <c r="B469" s="205" t="s">
        <v>7</v>
      </c>
      <c r="C469" s="205" t="s">
        <v>6</v>
      </c>
      <c r="D469" s="206" t="s">
        <v>3</v>
      </c>
      <c r="E469" s="206" t="s">
        <v>0</v>
      </c>
      <c r="F469" s="81">
        <v>11</v>
      </c>
      <c r="G469" s="81">
        <v>5</v>
      </c>
      <c r="H469" s="3" t="str">
        <f t="shared" si="23"/>
        <v>ROOD</v>
      </c>
      <c r="I469" s="3" t="str">
        <f t="shared" si="24"/>
        <v>Tiemen</v>
      </c>
      <c r="J469" s="4" t="str">
        <f t="shared" si="25"/>
        <v>Stef D</v>
      </c>
      <c r="K469" t="str">
        <f>Tabel3[[#This Row],[Rood Verdediging]]&amp;Tabel3[[#This Row],[Rood Aanval]]</f>
        <v>TiemenStef D</v>
      </c>
      <c r="L469" t="str">
        <f>Tabel3[[#This Row],[Groen Verdediging]]&amp;Tabel3[[#This Row],[Groen Aanval]]</f>
        <v>KarelJonas</v>
      </c>
      <c r="M469" t="str">
        <f>Tabel3[[#This Row],[Winnaar 1]]&amp;Tabel3[[#This Row],[Winnaar 2]]</f>
        <v>TiemenStef D</v>
      </c>
      <c r="N469" t="str">
        <f>IF(Tabel3[[#This Row],[Team Rood]]=Tabel3[[#This Row],[Winnaars]],Tabel3[[#This Row],[Team Rood]])</f>
        <v>TiemenStef D</v>
      </c>
      <c r="O469" t="b">
        <f>IF(Tabel3[[#This Row],[Team Groen]]=Tabel3[[#This Row],[Winnaars]],Tabel3[[#This Row],[Team Groen]])</f>
        <v>0</v>
      </c>
    </row>
    <row r="470" spans="1:15" x14ac:dyDescent="0.25">
      <c r="A470" s="14">
        <v>470</v>
      </c>
      <c r="B470" s="205" t="s">
        <v>11</v>
      </c>
      <c r="C470" s="205" t="s">
        <v>6</v>
      </c>
      <c r="D470" s="206" t="s">
        <v>8</v>
      </c>
      <c r="E470" s="206" t="s">
        <v>13</v>
      </c>
      <c r="F470" s="81">
        <v>11</v>
      </c>
      <c r="G470" s="81">
        <v>6</v>
      </c>
      <c r="H470" s="3" t="str">
        <f t="shared" si="23"/>
        <v>ROOD</v>
      </c>
      <c r="I470" s="3" t="str">
        <f t="shared" si="24"/>
        <v>Matthijs</v>
      </c>
      <c r="J470" s="4" t="str">
        <f t="shared" si="25"/>
        <v>Stef D</v>
      </c>
      <c r="K470" t="str">
        <f>Tabel3[[#This Row],[Rood Verdediging]]&amp;Tabel3[[#This Row],[Rood Aanval]]</f>
        <v>MatthijsStef D</v>
      </c>
      <c r="L470" t="str">
        <f>Tabel3[[#This Row],[Groen Verdediging]]&amp;Tabel3[[#This Row],[Groen Aanval]]</f>
        <v>LouisBert</v>
      </c>
      <c r="M470" t="str">
        <f>Tabel3[[#This Row],[Winnaar 1]]&amp;Tabel3[[#This Row],[Winnaar 2]]</f>
        <v>MatthijsStef D</v>
      </c>
      <c r="N470" t="str">
        <f>IF(Tabel3[[#This Row],[Team Rood]]=Tabel3[[#This Row],[Winnaars]],Tabel3[[#This Row],[Team Rood]])</f>
        <v>MatthijsStef D</v>
      </c>
      <c r="O470" t="b">
        <f>IF(Tabel3[[#This Row],[Team Groen]]=Tabel3[[#This Row],[Winnaars]],Tabel3[[#This Row],[Team Groen]])</f>
        <v>0</v>
      </c>
    </row>
    <row r="471" spans="1:15" x14ac:dyDescent="0.25">
      <c r="A471" s="14">
        <v>471</v>
      </c>
      <c r="B471" s="205" t="s">
        <v>8</v>
      </c>
      <c r="C471" s="205" t="s">
        <v>6</v>
      </c>
      <c r="D471" s="206" t="s">
        <v>19</v>
      </c>
      <c r="E471" s="206" t="s">
        <v>13</v>
      </c>
      <c r="F471" s="81">
        <v>11</v>
      </c>
      <c r="G471" s="81">
        <v>8</v>
      </c>
      <c r="H471" s="3" t="str">
        <f t="shared" si="23"/>
        <v>ROOD</v>
      </c>
      <c r="I471" s="3" t="str">
        <f t="shared" si="24"/>
        <v>Louis</v>
      </c>
      <c r="J471" s="4" t="str">
        <f t="shared" si="25"/>
        <v>Stef D</v>
      </c>
      <c r="K471" t="str">
        <f>Tabel3[[#This Row],[Rood Verdediging]]&amp;Tabel3[[#This Row],[Rood Aanval]]</f>
        <v>LouisStef D</v>
      </c>
      <c r="L471" t="str">
        <f>Tabel3[[#This Row],[Groen Verdediging]]&amp;Tabel3[[#This Row],[Groen Aanval]]</f>
        <v>NicolasBert</v>
      </c>
      <c r="M471" t="str">
        <f>Tabel3[[#This Row],[Winnaar 1]]&amp;Tabel3[[#This Row],[Winnaar 2]]</f>
        <v>LouisStef D</v>
      </c>
      <c r="N471" t="str">
        <f>IF(Tabel3[[#This Row],[Team Rood]]=Tabel3[[#This Row],[Winnaars]],Tabel3[[#This Row],[Team Rood]])</f>
        <v>LouisStef D</v>
      </c>
      <c r="O471" t="b">
        <f>IF(Tabel3[[#This Row],[Team Groen]]=Tabel3[[#This Row],[Winnaars]],Tabel3[[#This Row],[Team Groen]])</f>
        <v>0</v>
      </c>
    </row>
    <row r="472" spans="1:15" x14ac:dyDescent="0.25">
      <c r="A472" s="14">
        <v>472</v>
      </c>
      <c r="B472" s="205" t="s">
        <v>6</v>
      </c>
      <c r="C472" s="205" t="s">
        <v>19</v>
      </c>
      <c r="D472" s="206" t="s">
        <v>8</v>
      </c>
      <c r="E472" s="206" t="s">
        <v>11</v>
      </c>
      <c r="F472" s="81">
        <v>9</v>
      </c>
      <c r="G472" s="81">
        <v>11</v>
      </c>
      <c r="H472" s="3" t="str">
        <f t="shared" si="23"/>
        <v>GROEN</v>
      </c>
      <c r="I472" s="3" t="str">
        <f t="shared" si="24"/>
        <v>Louis</v>
      </c>
      <c r="J472" s="4" t="str">
        <f t="shared" si="25"/>
        <v>Matthijs</v>
      </c>
      <c r="K472" t="str">
        <f>Tabel3[[#This Row],[Rood Verdediging]]&amp;Tabel3[[#This Row],[Rood Aanval]]</f>
        <v>Stef DNicolas</v>
      </c>
      <c r="L472" t="str">
        <f>Tabel3[[#This Row],[Groen Verdediging]]&amp;Tabel3[[#This Row],[Groen Aanval]]</f>
        <v>LouisMatthijs</v>
      </c>
      <c r="M472" t="str">
        <f>Tabel3[[#This Row],[Winnaar 1]]&amp;Tabel3[[#This Row],[Winnaar 2]]</f>
        <v>LouisMatthijs</v>
      </c>
      <c r="N472" t="b">
        <f>IF(Tabel3[[#This Row],[Team Rood]]=Tabel3[[#This Row],[Winnaars]],Tabel3[[#This Row],[Team Rood]])</f>
        <v>0</v>
      </c>
      <c r="O472" t="str">
        <f>IF(Tabel3[[#This Row],[Team Groen]]=Tabel3[[#This Row],[Winnaars]],Tabel3[[#This Row],[Team Groen]])</f>
        <v>LouisMatthijs</v>
      </c>
    </row>
    <row r="473" spans="1:15" x14ac:dyDescent="0.25">
      <c r="A473" s="14">
        <v>473</v>
      </c>
      <c r="B473" s="205" t="s">
        <v>6</v>
      </c>
      <c r="C473" s="205" t="s">
        <v>13</v>
      </c>
      <c r="D473" s="206" t="s">
        <v>11</v>
      </c>
      <c r="E473" s="206" t="s">
        <v>19</v>
      </c>
      <c r="F473" s="81">
        <v>11</v>
      </c>
      <c r="G473" s="81">
        <v>9</v>
      </c>
      <c r="H473" s="3" t="str">
        <f t="shared" si="23"/>
        <v>ROOD</v>
      </c>
      <c r="I473" s="3" t="str">
        <f t="shared" si="24"/>
        <v>Stef D</v>
      </c>
      <c r="J473" s="4" t="str">
        <f t="shared" si="25"/>
        <v>Bert</v>
      </c>
      <c r="K473" t="str">
        <f>Tabel3[[#This Row],[Rood Verdediging]]&amp;Tabel3[[#This Row],[Rood Aanval]]</f>
        <v>Stef DBert</v>
      </c>
      <c r="L473" t="str">
        <f>Tabel3[[#This Row],[Groen Verdediging]]&amp;Tabel3[[#This Row],[Groen Aanval]]</f>
        <v>MatthijsNicolas</v>
      </c>
      <c r="M473" t="str">
        <f>Tabel3[[#This Row],[Winnaar 1]]&amp;Tabel3[[#This Row],[Winnaar 2]]</f>
        <v>Stef DBert</v>
      </c>
      <c r="N473" t="str">
        <f>IF(Tabel3[[#This Row],[Team Rood]]=Tabel3[[#This Row],[Winnaars]],Tabel3[[#This Row],[Team Rood]])</f>
        <v>Stef DBert</v>
      </c>
      <c r="O473" t="b">
        <f>IF(Tabel3[[#This Row],[Team Groen]]=Tabel3[[#This Row],[Winnaars]],Tabel3[[#This Row],[Team Groen]])</f>
        <v>0</v>
      </c>
    </row>
    <row r="474" spans="1:15" x14ac:dyDescent="0.25">
      <c r="A474" s="14">
        <v>474</v>
      </c>
      <c r="B474" s="205" t="s">
        <v>8</v>
      </c>
      <c r="C474" s="205" t="s">
        <v>13</v>
      </c>
      <c r="D474" s="206" t="s">
        <v>11</v>
      </c>
      <c r="E474" s="206" t="s">
        <v>6</v>
      </c>
      <c r="F474" s="81">
        <v>11</v>
      </c>
      <c r="G474" s="81">
        <v>5</v>
      </c>
      <c r="H474" s="3" t="str">
        <f t="shared" si="23"/>
        <v>ROOD</v>
      </c>
      <c r="I474" s="3" t="str">
        <f t="shared" si="24"/>
        <v>Louis</v>
      </c>
      <c r="J474" s="4" t="str">
        <f t="shared" si="25"/>
        <v>Bert</v>
      </c>
      <c r="K474" t="str">
        <f>Tabel3[[#This Row],[Rood Verdediging]]&amp;Tabel3[[#This Row],[Rood Aanval]]</f>
        <v>LouisBert</v>
      </c>
      <c r="L474" t="str">
        <f>Tabel3[[#This Row],[Groen Verdediging]]&amp;Tabel3[[#This Row],[Groen Aanval]]</f>
        <v>MatthijsStef D</v>
      </c>
      <c r="M474" t="str">
        <f>Tabel3[[#This Row],[Winnaar 1]]&amp;Tabel3[[#This Row],[Winnaar 2]]</f>
        <v>LouisBert</v>
      </c>
      <c r="N474" t="str">
        <f>IF(Tabel3[[#This Row],[Team Rood]]=Tabel3[[#This Row],[Winnaars]],Tabel3[[#This Row],[Team Rood]])</f>
        <v>LouisBert</v>
      </c>
      <c r="O474" t="b">
        <f>IF(Tabel3[[#This Row],[Team Groen]]=Tabel3[[#This Row],[Winnaars]],Tabel3[[#This Row],[Team Groen]])</f>
        <v>0</v>
      </c>
    </row>
    <row r="475" spans="1:15" x14ac:dyDescent="0.25">
      <c r="A475" s="14">
        <v>475</v>
      </c>
      <c r="B475" s="205" t="s">
        <v>11</v>
      </c>
      <c r="C475" s="205" t="s">
        <v>6</v>
      </c>
      <c r="D475" s="206" t="s">
        <v>19</v>
      </c>
      <c r="E475" s="206" t="s">
        <v>13</v>
      </c>
      <c r="F475" s="81">
        <v>8</v>
      </c>
      <c r="G475" s="81">
        <v>11</v>
      </c>
      <c r="H475" s="3" t="str">
        <f t="shared" si="23"/>
        <v>GROEN</v>
      </c>
      <c r="I475" s="3" t="str">
        <f t="shared" si="24"/>
        <v>Nicolas</v>
      </c>
      <c r="J475" s="4" t="str">
        <f t="shared" si="25"/>
        <v>Bert</v>
      </c>
      <c r="K475" t="str">
        <f>Tabel3[[#This Row],[Rood Verdediging]]&amp;Tabel3[[#This Row],[Rood Aanval]]</f>
        <v>MatthijsStef D</v>
      </c>
      <c r="L475" t="str">
        <f>Tabel3[[#This Row],[Groen Verdediging]]&amp;Tabel3[[#This Row],[Groen Aanval]]</f>
        <v>NicolasBert</v>
      </c>
      <c r="M475" t="str">
        <f>Tabel3[[#This Row],[Winnaar 1]]&amp;Tabel3[[#This Row],[Winnaar 2]]</f>
        <v>NicolasBert</v>
      </c>
      <c r="N475" t="b">
        <f>IF(Tabel3[[#This Row],[Team Rood]]=Tabel3[[#This Row],[Winnaars]],Tabel3[[#This Row],[Team Rood]])</f>
        <v>0</v>
      </c>
      <c r="O475" t="str">
        <f>IF(Tabel3[[#This Row],[Team Groen]]=Tabel3[[#This Row],[Winnaars]],Tabel3[[#This Row],[Team Groen]])</f>
        <v>NicolasBert</v>
      </c>
    </row>
    <row r="476" spans="1:15" x14ac:dyDescent="0.25">
      <c r="A476" s="14">
        <v>476</v>
      </c>
      <c r="B476" s="205" t="s">
        <v>19</v>
      </c>
      <c r="C476" s="205" t="s">
        <v>11</v>
      </c>
      <c r="D476" s="206" t="s">
        <v>6</v>
      </c>
      <c r="E476" s="206" t="s">
        <v>8</v>
      </c>
      <c r="F476" s="81">
        <v>7</v>
      </c>
      <c r="G476" s="81">
        <v>11</v>
      </c>
      <c r="H476" s="3" t="str">
        <f t="shared" si="23"/>
        <v>GROEN</v>
      </c>
      <c r="I476" s="3" t="str">
        <f t="shared" si="24"/>
        <v>Stef D</v>
      </c>
      <c r="J476" s="4" t="str">
        <f t="shared" si="25"/>
        <v>Louis</v>
      </c>
      <c r="K476" t="str">
        <f>Tabel3[[#This Row],[Rood Verdediging]]&amp;Tabel3[[#This Row],[Rood Aanval]]</f>
        <v>NicolasMatthijs</v>
      </c>
      <c r="L476" t="str">
        <f>Tabel3[[#This Row],[Groen Verdediging]]&amp;Tabel3[[#This Row],[Groen Aanval]]</f>
        <v>Stef DLouis</v>
      </c>
      <c r="M476" t="str">
        <f>Tabel3[[#This Row],[Winnaar 1]]&amp;Tabel3[[#This Row],[Winnaar 2]]</f>
        <v>Stef DLouis</v>
      </c>
      <c r="N476" t="b">
        <f>IF(Tabel3[[#This Row],[Team Rood]]=Tabel3[[#This Row],[Winnaars]],Tabel3[[#This Row],[Team Rood]])</f>
        <v>0</v>
      </c>
      <c r="O476" t="str">
        <f>IF(Tabel3[[#This Row],[Team Groen]]=Tabel3[[#This Row],[Winnaars]],Tabel3[[#This Row],[Team Groen]])</f>
        <v>Stef DLouis</v>
      </c>
    </row>
    <row r="477" spans="1:15" x14ac:dyDescent="0.25">
      <c r="A477" s="14">
        <v>477</v>
      </c>
      <c r="B477" s="205" t="s">
        <v>19</v>
      </c>
      <c r="C477" s="205" t="s">
        <v>6</v>
      </c>
      <c r="D477" s="206" t="s">
        <v>13</v>
      </c>
      <c r="E477" s="206" t="s">
        <v>11</v>
      </c>
      <c r="F477" s="81">
        <v>11</v>
      </c>
      <c r="G477" s="81">
        <v>5</v>
      </c>
      <c r="H477" s="3" t="str">
        <f t="shared" si="23"/>
        <v>ROOD</v>
      </c>
      <c r="I477" s="3" t="str">
        <f t="shared" si="24"/>
        <v>Nicolas</v>
      </c>
      <c r="J477" s="4" t="str">
        <f t="shared" si="25"/>
        <v>Stef D</v>
      </c>
      <c r="K477" t="str">
        <f>Tabel3[[#This Row],[Rood Verdediging]]&amp;Tabel3[[#This Row],[Rood Aanval]]</f>
        <v>NicolasStef D</v>
      </c>
      <c r="L477" t="str">
        <f>Tabel3[[#This Row],[Groen Verdediging]]&amp;Tabel3[[#This Row],[Groen Aanval]]</f>
        <v>BertMatthijs</v>
      </c>
      <c r="M477" t="str">
        <f>Tabel3[[#This Row],[Winnaar 1]]&amp;Tabel3[[#This Row],[Winnaar 2]]</f>
        <v>NicolasStef D</v>
      </c>
      <c r="N477" t="str">
        <f>IF(Tabel3[[#This Row],[Team Rood]]=Tabel3[[#This Row],[Winnaars]],Tabel3[[#This Row],[Team Rood]])</f>
        <v>NicolasStef D</v>
      </c>
      <c r="O477" t="b">
        <f>IF(Tabel3[[#This Row],[Team Groen]]=Tabel3[[#This Row],[Winnaars]],Tabel3[[#This Row],[Team Groen]])</f>
        <v>0</v>
      </c>
    </row>
    <row r="478" spans="1:15" x14ac:dyDescent="0.25">
      <c r="A478" s="14">
        <v>478</v>
      </c>
      <c r="B478" s="205" t="s">
        <v>0</v>
      </c>
      <c r="C478" s="205" t="s">
        <v>6</v>
      </c>
      <c r="D478" s="206" t="s">
        <v>19</v>
      </c>
      <c r="E478" s="206" t="s">
        <v>3</v>
      </c>
      <c r="F478" s="81">
        <v>12</v>
      </c>
      <c r="G478" s="81">
        <v>10</v>
      </c>
      <c r="H478" s="3" t="str">
        <f t="shared" si="23"/>
        <v>ROOD</v>
      </c>
      <c r="I478" s="3" t="str">
        <f t="shared" si="24"/>
        <v>Jonas</v>
      </c>
      <c r="J478" s="4" t="str">
        <f t="shared" si="25"/>
        <v>Stef D</v>
      </c>
      <c r="K478" t="str">
        <f>Tabel3[[#This Row],[Rood Verdediging]]&amp;Tabel3[[#This Row],[Rood Aanval]]</f>
        <v>JonasStef D</v>
      </c>
      <c r="L478" t="str">
        <f>Tabel3[[#This Row],[Groen Verdediging]]&amp;Tabel3[[#This Row],[Groen Aanval]]</f>
        <v>NicolasKarel</v>
      </c>
      <c r="M478" t="str">
        <f>Tabel3[[#This Row],[Winnaar 1]]&amp;Tabel3[[#This Row],[Winnaar 2]]</f>
        <v>JonasStef D</v>
      </c>
      <c r="N478" t="str">
        <f>IF(Tabel3[[#This Row],[Team Rood]]=Tabel3[[#This Row],[Winnaars]],Tabel3[[#This Row],[Team Rood]])</f>
        <v>JonasStef D</v>
      </c>
      <c r="O478" t="b">
        <f>IF(Tabel3[[#This Row],[Team Groen]]=Tabel3[[#This Row],[Winnaars]],Tabel3[[#This Row],[Team Groen]])</f>
        <v>0</v>
      </c>
    </row>
    <row r="479" spans="1:15" x14ac:dyDescent="0.25">
      <c r="A479" s="14">
        <v>479</v>
      </c>
      <c r="B479" s="205" t="s">
        <v>11</v>
      </c>
      <c r="C479" s="205" t="s">
        <v>6</v>
      </c>
      <c r="D479" s="206" t="s">
        <v>8</v>
      </c>
      <c r="E479" s="206" t="s">
        <v>19</v>
      </c>
      <c r="F479" s="81">
        <v>11</v>
      </c>
      <c r="G479" s="81">
        <v>13</v>
      </c>
      <c r="H479" s="3" t="str">
        <f t="shared" si="23"/>
        <v>GROEN</v>
      </c>
      <c r="I479" s="3" t="str">
        <f t="shared" si="24"/>
        <v>Louis</v>
      </c>
      <c r="J479" s="4" t="str">
        <f t="shared" si="25"/>
        <v>Nicolas</v>
      </c>
      <c r="K479" t="str">
        <f>Tabel3[[#This Row],[Rood Verdediging]]&amp;Tabel3[[#This Row],[Rood Aanval]]</f>
        <v>MatthijsStef D</v>
      </c>
      <c r="L479" t="str">
        <f>Tabel3[[#This Row],[Groen Verdediging]]&amp;Tabel3[[#This Row],[Groen Aanval]]</f>
        <v>LouisNicolas</v>
      </c>
      <c r="M479" t="str">
        <f>Tabel3[[#This Row],[Winnaar 1]]&amp;Tabel3[[#This Row],[Winnaar 2]]</f>
        <v>LouisNicolas</v>
      </c>
      <c r="N479" t="b">
        <f>IF(Tabel3[[#This Row],[Team Rood]]=Tabel3[[#This Row],[Winnaars]],Tabel3[[#This Row],[Team Rood]])</f>
        <v>0</v>
      </c>
      <c r="O479" t="str">
        <f>IF(Tabel3[[#This Row],[Team Groen]]=Tabel3[[#This Row],[Winnaars]],Tabel3[[#This Row],[Team Groen]])</f>
        <v>LouisNicolas</v>
      </c>
    </row>
    <row r="480" spans="1:15" x14ac:dyDescent="0.25">
      <c r="A480" s="14">
        <v>480</v>
      </c>
      <c r="B480" s="205" t="s">
        <v>3</v>
      </c>
      <c r="C480" s="205" t="s">
        <v>6</v>
      </c>
      <c r="D480" s="206" t="s">
        <v>0</v>
      </c>
      <c r="E480" s="206" t="s">
        <v>7</v>
      </c>
      <c r="F480" s="81">
        <v>11</v>
      </c>
      <c r="G480" s="81">
        <v>6</v>
      </c>
      <c r="H480" s="3" t="str">
        <f t="shared" si="23"/>
        <v>ROOD</v>
      </c>
      <c r="I480" s="3" t="str">
        <f t="shared" si="24"/>
        <v>Karel</v>
      </c>
      <c r="J480" s="4" t="str">
        <f t="shared" si="25"/>
        <v>Stef D</v>
      </c>
      <c r="K480" t="str">
        <f>Tabel3[[#This Row],[Rood Verdediging]]&amp;Tabel3[[#This Row],[Rood Aanval]]</f>
        <v>KarelStef D</v>
      </c>
      <c r="L480" t="str">
        <f>Tabel3[[#This Row],[Groen Verdediging]]&amp;Tabel3[[#This Row],[Groen Aanval]]</f>
        <v>JonasTiemen</v>
      </c>
      <c r="M480" t="str">
        <f>Tabel3[[#This Row],[Winnaar 1]]&amp;Tabel3[[#This Row],[Winnaar 2]]</f>
        <v>KarelStef D</v>
      </c>
      <c r="N480" t="str">
        <f>IF(Tabel3[[#This Row],[Team Rood]]=Tabel3[[#This Row],[Winnaars]],Tabel3[[#This Row],[Team Rood]])</f>
        <v>KarelStef D</v>
      </c>
      <c r="O480" t="b">
        <f>IF(Tabel3[[#This Row],[Team Groen]]=Tabel3[[#This Row],[Winnaars]],Tabel3[[#This Row],[Team Groen]])</f>
        <v>0</v>
      </c>
    </row>
    <row r="481" spans="1:15" x14ac:dyDescent="0.25">
      <c r="A481" s="14">
        <v>481</v>
      </c>
      <c r="B481" s="205" t="s">
        <v>7</v>
      </c>
      <c r="C481" s="205" t="s">
        <v>6</v>
      </c>
      <c r="D481" s="206" t="s">
        <v>3</v>
      </c>
      <c r="E481" s="206" t="s">
        <v>19</v>
      </c>
      <c r="F481" s="81">
        <v>11</v>
      </c>
      <c r="G481" s="81">
        <v>6</v>
      </c>
      <c r="H481" s="3" t="str">
        <f t="shared" si="23"/>
        <v>ROOD</v>
      </c>
      <c r="I481" s="3" t="str">
        <f t="shared" si="24"/>
        <v>Tiemen</v>
      </c>
      <c r="J481" s="4" t="str">
        <f t="shared" si="25"/>
        <v>Stef D</v>
      </c>
      <c r="K481" t="str">
        <f>Tabel3[[#This Row],[Rood Verdediging]]&amp;Tabel3[[#This Row],[Rood Aanval]]</f>
        <v>TiemenStef D</v>
      </c>
      <c r="L481" t="str">
        <f>Tabel3[[#This Row],[Groen Verdediging]]&amp;Tabel3[[#This Row],[Groen Aanval]]</f>
        <v>KarelNicolas</v>
      </c>
      <c r="M481" t="str">
        <f>Tabel3[[#This Row],[Winnaar 1]]&amp;Tabel3[[#This Row],[Winnaar 2]]</f>
        <v>TiemenStef D</v>
      </c>
      <c r="N481" t="str">
        <f>IF(Tabel3[[#This Row],[Team Rood]]=Tabel3[[#This Row],[Winnaars]],Tabel3[[#This Row],[Team Rood]])</f>
        <v>TiemenStef D</v>
      </c>
      <c r="O481" t="b">
        <f>IF(Tabel3[[#This Row],[Team Groen]]=Tabel3[[#This Row],[Winnaars]],Tabel3[[#This Row],[Team Groen]])</f>
        <v>0</v>
      </c>
    </row>
    <row r="482" spans="1:15" x14ac:dyDescent="0.25">
      <c r="A482" s="14">
        <v>482</v>
      </c>
      <c r="B482" s="205" t="s">
        <v>0</v>
      </c>
      <c r="C482" s="205" t="s">
        <v>19</v>
      </c>
      <c r="D482" s="206" t="s">
        <v>3</v>
      </c>
      <c r="E482" s="206" t="s">
        <v>7</v>
      </c>
      <c r="F482" s="81">
        <v>9</v>
      </c>
      <c r="G482" s="81">
        <v>11</v>
      </c>
      <c r="H482" s="3" t="str">
        <f t="shared" si="23"/>
        <v>GROEN</v>
      </c>
      <c r="I482" s="3" t="str">
        <f t="shared" si="24"/>
        <v>Karel</v>
      </c>
      <c r="J482" s="4" t="str">
        <f t="shared" si="25"/>
        <v>Tiemen</v>
      </c>
      <c r="K482" t="str">
        <f>Tabel3[[#This Row],[Rood Verdediging]]&amp;Tabel3[[#This Row],[Rood Aanval]]</f>
        <v>JonasNicolas</v>
      </c>
      <c r="L482" t="str">
        <f>Tabel3[[#This Row],[Groen Verdediging]]&amp;Tabel3[[#This Row],[Groen Aanval]]</f>
        <v>KarelTiemen</v>
      </c>
      <c r="M482" t="str">
        <f>Tabel3[[#This Row],[Winnaar 1]]&amp;Tabel3[[#This Row],[Winnaar 2]]</f>
        <v>KarelTiemen</v>
      </c>
      <c r="N482" t="b">
        <f>IF(Tabel3[[#This Row],[Team Rood]]=Tabel3[[#This Row],[Winnaars]],Tabel3[[#This Row],[Team Rood]])</f>
        <v>0</v>
      </c>
      <c r="O482" t="str">
        <f>IF(Tabel3[[#This Row],[Team Groen]]=Tabel3[[#This Row],[Winnaars]],Tabel3[[#This Row],[Team Groen]])</f>
        <v>KarelTiemen</v>
      </c>
    </row>
    <row r="483" spans="1:15" x14ac:dyDescent="0.25">
      <c r="A483" s="14">
        <v>483</v>
      </c>
      <c r="B483" s="205" t="s">
        <v>3</v>
      </c>
      <c r="C483" s="205" t="s">
        <v>0</v>
      </c>
      <c r="D483" s="206" t="s">
        <v>6</v>
      </c>
      <c r="E483" s="206" t="s">
        <v>7</v>
      </c>
      <c r="F483" s="81">
        <v>8</v>
      </c>
      <c r="G483" s="81">
        <v>11</v>
      </c>
      <c r="H483" s="3" t="str">
        <f t="shared" si="23"/>
        <v>GROEN</v>
      </c>
      <c r="I483" s="3" t="str">
        <f t="shared" si="24"/>
        <v>Stef D</v>
      </c>
      <c r="J483" s="4" t="str">
        <f t="shared" si="25"/>
        <v>Tiemen</v>
      </c>
      <c r="K483" t="str">
        <f>Tabel3[[#This Row],[Rood Verdediging]]&amp;Tabel3[[#This Row],[Rood Aanval]]</f>
        <v>KarelJonas</v>
      </c>
      <c r="L483" t="str">
        <f>Tabel3[[#This Row],[Groen Verdediging]]&amp;Tabel3[[#This Row],[Groen Aanval]]</f>
        <v>Stef DTiemen</v>
      </c>
      <c r="M483" t="str">
        <f>Tabel3[[#This Row],[Winnaar 1]]&amp;Tabel3[[#This Row],[Winnaar 2]]</f>
        <v>Stef DTiemen</v>
      </c>
      <c r="N483" t="b">
        <f>IF(Tabel3[[#This Row],[Team Rood]]=Tabel3[[#This Row],[Winnaars]],Tabel3[[#This Row],[Team Rood]])</f>
        <v>0</v>
      </c>
      <c r="O483" t="str">
        <f>IF(Tabel3[[#This Row],[Team Groen]]=Tabel3[[#This Row],[Winnaars]],Tabel3[[#This Row],[Team Groen]])</f>
        <v>Stef DTiemen</v>
      </c>
    </row>
    <row r="484" spans="1:15" x14ac:dyDescent="0.25">
      <c r="A484" s="14">
        <v>484</v>
      </c>
      <c r="B484" s="205" t="s">
        <v>19</v>
      </c>
      <c r="C484" s="205" t="s">
        <v>7</v>
      </c>
      <c r="D484" s="206" t="s">
        <v>6</v>
      </c>
      <c r="E484" s="206" t="s">
        <v>0</v>
      </c>
      <c r="F484" s="81">
        <v>11</v>
      </c>
      <c r="G484" s="81">
        <v>4</v>
      </c>
      <c r="H484" s="3" t="str">
        <f t="shared" si="23"/>
        <v>ROOD</v>
      </c>
      <c r="I484" s="3" t="str">
        <f t="shared" si="24"/>
        <v>Nicolas</v>
      </c>
      <c r="J484" s="4" t="str">
        <f t="shared" si="25"/>
        <v>Tiemen</v>
      </c>
      <c r="K484" t="str">
        <f>Tabel3[[#This Row],[Rood Verdediging]]&amp;Tabel3[[#This Row],[Rood Aanval]]</f>
        <v>NicolasTiemen</v>
      </c>
      <c r="L484" t="str">
        <f>Tabel3[[#This Row],[Groen Verdediging]]&amp;Tabel3[[#This Row],[Groen Aanval]]</f>
        <v>Stef DJonas</v>
      </c>
      <c r="M484" t="str">
        <f>Tabel3[[#This Row],[Winnaar 1]]&amp;Tabel3[[#This Row],[Winnaar 2]]</f>
        <v>NicolasTiemen</v>
      </c>
      <c r="N484" t="str">
        <f>IF(Tabel3[[#This Row],[Team Rood]]=Tabel3[[#This Row],[Winnaars]],Tabel3[[#This Row],[Team Rood]])</f>
        <v>NicolasTiemen</v>
      </c>
      <c r="O484" t="b">
        <f>IF(Tabel3[[#This Row],[Team Groen]]=Tabel3[[#This Row],[Winnaars]],Tabel3[[#This Row],[Team Groen]])</f>
        <v>0</v>
      </c>
    </row>
    <row r="485" spans="1:15" x14ac:dyDescent="0.25">
      <c r="A485" s="14">
        <v>485</v>
      </c>
      <c r="B485" s="205" t="s">
        <v>7</v>
      </c>
      <c r="C485" s="205" t="s">
        <v>3</v>
      </c>
      <c r="D485" s="206" t="s">
        <v>19</v>
      </c>
      <c r="E485" s="206" t="s">
        <v>4</v>
      </c>
      <c r="F485" s="81">
        <v>11</v>
      </c>
      <c r="G485" s="81">
        <v>8</v>
      </c>
      <c r="H485" s="3" t="str">
        <f t="shared" si="23"/>
        <v>ROOD</v>
      </c>
      <c r="I485" s="3" t="str">
        <f t="shared" si="24"/>
        <v>Tiemen</v>
      </c>
      <c r="J485" s="4" t="str">
        <f t="shared" si="25"/>
        <v>Karel</v>
      </c>
      <c r="K485" t="str">
        <f>Tabel3[[#This Row],[Rood Verdediging]]&amp;Tabel3[[#This Row],[Rood Aanval]]</f>
        <v>TiemenKarel</v>
      </c>
      <c r="L485" t="str">
        <f>Tabel3[[#This Row],[Groen Verdediging]]&amp;Tabel3[[#This Row],[Groen Aanval]]</f>
        <v>NicolasStef</v>
      </c>
      <c r="M485" t="str">
        <f>Tabel3[[#This Row],[Winnaar 1]]&amp;Tabel3[[#This Row],[Winnaar 2]]</f>
        <v>TiemenKarel</v>
      </c>
      <c r="N485" t="str">
        <f>IF(Tabel3[[#This Row],[Team Rood]]=Tabel3[[#This Row],[Winnaars]],Tabel3[[#This Row],[Team Rood]])</f>
        <v>TiemenKarel</v>
      </c>
      <c r="O485" t="b">
        <f>IF(Tabel3[[#This Row],[Team Groen]]=Tabel3[[#This Row],[Winnaars]],Tabel3[[#This Row],[Team Groen]])</f>
        <v>0</v>
      </c>
    </row>
    <row r="486" spans="1:15" x14ac:dyDescent="0.25">
      <c r="A486" s="14">
        <v>486</v>
      </c>
      <c r="B486" s="205" t="s">
        <v>0</v>
      </c>
      <c r="C486" s="205" t="s">
        <v>6</v>
      </c>
      <c r="D486" s="206" t="s">
        <v>3</v>
      </c>
      <c r="E486" s="206" t="s">
        <v>19</v>
      </c>
      <c r="F486" s="81">
        <v>11</v>
      </c>
      <c r="G486" s="81">
        <v>2</v>
      </c>
      <c r="H486" s="3" t="str">
        <f t="shared" si="23"/>
        <v>ROOD</v>
      </c>
      <c r="I486" s="3" t="str">
        <f t="shared" si="24"/>
        <v>Jonas</v>
      </c>
      <c r="J486" s="4" t="str">
        <f t="shared" si="25"/>
        <v>Stef D</v>
      </c>
      <c r="K486" t="str">
        <f>Tabel3[[#This Row],[Rood Verdediging]]&amp;Tabel3[[#This Row],[Rood Aanval]]</f>
        <v>JonasStef D</v>
      </c>
      <c r="L486" t="str">
        <f>Tabel3[[#This Row],[Groen Verdediging]]&amp;Tabel3[[#This Row],[Groen Aanval]]</f>
        <v>KarelNicolas</v>
      </c>
      <c r="M486" t="str">
        <f>Tabel3[[#This Row],[Winnaar 1]]&amp;Tabel3[[#This Row],[Winnaar 2]]</f>
        <v>JonasStef D</v>
      </c>
      <c r="N486" t="str">
        <f>IF(Tabel3[[#This Row],[Team Rood]]=Tabel3[[#This Row],[Winnaars]],Tabel3[[#This Row],[Team Rood]])</f>
        <v>JonasStef D</v>
      </c>
      <c r="O486" t="b">
        <f>IF(Tabel3[[#This Row],[Team Groen]]=Tabel3[[#This Row],[Winnaars]],Tabel3[[#This Row],[Team Groen]])</f>
        <v>0</v>
      </c>
    </row>
    <row r="487" spans="1:15" x14ac:dyDescent="0.25">
      <c r="A487" s="14">
        <v>487</v>
      </c>
      <c r="B487" s="205" t="s">
        <v>6</v>
      </c>
      <c r="C487" s="205" t="s">
        <v>3</v>
      </c>
      <c r="D487" s="206" t="s">
        <v>0</v>
      </c>
      <c r="E487" s="206" t="s">
        <v>7</v>
      </c>
      <c r="F487" s="81">
        <v>11</v>
      </c>
      <c r="G487" s="81">
        <v>8</v>
      </c>
      <c r="H487" s="3" t="str">
        <f t="shared" si="23"/>
        <v>ROOD</v>
      </c>
      <c r="I487" s="3" t="str">
        <f t="shared" si="24"/>
        <v>Stef D</v>
      </c>
      <c r="J487" s="4" t="str">
        <f t="shared" si="25"/>
        <v>Karel</v>
      </c>
      <c r="K487" t="str">
        <f>Tabel3[[#This Row],[Rood Verdediging]]&amp;Tabel3[[#This Row],[Rood Aanval]]</f>
        <v>Stef DKarel</v>
      </c>
      <c r="L487" t="str">
        <f>Tabel3[[#This Row],[Groen Verdediging]]&amp;Tabel3[[#This Row],[Groen Aanval]]</f>
        <v>JonasTiemen</v>
      </c>
      <c r="M487" t="str">
        <f>Tabel3[[#This Row],[Winnaar 1]]&amp;Tabel3[[#This Row],[Winnaar 2]]</f>
        <v>Stef DKarel</v>
      </c>
      <c r="N487" t="str">
        <f>IF(Tabel3[[#This Row],[Team Rood]]=Tabel3[[#This Row],[Winnaars]],Tabel3[[#This Row],[Team Rood]])</f>
        <v>Stef DKarel</v>
      </c>
      <c r="O487" t="b">
        <f>IF(Tabel3[[#This Row],[Team Groen]]=Tabel3[[#This Row],[Winnaars]],Tabel3[[#This Row],[Team Groen]])</f>
        <v>0</v>
      </c>
    </row>
    <row r="488" spans="1:15" x14ac:dyDescent="0.25">
      <c r="A488" s="14">
        <v>488</v>
      </c>
      <c r="B488" s="205" t="s">
        <v>19</v>
      </c>
      <c r="C488" s="205" t="s">
        <v>6</v>
      </c>
      <c r="D488" s="206" t="s">
        <v>7</v>
      </c>
      <c r="E488" s="206" t="s">
        <v>3</v>
      </c>
      <c r="F488" s="81">
        <v>11</v>
      </c>
      <c r="G488" s="81">
        <v>13</v>
      </c>
      <c r="H488" s="3" t="str">
        <f t="shared" si="23"/>
        <v>GROEN</v>
      </c>
      <c r="I488" s="3" t="str">
        <f t="shared" si="24"/>
        <v>Tiemen</v>
      </c>
      <c r="J488" s="4" t="str">
        <f t="shared" si="25"/>
        <v>Karel</v>
      </c>
      <c r="K488" t="str">
        <f>Tabel3[[#This Row],[Rood Verdediging]]&amp;Tabel3[[#This Row],[Rood Aanval]]</f>
        <v>NicolasStef D</v>
      </c>
      <c r="L488" t="str">
        <f>Tabel3[[#This Row],[Groen Verdediging]]&amp;Tabel3[[#This Row],[Groen Aanval]]</f>
        <v>TiemenKarel</v>
      </c>
      <c r="M488" t="str">
        <f>Tabel3[[#This Row],[Winnaar 1]]&amp;Tabel3[[#This Row],[Winnaar 2]]</f>
        <v>TiemenKarel</v>
      </c>
      <c r="N488" t="b">
        <f>IF(Tabel3[[#This Row],[Team Rood]]=Tabel3[[#This Row],[Winnaars]],Tabel3[[#This Row],[Team Rood]])</f>
        <v>0</v>
      </c>
      <c r="O488" t="str">
        <f>IF(Tabel3[[#This Row],[Team Groen]]=Tabel3[[#This Row],[Winnaars]],Tabel3[[#This Row],[Team Groen]])</f>
        <v>TiemenKarel</v>
      </c>
    </row>
    <row r="489" spans="1:15" x14ac:dyDescent="0.25">
      <c r="A489" s="14">
        <v>489</v>
      </c>
      <c r="B489" s="205" t="s">
        <v>7</v>
      </c>
      <c r="C489" s="205" t="s">
        <v>6</v>
      </c>
      <c r="D489" s="206" t="s">
        <v>0</v>
      </c>
      <c r="E489" s="206" t="s">
        <v>3</v>
      </c>
      <c r="F489" s="81">
        <v>2</v>
      </c>
      <c r="G489" s="81">
        <v>11</v>
      </c>
      <c r="H489" s="3" t="str">
        <f t="shared" si="23"/>
        <v>GROEN</v>
      </c>
      <c r="I489" s="3" t="str">
        <f t="shared" si="24"/>
        <v>Jonas</v>
      </c>
      <c r="J489" s="4" t="str">
        <f t="shared" si="25"/>
        <v>Karel</v>
      </c>
      <c r="K489" t="str">
        <f>Tabel3[[#This Row],[Rood Verdediging]]&amp;Tabel3[[#This Row],[Rood Aanval]]</f>
        <v>TiemenStef D</v>
      </c>
      <c r="L489" t="str">
        <f>Tabel3[[#This Row],[Groen Verdediging]]&amp;Tabel3[[#This Row],[Groen Aanval]]</f>
        <v>JonasKarel</v>
      </c>
      <c r="M489" t="str">
        <f>Tabel3[[#This Row],[Winnaar 1]]&amp;Tabel3[[#This Row],[Winnaar 2]]</f>
        <v>JonasKarel</v>
      </c>
      <c r="N489" t="b">
        <f>IF(Tabel3[[#This Row],[Team Rood]]=Tabel3[[#This Row],[Winnaars]],Tabel3[[#This Row],[Team Rood]])</f>
        <v>0</v>
      </c>
      <c r="O489" t="str">
        <f>IF(Tabel3[[#This Row],[Team Groen]]=Tabel3[[#This Row],[Winnaars]],Tabel3[[#This Row],[Team Groen]])</f>
        <v>JonasKarel</v>
      </c>
    </row>
    <row r="490" spans="1:15" x14ac:dyDescent="0.25">
      <c r="A490" s="14">
        <v>490</v>
      </c>
      <c r="B490" s="205" t="s">
        <v>11</v>
      </c>
      <c r="C490" s="205" t="s">
        <v>7</v>
      </c>
      <c r="D490" s="206" t="s">
        <v>3</v>
      </c>
      <c r="E490" s="206" t="s">
        <v>15</v>
      </c>
      <c r="F490" s="81">
        <v>11</v>
      </c>
      <c r="G490" s="81">
        <v>8</v>
      </c>
      <c r="H490" s="3" t="str">
        <f t="shared" si="23"/>
        <v>ROOD</v>
      </c>
      <c r="I490" s="3" t="str">
        <f t="shared" si="24"/>
        <v>Matthijs</v>
      </c>
      <c r="J490" s="4" t="str">
        <f t="shared" si="25"/>
        <v>Tiemen</v>
      </c>
      <c r="K490" t="str">
        <f>Tabel3[[#This Row],[Rood Verdediging]]&amp;Tabel3[[#This Row],[Rood Aanval]]</f>
        <v>MatthijsTiemen</v>
      </c>
      <c r="L490" t="str">
        <f>Tabel3[[#This Row],[Groen Verdediging]]&amp;Tabel3[[#This Row],[Groen Aanval]]</f>
        <v>KarelStijn</v>
      </c>
      <c r="M490" t="str">
        <f>Tabel3[[#This Row],[Winnaar 1]]&amp;Tabel3[[#This Row],[Winnaar 2]]</f>
        <v>MatthijsTiemen</v>
      </c>
      <c r="N490" t="str">
        <f>IF(Tabel3[[#This Row],[Team Rood]]=Tabel3[[#This Row],[Winnaars]],Tabel3[[#This Row],[Team Rood]])</f>
        <v>MatthijsTiemen</v>
      </c>
      <c r="O490" t="b">
        <f>IF(Tabel3[[#This Row],[Team Groen]]=Tabel3[[#This Row],[Winnaars]],Tabel3[[#This Row],[Team Groen]])</f>
        <v>0</v>
      </c>
    </row>
    <row r="491" spans="1:15" x14ac:dyDescent="0.25">
      <c r="A491" s="14">
        <v>491</v>
      </c>
      <c r="B491" s="205" t="s">
        <v>167</v>
      </c>
      <c r="C491" s="205" t="s">
        <v>11</v>
      </c>
      <c r="D491" s="206" t="s">
        <v>7</v>
      </c>
      <c r="E491" s="206" t="s">
        <v>3</v>
      </c>
      <c r="F491" s="81">
        <v>11</v>
      </c>
      <c r="G491" s="81">
        <v>8</v>
      </c>
      <c r="H491" s="3" t="str">
        <f t="shared" si="23"/>
        <v>ROOD</v>
      </c>
      <c r="I491" s="3" t="str">
        <f t="shared" si="24"/>
        <v>Coghe</v>
      </c>
      <c r="J491" s="4" t="str">
        <f t="shared" si="25"/>
        <v>Matthijs</v>
      </c>
      <c r="K491" t="str">
        <f>Tabel3[[#This Row],[Rood Verdediging]]&amp;Tabel3[[#This Row],[Rood Aanval]]</f>
        <v>CogheMatthijs</v>
      </c>
      <c r="L491" t="str">
        <f>Tabel3[[#This Row],[Groen Verdediging]]&amp;Tabel3[[#This Row],[Groen Aanval]]</f>
        <v>TiemenKarel</v>
      </c>
      <c r="M491" t="str">
        <f>Tabel3[[#This Row],[Winnaar 1]]&amp;Tabel3[[#This Row],[Winnaar 2]]</f>
        <v>CogheMatthijs</v>
      </c>
      <c r="N491" t="str">
        <f>IF(Tabel3[[#This Row],[Team Rood]]=Tabel3[[#This Row],[Winnaars]],Tabel3[[#This Row],[Team Rood]])</f>
        <v>CogheMatthijs</v>
      </c>
      <c r="O491" t="b">
        <f>IF(Tabel3[[#This Row],[Team Groen]]=Tabel3[[#This Row],[Winnaars]],Tabel3[[#This Row],[Team Groen]])</f>
        <v>0</v>
      </c>
    </row>
    <row r="492" spans="1:15" x14ac:dyDescent="0.25">
      <c r="A492" s="14">
        <v>492</v>
      </c>
      <c r="B492" s="205" t="s">
        <v>0</v>
      </c>
      <c r="C492" s="205" t="s">
        <v>3</v>
      </c>
      <c r="D492" s="206" t="s">
        <v>15</v>
      </c>
      <c r="E492" s="206" t="s">
        <v>19</v>
      </c>
      <c r="F492" s="81">
        <v>11</v>
      </c>
      <c r="G492" s="81">
        <v>2</v>
      </c>
      <c r="H492" s="3" t="str">
        <f t="shared" si="23"/>
        <v>ROOD</v>
      </c>
      <c r="I492" s="3" t="str">
        <f t="shared" si="24"/>
        <v>Jonas</v>
      </c>
      <c r="J492" s="4" t="str">
        <f t="shared" si="25"/>
        <v>Karel</v>
      </c>
      <c r="K492" t="str">
        <f>Tabel3[[#This Row],[Rood Verdediging]]&amp;Tabel3[[#This Row],[Rood Aanval]]</f>
        <v>JonasKarel</v>
      </c>
      <c r="L492" t="str">
        <f>Tabel3[[#This Row],[Groen Verdediging]]&amp;Tabel3[[#This Row],[Groen Aanval]]</f>
        <v>StijnNicolas</v>
      </c>
      <c r="M492" t="str">
        <f>Tabel3[[#This Row],[Winnaar 1]]&amp;Tabel3[[#This Row],[Winnaar 2]]</f>
        <v>JonasKarel</v>
      </c>
      <c r="N492" t="str">
        <f>IF(Tabel3[[#This Row],[Team Rood]]=Tabel3[[#This Row],[Winnaars]],Tabel3[[#This Row],[Team Rood]])</f>
        <v>JonasKarel</v>
      </c>
      <c r="O492" t="b">
        <f>IF(Tabel3[[#This Row],[Team Groen]]=Tabel3[[#This Row],[Winnaars]],Tabel3[[#This Row],[Team Groen]])</f>
        <v>0</v>
      </c>
    </row>
    <row r="493" spans="1:15" x14ac:dyDescent="0.25">
      <c r="A493" s="14">
        <v>493</v>
      </c>
      <c r="B493" s="205" t="s">
        <v>6</v>
      </c>
      <c r="C493" s="205" t="s">
        <v>15</v>
      </c>
      <c r="D493" s="206" t="s">
        <v>167</v>
      </c>
      <c r="E493" s="206" t="s">
        <v>7</v>
      </c>
      <c r="F493" s="81">
        <v>10</v>
      </c>
      <c r="G493" s="81">
        <v>12</v>
      </c>
      <c r="H493" s="3" t="str">
        <f t="shared" si="23"/>
        <v>GROEN</v>
      </c>
      <c r="I493" s="3" t="str">
        <f t="shared" si="24"/>
        <v>Coghe</v>
      </c>
      <c r="J493" s="4" t="str">
        <f t="shared" si="25"/>
        <v>Tiemen</v>
      </c>
      <c r="K493" t="str">
        <f>Tabel3[[#This Row],[Rood Verdediging]]&amp;Tabel3[[#This Row],[Rood Aanval]]</f>
        <v>Stef DStijn</v>
      </c>
      <c r="L493" t="str">
        <f>Tabel3[[#This Row],[Groen Verdediging]]&amp;Tabel3[[#This Row],[Groen Aanval]]</f>
        <v>CogheTiemen</v>
      </c>
      <c r="M493" t="str">
        <f>Tabel3[[#This Row],[Winnaar 1]]&amp;Tabel3[[#This Row],[Winnaar 2]]</f>
        <v>CogheTiemen</v>
      </c>
      <c r="N493" t="b">
        <f>IF(Tabel3[[#This Row],[Team Rood]]=Tabel3[[#This Row],[Winnaars]],Tabel3[[#This Row],[Team Rood]])</f>
        <v>0</v>
      </c>
      <c r="O493" t="str">
        <f>IF(Tabel3[[#This Row],[Team Groen]]=Tabel3[[#This Row],[Winnaars]],Tabel3[[#This Row],[Team Groen]])</f>
        <v>CogheTiemen</v>
      </c>
    </row>
    <row r="494" spans="1:15" x14ac:dyDescent="0.25">
      <c r="A494" s="14">
        <v>494</v>
      </c>
      <c r="B494" s="205" t="s">
        <v>11</v>
      </c>
      <c r="C494" s="205" t="s">
        <v>6</v>
      </c>
      <c r="D494" s="206" t="s">
        <v>0</v>
      </c>
      <c r="E494" s="206" t="s">
        <v>19</v>
      </c>
      <c r="F494" s="81">
        <v>11</v>
      </c>
      <c r="G494" s="81">
        <v>6</v>
      </c>
      <c r="H494" s="3" t="str">
        <f t="shared" si="23"/>
        <v>ROOD</v>
      </c>
      <c r="I494" s="3" t="str">
        <f t="shared" si="24"/>
        <v>Matthijs</v>
      </c>
      <c r="J494" s="4" t="str">
        <f t="shared" si="25"/>
        <v>Stef D</v>
      </c>
      <c r="K494" t="str">
        <f>Tabel3[[#This Row],[Rood Verdediging]]&amp;Tabel3[[#This Row],[Rood Aanval]]</f>
        <v>MatthijsStef D</v>
      </c>
      <c r="L494" t="str">
        <f>Tabel3[[#This Row],[Groen Verdediging]]&amp;Tabel3[[#This Row],[Groen Aanval]]</f>
        <v>JonasNicolas</v>
      </c>
      <c r="M494" t="str">
        <f>Tabel3[[#This Row],[Winnaar 1]]&amp;Tabel3[[#This Row],[Winnaar 2]]</f>
        <v>MatthijsStef D</v>
      </c>
      <c r="N494" t="str">
        <f>IF(Tabel3[[#This Row],[Team Rood]]=Tabel3[[#This Row],[Winnaars]],Tabel3[[#This Row],[Team Rood]])</f>
        <v>MatthijsStef D</v>
      </c>
      <c r="O494" t="b">
        <f>IF(Tabel3[[#This Row],[Team Groen]]=Tabel3[[#This Row],[Winnaars]],Tabel3[[#This Row],[Team Groen]])</f>
        <v>0</v>
      </c>
    </row>
    <row r="495" spans="1:15" x14ac:dyDescent="0.25">
      <c r="A495" s="14">
        <v>495</v>
      </c>
      <c r="B495" s="205" t="s">
        <v>7</v>
      </c>
      <c r="C495" s="205" t="s">
        <v>13</v>
      </c>
      <c r="D495" s="206" t="s">
        <v>15</v>
      </c>
      <c r="E495" s="206" t="s">
        <v>11</v>
      </c>
      <c r="F495" s="81">
        <v>11</v>
      </c>
      <c r="G495" s="81">
        <v>5</v>
      </c>
      <c r="H495" s="3" t="str">
        <f t="shared" si="23"/>
        <v>ROOD</v>
      </c>
      <c r="I495" s="3" t="str">
        <f t="shared" si="24"/>
        <v>Tiemen</v>
      </c>
      <c r="J495" s="4" t="str">
        <f t="shared" si="25"/>
        <v>Bert</v>
      </c>
      <c r="K495" t="str">
        <f>Tabel3[[#This Row],[Rood Verdediging]]&amp;Tabel3[[#This Row],[Rood Aanval]]</f>
        <v>TiemenBert</v>
      </c>
      <c r="L495" t="str">
        <f>Tabel3[[#This Row],[Groen Verdediging]]&amp;Tabel3[[#This Row],[Groen Aanval]]</f>
        <v>StijnMatthijs</v>
      </c>
      <c r="M495" t="str">
        <f>Tabel3[[#This Row],[Winnaar 1]]&amp;Tabel3[[#This Row],[Winnaar 2]]</f>
        <v>TiemenBert</v>
      </c>
      <c r="N495" t="str">
        <f>IF(Tabel3[[#This Row],[Team Rood]]=Tabel3[[#This Row],[Winnaars]],Tabel3[[#This Row],[Team Rood]])</f>
        <v>TiemenBert</v>
      </c>
      <c r="O495" t="b">
        <f>IF(Tabel3[[#This Row],[Team Groen]]=Tabel3[[#This Row],[Winnaars]],Tabel3[[#This Row],[Team Groen]])</f>
        <v>0</v>
      </c>
    </row>
    <row r="496" spans="1:15" x14ac:dyDescent="0.25">
      <c r="A496" s="14">
        <v>496</v>
      </c>
      <c r="B496" s="205" t="s">
        <v>11</v>
      </c>
      <c r="C496" s="205" t="s">
        <v>0</v>
      </c>
      <c r="D496" s="206" t="s">
        <v>15</v>
      </c>
      <c r="E496" s="206" t="s">
        <v>3</v>
      </c>
      <c r="F496" s="81">
        <v>11</v>
      </c>
      <c r="G496" s="81">
        <v>3</v>
      </c>
      <c r="H496" s="3" t="str">
        <f t="shared" si="23"/>
        <v>ROOD</v>
      </c>
      <c r="I496" s="3" t="str">
        <f t="shared" si="24"/>
        <v>Matthijs</v>
      </c>
      <c r="J496" s="4" t="str">
        <f t="shared" si="25"/>
        <v>Jonas</v>
      </c>
      <c r="K496" t="str">
        <f>Tabel3[[#This Row],[Rood Verdediging]]&amp;Tabel3[[#This Row],[Rood Aanval]]</f>
        <v>MatthijsJonas</v>
      </c>
      <c r="L496" t="str">
        <f>Tabel3[[#This Row],[Groen Verdediging]]&amp;Tabel3[[#This Row],[Groen Aanval]]</f>
        <v>StijnKarel</v>
      </c>
      <c r="M496" t="str">
        <f>Tabel3[[#This Row],[Winnaar 1]]&amp;Tabel3[[#This Row],[Winnaar 2]]</f>
        <v>MatthijsJonas</v>
      </c>
      <c r="N496" t="str">
        <f>IF(Tabel3[[#This Row],[Team Rood]]=Tabel3[[#This Row],[Winnaars]],Tabel3[[#This Row],[Team Rood]])</f>
        <v>MatthijsJonas</v>
      </c>
      <c r="O496" t="b">
        <f>IF(Tabel3[[#This Row],[Team Groen]]=Tabel3[[#This Row],[Winnaars]],Tabel3[[#This Row],[Team Groen]])</f>
        <v>0</v>
      </c>
    </row>
    <row r="497" spans="1:15" x14ac:dyDescent="0.25">
      <c r="A497" s="14">
        <v>497</v>
      </c>
      <c r="B497" s="205" t="s">
        <v>19</v>
      </c>
      <c r="C497" s="205" t="s">
        <v>6</v>
      </c>
      <c r="D497" s="206" t="s">
        <v>0</v>
      </c>
      <c r="E497" s="206" t="s">
        <v>13</v>
      </c>
      <c r="F497" s="81">
        <v>1</v>
      </c>
      <c r="G497" s="81">
        <v>11</v>
      </c>
      <c r="H497" s="3" t="str">
        <f t="shared" si="23"/>
        <v>GROEN</v>
      </c>
      <c r="I497" s="3" t="str">
        <f t="shared" si="24"/>
        <v>Jonas</v>
      </c>
      <c r="J497" s="4" t="str">
        <f t="shared" si="25"/>
        <v>Bert</v>
      </c>
      <c r="K497" t="str">
        <f>Tabel3[[#This Row],[Rood Verdediging]]&amp;Tabel3[[#This Row],[Rood Aanval]]</f>
        <v>NicolasStef D</v>
      </c>
      <c r="L497" t="str">
        <f>Tabel3[[#This Row],[Groen Verdediging]]&amp;Tabel3[[#This Row],[Groen Aanval]]</f>
        <v>JonasBert</v>
      </c>
      <c r="M497" t="str">
        <f>Tabel3[[#This Row],[Winnaar 1]]&amp;Tabel3[[#This Row],[Winnaar 2]]</f>
        <v>JonasBert</v>
      </c>
      <c r="N497" t="b">
        <f>IF(Tabel3[[#This Row],[Team Rood]]=Tabel3[[#This Row],[Winnaars]],Tabel3[[#This Row],[Team Rood]])</f>
        <v>0</v>
      </c>
      <c r="O497" t="str">
        <f>IF(Tabel3[[#This Row],[Team Groen]]=Tabel3[[#This Row],[Winnaars]],Tabel3[[#This Row],[Team Groen]])</f>
        <v>JonasBert</v>
      </c>
    </row>
    <row r="498" spans="1:15" x14ac:dyDescent="0.25">
      <c r="A498" s="14">
        <v>498</v>
      </c>
      <c r="B498" s="205" t="s">
        <v>0</v>
      </c>
      <c r="C498" s="205" t="s">
        <v>15</v>
      </c>
      <c r="D498" s="206" t="s">
        <v>3</v>
      </c>
      <c r="E498" s="206" t="s">
        <v>6</v>
      </c>
      <c r="F498" s="81">
        <v>9</v>
      </c>
      <c r="G498" s="81">
        <v>11</v>
      </c>
      <c r="H498" s="3" t="str">
        <f t="shared" si="23"/>
        <v>GROEN</v>
      </c>
      <c r="I498" s="3" t="str">
        <f t="shared" si="24"/>
        <v>Karel</v>
      </c>
      <c r="J498" s="4" t="str">
        <f t="shared" si="25"/>
        <v>Stef D</v>
      </c>
      <c r="K498" t="str">
        <f>Tabel3[[#This Row],[Rood Verdediging]]&amp;Tabel3[[#This Row],[Rood Aanval]]</f>
        <v>JonasStijn</v>
      </c>
      <c r="L498" t="str">
        <f>Tabel3[[#This Row],[Groen Verdediging]]&amp;Tabel3[[#This Row],[Groen Aanval]]</f>
        <v>KarelStef D</v>
      </c>
      <c r="M498" t="str">
        <f>Tabel3[[#This Row],[Winnaar 1]]&amp;Tabel3[[#This Row],[Winnaar 2]]</f>
        <v>KarelStef D</v>
      </c>
      <c r="N498" t="b">
        <f>IF(Tabel3[[#This Row],[Team Rood]]=Tabel3[[#This Row],[Winnaars]],Tabel3[[#This Row],[Team Rood]])</f>
        <v>0</v>
      </c>
      <c r="O498" t="str">
        <f>IF(Tabel3[[#This Row],[Team Groen]]=Tabel3[[#This Row],[Winnaars]],Tabel3[[#This Row],[Team Groen]])</f>
        <v>KarelStef D</v>
      </c>
    </row>
    <row r="499" spans="1:15" x14ac:dyDescent="0.25">
      <c r="A499" s="14">
        <v>499</v>
      </c>
      <c r="B499" s="205" t="s">
        <v>3</v>
      </c>
      <c r="C499" s="205" t="s">
        <v>11</v>
      </c>
      <c r="D499" s="206" t="s">
        <v>8</v>
      </c>
      <c r="E499" s="206" t="s">
        <v>13</v>
      </c>
      <c r="F499" s="81">
        <v>7</v>
      </c>
      <c r="G499" s="81">
        <v>11</v>
      </c>
      <c r="H499" s="3" t="str">
        <f t="shared" si="23"/>
        <v>GROEN</v>
      </c>
      <c r="I499" s="3" t="str">
        <f t="shared" si="24"/>
        <v>Louis</v>
      </c>
      <c r="J499" s="4" t="str">
        <f t="shared" si="25"/>
        <v>Bert</v>
      </c>
      <c r="K499" t="str">
        <f>Tabel3[[#This Row],[Rood Verdediging]]&amp;Tabel3[[#This Row],[Rood Aanval]]</f>
        <v>KarelMatthijs</v>
      </c>
      <c r="L499" t="str">
        <f>Tabel3[[#This Row],[Groen Verdediging]]&amp;Tabel3[[#This Row],[Groen Aanval]]</f>
        <v>LouisBert</v>
      </c>
      <c r="M499" t="str">
        <f>Tabel3[[#This Row],[Winnaar 1]]&amp;Tabel3[[#This Row],[Winnaar 2]]</f>
        <v>LouisBert</v>
      </c>
      <c r="N499" t="b">
        <f>IF(Tabel3[[#This Row],[Team Rood]]=Tabel3[[#This Row],[Winnaars]],Tabel3[[#This Row],[Team Rood]])</f>
        <v>0</v>
      </c>
      <c r="O499" t="str">
        <f>IF(Tabel3[[#This Row],[Team Groen]]=Tabel3[[#This Row],[Winnaars]],Tabel3[[#This Row],[Team Groen]])</f>
        <v>LouisBert</v>
      </c>
    </row>
    <row r="500" spans="1:15" x14ac:dyDescent="0.25">
      <c r="A500" s="14">
        <v>500</v>
      </c>
      <c r="B500" s="205" t="s">
        <v>0</v>
      </c>
      <c r="C500" s="205" t="s">
        <v>6</v>
      </c>
      <c r="D500" s="206" t="s">
        <v>15</v>
      </c>
      <c r="E500" s="206" t="s">
        <v>8</v>
      </c>
      <c r="F500" s="81">
        <v>11</v>
      </c>
      <c r="G500" s="81">
        <v>5</v>
      </c>
      <c r="H500" s="3" t="str">
        <f t="shared" si="23"/>
        <v>ROOD</v>
      </c>
      <c r="I500" s="3" t="str">
        <f t="shared" si="24"/>
        <v>Jonas</v>
      </c>
      <c r="J500" s="4" t="str">
        <f t="shared" si="25"/>
        <v>Stef D</v>
      </c>
      <c r="K500" t="str">
        <f>Tabel3[[#This Row],[Rood Verdediging]]&amp;Tabel3[[#This Row],[Rood Aanval]]</f>
        <v>JonasStef D</v>
      </c>
      <c r="L500" t="str">
        <f>Tabel3[[#This Row],[Groen Verdediging]]&amp;Tabel3[[#This Row],[Groen Aanval]]</f>
        <v>StijnLouis</v>
      </c>
      <c r="M500" t="str">
        <f>Tabel3[[#This Row],[Winnaar 1]]&amp;Tabel3[[#This Row],[Winnaar 2]]</f>
        <v>JonasStef D</v>
      </c>
      <c r="N500" t="str">
        <f>IF(Tabel3[[#This Row],[Team Rood]]=Tabel3[[#This Row],[Winnaars]],Tabel3[[#This Row],[Team Rood]])</f>
        <v>JonasStef D</v>
      </c>
      <c r="O500" t="b">
        <f>IF(Tabel3[[#This Row],[Team Groen]]=Tabel3[[#This Row],[Winnaars]],Tabel3[[#This Row],[Team Groen]])</f>
        <v>0</v>
      </c>
    </row>
    <row r="501" spans="1:15" x14ac:dyDescent="0.25">
      <c r="A501" s="14">
        <v>501</v>
      </c>
      <c r="B501" s="205" t="s">
        <v>7</v>
      </c>
      <c r="C501" s="205" t="s">
        <v>6</v>
      </c>
      <c r="D501" s="206" t="s">
        <v>0</v>
      </c>
      <c r="E501" s="206" t="s">
        <v>67</v>
      </c>
      <c r="F501" s="81">
        <v>11</v>
      </c>
      <c r="G501" s="81">
        <v>3</v>
      </c>
      <c r="H501" s="3" t="str">
        <f t="shared" si="23"/>
        <v>ROOD</v>
      </c>
      <c r="I501" s="3" t="str">
        <f t="shared" si="24"/>
        <v>Tiemen</v>
      </c>
      <c r="J501" s="4" t="str">
        <f t="shared" si="25"/>
        <v>Stef D</v>
      </c>
      <c r="K501" t="str">
        <f>Tabel3[[#This Row],[Rood Verdediging]]&amp;Tabel3[[#This Row],[Rood Aanval]]</f>
        <v>TiemenStef D</v>
      </c>
      <c r="L501" t="str">
        <f>Tabel3[[#This Row],[Groen Verdediging]]&amp;Tabel3[[#This Row],[Groen Aanval]]</f>
        <v>JonasLawrence</v>
      </c>
      <c r="M501" t="str">
        <f>Tabel3[[#This Row],[Winnaar 1]]&amp;Tabel3[[#This Row],[Winnaar 2]]</f>
        <v>TiemenStef D</v>
      </c>
      <c r="N501" t="str">
        <f>IF(Tabel3[[#This Row],[Team Rood]]=Tabel3[[#This Row],[Winnaars]],Tabel3[[#This Row],[Team Rood]])</f>
        <v>TiemenStef D</v>
      </c>
      <c r="O501" t="b">
        <f>IF(Tabel3[[#This Row],[Team Groen]]=Tabel3[[#This Row],[Winnaars]],Tabel3[[#This Row],[Team Groen]])</f>
        <v>0</v>
      </c>
    </row>
    <row r="502" spans="1:15" x14ac:dyDescent="0.25">
      <c r="A502" s="14">
        <v>502</v>
      </c>
      <c r="B502" s="205" t="s">
        <v>0</v>
      </c>
      <c r="C502" s="205" t="s">
        <v>7</v>
      </c>
      <c r="D502" s="206" t="s">
        <v>11</v>
      </c>
      <c r="E502" s="206" t="s">
        <v>67</v>
      </c>
      <c r="F502" s="81">
        <v>11</v>
      </c>
      <c r="G502" s="81">
        <v>4</v>
      </c>
      <c r="H502" s="3" t="str">
        <f t="shared" si="23"/>
        <v>ROOD</v>
      </c>
      <c r="I502" s="3" t="str">
        <f t="shared" si="24"/>
        <v>Jonas</v>
      </c>
      <c r="J502" s="4" t="str">
        <f t="shared" si="25"/>
        <v>Tiemen</v>
      </c>
      <c r="K502" t="str">
        <f>Tabel3[[#This Row],[Rood Verdediging]]&amp;Tabel3[[#This Row],[Rood Aanval]]</f>
        <v>JonasTiemen</v>
      </c>
      <c r="L502" t="str">
        <f>Tabel3[[#This Row],[Groen Verdediging]]&amp;Tabel3[[#This Row],[Groen Aanval]]</f>
        <v>MatthijsLawrence</v>
      </c>
      <c r="M502" t="str">
        <f>Tabel3[[#This Row],[Winnaar 1]]&amp;Tabel3[[#This Row],[Winnaar 2]]</f>
        <v>JonasTiemen</v>
      </c>
      <c r="N502" t="str">
        <f>IF(Tabel3[[#This Row],[Team Rood]]=Tabel3[[#This Row],[Winnaars]],Tabel3[[#This Row],[Team Rood]])</f>
        <v>JonasTiemen</v>
      </c>
      <c r="O502" t="b">
        <f>IF(Tabel3[[#This Row],[Team Groen]]=Tabel3[[#This Row],[Winnaars]],Tabel3[[#This Row],[Team Groen]])</f>
        <v>0</v>
      </c>
    </row>
    <row r="503" spans="1:15" x14ac:dyDescent="0.25">
      <c r="A503" s="14">
        <v>503</v>
      </c>
      <c r="B503" s="205" t="s">
        <v>67</v>
      </c>
      <c r="C503" s="205" t="s">
        <v>6</v>
      </c>
      <c r="D503" s="206" t="s">
        <v>0</v>
      </c>
      <c r="E503" s="206" t="s">
        <v>11</v>
      </c>
      <c r="F503" s="81">
        <v>8</v>
      </c>
      <c r="G503" s="81">
        <v>11</v>
      </c>
      <c r="H503" s="3" t="str">
        <f t="shared" si="23"/>
        <v>GROEN</v>
      </c>
      <c r="I503" s="3" t="str">
        <f t="shared" si="24"/>
        <v>Jonas</v>
      </c>
      <c r="J503" s="4" t="str">
        <f t="shared" si="25"/>
        <v>Matthijs</v>
      </c>
      <c r="K503" t="str">
        <f>Tabel3[[#This Row],[Rood Verdediging]]&amp;Tabel3[[#This Row],[Rood Aanval]]</f>
        <v>LawrenceStef D</v>
      </c>
      <c r="L503" t="str">
        <f>Tabel3[[#This Row],[Groen Verdediging]]&amp;Tabel3[[#This Row],[Groen Aanval]]</f>
        <v>JonasMatthijs</v>
      </c>
      <c r="M503" t="str">
        <f>Tabel3[[#This Row],[Winnaar 1]]&amp;Tabel3[[#This Row],[Winnaar 2]]</f>
        <v>JonasMatthijs</v>
      </c>
      <c r="N503" t="b">
        <f>IF(Tabel3[[#This Row],[Team Rood]]=Tabel3[[#This Row],[Winnaars]],Tabel3[[#This Row],[Team Rood]])</f>
        <v>0</v>
      </c>
      <c r="O503" t="str">
        <f>IF(Tabel3[[#This Row],[Team Groen]]=Tabel3[[#This Row],[Winnaars]],Tabel3[[#This Row],[Team Groen]])</f>
        <v>JonasMatthijs</v>
      </c>
    </row>
    <row r="504" spans="1:15" x14ac:dyDescent="0.25">
      <c r="A504" s="14">
        <v>504</v>
      </c>
      <c r="B504" s="205" t="s">
        <v>11</v>
      </c>
      <c r="C504" s="205" t="s">
        <v>0</v>
      </c>
      <c r="D504" s="206" t="s">
        <v>7</v>
      </c>
      <c r="E504" s="206" t="s">
        <v>6</v>
      </c>
      <c r="F504" s="81">
        <v>8</v>
      </c>
      <c r="G504" s="81">
        <v>11</v>
      </c>
      <c r="H504" s="3" t="str">
        <f t="shared" si="23"/>
        <v>GROEN</v>
      </c>
      <c r="I504" s="3" t="str">
        <f t="shared" si="24"/>
        <v>Tiemen</v>
      </c>
      <c r="J504" s="4" t="str">
        <f t="shared" si="25"/>
        <v>Stef D</v>
      </c>
      <c r="K504" t="str">
        <f>Tabel3[[#This Row],[Rood Verdediging]]&amp;Tabel3[[#This Row],[Rood Aanval]]</f>
        <v>MatthijsJonas</v>
      </c>
      <c r="L504" t="str">
        <f>Tabel3[[#This Row],[Groen Verdediging]]&amp;Tabel3[[#This Row],[Groen Aanval]]</f>
        <v>TiemenStef D</v>
      </c>
      <c r="M504" t="str">
        <f>Tabel3[[#This Row],[Winnaar 1]]&amp;Tabel3[[#This Row],[Winnaar 2]]</f>
        <v>TiemenStef D</v>
      </c>
      <c r="N504" t="b">
        <f>IF(Tabel3[[#This Row],[Team Rood]]=Tabel3[[#This Row],[Winnaars]],Tabel3[[#This Row],[Team Rood]])</f>
        <v>0</v>
      </c>
      <c r="O504" t="str">
        <f>IF(Tabel3[[#This Row],[Team Groen]]=Tabel3[[#This Row],[Winnaars]],Tabel3[[#This Row],[Team Groen]])</f>
        <v>TiemenStef D</v>
      </c>
    </row>
    <row r="505" spans="1:15" x14ac:dyDescent="0.25">
      <c r="A505" s="14">
        <v>505</v>
      </c>
      <c r="B505" s="205" t="s">
        <v>6</v>
      </c>
      <c r="C505" s="205" t="s">
        <v>11</v>
      </c>
      <c r="D505" s="206" t="s">
        <v>7</v>
      </c>
      <c r="E505" s="206" t="s">
        <v>67</v>
      </c>
      <c r="F505" s="81">
        <v>8</v>
      </c>
      <c r="G505" s="81">
        <v>11</v>
      </c>
      <c r="H505" s="3" t="str">
        <f t="shared" si="23"/>
        <v>GROEN</v>
      </c>
      <c r="I505" s="3" t="str">
        <f t="shared" si="24"/>
        <v>Tiemen</v>
      </c>
      <c r="J505" s="4" t="str">
        <f t="shared" si="25"/>
        <v>Lawrence</v>
      </c>
      <c r="K505" t="str">
        <f>Tabel3[[#This Row],[Rood Verdediging]]&amp;Tabel3[[#This Row],[Rood Aanval]]</f>
        <v>Stef DMatthijs</v>
      </c>
      <c r="L505" t="str">
        <f>Tabel3[[#This Row],[Groen Verdediging]]&amp;Tabel3[[#This Row],[Groen Aanval]]</f>
        <v>TiemenLawrence</v>
      </c>
      <c r="M505" t="str">
        <f>Tabel3[[#This Row],[Winnaar 1]]&amp;Tabel3[[#This Row],[Winnaar 2]]</f>
        <v>TiemenLawrence</v>
      </c>
      <c r="N505" t="b">
        <f>IF(Tabel3[[#This Row],[Team Rood]]=Tabel3[[#This Row],[Winnaars]],Tabel3[[#This Row],[Team Rood]])</f>
        <v>0</v>
      </c>
      <c r="O505" t="str">
        <f>IF(Tabel3[[#This Row],[Team Groen]]=Tabel3[[#This Row],[Winnaars]],Tabel3[[#This Row],[Team Groen]])</f>
        <v>TiemenLawrence</v>
      </c>
    </row>
    <row r="506" spans="1:15" x14ac:dyDescent="0.25">
      <c r="A506" s="14">
        <v>506</v>
      </c>
      <c r="B506" s="205" t="s">
        <v>0</v>
      </c>
      <c r="C506" s="205" t="s">
        <v>6</v>
      </c>
      <c r="D506" s="206" t="s">
        <v>11</v>
      </c>
      <c r="E506" s="206" t="s">
        <v>7</v>
      </c>
      <c r="F506" s="81">
        <v>11</v>
      </c>
      <c r="G506" s="81">
        <v>6</v>
      </c>
      <c r="H506" s="3" t="str">
        <f t="shared" si="23"/>
        <v>ROOD</v>
      </c>
      <c r="I506" s="3" t="str">
        <f t="shared" si="24"/>
        <v>Jonas</v>
      </c>
      <c r="J506" s="4" t="str">
        <f t="shared" si="25"/>
        <v>Stef D</v>
      </c>
      <c r="K506" t="str">
        <f>Tabel3[[#This Row],[Rood Verdediging]]&amp;Tabel3[[#This Row],[Rood Aanval]]</f>
        <v>JonasStef D</v>
      </c>
      <c r="L506" t="str">
        <f>Tabel3[[#This Row],[Groen Verdediging]]&amp;Tabel3[[#This Row],[Groen Aanval]]</f>
        <v>MatthijsTiemen</v>
      </c>
      <c r="M506" t="str">
        <f>Tabel3[[#This Row],[Winnaar 1]]&amp;Tabel3[[#This Row],[Winnaar 2]]</f>
        <v>JonasStef D</v>
      </c>
      <c r="N506" t="str">
        <f>IF(Tabel3[[#This Row],[Team Rood]]=Tabel3[[#This Row],[Winnaars]],Tabel3[[#This Row],[Team Rood]])</f>
        <v>JonasStef D</v>
      </c>
      <c r="O506" t="b">
        <f>IF(Tabel3[[#This Row],[Team Groen]]=Tabel3[[#This Row],[Winnaars]],Tabel3[[#This Row],[Team Groen]])</f>
        <v>0</v>
      </c>
    </row>
    <row r="507" spans="1:15" x14ac:dyDescent="0.25">
      <c r="A507" s="14">
        <v>507</v>
      </c>
      <c r="B507" s="205" t="s">
        <v>19</v>
      </c>
      <c r="C507" s="205" t="s">
        <v>13</v>
      </c>
      <c r="D507" s="206" t="s">
        <v>8</v>
      </c>
      <c r="E507" s="206" t="s">
        <v>67</v>
      </c>
      <c r="F507" s="81">
        <v>8</v>
      </c>
      <c r="G507" s="81">
        <v>11</v>
      </c>
      <c r="H507" s="3" t="str">
        <f t="shared" si="23"/>
        <v>GROEN</v>
      </c>
      <c r="I507" s="3" t="str">
        <f t="shared" si="24"/>
        <v>Louis</v>
      </c>
      <c r="J507" s="4" t="str">
        <f t="shared" si="25"/>
        <v>Lawrence</v>
      </c>
      <c r="K507" t="str">
        <f>Tabel3[[#This Row],[Rood Verdediging]]&amp;Tabel3[[#This Row],[Rood Aanval]]</f>
        <v>NicolasBert</v>
      </c>
      <c r="L507" t="str">
        <f>Tabel3[[#This Row],[Groen Verdediging]]&amp;Tabel3[[#This Row],[Groen Aanval]]</f>
        <v>LouisLawrence</v>
      </c>
      <c r="M507" t="str">
        <f>Tabel3[[#This Row],[Winnaar 1]]&amp;Tabel3[[#This Row],[Winnaar 2]]</f>
        <v>LouisLawrence</v>
      </c>
      <c r="N507" t="b">
        <f>IF(Tabel3[[#This Row],[Team Rood]]=Tabel3[[#This Row],[Winnaars]],Tabel3[[#This Row],[Team Rood]])</f>
        <v>0</v>
      </c>
      <c r="O507" t="str">
        <f>IF(Tabel3[[#This Row],[Team Groen]]=Tabel3[[#This Row],[Winnaars]],Tabel3[[#This Row],[Team Groen]])</f>
        <v>LouisLawrence</v>
      </c>
    </row>
    <row r="508" spans="1:15" x14ac:dyDescent="0.25">
      <c r="A508" s="14">
        <v>508</v>
      </c>
      <c r="B508" s="205" t="s">
        <v>8</v>
      </c>
      <c r="C508" s="205" t="s">
        <v>13</v>
      </c>
      <c r="D508" s="206" t="s">
        <v>0</v>
      </c>
      <c r="E508" s="206" t="s">
        <v>6</v>
      </c>
      <c r="F508" s="81">
        <v>11</v>
      </c>
      <c r="G508" s="81">
        <v>8</v>
      </c>
      <c r="H508" s="3" t="str">
        <f t="shared" si="23"/>
        <v>ROOD</v>
      </c>
      <c r="I508" s="3" t="str">
        <f t="shared" si="24"/>
        <v>Louis</v>
      </c>
      <c r="J508" s="4" t="str">
        <f t="shared" si="25"/>
        <v>Bert</v>
      </c>
      <c r="K508" t="str">
        <f>Tabel3[[#This Row],[Rood Verdediging]]&amp;Tabel3[[#This Row],[Rood Aanval]]</f>
        <v>LouisBert</v>
      </c>
      <c r="L508" t="str">
        <f>Tabel3[[#This Row],[Groen Verdediging]]&amp;Tabel3[[#This Row],[Groen Aanval]]</f>
        <v>JonasStef D</v>
      </c>
      <c r="M508" t="str">
        <f>Tabel3[[#This Row],[Winnaar 1]]&amp;Tabel3[[#This Row],[Winnaar 2]]</f>
        <v>LouisBert</v>
      </c>
      <c r="N508" t="str">
        <f>IF(Tabel3[[#This Row],[Team Rood]]=Tabel3[[#This Row],[Winnaars]],Tabel3[[#This Row],[Team Rood]])</f>
        <v>LouisBert</v>
      </c>
      <c r="O508" t="b">
        <f>IF(Tabel3[[#This Row],[Team Groen]]=Tabel3[[#This Row],[Winnaars]],Tabel3[[#This Row],[Team Groen]])</f>
        <v>0</v>
      </c>
    </row>
    <row r="509" spans="1:15" x14ac:dyDescent="0.25">
      <c r="A509" s="14">
        <v>509</v>
      </c>
      <c r="B509" s="205" t="s">
        <v>11</v>
      </c>
      <c r="C509" s="205" t="s">
        <v>19</v>
      </c>
      <c r="D509" s="206" t="s">
        <v>13</v>
      </c>
      <c r="E509" s="206" t="s">
        <v>6</v>
      </c>
      <c r="F509" s="81">
        <v>9</v>
      </c>
      <c r="G509" s="81">
        <v>11</v>
      </c>
      <c r="H509" s="3" t="str">
        <f t="shared" si="23"/>
        <v>GROEN</v>
      </c>
      <c r="I509" s="3" t="str">
        <f t="shared" si="24"/>
        <v>Bert</v>
      </c>
      <c r="J509" s="4" t="str">
        <f t="shared" si="25"/>
        <v>Stef D</v>
      </c>
      <c r="K509" t="str">
        <f>Tabel3[[#This Row],[Rood Verdediging]]&amp;Tabel3[[#This Row],[Rood Aanval]]</f>
        <v>MatthijsNicolas</v>
      </c>
      <c r="L509" t="str">
        <f>Tabel3[[#This Row],[Groen Verdediging]]&amp;Tabel3[[#This Row],[Groen Aanval]]</f>
        <v>BertStef D</v>
      </c>
      <c r="M509" t="str">
        <f>Tabel3[[#This Row],[Winnaar 1]]&amp;Tabel3[[#This Row],[Winnaar 2]]</f>
        <v>BertStef D</v>
      </c>
      <c r="N509" t="b">
        <f>IF(Tabel3[[#This Row],[Team Rood]]=Tabel3[[#This Row],[Winnaars]],Tabel3[[#This Row],[Team Rood]])</f>
        <v>0</v>
      </c>
      <c r="O509" t="str">
        <f>IF(Tabel3[[#This Row],[Team Groen]]=Tabel3[[#This Row],[Winnaars]],Tabel3[[#This Row],[Team Groen]])</f>
        <v>BertStef D</v>
      </c>
    </row>
    <row r="510" spans="1:15" x14ac:dyDescent="0.25">
      <c r="A510" s="14">
        <v>510</v>
      </c>
      <c r="B510" s="205" t="s">
        <v>6</v>
      </c>
      <c r="C510" s="205" t="s">
        <v>8</v>
      </c>
      <c r="D510" s="206" t="s">
        <v>0</v>
      </c>
      <c r="E510" s="206" t="s">
        <v>13</v>
      </c>
      <c r="F510" s="81">
        <v>7</v>
      </c>
      <c r="G510" s="81">
        <v>11</v>
      </c>
      <c r="H510" s="3" t="str">
        <f t="shared" si="23"/>
        <v>GROEN</v>
      </c>
      <c r="I510" s="3" t="str">
        <f t="shared" si="24"/>
        <v>Jonas</v>
      </c>
      <c r="J510" s="4" t="str">
        <f t="shared" si="25"/>
        <v>Bert</v>
      </c>
      <c r="K510" t="str">
        <f>Tabel3[[#This Row],[Rood Verdediging]]&amp;Tabel3[[#This Row],[Rood Aanval]]</f>
        <v>Stef DLouis</v>
      </c>
      <c r="L510" t="str">
        <f>Tabel3[[#This Row],[Groen Verdediging]]&amp;Tabel3[[#This Row],[Groen Aanval]]</f>
        <v>JonasBert</v>
      </c>
      <c r="M510" t="str">
        <f>Tabel3[[#This Row],[Winnaar 1]]&amp;Tabel3[[#This Row],[Winnaar 2]]</f>
        <v>JonasBert</v>
      </c>
      <c r="N510" t="b">
        <f>IF(Tabel3[[#This Row],[Team Rood]]=Tabel3[[#This Row],[Winnaars]],Tabel3[[#This Row],[Team Rood]])</f>
        <v>0</v>
      </c>
      <c r="O510" t="str">
        <f>IF(Tabel3[[#This Row],[Team Groen]]=Tabel3[[#This Row],[Winnaars]],Tabel3[[#This Row],[Team Groen]])</f>
        <v>JonasBert</v>
      </c>
    </row>
    <row r="511" spans="1:15" x14ac:dyDescent="0.25">
      <c r="A511" s="14">
        <v>511</v>
      </c>
      <c r="B511" s="205" t="s">
        <v>8</v>
      </c>
      <c r="C511" s="205" t="s">
        <v>6</v>
      </c>
      <c r="D511" s="206" t="s">
        <v>0</v>
      </c>
      <c r="E511" s="206" t="s">
        <v>13</v>
      </c>
      <c r="F511" s="81">
        <v>11</v>
      </c>
      <c r="G511" s="81">
        <v>9</v>
      </c>
      <c r="H511" s="3" t="str">
        <f t="shared" si="23"/>
        <v>ROOD</v>
      </c>
      <c r="I511" s="3" t="str">
        <f t="shared" si="24"/>
        <v>Louis</v>
      </c>
      <c r="J511" s="4" t="str">
        <f t="shared" si="25"/>
        <v>Stef D</v>
      </c>
      <c r="K511" t="str">
        <f>Tabel3[[#This Row],[Rood Verdediging]]&amp;Tabel3[[#This Row],[Rood Aanval]]</f>
        <v>LouisStef D</v>
      </c>
      <c r="L511" t="str">
        <f>Tabel3[[#This Row],[Groen Verdediging]]&amp;Tabel3[[#This Row],[Groen Aanval]]</f>
        <v>JonasBert</v>
      </c>
      <c r="M511" t="str">
        <f>Tabel3[[#This Row],[Winnaar 1]]&amp;Tabel3[[#This Row],[Winnaar 2]]</f>
        <v>LouisStef D</v>
      </c>
      <c r="N511" t="str">
        <f>IF(Tabel3[[#This Row],[Team Rood]]=Tabel3[[#This Row],[Winnaars]],Tabel3[[#This Row],[Team Rood]])</f>
        <v>LouisStef D</v>
      </c>
      <c r="O511" t="b">
        <f>IF(Tabel3[[#This Row],[Team Groen]]=Tabel3[[#This Row],[Winnaars]],Tabel3[[#This Row],[Team Groen]])</f>
        <v>0</v>
      </c>
    </row>
    <row r="512" spans="1:15" x14ac:dyDescent="0.25">
      <c r="A512" s="14">
        <v>512</v>
      </c>
      <c r="B512" s="205" t="s">
        <v>7</v>
      </c>
      <c r="C512" s="205" t="s">
        <v>6</v>
      </c>
      <c r="D512" s="206" t="s">
        <v>8</v>
      </c>
      <c r="E512" s="206" t="s">
        <v>3</v>
      </c>
      <c r="F512" s="81">
        <v>12</v>
      </c>
      <c r="G512" s="81">
        <v>10</v>
      </c>
      <c r="H512" s="3" t="str">
        <f t="shared" si="23"/>
        <v>ROOD</v>
      </c>
      <c r="I512" s="3" t="str">
        <f t="shared" si="24"/>
        <v>Tiemen</v>
      </c>
      <c r="J512" s="4" t="str">
        <f t="shared" si="25"/>
        <v>Stef D</v>
      </c>
      <c r="K512" t="str">
        <f>Tabel3[[#This Row],[Rood Verdediging]]&amp;Tabel3[[#This Row],[Rood Aanval]]</f>
        <v>TiemenStef D</v>
      </c>
      <c r="L512" t="str">
        <f>Tabel3[[#This Row],[Groen Verdediging]]&amp;Tabel3[[#This Row],[Groen Aanval]]</f>
        <v>LouisKarel</v>
      </c>
      <c r="M512" t="str">
        <f>Tabel3[[#This Row],[Winnaar 1]]&amp;Tabel3[[#This Row],[Winnaar 2]]</f>
        <v>TiemenStef D</v>
      </c>
      <c r="N512" t="str">
        <f>IF(Tabel3[[#This Row],[Team Rood]]=Tabel3[[#This Row],[Winnaars]],Tabel3[[#This Row],[Team Rood]])</f>
        <v>TiemenStef D</v>
      </c>
      <c r="O512" t="b">
        <f>IF(Tabel3[[#This Row],[Team Groen]]=Tabel3[[#This Row],[Winnaars]],Tabel3[[#This Row],[Team Groen]])</f>
        <v>0</v>
      </c>
    </row>
    <row r="513" spans="1:15" x14ac:dyDescent="0.25">
      <c r="A513" s="14">
        <v>513</v>
      </c>
      <c r="B513" s="205" t="s">
        <v>3</v>
      </c>
      <c r="C513" s="205" t="s">
        <v>7</v>
      </c>
      <c r="D513" s="206" t="s">
        <v>8</v>
      </c>
      <c r="E513" s="206" t="s">
        <v>6</v>
      </c>
      <c r="F513" s="81">
        <v>10</v>
      </c>
      <c r="G513" s="81">
        <v>12</v>
      </c>
      <c r="H513" s="3" t="str">
        <f t="shared" si="23"/>
        <v>GROEN</v>
      </c>
      <c r="I513" s="3" t="str">
        <f t="shared" si="24"/>
        <v>Louis</v>
      </c>
      <c r="J513" s="4" t="str">
        <f t="shared" si="25"/>
        <v>Stef D</v>
      </c>
      <c r="K513" t="str">
        <f>Tabel3[[#This Row],[Rood Verdediging]]&amp;Tabel3[[#This Row],[Rood Aanval]]</f>
        <v>KarelTiemen</v>
      </c>
      <c r="L513" t="str">
        <f>Tabel3[[#This Row],[Groen Verdediging]]&amp;Tabel3[[#This Row],[Groen Aanval]]</f>
        <v>LouisStef D</v>
      </c>
      <c r="M513" t="str">
        <f>Tabel3[[#This Row],[Winnaar 1]]&amp;Tabel3[[#This Row],[Winnaar 2]]</f>
        <v>LouisStef D</v>
      </c>
      <c r="N513" t="b">
        <f>IF(Tabel3[[#This Row],[Team Rood]]=Tabel3[[#This Row],[Winnaars]],Tabel3[[#This Row],[Team Rood]])</f>
        <v>0</v>
      </c>
      <c r="O513" t="str">
        <f>IF(Tabel3[[#This Row],[Team Groen]]=Tabel3[[#This Row],[Winnaars]],Tabel3[[#This Row],[Team Groen]])</f>
        <v>LouisStef D</v>
      </c>
    </row>
    <row r="514" spans="1:15" x14ac:dyDescent="0.25">
      <c r="A514" s="14">
        <v>514</v>
      </c>
      <c r="B514" s="205" t="s">
        <v>7</v>
      </c>
      <c r="C514" s="205" t="s">
        <v>19</v>
      </c>
      <c r="D514" s="206" t="s">
        <v>8</v>
      </c>
      <c r="E514" s="206" t="s">
        <v>6</v>
      </c>
      <c r="F514" s="81">
        <v>11</v>
      </c>
      <c r="G514" s="81">
        <v>8</v>
      </c>
      <c r="H514" s="3" t="str">
        <f t="shared" ref="H514:H577" si="26">IF(F514&gt;G514,"ROOD",IF(F514=G514,"","GROEN"))</f>
        <v>ROOD</v>
      </c>
      <c r="I514" s="3" t="str">
        <f t="shared" si="24"/>
        <v>Tiemen</v>
      </c>
      <c r="J514" s="4" t="str">
        <f t="shared" si="25"/>
        <v>Nicolas</v>
      </c>
      <c r="K514" t="str">
        <f>Tabel3[[#This Row],[Rood Verdediging]]&amp;Tabel3[[#This Row],[Rood Aanval]]</f>
        <v>TiemenNicolas</v>
      </c>
      <c r="L514" t="str">
        <f>Tabel3[[#This Row],[Groen Verdediging]]&amp;Tabel3[[#This Row],[Groen Aanval]]</f>
        <v>LouisStef D</v>
      </c>
      <c r="M514" t="str">
        <f>Tabel3[[#This Row],[Winnaar 1]]&amp;Tabel3[[#This Row],[Winnaar 2]]</f>
        <v>TiemenNicolas</v>
      </c>
      <c r="N514" t="str">
        <f>IF(Tabel3[[#This Row],[Team Rood]]=Tabel3[[#This Row],[Winnaars]],Tabel3[[#This Row],[Team Rood]])</f>
        <v>TiemenNicolas</v>
      </c>
      <c r="O514" t="b">
        <f>IF(Tabel3[[#This Row],[Team Groen]]=Tabel3[[#This Row],[Winnaars]],Tabel3[[#This Row],[Team Groen]])</f>
        <v>0</v>
      </c>
    </row>
    <row r="515" spans="1:15" x14ac:dyDescent="0.25">
      <c r="A515" s="14">
        <v>515</v>
      </c>
      <c r="B515" s="205" t="s">
        <v>19</v>
      </c>
      <c r="C515" s="205" t="s">
        <v>7</v>
      </c>
      <c r="D515" s="206" t="s">
        <v>3</v>
      </c>
      <c r="E515" s="206" t="s">
        <v>6</v>
      </c>
      <c r="F515" s="81">
        <v>4</v>
      </c>
      <c r="G515" s="81">
        <v>11</v>
      </c>
      <c r="H515" s="3" t="str">
        <f t="shared" si="26"/>
        <v>GROEN</v>
      </c>
      <c r="I515" s="3" t="str">
        <f t="shared" si="24"/>
        <v>Karel</v>
      </c>
      <c r="J515" s="4" t="str">
        <f t="shared" si="25"/>
        <v>Stef D</v>
      </c>
      <c r="K515" t="str">
        <f>Tabel3[[#This Row],[Rood Verdediging]]&amp;Tabel3[[#This Row],[Rood Aanval]]</f>
        <v>NicolasTiemen</v>
      </c>
      <c r="L515" t="str">
        <f>Tabel3[[#This Row],[Groen Verdediging]]&amp;Tabel3[[#This Row],[Groen Aanval]]</f>
        <v>KarelStef D</v>
      </c>
      <c r="M515" t="str">
        <f>Tabel3[[#This Row],[Winnaar 1]]&amp;Tabel3[[#This Row],[Winnaar 2]]</f>
        <v>KarelStef D</v>
      </c>
      <c r="N515" t="b">
        <f>IF(Tabel3[[#This Row],[Team Rood]]=Tabel3[[#This Row],[Winnaars]],Tabel3[[#This Row],[Team Rood]])</f>
        <v>0</v>
      </c>
      <c r="O515" t="str">
        <f>IF(Tabel3[[#This Row],[Team Groen]]=Tabel3[[#This Row],[Winnaars]],Tabel3[[#This Row],[Team Groen]])</f>
        <v>KarelStef D</v>
      </c>
    </row>
    <row r="516" spans="1:15" x14ac:dyDescent="0.25">
      <c r="A516" s="14">
        <v>516</v>
      </c>
      <c r="B516" s="205" t="s">
        <v>7</v>
      </c>
      <c r="C516" s="205" t="s">
        <v>6</v>
      </c>
      <c r="D516" s="206" t="s">
        <v>19</v>
      </c>
      <c r="E516" s="206" t="s">
        <v>3</v>
      </c>
      <c r="F516" s="81">
        <v>14</v>
      </c>
      <c r="G516" s="81">
        <v>12</v>
      </c>
      <c r="H516" s="3" t="str">
        <f t="shared" si="26"/>
        <v>ROOD</v>
      </c>
      <c r="I516" s="3" t="str">
        <f t="shared" si="24"/>
        <v>Tiemen</v>
      </c>
      <c r="J516" s="4" t="str">
        <f t="shared" si="25"/>
        <v>Stef D</v>
      </c>
      <c r="K516" t="str">
        <f>Tabel3[[#This Row],[Rood Verdediging]]&amp;Tabel3[[#This Row],[Rood Aanval]]</f>
        <v>TiemenStef D</v>
      </c>
      <c r="L516" t="str">
        <f>Tabel3[[#This Row],[Groen Verdediging]]&amp;Tabel3[[#This Row],[Groen Aanval]]</f>
        <v>NicolasKarel</v>
      </c>
      <c r="M516" t="str">
        <f>Tabel3[[#This Row],[Winnaar 1]]&amp;Tabel3[[#This Row],[Winnaar 2]]</f>
        <v>TiemenStef D</v>
      </c>
      <c r="N516" t="str">
        <f>IF(Tabel3[[#This Row],[Team Rood]]=Tabel3[[#This Row],[Winnaars]],Tabel3[[#This Row],[Team Rood]])</f>
        <v>TiemenStef D</v>
      </c>
      <c r="O516" t="b">
        <f>IF(Tabel3[[#This Row],[Team Groen]]=Tabel3[[#This Row],[Winnaars]],Tabel3[[#This Row],[Team Groen]])</f>
        <v>0</v>
      </c>
    </row>
    <row r="517" spans="1:15" x14ac:dyDescent="0.25">
      <c r="A517" s="14">
        <v>517</v>
      </c>
      <c r="B517" s="205" t="s">
        <v>19</v>
      </c>
      <c r="C517" s="205" t="s">
        <v>6</v>
      </c>
      <c r="D517" s="206" t="s">
        <v>8</v>
      </c>
      <c r="E517" s="206" t="s">
        <v>3</v>
      </c>
      <c r="F517" s="81">
        <v>12</v>
      </c>
      <c r="G517" s="81">
        <v>14</v>
      </c>
      <c r="H517" s="3" t="str">
        <f t="shared" si="26"/>
        <v>GROEN</v>
      </c>
      <c r="I517" s="3" t="str">
        <f t="shared" si="24"/>
        <v>Louis</v>
      </c>
      <c r="J517" s="4" t="str">
        <f t="shared" si="25"/>
        <v>Karel</v>
      </c>
      <c r="K517" t="str">
        <f>Tabel3[[#This Row],[Rood Verdediging]]&amp;Tabel3[[#This Row],[Rood Aanval]]</f>
        <v>NicolasStef D</v>
      </c>
      <c r="L517" t="str">
        <f>Tabel3[[#This Row],[Groen Verdediging]]&amp;Tabel3[[#This Row],[Groen Aanval]]</f>
        <v>LouisKarel</v>
      </c>
      <c r="M517" t="str">
        <f>Tabel3[[#This Row],[Winnaar 1]]&amp;Tabel3[[#This Row],[Winnaar 2]]</f>
        <v>LouisKarel</v>
      </c>
      <c r="N517" t="b">
        <f>IF(Tabel3[[#This Row],[Team Rood]]=Tabel3[[#This Row],[Winnaars]],Tabel3[[#This Row],[Team Rood]])</f>
        <v>0</v>
      </c>
      <c r="O517" t="str">
        <f>IF(Tabel3[[#This Row],[Team Groen]]=Tabel3[[#This Row],[Winnaars]],Tabel3[[#This Row],[Team Groen]])</f>
        <v>LouisKarel</v>
      </c>
    </row>
    <row r="518" spans="1:15" x14ac:dyDescent="0.25">
      <c r="A518" s="14">
        <v>518</v>
      </c>
      <c r="B518" s="105" t="s">
        <v>0</v>
      </c>
      <c r="C518" s="105" t="s">
        <v>6</v>
      </c>
      <c r="D518" s="107" t="s">
        <v>19</v>
      </c>
      <c r="E518" s="107" t="s">
        <v>3</v>
      </c>
      <c r="F518" s="81">
        <v>12</v>
      </c>
      <c r="G518" s="81">
        <v>10</v>
      </c>
      <c r="H518" s="3" t="str">
        <f t="shared" si="26"/>
        <v>ROOD</v>
      </c>
      <c r="I518" s="3" t="str">
        <f t="shared" si="24"/>
        <v>Jonas</v>
      </c>
      <c r="J518" s="4" t="str">
        <f t="shared" si="25"/>
        <v>Stef D</v>
      </c>
      <c r="K518" t="str">
        <f>Tabel3[[#This Row],[Rood Verdediging]]&amp;Tabel3[[#This Row],[Rood Aanval]]</f>
        <v>JonasStef D</v>
      </c>
      <c r="L518" t="str">
        <f>Tabel3[[#This Row],[Groen Verdediging]]&amp;Tabel3[[#This Row],[Groen Aanval]]</f>
        <v>NicolasKarel</v>
      </c>
      <c r="M518" t="str">
        <f>Tabel3[[#This Row],[Winnaar 1]]&amp;Tabel3[[#This Row],[Winnaar 2]]</f>
        <v>JonasStef D</v>
      </c>
      <c r="N518" t="str">
        <f>IF(Tabel3[[#This Row],[Team Rood]]=Tabel3[[#This Row],[Winnaars]],Tabel3[[#This Row],[Team Rood]])</f>
        <v>JonasStef D</v>
      </c>
      <c r="O518" t="b">
        <f>IF(Tabel3[[#This Row],[Team Groen]]=Tabel3[[#This Row],[Winnaars]],Tabel3[[#This Row],[Team Groen]])</f>
        <v>0</v>
      </c>
    </row>
    <row r="519" spans="1:15" x14ac:dyDescent="0.25">
      <c r="A519" s="14">
        <v>519</v>
      </c>
      <c r="B519" s="205" t="s">
        <v>6</v>
      </c>
      <c r="C519" s="205" t="s">
        <v>0</v>
      </c>
      <c r="D519" s="206" t="s">
        <v>3</v>
      </c>
      <c r="E519" s="206" t="s">
        <v>19</v>
      </c>
      <c r="F519" s="81">
        <v>11</v>
      </c>
      <c r="G519" s="81">
        <v>7</v>
      </c>
      <c r="H519" s="3" t="str">
        <f t="shared" si="26"/>
        <v>ROOD</v>
      </c>
      <c r="I519" s="3" t="str">
        <f t="shared" si="24"/>
        <v>Stef D</v>
      </c>
      <c r="J519" s="4" t="str">
        <f t="shared" si="25"/>
        <v>Jonas</v>
      </c>
      <c r="K519" t="str">
        <f>Tabel3[[#This Row],[Rood Verdediging]]&amp;Tabel3[[#This Row],[Rood Aanval]]</f>
        <v>Stef DJonas</v>
      </c>
      <c r="L519" t="str">
        <f>Tabel3[[#This Row],[Groen Verdediging]]&amp;Tabel3[[#This Row],[Groen Aanval]]</f>
        <v>KarelNicolas</v>
      </c>
      <c r="M519" t="str">
        <f>Tabel3[[#This Row],[Winnaar 1]]&amp;Tabel3[[#This Row],[Winnaar 2]]</f>
        <v>Stef DJonas</v>
      </c>
      <c r="N519" t="str">
        <f>IF(Tabel3[[#This Row],[Team Rood]]=Tabel3[[#This Row],[Winnaars]],Tabel3[[#This Row],[Team Rood]])</f>
        <v>Stef DJonas</v>
      </c>
      <c r="O519" t="b">
        <f>IF(Tabel3[[#This Row],[Team Groen]]=Tabel3[[#This Row],[Winnaars]],Tabel3[[#This Row],[Team Groen]])</f>
        <v>0</v>
      </c>
    </row>
    <row r="520" spans="1:15" x14ac:dyDescent="0.25">
      <c r="A520" s="14">
        <v>520</v>
      </c>
      <c r="B520" s="205" t="s">
        <v>19</v>
      </c>
      <c r="C520" s="205" t="s">
        <v>6</v>
      </c>
      <c r="D520" s="206" t="s">
        <v>0</v>
      </c>
      <c r="E520" s="206" t="s">
        <v>3</v>
      </c>
      <c r="F520" s="81">
        <v>10</v>
      </c>
      <c r="G520" s="81">
        <v>13</v>
      </c>
      <c r="H520" s="3" t="str">
        <f t="shared" si="26"/>
        <v>GROEN</v>
      </c>
      <c r="I520" s="3" t="str">
        <f t="shared" si="24"/>
        <v>Jonas</v>
      </c>
      <c r="J520" s="4" t="str">
        <f t="shared" si="25"/>
        <v>Karel</v>
      </c>
      <c r="K520" t="str">
        <f>Tabel3[[#This Row],[Rood Verdediging]]&amp;Tabel3[[#This Row],[Rood Aanval]]</f>
        <v>NicolasStef D</v>
      </c>
      <c r="L520" t="str">
        <f>Tabel3[[#This Row],[Groen Verdediging]]&amp;Tabel3[[#This Row],[Groen Aanval]]</f>
        <v>JonasKarel</v>
      </c>
      <c r="M520" t="str">
        <f>Tabel3[[#This Row],[Winnaar 1]]&amp;Tabel3[[#This Row],[Winnaar 2]]</f>
        <v>JonasKarel</v>
      </c>
      <c r="N520" t="b">
        <f>IF(Tabel3[[#This Row],[Team Rood]]=Tabel3[[#This Row],[Winnaars]],Tabel3[[#This Row],[Team Rood]])</f>
        <v>0</v>
      </c>
      <c r="O520" t="str">
        <f>IF(Tabel3[[#This Row],[Team Groen]]=Tabel3[[#This Row],[Winnaars]],Tabel3[[#This Row],[Team Groen]])</f>
        <v>JonasKarel</v>
      </c>
    </row>
    <row r="521" spans="1:15" x14ac:dyDescent="0.25">
      <c r="A521" s="14">
        <v>521</v>
      </c>
      <c r="B521" s="205" t="s">
        <v>6</v>
      </c>
      <c r="C521" s="205" t="s">
        <v>19</v>
      </c>
      <c r="D521" s="206" t="s">
        <v>3</v>
      </c>
      <c r="E521" s="206" t="s">
        <v>0</v>
      </c>
      <c r="F521" s="81">
        <v>11</v>
      </c>
      <c r="G521" s="81">
        <v>13</v>
      </c>
      <c r="H521" s="3" t="str">
        <f t="shared" si="26"/>
        <v>GROEN</v>
      </c>
      <c r="I521" s="3" t="str">
        <f t="shared" si="24"/>
        <v>Karel</v>
      </c>
      <c r="J521" s="4" t="str">
        <f t="shared" si="25"/>
        <v>Jonas</v>
      </c>
      <c r="K521" t="str">
        <f>Tabel3[[#This Row],[Rood Verdediging]]&amp;Tabel3[[#This Row],[Rood Aanval]]</f>
        <v>Stef DNicolas</v>
      </c>
      <c r="L521" t="str">
        <f>Tabel3[[#This Row],[Groen Verdediging]]&amp;Tabel3[[#This Row],[Groen Aanval]]</f>
        <v>KarelJonas</v>
      </c>
      <c r="M521" t="str">
        <f>Tabel3[[#This Row],[Winnaar 1]]&amp;Tabel3[[#This Row],[Winnaar 2]]</f>
        <v>KarelJonas</v>
      </c>
      <c r="N521" t="b">
        <f>IF(Tabel3[[#This Row],[Team Rood]]=Tabel3[[#This Row],[Winnaars]],Tabel3[[#This Row],[Team Rood]])</f>
        <v>0</v>
      </c>
      <c r="O521" t="str">
        <f>IF(Tabel3[[#This Row],[Team Groen]]=Tabel3[[#This Row],[Winnaars]],Tabel3[[#This Row],[Team Groen]])</f>
        <v>KarelJonas</v>
      </c>
    </row>
    <row r="522" spans="1:15" x14ac:dyDescent="0.25">
      <c r="A522" s="14">
        <v>522</v>
      </c>
      <c r="B522" s="205" t="s">
        <v>3</v>
      </c>
      <c r="C522" s="205" t="s">
        <v>6</v>
      </c>
      <c r="D522" s="206" t="s">
        <v>19</v>
      </c>
      <c r="E522" s="206" t="s">
        <v>0</v>
      </c>
      <c r="F522" s="81">
        <v>14</v>
      </c>
      <c r="G522" s="81">
        <v>12</v>
      </c>
      <c r="H522" s="3" t="str">
        <f t="shared" si="26"/>
        <v>ROOD</v>
      </c>
      <c r="I522" s="3" t="str">
        <f t="shared" si="24"/>
        <v>Karel</v>
      </c>
      <c r="J522" s="4" t="str">
        <f t="shared" si="25"/>
        <v>Stef D</v>
      </c>
      <c r="K522" t="str">
        <f>Tabel3[[#This Row],[Rood Verdediging]]&amp;Tabel3[[#This Row],[Rood Aanval]]</f>
        <v>KarelStef D</v>
      </c>
      <c r="L522" t="str">
        <f>Tabel3[[#This Row],[Groen Verdediging]]&amp;Tabel3[[#This Row],[Groen Aanval]]</f>
        <v>NicolasJonas</v>
      </c>
      <c r="M522" t="str">
        <f>Tabel3[[#This Row],[Winnaar 1]]&amp;Tabel3[[#This Row],[Winnaar 2]]</f>
        <v>KarelStef D</v>
      </c>
      <c r="N522" t="str">
        <f>IF(Tabel3[[#This Row],[Team Rood]]=Tabel3[[#This Row],[Winnaars]],Tabel3[[#This Row],[Team Rood]])</f>
        <v>KarelStef D</v>
      </c>
      <c r="O522" t="b">
        <f>IF(Tabel3[[#This Row],[Team Groen]]=Tabel3[[#This Row],[Winnaars]],Tabel3[[#This Row],[Team Groen]])</f>
        <v>0</v>
      </c>
    </row>
    <row r="523" spans="1:15" x14ac:dyDescent="0.25">
      <c r="A523" s="14">
        <v>523</v>
      </c>
      <c r="B523" s="205" t="s">
        <v>6</v>
      </c>
      <c r="C523" s="205" t="s">
        <v>3</v>
      </c>
      <c r="D523" s="206" t="s">
        <v>0</v>
      </c>
      <c r="E523" s="206" t="s">
        <v>19</v>
      </c>
      <c r="F523" s="81">
        <v>12</v>
      </c>
      <c r="G523" s="81">
        <v>10</v>
      </c>
      <c r="H523" s="3" t="str">
        <f t="shared" si="26"/>
        <v>ROOD</v>
      </c>
      <c r="I523" s="3" t="str">
        <f t="shared" si="24"/>
        <v>Stef D</v>
      </c>
      <c r="J523" s="4" t="str">
        <f t="shared" si="25"/>
        <v>Karel</v>
      </c>
      <c r="K523" t="str">
        <f>Tabel3[[#This Row],[Rood Verdediging]]&amp;Tabel3[[#This Row],[Rood Aanval]]</f>
        <v>Stef DKarel</v>
      </c>
      <c r="L523" t="str">
        <f>Tabel3[[#This Row],[Groen Verdediging]]&amp;Tabel3[[#This Row],[Groen Aanval]]</f>
        <v>JonasNicolas</v>
      </c>
      <c r="M523" t="str">
        <f>Tabel3[[#This Row],[Winnaar 1]]&amp;Tabel3[[#This Row],[Winnaar 2]]</f>
        <v>Stef DKarel</v>
      </c>
      <c r="N523" t="str">
        <f>IF(Tabel3[[#This Row],[Team Rood]]=Tabel3[[#This Row],[Winnaars]],Tabel3[[#This Row],[Team Rood]])</f>
        <v>Stef DKarel</v>
      </c>
      <c r="O523" t="b">
        <f>IF(Tabel3[[#This Row],[Team Groen]]=Tabel3[[#This Row],[Winnaars]],Tabel3[[#This Row],[Team Groen]])</f>
        <v>0</v>
      </c>
    </row>
    <row r="524" spans="1:15" x14ac:dyDescent="0.25">
      <c r="A524" s="14">
        <v>524</v>
      </c>
      <c r="B524" s="205" t="s">
        <v>3</v>
      </c>
      <c r="C524" s="205" t="s">
        <v>19</v>
      </c>
      <c r="D524" s="206" t="s">
        <v>0</v>
      </c>
      <c r="E524" s="206" t="s">
        <v>4</v>
      </c>
      <c r="F524" s="81">
        <v>12</v>
      </c>
      <c r="G524" s="81">
        <v>10</v>
      </c>
      <c r="H524" s="3" t="str">
        <f t="shared" si="26"/>
        <v>ROOD</v>
      </c>
      <c r="I524" s="3" t="str">
        <f t="shared" si="24"/>
        <v>Karel</v>
      </c>
      <c r="J524" s="4" t="str">
        <f t="shared" si="25"/>
        <v>Nicolas</v>
      </c>
      <c r="K524" t="str">
        <f>Tabel3[[#This Row],[Rood Verdediging]]&amp;Tabel3[[#This Row],[Rood Aanval]]</f>
        <v>KarelNicolas</v>
      </c>
      <c r="L524" t="str">
        <f>Tabel3[[#This Row],[Groen Verdediging]]&amp;Tabel3[[#This Row],[Groen Aanval]]</f>
        <v>JonasStef</v>
      </c>
      <c r="M524" t="str">
        <f>Tabel3[[#This Row],[Winnaar 1]]&amp;Tabel3[[#This Row],[Winnaar 2]]</f>
        <v>KarelNicolas</v>
      </c>
      <c r="N524" t="str">
        <f>IF(Tabel3[[#This Row],[Team Rood]]=Tabel3[[#This Row],[Winnaars]],Tabel3[[#This Row],[Team Rood]])</f>
        <v>KarelNicolas</v>
      </c>
      <c r="O524" t="b">
        <f>IF(Tabel3[[#This Row],[Team Groen]]=Tabel3[[#This Row],[Winnaars]],Tabel3[[#This Row],[Team Groen]])</f>
        <v>0</v>
      </c>
    </row>
    <row r="525" spans="1:15" x14ac:dyDescent="0.25">
      <c r="A525" s="14">
        <v>525</v>
      </c>
      <c r="B525" s="205" t="s">
        <v>19</v>
      </c>
      <c r="C525" s="205" t="s">
        <v>3</v>
      </c>
      <c r="D525" s="206" t="s">
        <v>4</v>
      </c>
      <c r="E525" s="206" t="s">
        <v>0</v>
      </c>
      <c r="F525" s="81">
        <v>11</v>
      </c>
      <c r="G525" s="81">
        <v>7</v>
      </c>
      <c r="H525" s="3" t="str">
        <f t="shared" si="26"/>
        <v>ROOD</v>
      </c>
      <c r="I525" s="3" t="str">
        <f t="shared" ref="I525:I588" si="27">IF(F525&gt;G525,B525,IF(F525=0,"",D525))</f>
        <v>Nicolas</v>
      </c>
      <c r="J525" s="4" t="str">
        <f t="shared" ref="J525:J588" si="28">IF(F525&gt;G525,C525,IF(F525=0,"",E525))</f>
        <v>Karel</v>
      </c>
      <c r="K525" t="str">
        <f>Tabel3[[#This Row],[Rood Verdediging]]&amp;Tabel3[[#This Row],[Rood Aanval]]</f>
        <v>NicolasKarel</v>
      </c>
      <c r="L525" t="str">
        <f>Tabel3[[#This Row],[Groen Verdediging]]&amp;Tabel3[[#This Row],[Groen Aanval]]</f>
        <v>StefJonas</v>
      </c>
      <c r="M525" t="str">
        <f>Tabel3[[#This Row],[Winnaar 1]]&amp;Tabel3[[#This Row],[Winnaar 2]]</f>
        <v>NicolasKarel</v>
      </c>
      <c r="N525" t="str">
        <f>IF(Tabel3[[#This Row],[Team Rood]]=Tabel3[[#This Row],[Winnaars]],Tabel3[[#This Row],[Team Rood]])</f>
        <v>NicolasKarel</v>
      </c>
      <c r="O525" t="b">
        <f>IF(Tabel3[[#This Row],[Team Groen]]=Tabel3[[#This Row],[Winnaars]],Tabel3[[#This Row],[Team Groen]])</f>
        <v>0</v>
      </c>
    </row>
    <row r="526" spans="1:15" x14ac:dyDescent="0.25">
      <c r="A526" s="14">
        <v>526</v>
      </c>
      <c r="B526" s="205" t="s">
        <v>19</v>
      </c>
      <c r="C526" s="205" t="s">
        <v>6</v>
      </c>
      <c r="D526" s="206" t="s">
        <v>0</v>
      </c>
      <c r="E526" s="206" t="s">
        <v>3</v>
      </c>
      <c r="F526" s="81">
        <v>11</v>
      </c>
      <c r="G526" s="81">
        <v>13</v>
      </c>
      <c r="H526" s="3" t="str">
        <f t="shared" si="26"/>
        <v>GROEN</v>
      </c>
      <c r="I526" s="3" t="str">
        <f t="shared" si="27"/>
        <v>Jonas</v>
      </c>
      <c r="J526" s="4" t="str">
        <f t="shared" si="28"/>
        <v>Karel</v>
      </c>
      <c r="K526" t="str">
        <f>Tabel3[[#This Row],[Rood Verdediging]]&amp;Tabel3[[#This Row],[Rood Aanval]]</f>
        <v>NicolasStef D</v>
      </c>
      <c r="L526" t="str">
        <f>Tabel3[[#This Row],[Groen Verdediging]]&amp;Tabel3[[#This Row],[Groen Aanval]]</f>
        <v>JonasKarel</v>
      </c>
      <c r="M526" t="str">
        <f>Tabel3[[#This Row],[Winnaar 1]]&amp;Tabel3[[#This Row],[Winnaar 2]]</f>
        <v>JonasKarel</v>
      </c>
      <c r="N526" t="b">
        <f>IF(Tabel3[[#This Row],[Team Rood]]=Tabel3[[#This Row],[Winnaars]],Tabel3[[#This Row],[Team Rood]])</f>
        <v>0</v>
      </c>
      <c r="O526" t="str">
        <f>IF(Tabel3[[#This Row],[Team Groen]]=Tabel3[[#This Row],[Winnaars]],Tabel3[[#This Row],[Team Groen]])</f>
        <v>JonasKarel</v>
      </c>
    </row>
    <row r="527" spans="1:15" x14ac:dyDescent="0.25">
      <c r="A527" s="14">
        <v>527</v>
      </c>
      <c r="B527" s="205" t="s">
        <v>6</v>
      </c>
      <c r="C527" s="205" t="s">
        <v>19</v>
      </c>
      <c r="D527" s="206" t="s">
        <v>0</v>
      </c>
      <c r="E527" s="206" t="s">
        <v>3</v>
      </c>
      <c r="F527" s="81">
        <v>6</v>
      </c>
      <c r="G527" s="81">
        <v>11</v>
      </c>
      <c r="H527" s="3" t="str">
        <f t="shared" si="26"/>
        <v>GROEN</v>
      </c>
      <c r="I527" s="3" t="str">
        <f t="shared" si="27"/>
        <v>Jonas</v>
      </c>
      <c r="J527" s="4" t="str">
        <f t="shared" si="28"/>
        <v>Karel</v>
      </c>
      <c r="K527" t="str">
        <f>Tabel3[[#This Row],[Rood Verdediging]]&amp;Tabel3[[#This Row],[Rood Aanval]]</f>
        <v>Stef DNicolas</v>
      </c>
      <c r="L527" t="str">
        <f>Tabel3[[#This Row],[Groen Verdediging]]&amp;Tabel3[[#This Row],[Groen Aanval]]</f>
        <v>JonasKarel</v>
      </c>
      <c r="M527" t="str">
        <f>Tabel3[[#This Row],[Winnaar 1]]&amp;Tabel3[[#This Row],[Winnaar 2]]</f>
        <v>JonasKarel</v>
      </c>
      <c r="N527" t="b">
        <f>IF(Tabel3[[#This Row],[Team Rood]]=Tabel3[[#This Row],[Winnaars]],Tabel3[[#This Row],[Team Rood]])</f>
        <v>0</v>
      </c>
      <c r="O527" t="str">
        <f>IF(Tabel3[[#This Row],[Team Groen]]=Tabel3[[#This Row],[Winnaars]],Tabel3[[#This Row],[Team Groen]])</f>
        <v>JonasKarel</v>
      </c>
    </row>
    <row r="528" spans="1:15" x14ac:dyDescent="0.25">
      <c r="A528" s="14">
        <v>528</v>
      </c>
      <c r="B528" s="205" t="s">
        <v>8</v>
      </c>
      <c r="C528" s="205" t="s">
        <v>6</v>
      </c>
      <c r="D528" s="206" t="s">
        <v>3</v>
      </c>
      <c r="E528" s="206" t="s">
        <v>0</v>
      </c>
      <c r="F528" s="81">
        <v>11</v>
      </c>
      <c r="G528" s="81">
        <v>3</v>
      </c>
      <c r="H528" s="3" t="str">
        <f t="shared" si="26"/>
        <v>ROOD</v>
      </c>
      <c r="I528" s="3" t="str">
        <f t="shared" si="27"/>
        <v>Louis</v>
      </c>
      <c r="J528" s="4" t="str">
        <f t="shared" si="28"/>
        <v>Stef D</v>
      </c>
      <c r="K528" t="str">
        <f>Tabel3[[#This Row],[Rood Verdediging]]&amp;Tabel3[[#This Row],[Rood Aanval]]</f>
        <v>LouisStef D</v>
      </c>
      <c r="L528" t="str">
        <f>Tabel3[[#This Row],[Groen Verdediging]]&amp;Tabel3[[#This Row],[Groen Aanval]]</f>
        <v>KarelJonas</v>
      </c>
      <c r="M528" t="str">
        <f>Tabel3[[#This Row],[Winnaar 1]]&amp;Tabel3[[#This Row],[Winnaar 2]]</f>
        <v>LouisStef D</v>
      </c>
      <c r="N528" t="str">
        <f>IF(Tabel3[[#This Row],[Team Rood]]=Tabel3[[#This Row],[Winnaars]],Tabel3[[#This Row],[Team Rood]])</f>
        <v>LouisStef D</v>
      </c>
      <c r="O528" t="b">
        <f>IF(Tabel3[[#This Row],[Team Groen]]=Tabel3[[#This Row],[Winnaars]],Tabel3[[#This Row],[Team Groen]])</f>
        <v>0</v>
      </c>
    </row>
    <row r="529" spans="1:15" x14ac:dyDescent="0.25">
      <c r="A529" s="14">
        <v>529</v>
      </c>
      <c r="B529" s="205" t="s">
        <v>3</v>
      </c>
      <c r="C529" s="205" t="s">
        <v>6</v>
      </c>
      <c r="D529" s="206" t="s">
        <v>8</v>
      </c>
      <c r="E529" s="206" t="s">
        <v>19</v>
      </c>
      <c r="F529" s="81">
        <v>11</v>
      </c>
      <c r="G529" s="81">
        <v>3</v>
      </c>
      <c r="H529" s="3" t="str">
        <f t="shared" si="26"/>
        <v>ROOD</v>
      </c>
      <c r="I529" s="3" t="str">
        <f t="shared" si="27"/>
        <v>Karel</v>
      </c>
      <c r="J529" s="4" t="str">
        <f t="shared" si="28"/>
        <v>Stef D</v>
      </c>
      <c r="K529" t="str">
        <f>Tabel3[[#This Row],[Rood Verdediging]]&amp;Tabel3[[#This Row],[Rood Aanval]]</f>
        <v>KarelStef D</v>
      </c>
      <c r="L529" t="str">
        <f>Tabel3[[#This Row],[Groen Verdediging]]&amp;Tabel3[[#This Row],[Groen Aanval]]</f>
        <v>LouisNicolas</v>
      </c>
      <c r="M529" t="str">
        <f>Tabel3[[#This Row],[Winnaar 1]]&amp;Tabel3[[#This Row],[Winnaar 2]]</f>
        <v>KarelStef D</v>
      </c>
      <c r="N529" t="str">
        <f>IF(Tabel3[[#This Row],[Team Rood]]=Tabel3[[#This Row],[Winnaars]],Tabel3[[#This Row],[Team Rood]])</f>
        <v>KarelStef D</v>
      </c>
      <c r="O529" t="b">
        <f>IF(Tabel3[[#This Row],[Team Groen]]=Tabel3[[#This Row],[Winnaars]],Tabel3[[#This Row],[Team Groen]])</f>
        <v>0</v>
      </c>
    </row>
    <row r="530" spans="1:15" x14ac:dyDescent="0.25">
      <c r="A530" s="14">
        <v>530</v>
      </c>
      <c r="B530" s="205" t="s">
        <v>0</v>
      </c>
      <c r="C530" s="205" t="s">
        <v>6</v>
      </c>
      <c r="D530" s="206" t="s">
        <v>19</v>
      </c>
      <c r="E530" s="206" t="s">
        <v>8</v>
      </c>
      <c r="F530" s="81">
        <v>11</v>
      </c>
      <c r="G530" s="81">
        <v>4</v>
      </c>
      <c r="H530" s="3" t="str">
        <f t="shared" si="26"/>
        <v>ROOD</v>
      </c>
      <c r="I530" s="3" t="str">
        <f t="shared" si="27"/>
        <v>Jonas</v>
      </c>
      <c r="J530" s="4" t="str">
        <f t="shared" si="28"/>
        <v>Stef D</v>
      </c>
      <c r="K530" t="str">
        <f>Tabel3[[#This Row],[Rood Verdediging]]&amp;Tabel3[[#This Row],[Rood Aanval]]</f>
        <v>JonasStef D</v>
      </c>
      <c r="L530" t="str">
        <f>Tabel3[[#This Row],[Groen Verdediging]]&amp;Tabel3[[#This Row],[Groen Aanval]]</f>
        <v>NicolasLouis</v>
      </c>
      <c r="M530" t="str">
        <f>Tabel3[[#This Row],[Winnaar 1]]&amp;Tabel3[[#This Row],[Winnaar 2]]</f>
        <v>JonasStef D</v>
      </c>
      <c r="N530" t="str">
        <f>IF(Tabel3[[#This Row],[Team Rood]]=Tabel3[[#This Row],[Winnaars]],Tabel3[[#This Row],[Team Rood]])</f>
        <v>JonasStef D</v>
      </c>
      <c r="O530" t="b">
        <f>IF(Tabel3[[#This Row],[Team Groen]]=Tabel3[[#This Row],[Winnaars]],Tabel3[[#This Row],[Team Groen]])</f>
        <v>0</v>
      </c>
    </row>
    <row r="531" spans="1:15" x14ac:dyDescent="0.25">
      <c r="A531" s="14">
        <v>531</v>
      </c>
      <c r="B531" s="205" t="s">
        <v>3</v>
      </c>
      <c r="C531" s="205" t="s">
        <v>19</v>
      </c>
      <c r="D531" s="206" t="s">
        <v>8</v>
      </c>
      <c r="E531" s="206" t="s">
        <v>6</v>
      </c>
      <c r="F531" s="81">
        <v>5</v>
      </c>
      <c r="G531" s="81">
        <v>11</v>
      </c>
      <c r="H531" s="3" t="str">
        <f t="shared" si="26"/>
        <v>GROEN</v>
      </c>
      <c r="I531" s="3" t="str">
        <f t="shared" si="27"/>
        <v>Louis</v>
      </c>
      <c r="J531" s="4" t="str">
        <f t="shared" si="28"/>
        <v>Stef D</v>
      </c>
      <c r="K531" t="str">
        <f>Tabel3[[#This Row],[Rood Verdediging]]&amp;Tabel3[[#This Row],[Rood Aanval]]</f>
        <v>KarelNicolas</v>
      </c>
      <c r="L531" t="str">
        <f>Tabel3[[#This Row],[Groen Verdediging]]&amp;Tabel3[[#This Row],[Groen Aanval]]</f>
        <v>LouisStef D</v>
      </c>
      <c r="M531" t="str">
        <f>Tabel3[[#This Row],[Winnaar 1]]&amp;Tabel3[[#This Row],[Winnaar 2]]</f>
        <v>LouisStef D</v>
      </c>
      <c r="N531" t="b">
        <f>IF(Tabel3[[#This Row],[Team Rood]]=Tabel3[[#This Row],[Winnaars]],Tabel3[[#This Row],[Team Rood]])</f>
        <v>0</v>
      </c>
      <c r="O531" t="str">
        <f>IF(Tabel3[[#This Row],[Team Groen]]=Tabel3[[#This Row],[Winnaars]],Tabel3[[#This Row],[Team Groen]])</f>
        <v>LouisStef D</v>
      </c>
    </row>
    <row r="532" spans="1:15" x14ac:dyDescent="0.25">
      <c r="A532" s="14">
        <v>532</v>
      </c>
      <c r="B532" s="205" t="s">
        <v>19</v>
      </c>
      <c r="C532" s="205" t="s">
        <v>3</v>
      </c>
      <c r="D532" s="206" t="s">
        <v>6</v>
      </c>
      <c r="E532" s="206" t="s">
        <v>8</v>
      </c>
      <c r="F532" s="81">
        <v>5</v>
      </c>
      <c r="G532" s="81">
        <v>11</v>
      </c>
      <c r="H532" s="3" t="str">
        <f t="shared" si="26"/>
        <v>GROEN</v>
      </c>
      <c r="I532" s="3" t="str">
        <f t="shared" si="27"/>
        <v>Stef D</v>
      </c>
      <c r="J532" s="4" t="str">
        <f t="shared" si="28"/>
        <v>Louis</v>
      </c>
      <c r="K532" t="str">
        <f>Tabel3[[#This Row],[Rood Verdediging]]&amp;Tabel3[[#This Row],[Rood Aanval]]</f>
        <v>NicolasKarel</v>
      </c>
      <c r="L532" t="str">
        <f>Tabel3[[#This Row],[Groen Verdediging]]&amp;Tabel3[[#This Row],[Groen Aanval]]</f>
        <v>Stef DLouis</v>
      </c>
      <c r="M532" t="str">
        <f>Tabel3[[#This Row],[Winnaar 1]]&amp;Tabel3[[#This Row],[Winnaar 2]]</f>
        <v>Stef DLouis</v>
      </c>
      <c r="N532" t="b">
        <f>IF(Tabel3[[#This Row],[Team Rood]]=Tabel3[[#This Row],[Winnaars]],Tabel3[[#This Row],[Team Rood]])</f>
        <v>0</v>
      </c>
      <c r="O532" t="str">
        <f>IF(Tabel3[[#This Row],[Team Groen]]=Tabel3[[#This Row],[Winnaars]],Tabel3[[#This Row],[Team Groen]])</f>
        <v>Stef DLouis</v>
      </c>
    </row>
    <row r="533" spans="1:15" x14ac:dyDescent="0.25">
      <c r="A533" s="14">
        <v>533</v>
      </c>
      <c r="B533" s="205" t="s">
        <v>19</v>
      </c>
      <c r="C533" s="205" t="s">
        <v>6</v>
      </c>
      <c r="D533" s="206" t="s">
        <v>8</v>
      </c>
      <c r="E533" s="206" t="s">
        <v>3</v>
      </c>
      <c r="F533" s="81">
        <v>9</v>
      </c>
      <c r="G533" s="81">
        <v>11</v>
      </c>
      <c r="H533" s="3" t="str">
        <f t="shared" si="26"/>
        <v>GROEN</v>
      </c>
      <c r="I533" s="3" t="str">
        <f t="shared" si="27"/>
        <v>Louis</v>
      </c>
      <c r="J533" s="4" t="str">
        <f t="shared" si="28"/>
        <v>Karel</v>
      </c>
      <c r="K533" t="str">
        <f>Tabel3[[#This Row],[Rood Verdediging]]&amp;Tabel3[[#This Row],[Rood Aanval]]</f>
        <v>NicolasStef D</v>
      </c>
      <c r="L533" t="str">
        <f>Tabel3[[#This Row],[Groen Verdediging]]&amp;Tabel3[[#This Row],[Groen Aanval]]</f>
        <v>LouisKarel</v>
      </c>
      <c r="M533" t="str">
        <f>Tabel3[[#This Row],[Winnaar 1]]&amp;Tabel3[[#This Row],[Winnaar 2]]</f>
        <v>LouisKarel</v>
      </c>
      <c r="N533" t="b">
        <f>IF(Tabel3[[#This Row],[Team Rood]]=Tabel3[[#This Row],[Winnaars]],Tabel3[[#This Row],[Team Rood]])</f>
        <v>0</v>
      </c>
      <c r="O533" t="str">
        <f>IF(Tabel3[[#This Row],[Team Groen]]=Tabel3[[#This Row],[Winnaars]],Tabel3[[#This Row],[Team Groen]])</f>
        <v>LouisKarel</v>
      </c>
    </row>
    <row r="534" spans="1:15" x14ac:dyDescent="0.25">
      <c r="A534" s="14">
        <v>534</v>
      </c>
      <c r="B534" s="205" t="s">
        <v>8</v>
      </c>
      <c r="C534" s="205" t="s">
        <v>6</v>
      </c>
      <c r="D534" s="206" t="s">
        <v>11</v>
      </c>
      <c r="E534" s="206" t="s">
        <v>3</v>
      </c>
      <c r="F534" s="81">
        <v>11</v>
      </c>
      <c r="G534" s="81">
        <v>5</v>
      </c>
      <c r="H534" s="3" t="str">
        <f t="shared" si="26"/>
        <v>ROOD</v>
      </c>
      <c r="I534" s="3" t="str">
        <f t="shared" si="27"/>
        <v>Louis</v>
      </c>
      <c r="J534" s="4" t="str">
        <f t="shared" si="28"/>
        <v>Stef D</v>
      </c>
      <c r="K534" t="str">
        <f>Tabel3[[#This Row],[Rood Verdediging]]&amp;Tabel3[[#This Row],[Rood Aanval]]</f>
        <v>LouisStef D</v>
      </c>
      <c r="L534" t="str">
        <f>Tabel3[[#This Row],[Groen Verdediging]]&amp;Tabel3[[#This Row],[Groen Aanval]]</f>
        <v>MatthijsKarel</v>
      </c>
      <c r="M534" t="str">
        <f>Tabel3[[#This Row],[Winnaar 1]]&amp;Tabel3[[#This Row],[Winnaar 2]]</f>
        <v>LouisStef D</v>
      </c>
      <c r="N534" t="str">
        <f>IF(Tabel3[[#This Row],[Team Rood]]=Tabel3[[#This Row],[Winnaars]],Tabel3[[#This Row],[Team Rood]])</f>
        <v>LouisStef D</v>
      </c>
      <c r="O534" t="b">
        <f>IF(Tabel3[[#This Row],[Team Groen]]=Tabel3[[#This Row],[Winnaars]],Tabel3[[#This Row],[Team Groen]])</f>
        <v>0</v>
      </c>
    </row>
    <row r="535" spans="1:15" x14ac:dyDescent="0.25">
      <c r="A535" s="14">
        <v>535</v>
      </c>
      <c r="B535" s="205" t="s">
        <v>6</v>
      </c>
      <c r="C535" s="205" t="s">
        <v>8</v>
      </c>
      <c r="D535" s="206" t="s">
        <v>3</v>
      </c>
      <c r="E535" s="206" t="s">
        <v>11</v>
      </c>
      <c r="F535" s="81">
        <v>11</v>
      </c>
      <c r="G535" s="81">
        <v>5</v>
      </c>
      <c r="H535" s="3" t="str">
        <f t="shared" si="26"/>
        <v>ROOD</v>
      </c>
      <c r="I535" s="3" t="str">
        <f t="shared" si="27"/>
        <v>Stef D</v>
      </c>
      <c r="J535" s="4" t="str">
        <f t="shared" si="28"/>
        <v>Louis</v>
      </c>
      <c r="K535" t="str">
        <f>Tabel3[[#This Row],[Rood Verdediging]]&amp;Tabel3[[#This Row],[Rood Aanval]]</f>
        <v>Stef DLouis</v>
      </c>
      <c r="L535" t="str">
        <f>Tabel3[[#This Row],[Groen Verdediging]]&amp;Tabel3[[#This Row],[Groen Aanval]]</f>
        <v>KarelMatthijs</v>
      </c>
      <c r="M535" t="str">
        <f>Tabel3[[#This Row],[Winnaar 1]]&amp;Tabel3[[#This Row],[Winnaar 2]]</f>
        <v>Stef DLouis</v>
      </c>
      <c r="N535" t="str">
        <f>IF(Tabel3[[#This Row],[Team Rood]]=Tabel3[[#This Row],[Winnaars]],Tabel3[[#This Row],[Team Rood]])</f>
        <v>Stef DLouis</v>
      </c>
      <c r="O535" t="b">
        <f>IF(Tabel3[[#This Row],[Team Groen]]=Tabel3[[#This Row],[Winnaars]],Tabel3[[#This Row],[Team Groen]])</f>
        <v>0</v>
      </c>
    </row>
    <row r="536" spans="1:15" x14ac:dyDescent="0.25">
      <c r="A536" s="14">
        <v>536</v>
      </c>
      <c r="B536" s="205" t="s">
        <v>11</v>
      </c>
      <c r="C536" s="205" t="s">
        <v>6</v>
      </c>
      <c r="D536" s="206" t="s">
        <v>8</v>
      </c>
      <c r="E536" s="206" t="s">
        <v>3</v>
      </c>
      <c r="F536" s="81">
        <v>7</v>
      </c>
      <c r="G536" s="81">
        <v>11</v>
      </c>
      <c r="H536" s="3" t="str">
        <f t="shared" si="26"/>
        <v>GROEN</v>
      </c>
      <c r="I536" s="3" t="str">
        <f t="shared" si="27"/>
        <v>Louis</v>
      </c>
      <c r="J536" s="4" t="str">
        <f t="shared" si="28"/>
        <v>Karel</v>
      </c>
      <c r="K536" t="str">
        <f>Tabel3[[#This Row],[Rood Verdediging]]&amp;Tabel3[[#This Row],[Rood Aanval]]</f>
        <v>MatthijsStef D</v>
      </c>
      <c r="L536" t="str">
        <f>Tabel3[[#This Row],[Groen Verdediging]]&amp;Tabel3[[#This Row],[Groen Aanval]]</f>
        <v>LouisKarel</v>
      </c>
      <c r="M536" t="str">
        <f>Tabel3[[#This Row],[Winnaar 1]]&amp;Tabel3[[#This Row],[Winnaar 2]]</f>
        <v>LouisKarel</v>
      </c>
      <c r="N536" t="b">
        <f>IF(Tabel3[[#This Row],[Team Rood]]=Tabel3[[#This Row],[Winnaars]],Tabel3[[#This Row],[Team Rood]])</f>
        <v>0</v>
      </c>
      <c r="O536" t="str">
        <f>IF(Tabel3[[#This Row],[Team Groen]]=Tabel3[[#This Row],[Winnaars]],Tabel3[[#This Row],[Team Groen]])</f>
        <v>LouisKarel</v>
      </c>
    </row>
    <row r="537" spans="1:15" x14ac:dyDescent="0.25">
      <c r="A537" s="14">
        <v>537</v>
      </c>
      <c r="B537" s="205" t="s">
        <v>7</v>
      </c>
      <c r="C537" s="205" t="s">
        <v>11</v>
      </c>
      <c r="D537" s="206" t="s">
        <v>3</v>
      </c>
      <c r="E537" s="206" t="s">
        <v>6</v>
      </c>
      <c r="F537" s="81">
        <v>5</v>
      </c>
      <c r="G537" s="81">
        <v>11</v>
      </c>
      <c r="H537" s="3" t="str">
        <f t="shared" si="26"/>
        <v>GROEN</v>
      </c>
      <c r="I537" s="3" t="str">
        <f t="shared" si="27"/>
        <v>Karel</v>
      </c>
      <c r="J537" s="4" t="str">
        <f t="shared" si="28"/>
        <v>Stef D</v>
      </c>
      <c r="K537" t="str">
        <f>Tabel3[[#This Row],[Rood Verdediging]]&amp;Tabel3[[#This Row],[Rood Aanval]]</f>
        <v>TiemenMatthijs</v>
      </c>
      <c r="L537" t="str">
        <f>Tabel3[[#This Row],[Groen Verdediging]]&amp;Tabel3[[#This Row],[Groen Aanval]]</f>
        <v>KarelStef D</v>
      </c>
      <c r="M537" t="str">
        <f>Tabel3[[#This Row],[Winnaar 1]]&amp;Tabel3[[#This Row],[Winnaar 2]]</f>
        <v>KarelStef D</v>
      </c>
      <c r="N537" t="b">
        <f>IF(Tabel3[[#This Row],[Team Rood]]=Tabel3[[#This Row],[Winnaars]],Tabel3[[#This Row],[Team Rood]])</f>
        <v>0</v>
      </c>
      <c r="O537" t="str">
        <f>IF(Tabel3[[#This Row],[Team Groen]]=Tabel3[[#This Row],[Winnaars]],Tabel3[[#This Row],[Team Groen]])</f>
        <v>KarelStef D</v>
      </c>
    </row>
    <row r="538" spans="1:15" x14ac:dyDescent="0.25">
      <c r="A538" s="14">
        <v>538</v>
      </c>
      <c r="B538" s="205" t="s">
        <v>8</v>
      </c>
      <c r="C538" s="205" t="s">
        <v>11</v>
      </c>
      <c r="D538" s="206" t="s">
        <v>3</v>
      </c>
      <c r="E538" s="206" t="s">
        <v>6</v>
      </c>
      <c r="F538" s="81">
        <v>8</v>
      </c>
      <c r="G538" s="81">
        <v>11</v>
      </c>
      <c r="H538" s="3" t="str">
        <f t="shared" si="26"/>
        <v>GROEN</v>
      </c>
      <c r="I538" s="3" t="str">
        <f t="shared" si="27"/>
        <v>Karel</v>
      </c>
      <c r="J538" s="4" t="str">
        <f t="shared" si="28"/>
        <v>Stef D</v>
      </c>
      <c r="K538" t="str">
        <f>Tabel3[[#This Row],[Rood Verdediging]]&amp;Tabel3[[#This Row],[Rood Aanval]]</f>
        <v>LouisMatthijs</v>
      </c>
      <c r="L538" t="str">
        <f>Tabel3[[#This Row],[Groen Verdediging]]&amp;Tabel3[[#This Row],[Groen Aanval]]</f>
        <v>KarelStef D</v>
      </c>
      <c r="M538" t="str">
        <f>Tabel3[[#This Row],[Winnaar 1]]&amp;Tabel3[[#This Row],[Winnaar 2]]</f>
        <v>KarelStef D</v>
      </c>
      <c r="N538" t="b">
        <f>IF(Tabel3[[#This Row],[Team Rood]]=Tabel3[[#This Row],[Winnaars]],Tabel3[[#This Row],[Team Rood]])</f>
        <v>0</v>
      </c>
      <c r="O538" t="str">
        <f>IF(Tabel3[[#This Row],[Team Groen]]=Tabel3[[#This Row],[Winnaars]],Tabel3[[#This Row],[Team Groen]])</f>
        <v>KarelStef D</v>
      </c>
    </row>
    <row r="539" spans="1:15" x14ac:dyDescent="0.25">
      <c r="A539" s="14">
        <v>539</v>
      </c>
      <c r="B539" s="205" t="s">
        <v>11</v>
      </c>
      <c r="C539" s="205" t="s">
        <v>19</v>
      </c>
      <c r="D539" s="206" t="s">
        <v>6</v>
      </c>
      <c r="E539" s="206" t="s">
        <v>7</v>
      </c>
      <c r="F539" s="81">
        <v>9</v>
      </c>
      <c r="G539" s="81">
        <v>11</v>
      </c>
      <c r="H539" s="3" t="str">
        <f t="shared" si="26"/>
        <v>GROEN</v>
      </c>
      <c r="I539" s="3" t="str">
        <f t="shared" si="27"/>
        <v>Stef D</v>
      </c>
      <c r="J539" s="4" t="str">
        <f t="shared" si="28"/>
        <v>Tiemen</v>
      </c>
      <c r="K539" t="str">
        <f>Tabel3[[#This Row],[Rood Verdediging]]&amp;Tabel3[[#This Row],[Rood Aanval]]</f>
        <v>MatthijsNicolas</v>
      </c>
      <c r="L539" t="str">
        <f>Tabel3[[#This Row],[Groen Verdediging]]&amp;Tabel3[[#This Row],[Groen Aanval]]</f>
        <v>Stef DTiemen</v>
      </c>
      <c r="M539" t="str">
        <f>Tabel3[[#This Row],[Winnaar 1]]&amp;Tabel3[[#This Row],[Winnaar 2]]</f>
        <v>Stef DTiemen</v>
      </c>
      <c r="N539" t="b">
        <f>IF(Tabel3[[#This Row],[Team Rood]]=Tabel3[[#This Row],[Winnaars]],Tabel3[[#This Row],[Team Rood]])</f>
        <v>0</v>
      </c>
      <c r="O539" t="str">
        <f>IF(Tabel3[[#This Row],[Team Groen]]=Tabel3[[#This Row],[Winnaars]],Tabel3[[#This Row],[Team Groen]])</f>
        <v>Stef DTiemen</v>
      </c>
    </row>
    <row r="540" spans="1:15" x14ac:dyDescent="0.25">
      <c r="A540" s="14">
        <v>540</v>
      </c>
      <c r="B540" s="205" t="s">
        <v>19</v>
      </c>
      <c r="C540" s="205" t="s">
        <v>6</v>
      </c>
      <c r="D540" s="206" t="s">
        <v>3</v>
      </c>
      <c r="E540" s="206" t="s">
        <v>8</v>
      </c>
      <c r="F540" s="81">
        <v>11</v>
      </c>
      <c r="G540" s="81">
        <v>6</v>
      </c>
      <c r="H540" s="3" t="str">
        <f t="shared" si="26"/>
        <v>ROOD</v>
      </c>
      <c r="I540" s="3" t="str">
        <f t="shared" si="27"/>
        <v>Nicolas</v>
      </c>
      <c r="J540" s="4" t="str">
        <f t="shared" si="28"/>
        <v>Stef D</v>
      </c>
      <c r="K540" t="str">
        <f>Tabel3[[#This Row],[Rood Verdediging]]&amp;Tabel3[[#This Row],[Rood Aanval]]</f>
        <v>NicolasStef D</v>
      </c>
      <c r="L540" t="str">
        <f>Tabel3[[#This Row],[Groen Verdediging]]&amp;Tabel3[[#This Row],[Groen Aanval]]</f>
        <v>KarelLouis</v>
      </c>
      <c r="M540" t="str">
        <f>Tabel3[[#This Row],[Winnaar 1]]&amp;Tabel3[[#This Row],[Winnaar 2]]</f>
        <v>NicolasStef D</v>
      </c>
      <c r="N540" t="str">
        <f>IF(Tabel3[[#This Row],[Team Rood]]=Tabel3[[#This Row],[Winnaars]],Tabel3[[#This Row],[Team Rood]])</f>
        <v>NicolasStef D</v>
      </c>
      <c r="O540" t="b">
        <f>IF(Tabel3[[#This Row],[Team Groen]]=Tabel3[[#This Row],[Winnaars]],Tabel3[[#This Row],[Team Groen]])</f>
        <v>0</v>
      </c>
    </row>
    <row r="541" spans="1:15" x14ac:dyDescent="0.25">
      <c r="A541" s="14">
        <v>541</v>
      </c>
      <c r="B541" s="205" t="s">
        <v>3</v>
      </c>
      <c r="C541" s="205" t="s">
        <v>19</v>
      </c>
      <c r="D541" s="206" t="s">
        <v>8</v>
      </c>
      <c r="E541" s="206" t="s">
        <v>6</v>
      </c>
      <c r="F541" s="81">
        <v>9</v>
      </c>
      <c r="G541" s="81">
        <v>11</v>
      </c>
      <c r="H541" s="3" t="str">
        <f t="shared" si="26"/>
        <v>GROEN</v>
      </c>
      <c r="I541" s="3" t="str">
        <f t="shared" si="27"/>
        <v>Louis</v>
      </c>
      <c r="J541" s="4" t="str">
        <f t="shared" si="28"/>
        <v>Stef D</v>
      </c>
      <c r="K541" t="str">
        <f>Tabel3[[#This Row],[Rood Verdediging]]&amp;Tabel3[[#This Row],[Rood Aanval]]</f>
        <v>KarelNicolas</v>
      </c>
      <c r="L541" t="str">
        <f>Tabel3[[#This Row],[Groen Verdediging]]&amp;Tabel3[[#This Row],[Groen Aanval]]</f>
        <v>LouisStef D</v>
      </c>
      <c r="M541" t="str">
        <f>Tabel3[[#This Row],[Winnaar 1]]&amp;Tabel3[[#This Row],[Winnaar 2]]</f>
        <v>LouisStef D</v>
      </c>
      <c r="N541" t="b">
        <f>IF(Tabel3[[#This Row],[Team Rood]]=Tabel3[[#This Row],[Winnaars]],Tabel3[[#This Row],[Team Rood]])</f>
        <v>0</v>
      </c>
      <c r="O541" t="str">
        <f>IF(Tabel3[[#This Row],[Team Groen]]=Tabel3[[#This Row],[Winnaars]],Tabel3[[#This Row],[Team Groen]])</f>
        <v>LouisStef D</v>
      </c>
    </row>
    <row r="542" spans="1:15" x14ac:dyDescent="0.25">
      <c r="A542" s="14">
        <v>542</v>
      </c>
      <c r="B542" s="205" t="s">
        <v>11</v>
      </c>
      <c r="C542" s="205" t="s">
        <v>6</v>
      </c>
      <c r="D542" s="206" t="s">
        <v>19</v>
      </c>
      <c r="E542" s="206" t="s">
        <v>8</v>
      </c>
      <c r="F542" s="81">
        <v>11</v>
      </c>
      <c r="G542" s="81">
        <v>4</v>
      </c>
      <c r="H542" s="3" t="str">
        <f t="shared" si="26"/>
        <v>ROOD</v>
      </c>
      <c r="I542" s="3" t="str">
        <f t="shared" si="27"/>
        <v>Matthijs</v>
      </c>
      <c r="J542" s="4" t="str">
        <f t="shared" si="28"/>
        <v>Stef D</v>
      </c>
      <c r="K542" t="str">
        <f>Tabel3[[#This Row],[Rood Verdediging]]&amp;Tabel3[[#This Row],[Rood Aanval]]</f>
        <v>MatthijsStef D</v>
      </c>
      <c r="L542" t="str">
        <f>Tabel3[[#This Row],[Groen Verdediging]]&amp;Tabel3[[#This Row],[Groen Aanval]]</f>
        <v>NicolasLouis</v>
      </c>
      <c r="M542" t="str">
        <f>Tabel3[[#This Row],[Winnaar 1]]&amp;Tabel3[[#This Row],[Winnaar 2]]</f>
        <v>MatthijsStef D</v>
      </c>
      <c r="N542" t="str">
        <f>IF(Tabel3[[#This Row],[Team Rood]]=Tabel3[[#This Row],[Winnaars]],Tabel3[[#This Row],[Team Rood]])</f>
        <v>MatthijsStef D</v>
      </c>
      <c r="O542" t="b">
        <f>IF(Tabel3[[#This Row],[Team Groen]]=Tabel3[[#This Row],[Winnaars]],Tabel3[[#This Row],[Team Groen]])</f>
        <v>0</v>
      </c>
    </row>
    <row r="543" spans="1:15" x14ac:dyDescent="0.25">
      <c r="A543" s="14">
        <v>543</v>
      </c>
      <c r="B543" s="205" t="s">
        <v>11</v>
      </c>
      <c r="C543" s="205" t="s">
        <v>6</v>
      </c>
      <c r="D543" s="206" t="s">
        <v>19</v>
      </c>
      <c r="E543" s="206" t="s">
        <v>8</v>
      </c>
      <c r="F543" s="81">
        <v>11</v>
      </c>
      <c r="G543" s="81">
        <v>9</v>
      </c>
      <c r="H543" s="3" t="str">
        <f t="shared" si="26"/>
        <v>ROOD</v>
      </c>
      <c r="I543" s="3" t="str">
        <f t="shared" si="27"/>
        <v>Matthijs</v>
      </c>
      <c r="J543" s="4" t="str">
        <f t="shared" si="28"/>
        <v>Stef D</v>
      </c>
      <c r="K543" t="str">
        <f>Tabel3[[#This Row],[Rood Verdediging]]&amp;Tabel3[[#This Row],[Rood Aanval]]</f>
        <v>MatthijsStef D</v>
      </c>
      <c r="L543" t="str">
        <f>Tabel3[[#This Row],[Groen Verdediging]]&amp;Tabel3[[#This Row],[Groen Aanval]]</f>
        <v>NicolasLouis</v>
      </c>
      <c r="M543" t="str">
        <f>Tabel3[[#This Row],[Winnaar 1]]&amp;Tabel3[[#This Row],[Winnaar 2]]</f>
        <v>MatthijsStef D</v>
      </c>
      <c r="N543" t="str">
        <f>IF(Tabel3[[#This Row],[Team Rood]]=Tabel3[[#This Row],[Winnaars]],Tabel3[[#This Row],[Team Rood]])</f>
        <v>MatthijsStef D</v>
      </c>
      <c r="O543" t="b">
        <f>IF(Tabel3[[#This Row],[Team Groen]]=Tabel3[[#This Row],[Winnaars]],Tabel3[[#This Row],[Team Groen]])</f>
        <v>0</v>
      </c>
    </row>
    <row r="544" spans="1:15" x14ac:dyDescent="0.25">
      <c r="A544" s="14">
        <v>544</v>
      </c>
      <c r="B544" s="205" t="s">
        <v>70</v>
      </c>
      <c r="C544" s="205" t="s">
        <v>6</v>
      </c>
      <c r="D544" s="206" t="s">
        <v>0</v>
      </c>
      <c r="E544" s="206" t="s">
        <v>7</v>
      </c>
      <c r="F544" s="81">
        <v>11</v>
      </c>
      <c r="G544" s="81">
        <v>7</v>
      </c>
      <c r="H544" s="3" t="str">
        <f t="shared" si="26"/>
        <v>ROOD</v>
      </c>
      <c r="I544" s="3" t="str">
        <f t="shared" si="27"/>
        <v>Arno</v>
      </c>
      <c r="J544" s="4" t="str">
        <f t="shared" si="28"/>
        <v>Stef D</v>
      </c>
      <c r="K544" t="str">
        <f>Tabel3[[#This Row],[Rood Verdediging]]&amp;Tabel3[[#This Row],[Rood Aanval]]</f>
        <v>ArnoStef D</v>
      </c>
      <c r="L544" t="str">
        <f>Tabel3[[#This Row],[Groen Verdediging]]&amp;Tabel3[[#This Row],[Groen Aanval]]</f>
        <v>JonasTiemen</v>
      </c>
      <c r="M544" t="str">
        <f>Tabel3[[#This Row],[Winnaar 1]]&amp;Tabel3[[#This Row],[Winnaar 2]]</f>
        <v>ArnoStef D</v>
      </c>
      <c r="N544" t="str">
        <f>IF(Tabel3[[#This Row],[Team Rood]]=Tabel3[[#This Row],[Winnaars]],Tabel3[[#This Row],[Team Rood]])</f>
        <v>ArnoStef D</v>
      </c>
      <c r="O544" t="b">
        <f>IF(Tabel3[[#This Row],[Team Groen]]=Tabel3[[#This Row],[Winnaars]],Tabel3[[#This Row],[Team Groen]])</f>
        <v>0</v>
      </c>
    </row>
    <row r="545" spans="1:15" x14ac:dyDescent="0.25">
      <c r="A545" s="14">
        <v>545</v>
      </c>
      <c r="B545" s="205" t="s">
        <v>6</v>
      </c>
      <c r="C545" s="205" t="s">
        <v>70</v>
      </c>
      <c r="D545" s="206" t="s">
        <v>7</v>
      </c>
      <c r="E545" s="206" t="s">
        <v>0</v>
      </c>
      <c r="F545" s="81">
        <v>11</v>
      </c>
      <c r="G545" s="81">
        <v>7</v>
      </c>
      <c r="H545" s="3" t="str">
        <f t="shared" si="26"/>
        <v>ROOD</v>
      </c>
      <c r="I545" s="3" t="str">
        <f t="shared" si="27"/>
        <v>Stef D</v>
      </c>
      <c r="J545" s="4" t="str">
        <f t="shared" si="28"/>
        <v>Arno</v>
      </c>
      <c r="K545" t="str">
        <f>Tabel3[[#This Row],[Rood Verdediging]]&amp;Tabel3[[#This Row],[Rood Aanval]]</f>
        <v>Stef DArno</v>
      </c>
      <c r="L545" t="str">
        <f>Tabel3[[#This Row],[Groen Verdediging]]&amp;Tabel3[[#This Row],[Groen Aanval]]</f>
        <v>TiemenJonas</v>
      </c>
      <c r="M545" t="str">
        <f>Tabel3[[#This Row],[Winnaar 1]]&amp;Tabel3[[#This Row],[Winnaar 2]]</f>
        <v>Stef DArno</v>
      </c>
      <c r="N545" t="str">
        <f>IF(Tabel3[[#This Row],[Team Rood]]=Tabel3[[#This Row],[Winnaars]],Tabel3[[#This Row],[Team Rood]])</f>
        <v>Stef DArno</v>
      </c>
      <c r="O545" t="b">
        <f>IF(Tabel3[[#This Row],[Team Groen]]=Tabel3[[#This Row],[Winnaars]],Tabel3[[#This Row],[Team Groen]])</f>
        <v>0</v>
      </c>
    </row>
    <row r="546" spans="1:15" x14ac:dyDescent="0.25">
      <c r="A546" s="14">
        <v>546</v>
      </c>
      <c r="B546" s="205" t="s">
        <v>7</v>
      </c>
      <c r="C546" s="205" t="s">
        <v>6</v>
      </c>
      <c r="D546" s="206" t="s">
        <v>8</v>
      </c>
      <c r="E546" s="206" t="s">
        <v>3</v>
      </c>
      <c r="F546" s="81">
        <v>12</v>
      </c>
      <c r="G546" s="81">
        <v>10</v>
      </c>
      <c r="H546" s="3" t="str">
        <f t="shared" si="26"/>
        <v>ROOD</v>
      </c>
      <c r="I546" s="3" t="str">
        <f t="shared" si="27"/>
        <v>Tiemen</v>
      </c>
      <c r="J546" s="4" t="str">
        <f t="shared" si="28"/>
        <v>Stef D</v>
      </c>
      <c r="K546" t="str">
        <f>Tabel3[[#This Row],[Rood Verdediging]]&amp;Tabel3[[#This Row],[Rood Aanval]]</f>
        <v>TiemenStef D</v>
      </c>
      <c r="L546" t="str">
        <f>Tabel3[[#This Row],[Groen Verdediging]]&amp;Tabel3[[#This Row],[Groen Aanval]]</f>
        <v>LouisKarel</v>
      </c>
      <c r="M546" t="str">
        <f>Tabel3[[#This Row],[Winnaar 1]]&amp;Tabel3[[#This Row],[Winnaar 2]]</f>
        <v>TiemenStef D</v>
      </c>
      <c r="N546" t="str">
        <f>IF(Tabel3[[#This Row],[Team Rood]]=Tabel3[[#This Row],[Winnaars]],Tabel3[[#This Row],[Team Rood]])</f>
        <v>TiemenStef D</v>
      </c>
      <c r="O546" t="b">
        <f>IF(Tabel3[[#This Row],[Team Groen]]=Tabel3[[#This Row],[Winnaars]],Tabel3[[#This Row],[Team Groen]])</f>
        <v>0</v>
      </c>
    </row>
    <row r="547" spans="1:15" x14ac:dyDescent="0.25">
      <c r="A547" s="14">
        <v>547</v>
      </c>
      <c r="B547" s="205" t="s">
        <v>6</v>
      </c>
      <c r="C547" s="205" t="s">
        <v>7</v>
      </c>
      <c r="D547" s="206" t="s">
        <v>3</v>
      </c>
      <c r="E547" s="206" t="s">
        <v>8</v>
      </c>
      <c r="F547" s="81">
        <v>12</v>
      </c>
      <c r="G547" s="81">
        <v>10</v>
      </c>
      <c r="H547" s="3" t="str">
        <f t="shared" si="26"/>
        <v>ROOD</v>
      </c>
      <c r="I547" s="3" t="str">
        <f t="shared" si="27"/>
        <v>Stef D</v>
      </c>
      <c r="J547" s="4" t="str">
        <f t="shared" si="28"/>
        <v>Tiemen</v>
      </c>
      <c r="K547" t="str">
        <f>Tabel3[[#This Row],[Rood Verdediging]]&amp;Tabel3[[#This Row],[Rood Aanval]]</f>
        <v>Stef DTiemen</v>
      </c>
      <c r="L547" t="str">
        <f>Tabel3[[#This Row],[Groen Verdediging]]&amp;Tabel3[[#This Row],[Groen Aanval]]</f>
        <v>KarelLouis</v>
      </c>
      <c r="M547" t="str">
        <f>Tabel3[[#This Row],[Winnaar 1]]&amp;Tabel3[[#This Row],[Winnaar 2]]</f>
        <v>Stef DTiemen</v>
      </c>
      <c r="N547" t="str">
        <f>IF(Tabel3[[#This Row],[Team Rood]]=Tabel3[[#This Row],[Winnaars]],Tabel3[[#This Row],[Team Rood]])</f>
        <v>Stef DTiemen</v>
      </c>
      <c r="O547" t="b">
        <f>IF(Tabel3[[#This Row],[Team Groen]]=Tabel3[[#This Row],[Winnaars]],Tabel3[[#This Row],[Team Groen]])</f>
        <v>0</v>
      </c>
    </row>
    <row r="548" spans="1:15" x14ac:dyDescent="0.25">
      <c r="A548" s="14">
        <v>548</v>
      </c>
      <c r="B548" s="205" t="s">
        <v>7</v>
      </c>
      <c r="C548" s="205" t="s">
        <v>3</v>
      </c>
      <c r="D548" s="206" t="s">
        <v>19</v>
      </c>
      <c r="E548" s="206" t="s">
        <v>6</v>
      </c>
      <c r="F548" s="81">
        <v>11</v>
      </c>
      <c r="G548" s="81">
        <v>6</v>
      </c>
      <c r="H548" s="3" t="str">
        <f t="shared" si="26"/>
        <v>ROOD</v>
      </c>
      <c r="I548" s="3" t="str">
        <f t="shared" si="27"/>
        <v>Tiemen</v>
      </c>
      <c r="J548" s="4" t="str">
        <f t="shared" si="28"/>
        <v>Karel</v>
      </c>
      <c r="K548" t="str">
        <f>Tabel3[[#This Row],[Rood Verdediging]]&amp;Tabel3[[#This Row],[Rood Aanval]]</f>
        <v>TiemenKarel</v>
      </c>
      <c r="L548" t="str">
        <f>Tabel3[[#This Row],[Groen Verdediging]]&amp;Tabel3[[#This Row],[Groen Aanval]]</f>
        <v>NicolasStef D</v>
      </c>
      <c r="M548" t="str">
        <f>Tabel3[[#This Row],[Winnaar 1]]&amp;Tabel3[[#This Row],[Winnaar 2]]</f>
        <v>TiemenKarel</v>
      </c>
      <c r="N548" t="str">
        <f>IF(Tabel3[[#This Row],[Team Rood]]=Tabel3[[#This Row],[Winnaars]],Tabel3[[#This Row],[Team Rood]])</f>
        <v>TiemenKarel</v>
      </c>
      <c r="O548" t="b">
        <f>IF(Tabel3[[#This Row],[Team Groen]]=Tabel3[[#This Row],[Winnaars]],Tabel3[[#This Row],[Team Groen]])</f>
        <v>0</v>
      </c>
    </row>
    <row r="549" spans="1:15" x14ac:dyDescent="0.25">
      <c r="A549" s="14">
        <v>549</v>
      </c>
      <c r="B549" s="205" t="s">
        <v>3</v>
      </c>
      <c r="C549" s="205" t="s">
        <v>6</v>
      </c>
      <c r="D549" s="206" t="s">
        <v>8</v>
      </c>
      <c r="E549" s="206" t="s">
        <v>19</v>
      </c>
      <c r="F549" s="81">
        <v>11</v>
      </c>
      <c r="G549" s="81">
        <v>8</v>
      </c>
      <c r="H549" s="3" t="str">
        <f t="shared" si="26"/>
        <v>ROOD</v>
      </c>
      <c r="I549" s="3" t="str">
        <f t="shared" si="27"/>
        <v>Karel</v>
      </c>
      <c r="J549" s="4" t="str">
        <f t="shared" si="28"/>
        <v>Stef D</v>
      </c>
      <c r="K549" t="str">
        <f>Tabel3[[#This Row],[Rood Verdediging]]&amp;Tabel3[[#This Row],[Rood Aanval]]</f>
        <v>KarelStef D</v>
      </c>
      <c r="L549" t="str">
        <f>Tabel3[[#This Row],[Groen Verdediging]]&amp;Tabel3[[#This Row],[Groen Aanval]]</f>
        <v>LouisNicolas</v>
      </c>
      <c r="M549" t="str">
        <f>Tabel3[[#This Row],[Winnaar 1]]&amp;Tabel3[[#This Row],[Winnaar 2]]</f>
        <v>KarelStef D</v>
      </c>
      <c r="N549" t="str">
        <f>IF(Tabel3[[#This Row],[Team Rood]]=Tabel3[[#This Row],[Winnaars]],Tabel3[[#This Row],[Team Rood]])</f>
        <v>KarelStef D</v>
      </c>
      <c r="O549" t="b">
        <f>IF(Tabel3[[#This Row],[Team Groen]]=Tabel3[[#This Row],[Winnaars]],Tabel3[[#This Row],[Team Groen]])</f>
        <v>0</v>
      </c>
    </row>
    <row r="550" spans="1:15" x14ac:dyDescent="0.25">
      <c r="A550" s="14">
        <v>550</v>
      </c>
      <c r="B550" s="205" t="s">
        <v>8</v>
      </c>
      <c r="C550" s="205" t="s">
        <v>7</v>
      </c>
      <c r="D550" s="206" t="s">
        <v>6</v>
      </c>
      <c r="E550" s="206" t="s">
        <v>3</v>
      </c>
      <c r="F550" s="81">
        <v>12</v>
      </c>
      <c r="G550" s="81">
        <v>10</v>
      </c>
      <c r="H550" s="3" t="str">
        <f t="shared" si="26"/>
        <v>ROOD</v>
      </c>
      <c r="I550" s="3" t="str">
        <f t="shared" si="27"/>
        <v>Louis</v>
      </c>
      <c r="J550" s="4" t="str">
        <f t="shared" si="28"/>
        <v>Tiemen</v>
      </c>
      <c r="K550" t="str">
        <f>Tabel3[[#This Row],[Rood Verdediging]]&amp;Tabel3[[#This Row],[Rood Aanval]]</f>
        <v>LouisTiemen</v>
      </c>
      <c r="L550" t="str">
        <f>Tabel3[[#This Row],[Groen Verdediging]]&amp;Tabel3[[#This Row],[Groen Aanval]]</f>
        <v>Stef DKarel</v>
      </c>
      <c r="M550" t="str">
        <f>Tabel3[[#This Row],[Winnaar 1]]&amp;Tabel3[[#This Row],[Winnaar 2]]</f>
        <v>LouisTiemen</v>
      </c>
      <c r="N550" t="str">
        <f>IF(Tabel3[[#This Row],[Team Rood]]=Tabel3[[#This Row],[Winnaars]],Tabel3[[#This Row],[Team Rood]])</f>
        <v>LouisTiemen</v>
      </c>
      <c r="O550" t="b">
        <f>IF(Tabel3[[#This Row],[Team Groen]]=Tabel3[[#This Row],[Winnaars]],Tabel3[[#This Row],[Team Groen]])</f>
        <v>0</v>
      </c>
    </row>
    <row r="551" spans="1:15" x14ac:dyDescent="0.25">
      <c r="A551" s="14">
        <v>551</v>
      </c>
      <c r="B551" s="205" t="s">
        <v>8</v>
      </c>
      <c r="C551" s="205" t="s">
        <v>6</v>
      </c>
      <c r="D551" s="206" t="s">
        <v>7</v>
      </c>
      <c r="E551" s="206" t="s">
        <v>3</v>
      </c>
      <c r="F551" s="81">
        <v>11</v>
      </c>
      <c r="G551" s="81">
        <v>7</v>
      </c>
      <c r="H551" s="3" t="str">
        <f t="shared" si="26"/>
        <v>ROOD</v>
      </c>
      <c r="I551" s="3" t="str">
        <f t="shared" si="27"/>
        <v>Louis</v>
      </c>
      <c r="J551" s="4" t="str">
        <f t="shared" si="28"/>
        <v>Stef D</v>
      </c>
      <c r="K551" t="str">
        <f>Tabel3[[#This Row],[Rood Verdediging]]&amp;Tabel3[[#This Row],[Rood Aanval]]</f>
        <v>LouisStef D</v>
      </c>
      <c r="L551" t="str">
        <f>Tabel3[[#This Row],[Groen Verdediging]]&amp;Tabel3[[#This Row],[Groen Aanval]]</f>
        <v>TiemenKarel</v>
      </c>
      <c r="M551" t="str">
        <f>Tabel3[[#This Row],[Winnaar 1]]&amp;Tabel3[[#This Row],[Winnaar 2]]</f>
        <v>LouisStef D</v>
      </c>
      <c r="N551" t="str">
        <f>IF(Tabel3[[#This Row],[Team Rood]]=Tabel3[[#This Row],[Winnaars]],Tabel3[[#This Row],[Team Rood]])</f>
        <v>LouisStef D</v>
      </c>
      <c r="O551" t="b">
        <f>IF(Tabel3[[#This Row],[Team Groen]]=Tabel3[[#This Row],[Winnaars]],Tabel3[[#This Row],[Team Groen]])</f>
        <v>0</v>
      </c>
    </row>
    <row r="552" spans="1:15" x14ac:dyDescent="0.25">
      <c r="A552" s="14">
        <v>552</v>
      </c>
      <c r="B552" s="205" t="s">
        <v>7</v>
      </c>
      <c r="C552" s="205" t="s">
        <v>6</v>
      </c>
      <c r="D552" s="206" t="s">
        <v>11</v>
      </c>
      <c r="E552" s="206" t="s">
        <v>8</v>
      </c>
      <c r="F552" s="81">
        <v>11</v>
      </c>
      <c r="G552" s="81">
        <v>6</v>
      </c>
      <c r="H552" s="3" t="str">
        <f t="shared" si="26"/>
        <v>ROOD</v>
      </c>
      <c r="I552" s="3" t="str">
        <f t="shared" si="27"/>
        <v>Tiemen</v>
      </c>
      <c r="J552" s="4" t="str">
        <f t="shared" si="28"/>
        <v>Stef D</v>
      </c>
      <c r="K552" t="str">
        <f>Tabel3[[#This Row],[Rood Verdediging]]&amp;Tabel3[[#This Row],[Rood Aanval]]</f>
        <v>TiemenStef D</v>
      </c>
      <c r="L552" t="str">
        <f>Tabel3[[#This Row],[Groen Verdediging]]&amp;Tabel3[[#This Row],[Groen Aanval]]</f>
        <v>MatthijsLouis</v>
      </c>
      <c r="M552" t="str">
        <f>Tabel3[[#This Row],[Winnaar 1]]&amp;Tabel3[[#This Row],[Winnaar 2]]</f>
        <v>TiemenStef D</v>
      </c>
      <c r="N552" t="str">
        <f>IF(Tabel3[[#This Row],[Team Rood]]=Tabel3[[#This Row],[Winnaars]],Tabel3[[#This Row],[Team Rood]])</f>
        <v>TiemenStef D</v>
      </c>
      <c r="O552" t="b">
        <f>IF(Tabel3[[#This Row],[Team Groen]]=Tabel3[[#This Row],[Winnaars]],Tabel3[[#This Row],[Team Groen]])</f>
        <v>0</v>
      </c>
    </row>
    <row r="553" spans="1:15" x14ac:dyDescent="0.25">
      <c r="A553" s="14">
        <v>553</v>
      </c>
      <c r="B553" s="205" t="s">
        <v>3</v>
      </c>
      <c r="C553" s="205" t="s">
        <v>7</v>
      </c>
      <c r="D553" s="206" t="s">
        <v>8</v>
      </c>
      <c r="E553" s="206" t="s">
        <v>6</v>
      </c>
      <c r="F553" s="81">
        <v>14</v>
      </c>
      <c r="G553" s="81">
        <v>16</v>
      </c>
      <c r="H553" s="3" t="str">
        <f t="shared" si="26"/>
        <v>GROEN</v>
      </c>
      <c r="I553" s="3" t="str">
        <f t="shared" si="27"/>
        <v>Louis</v>
      </c>
      <c r="J553" s="4" t="str">
        <f t="shared" si="28"/>
        <v>Stef D</v>
      </c>
      <c r="K553" t="str">
        <f>Tabel3[[#This Row],[Rood Verdediging]]&amp;Tabel3[[#This Row],[Rood Aanval]]</f>
        <v>KarelTiemen</v>
      </c>
      <c r="L553" t="str">
        <f>Tabel3[[#This Row],[Groen Verdediging]]&amp;Tabel3[[#This Row],[Groen Aanval]]</f>
        <v>LouisStef D</v>
      </c>
      <c r="M553" t="str">
        <f>Tabel3[[#This Row],[Winnaar 1]]&amp;Tabel3[[#This Row],[Winnaar 2]]</f>
        <v>LouisStef D</v>
      </c>
      <c r="N553" t="b">
        <f>IF(Tabel3[[#This Row],[Team Rood]]=Tabel3[[#This Row],[Winnaars]],Tabel3[[#This Row],[Team Rood]])</f>
        <v>0</v>
      </c>
      <c r="O553" t="str">
        <f>IF(Tabel3[[#This Row],[Team Groen]]=Tabel3[[#This Row],[Winnaars]],Tabel3[[#This Row],[Team Groen]])</f>
        <v>LouisStef D</v>
      </c>
    </row>
    <row r="554" spans="1:15" x14ac:dyDescent="0.25">
      <c r="A554" s="14">
        <v>554</v>
      </c>
      <c r="B554" s="205" t="s">
        <v>11</v>
      </c>
      <c r="C554" s="205" t="s">
        <v>6</v>
      </c>
      <c r="D554" s="206" t="s">
        <v>7</v>
      </c>
      <c r="E554" s="206" t="s">
        <v>8</v>
      </c>
      <c r="F554" s="81">
        <v>11</v>
      </c>
      <c r="G554" s="81">
        <v>2</v>
      </c>
      <c r="H554" s="3" t="str">
        <f t="shared" si="26"/>
        <v>ROOD</v>
      </c>
      <c r="I554" s="3" t="str">
        <f t="shared" si="27"/>
        <v>Matthijs</v>
      </c>
      <c r="J554" s="4" t="str">
        <f t="shared" si="28"/>
        <v>Stef D</v>
      </c>
      <c r="K554" t="str">
        <f>Tabel3[[#This Row],[Rood Verdediging]]&amp;Tabel3[[#This Row],[Rood Aanval]]</f>
        <v>MatthijsStef D</v>
      </c>
      <c r="L554" t="str">
        <f>Tabel3[[#This Row],[Groen Verdediging]]&amp;Tabel3[[#This Row],[Groen Aanval]]</f>
        <v>TiemenLouis</v>
      </c>
      <c r="M554" t="str">
        <f>Tabel3[[#This Row],[Winnaar 1]]&amp;Tabel3[[#This Row],[Winnaar 2]]</f>
        <v>MatthijsStef D</v>
      </c>
      <c r="N554" t="str">
        <f>IF(Tabel3[[#This Row],[Team Rood]]=Tabel3[[#This Row],[Winnaars]],Tabel3[[#This Row],[Team Rood]])</f>
        <v>MatthijsStef D</v>
      </c>
      <c r="O554" t="b">
        <f>IF(Tabel3[[#This Row],[Team Groen]]=Tabel3[[#This Row],[Winnaars]],Tabel3[[#This Row],[Team Groen]])</f>
        <v>0</v>
      </c>
    </row>
    <row r="555" spans="1:15" x14ac:dyDescent="0.25">
      <c r="A555" s="14">
        <v>555</v>
      </c>
      <c r="B555" s="205" t="s">
        <v>19</v>
      </c>
      <c r="C555" s="205" t="s">
        <v>3</v>
      </c>
      <c r="D555" s="206" t="s">
        <v>6</v>
      </c>
      <c r="E555" s="206" t="s">
        <v>11</v>
      </c>
      <c r="F555" s="81">
        <v>14</v>
      </c>
      <c r="G555" s="81">
        <v>16</v>
      </c>
      <c r="H555" s="3" t="str">
        <f t="shared" si="26"/>
        <v>GROEN</v>
      </c>
      <c r="I555" s="3" t="str">
        <f t="shared" si="27"/>
        <v>Stef D</v>
      </c>
      <c r="J555" s="4" t="str">
        <f t="shared" si="28"/>
        <v>Matthijs</v>
      </c>
      <c r="K555" t="str">
        <f>Tabel3[[#This Row],[Rood Verdediging]]&amp;Tabel3[[#This Row],[Rood Aanval]]</f>
        <v>NicolasKarel</v>
      </c>
      <c r="L555" t="str">
        <f>Tabel3[[#This Row],[Groen Verdediging]]&amp;Tabel3[[#This Row],[Groen Aanval]]</f>
        <v>Stef DMatthijs</v>
      </c>
      <c r="M555" t="str">
        <f>Tabel3[[#This Row],[Winnaar 1]]&amp;Tabel3[[#This Row],[Winnaar 2]]</f>
        <v>Stef DMatthijs</v>
      </c>
      <c r="N555" t="b">
        <f>IF(Tabel3[[#This Row],[Team Rood]]=Tabel3[[#This Row],[Winnaars]],Tabel3[[#This Row],[Team Rood]])</f>
        <v>0</v>
      </c>
      <c r="O555" t="str">
        <f>IF(Tabel3[[#This Row],[Team Groen]]=Tabel3[[#This Row],[Winnaars]],Tabel3[[#This Row],[Team Groen]])</f>
        <v>Stef DMatthijs</v>
      </c>
    </row>
    <row r="556" spans="1:15" x14ac:dyDescent="0.25">
      <c r="A556" s="14">
        <v>556</v>
      </c>
      <c r="B556" s="205" t="s">
        <v>8</v>
      </c>
      <c r="C556" s="205" t="s">
        <v>6</v>
      </c>
      <c r="D556" s="206" t="s">
        <v>11</v>
      </c>
      <c r="E556" s="206" t="s">
        <v>3</v>
      </c>
      <c r="F556" s="81">
        <v>11</v>
      </c>
      <c r="G556" s="81">
        <v>7</v>
      </c>
      <c r="H556" s="3" t="str">
        <f t="shared" si="26"/>
        <v>ROOD</v>
      </c>
      <c r="I556" s="3" t="str">
        <f t="shared" si="27"/>
        <v>Louis</v>
      </c>
      <c r="J556" s="4" t="str">
        <f t="shared" si="28"/>
        <v>Stef D</v>
      </c>
      <c r="K556" t="str">
        <f>Tabel3[[#This Row],[Rood Verdediging]]&amp;Tabel3[[#This Row],[Rood Aanval]]</f>
        <v>LouisStef D</v>
      </c>
      <c r="L556" t="str">
        <f>Tabel3[[#This Row],[Groen Verdediging]]&amp;Tabel3[[#This Row],[Groen Aanval]]</f>
        <v>MatthijsKarel</v>
      </c>
      <c r="M556" t="str">
        <f>Tabel3[[#This Row],[Winnaar 1]]&amp;Tabel3[[#This Row],[Winnaar 2]]</f>
        <v>LouisStef D</v>
      </c>
      <c r="N556" t="str">
        <f>IF(Tabel3[[#This Row],[Team Rood]]=Tabel3[[#This Row],[Winnaars]],Tabel3[[#This Row],[Team Rood]])</f>
        <v>LouisStef D</v>
      </c>
      <c r="O556" t="b">
        <f>IF(Tabel3[[#This Row],[Team Groen]]=Tabel3[[#This Row],[Winnaars]],Tabel3[[#This Row],[Team Groen]])</f>
        <v>0</v>
      </c>
    </row>
    <row r="557" spans="1:15" x14ac:dyDescent="0.25">
      <c r="A557" s="14">
        <v>557</v>
      </c>
      <c r="B557" s="205" t="s">
        <v>3</v>
      </c>
      <c r="C557" s="205" t="s">
        <v>8</v>
      </c>
      <c r="D557" s="206" t="s">
        <v>4</v>
      </c>
      <c r="E557" s="206" t="s">
        <v>11</v>
      </c>
      <c r="F557" s="81">
        <v>11</v>
      </c>
      <c r="G557" s="81">
        <v>9</v>
      </c>
      <c r="H557" s="3" t="str">
        <f t="shared" si="26"/>
        <v>ROOD</v>
      </c>
      <c r="I557" s="3" t="str">
        <f t="shared" si="27"/>
        <v>Karel</v>
      </c>
      <c r="J557" s="4" t="str">
        <f t="shared" si="28"/>
        <v>Louis</v>
      </c>
      <c r="K557" t="str">
        <f>Tabel3[[#This Row],[Rood Verdediging]]&amp;Tabel3[[#This Row],[Rood Aanval]]</f>
        <v>KarelLouis</v>
      </c>
      <c r="L557" t="str">
        <f>Tabel3[[#This Row],[Groen Verdediging]]&amp;Tabel3[[#This Row],[Groen Aanval]]</f>
        <v>StefMatthijs</v>
      </c>
      <c r="M557" t="str">
        <f>Tabel3[[#This Row],[Winnaar 1]]&amp;Tabel3[[#This Row],[Winnaar 2]]</f>
        <v>KarelLouis</v>
      </c>
      <c r="N557" t="str">
        <f>IF(Tabel3[[#This Row],[Team Rood]]=Tabel3[[#This Row],[Winnaars]],Tabel3[[#This Row],[Team Rood]])</f>
        <v>KarelLouis</v>
      </c>
      <c r="O557" t="b">
        <f>IF(Tabel3[[#This Row],[Team Groen]]=Tabel3[[#This Row],[Winnaars]],Tabel3[[#This Row],[Team Groen]])</f>
        <v>0</v>
      </c>
    </row>
    <row r="558" spans="1:15" x14ac:dyDescent="0.25">
      <c r="A558" s="14">
        <v>558</v>
      </c>
      <c r="B558" s="205" t="s">
        <v>6</v>
      </c>
      <c r="C558" s="205" t="s">
        <v>3</v>
      </c>
      <c r="D558" s="206" t="s">
        <v>8</v>
      </c>
      <c r="E558" s="206" t="s">
        <v>11</v>
      </c>
      <c r="F558" s="81">
        <v>11</v>
      </c>
      <c r="G558" s="81">
        <v>5</v>
      </c>
      <c r="H558" s="3" t="str">
        <f t="shared" si="26"/>
        <v>ROOD</v>
      </c>
      <c r="I558" s="3" t="str">
        <f t="shared" si="27"/>
        <v>Stef D</v>
      </c>
      <c r="J558" s="4" t="str">
        <f t="shared" si="28"/>
        <v>Karel</v>
      </c>
      <c r="K558" t="str">
        <f>Tabel3[[#This Row],[Rood Verdediging]]&amp;Tabel3[[#This Row],[Rood Aanval]]</f>
        <v>Stef DKarel</v>
      </c>
      <c r="L558" t="str">
        <f>Tabel3[[#This Row],[Groen Verdediging]]&amp;Tabel3[[#This Row],[Groen Aanval]]</f>
        <v>LouisMatthijs</v>
      </c>
      <c r="M558" t="str">
        <f>Tabel3[[#This Row],[Winnaar 1]]&amp;Tabel3[[#This Row],[Winnaar 2]]</f>
        <v>Stef DKarel</v>
      </c>
      <c r="N558" t="str">
        <f>IF(Tabel3[[#This Row],[Team Rood]]=Tabel3[[#This Row],[Winnaars]],Tabel3[[#This Row],[Team Rood]])</f>
        <v>Stef DKarel</v>
      </c>
      <c r="O558" t="b">
        <f>IF(Tabel3[[#This Row],[Team Groen]]=Tabel3[[#This Row],[Winnaars]],Tabel3[[#This Row],[Team Groen]])</f>
        <v>0</v>
      </c>
    </row>
    <row r="559" spans="1:15" x14ac:dyDescent="0.25">
      <c r="A559" s="14">
        <v>559</v>
      </c>
      <c r="B559" s="205" t="s">
        <v>19</v>
      </c>
      <c r="C559" s="205" t="s">
        <v>6</v>
      </c>
      <c r="D559" s="206" t="s">
        <v>8</v>
      </c>
      <c r="E559" s="206" t="s">
        <v>3</v>
      </c>
      <c r="F559" s="81">
        <v>12</v>
      </c>
      <c r="G559" s="81">
        <v>10</v>
      </c>
      <c r="H559" s="3" t="str">
        <f t="shared" si="26"/>
        <v>ROOD</v>
      </c>
      <c r="I559" s="3" t="str">
        <f t="shared" si="27"/>
        <v>Nicolas</v>
      </c>
      <c r="J559" s="4" t="str">
        <f t="shared" si="28"/>
        <v>Stef D</v>
      </c>
      <c r="K559" t="str">
        <f>Tabel3[[#This Row],[Rood Verdediging]]&amp;Tabel3[[#This Row],[Rood Aanval]]</f>
        <v>NicolasStef D</v>
      </c>
      <c r="L559" t="str">
        <f>Tabel3[[#This Row],[Groen Verdediging]]&amp;Tabel3[[#This Row],[Groen Aanval]]</f>
        <v>LouisKarel</v>
      </c>
      <c r="M559" t="str">
        <f>Tabel3[[#This Row],[Winnaar 1]]&amp;Tabel3[[#This Row],[Winnaar 2]]</f>
        <v>NicolasStef D</v>
      </c>
      <c r="N559" t="str">
        <f>IF(Tabel3[[#This Row],[Team Rood]]=Tabel3[[#This Row],[Winnaars]],Tabel3[[#This Row],[Team Rood]])</f>
        <v>NicolasStef D</v>
      </c>
      <c r="O559" t="b">
        <f>IF(Tabel3[[#This Row],[Team Groen]]=Tabel3[[#This Row],[Winnaars]],Tabel3[[#This Row],[Team Groen]])</f>
        <v>0</v>
      </c>
    </row>
    <row r="560" spans="1:15" x14ac:dyDescent="0.25">
      <c r="A560" s="14">
        <v>560</v>
      </c>
      <c r="B560" s="205" t="s">
        <v>11</v>
      </c>
      <c r="C560" s="205" t="s">
        <v>6</v>
      </c>
      <c r="D560" s="206" t="s">
        <v>3</v>
      </c>
      <c r="E560" s="206" t="s">
        <v>19</v>
      </c>
      <c r="F560" s="81">
        <v>11</v>
      </c>
      <c r="G560" s="81">
        <v>13</v>
      </c>
      <c r="H560" s="3" t="str">
        <f t="shared" si="26"/>
        <v>GROEN</v>
      </c>
      <c r="I560" s="3" t="str">
        <f t="shared" si="27"/>
        <v>Karel</v>
      </c>
      <c r="J560" s="4" t="str">
        <f t="shared" si="28"/>
        <v>Nicolas</v>
      </c>
      <c r="K560" t="str">
        <f>Tabel3[[#This Row],[Rood Verdediging]]&amp;Tabel3[[#This Row],[Rood Aanval]]</f>
        <v>MatthijsStef D</v>
      </c>
      <c r="L560" t="str">
        <f>Tabel3[[#This Row],[Groen Verdediging]]&amp;Tabel3[[#This Row],[Groen Aanval]]</f>
        <v>KarelNicolas</v>
      </c>
      <c r="M560" t="str">
        <f>Tabel3[[#This Row],[Winnaar 1]]&amp;Tabel3[[#This Row],[Winnaar 2]]</f>
        <v>KarelNicolas</v>
      </c>
      <c r="N560" t="b">
        <f>IF(Tabel3[[#This Row],[Team Rood]]=Tabel3[[#This Row],[Winnaars]],Tabel3[[#This Row],[Team Rood]])</f>
        <v>0</v>
      </c>
      <c r="O560" t="str">
        <f>IF(Tabel3[[#This Row],[Team Groen]]=Tabel3[[#This Row],[Winnaars]],Tabel3[[#This Row],[Team Groen]])</f>
        <v>KarelNicolas</v>
      </c>
    </row>
    <row r="561" spans="1:15" x14ac:dyDescent="0.25">
      <c r="A561" s="14">
        <v>561</v>
      </c>
      <c r="B561" s="205" t="s">
        <v>6</v>
      </c>
      <c r="C561" s="205" t="s">
        <v>0</v>
      </c>
      <c r="D561" s="206" t="s">
        <v>8</v>
      </c>
      <c r="E561" s="206" t="s">
        <v>19</v>
      </c>
      <c r="F561" s="81">
        <v>11</v>
      </c>
      <c r="G561" s="81">
        <v>9</v>
      </c>
      <c r="H561" s="3" t="str">
        <f t="shared" si="26"/>
        <v>ROOD</v>
      </c>
      <c r="I561" s="3" t="str">
        <f t="shared" si="27"/>
        <v>Stef D</v>
      </c>
      <c r="J561" s="4" t="str">
        <f t="shared" si="28"/>
        <v>Jonas</v>
      </c>
      <c r="K561" t="str">
        <f>Tabel3[[#This Row],[Rood Verdediging]]&amp;Tabel3[[#This Row],[Rood Aanval]]</f>
        <v>Stef DJonas</v>
      </c>
      <c r="L561" t="str">
        <f>Tabel3[[#This Row],[Groen Verdediging]]&amp;Tabel3[[#This Row],[Groen Aanval]]</f>
        <v>LouisNicolas</v>
      </c>
      <c r="M561" t="str">
        <f>Tabel3[[#This Row],[Winnaar 1]]&amp;Tabel3[[#This Row],[Winnaar 2]]</f>
        <v>Stef DJonas</v>
      </c>
      <c r="N561" t="str">
        <f>IF(Tabel3[[#This Row],[Team Rood]]=Tabel3[[#This Row],[Winnaars]],Tabel3[[#This Row],[Team Rood]])</f>
        <v>Stef DJonas</v>
      </c>
      <c r="O561" t="b">
        <f>IF(Tabel3[[#This Row],[Team Groen]]=Tabel3[[#This Row],[Winnaars]],Tabel3[[#This Row],[Team Groen]])</f>
        <v>0</v>
      </c>
    </row>
    <row r="562" spans="1:15" x14ac:dyDescent="0.25">
      <c r="A562" s="14">
        <v>562</v>
      </c>
      <c r="B562" s="205" t="s">
        <v>3</v>
      </c>
      <c r="C562" s="205" t="s">
        <v>0</v>
      </c>
      <c r="D562" s="206" t="s">
        <v>7</v>
      </c>
      <c r="E562" s="206" t="s">
        <v>8</v>
      </c>
      <c r="F562" s="81">
        <v>11</v>
      </c>
      <c r="G562" s="81">
        <v>9</v>
      </c>
      <c r="H562" s="3" t="str">
        <f t="shared" si="26"/>
        <v>ROOD</v>
      </c>
      <c r="I562" s="3" t="str">
        <f t="shared" si="27"/>
        <v>Karel</v>
      </c>
      <c r="J562" s="4" t="str">
        <f t="shared" si="28"/>
        <v>Jonas</v>
      </c>
      <c r="K562" t="str">
        <f>Tabel3[[#This Row],[Rood Verdediging]]&amp;Tabel3[[#This Row],[Rood Aanval]]</f>
        <v>KarelJonas</v>
      </c>
      <c r="L562" t="str">
        <f>Tabel3[[#This Row],[Groen Verdediging]]&amp;Tabel3[[#This Row],[Groen Aanval]]</f>
        <v>TiemenLouis</v>
      </c>
      <c r="M562" t="str">
        <f>Tabel3[[#This Row],[Winnaar 1]]&amp;Tabel3[[#This Row],[Winnaar 2]]</f>
        <v>KarelJonas</v>
      </c>
      <c r="N562" t="str">
        <f>IF(Tabel3[[#This Row],[Team Rood]]=Tabel3[[#This Row],[Winnaars]],Tabel3[[#This Row],[Team Rood]])</f>
        <v>KarelJonas</v>
      </c>
      <c r="O562" t="b">
        <f>IF(Tabel3[[#This Row],[Team Groen]]=Tabel3[[#This Row],[Winnaars]],Tabel3[[#This Row],[Team Groen]])</f>
        <v>0</v>
      </c>
    </row>
    <row r="563" spans="1:15" x14ac:dyDescent="0.25">
      <c r="A563" s="14">
        <v>563</v>
      </c>
      <c r="B563" s="205" t="s">
        <v>8</v>
      </c>
      <c r="C563" s="205" t="s">
        <v>6</v>
      </c>
      <c r="D563" s="206" t="s">
        <v>19</v>
      </c>
      <c r="E563" s="206" t="s">
        <v>80</v>
      </c>
      <c r="F563" s="81">
        <v>11</v>
      </c>
      <c r="G563" s="81">
        <v>9</v>
      </c>
      <c r="H563" s="3" t="str">
        <f t="shared" si="26"/>
        <v>ROOD</v>
      </c>
      <c r="I563" s="3" t="str">
        <f t="shared" si="27"/>
        <v>Louis</v>
      </c>
      <c r="J563" s="4" t="str">
        <f t="shared" si="28"/>
        <v>Stef D</v>
      </c>
      <c r="K563" t="str">
        <f>Tabel3[[#This Row],[Rood Verdediging]]&amp;Tabel3[[#This Row],[Rood Aanval]]</f>
        <v>LouisStef D</v>
      </c>
      <c r="L563" t="str">
        <f>Tabel3[[#This Row],[Groen Verdediging]]&amp;Tabel3[[#This Row],[Groen Aanval]]</f>
        <v>NicolasTobi</v>
      </c>
      <c r="M563" t="str">
        <f>Tabel3[[#This Row],[Winnaar 1]]&amp;Tabel3[[#This Row],[Winnaar 2]]</f>
        <v>LouisStef D</v>
      </c>
      <c r="N563" t="str">
        <f>IF(Tabel3[[#This Row],[Team Rood]]=Tabel3[[#This Row],[Winnaars]],Tabel3[[#This Row],[Team Rood]])</f>
        <v>LouisStef D</v>
      </c>
      <c r="O563" t="b">
        <f>IF(Tabel3[[#This Row],[Team Groen]]=Tabel3[[#This Row],[Winnaars]],Tabel3[[#This Row],[Team Groen]])</f>
        <v>0</v>
      </c>
    </row>
    <row r="564" spans="1:15" x14ac:dyDescent="0.25">
      <c r="A564" s="14">
        <v>564</v>
      </c>
      <c r="B564" s="205" t="s">
        <v>80</v>
      </c>
      <c r="C564" s="205" t="s">
        <v>3</v>
      </c>
      <c r="D564" s="206" t="s">
        <v>0</v>
      </c>
      <c r="E564" s="206" t="s">
        <v>7</v>
      </c>
      <c r="F564" s="81">
        <v>9</v>
      </c>
      <c r="G564" s="81">
        <v>11</v>
      </c>
      <c r="H564" s="3" t="str">
        <f t="shared" si="26"/>
        <v>GROEN</v>
      </c>
      <c r="I564" s="3" t="str">
        <f t="shared" si="27"/>
        <v>Jonas</v>
      </c>
      <c r="J564" s="4" t="str">
        <f t="shared" si="28"/>
        <v>Tiemen</v>
      </c>
      <c r="K564" t="str">
        <f>Tabel3[[#This Row],[Rood Verdediging]]&amp;Tabel3[[#This Row],[Rood Aanval]]</f>
        <v>TobiKarel</v>
      </c>
      <c r="L564" t="str">
        <f>Tabel3[[#This Row],[Groen Verdediging]]&amp;Tabel3[[#This Row],[Groen Aanval]]</f>
        <v>JonasTiemen</v>
      </c>
      <c r="M564" t="str">
        <f>Tabel3[[#This Row],[Winnaar 1]]&amp;Tabel3[[#This Row],[Winnaar 2]]</f>
        <v>JonasTiemen</v>
      </c>
      <c r="N564" t="b">
        <f>IF(Tabel3[[#This Row],[Team Rood]]=Tabel3[[#This Row],[Winnaars]],Tabel3[[#This Row],[Team Rood]])</f>
        <v>0</v>
      </c>
      <c r="O564" t="str">
        <f>IF(Tabel3[[#This Row],[Team Groen]]=Tabel3[[#This Row],[Winnaars]],Tabel3[[#This Row],[Team Groen]])</f>
        <v>JonasTiemen</v>
      </c>
    </row>
    <row r="565" spans="1:15" x14ac:dyDescent="0.25">
      <c r="A565" s="14">
        <v>565</v>
      </c>
      <c r="B565" s="205" t="s">
        <v>0</v>
      </c>
      <c r="C565" s="205" t="s">
        <v>19</v>
      </c>
      <c r="D565" s="206" t="s">
        <v>3</v>
      </c>
      <c r="E565" s="206" t="s">
        <v>6</v>
      </c>
      <c r="F565" s="81">
        <v>6</v>
      </c>
      <c r="G565" s="81">
        <v>11</v>
      </c>
      <c r="H565" s="3" t="str">
        <f t="shared" si="26"/>
        <v>GROEN</v>
      </c>
      <c r="I565" s="3" t="str">
        <f t="shared" si="27"/>
        <v>Karel</v>
      </c>
      <c r="J565" s="4" t="str">
        <f t="shared" si="28"/>
        <v>Stef D</v>
      </c>
      <c r="K565" t="str">
        <f>Tabel3[[#This Row],[Rood Verdediging]]&amp;Tabel3[[#This Row],[Rood Aanval]]</f>
        <v>JonasNicolas</v>
      </c>
      <c r="L565" t="str">
        <f>Tabel3[[#This Row],[Groen Verdediging]]&amp;Tabel3[[#This Row],[Groen Aanval]]</f>
        <v>KarelStef D</v>
      </c>
      <c r="M565" t="str">
        <f>Tabel3[[#This Row],[Winnaar 1]]&amp;Tabel3[[#This Row],[Winnaar 2]]</f>
        <v>KarelStef D</v>
      </c>
      <c r="N565" t="b">
        <f>IF(Tabel3[[#This Row],[Team Rood]]=Tabel3[[#This Row],[Winnaars]],Tabel3[[#This Row],[Team Rood]])</f>
        <v>0</v>
      </c>
      <c r="O565" t="str">
        <f>IF(Tabel3[[#This Row],[Team Groen]]=Tabel3[[#This Row],[Winnaars]],Tabel3[[#This Row],[Team Groen]])</f>
        <v>KarelStef D</v>
      </c>
    </row>
    <row r="566" spans="1:15" x14ac:dyDescent="0.25">
      <c r="A566" s="14">
        <v>566</v>
      </c>
      <c r="B566" s="205" t="s">
        <v>0</v>
      </c>
      <c r="C566" s="205" t="s">
        <v>7</v>
      </c>
      <c r="D566" s="206" t="s">
        <v>19</v>
      </c>
      <c r="E566" s="206" t="s">
        <v>6</v>
      </c>
      <c r="F566" s="81">
        <v>11</v>
      </c>
      <c r="G566" s="81">
        <v>5</v>
      </c>
      <c r="H566" s="3" t="str">
        <f t="shared" si="26"/>
        <v>ROOD</v>
      </c>
      <c r="I566" s="3" t="str">
        <f t="shared" si="27"/>
        <v>Jonas</v>
      </c>
      <c r="J566" s="4" t="str">
        <f t="shared" si="28"/>
        <v>Tiemen</v>
      </c>
      <c r="K566" t="str">
        <f>Tabel3[[#This Row],[Rood Verdediging]]&amp;Tabel3[[#This Row],[Rood Aanval]]</f>
        <v>JonasTiemen</v>
      </c>
      <c r="L566" t="str">
        <f>Tabel3[[#This Row],[Groen Verdediging]]&amp;Tabel3[[#This Row],[Groen Aanval]]</f>
        <v>NicolasStef D</v>
      </c>
      <c r="M566" t="str">
        <f>Tabel3[[#This Row],[Winnaar 1]]&amp;Tabel3[[#This Row],[Winnaar 2]]</f>
        <v>JonasTiemen</v>
      </c>
      <c r="N566" t="str">
        <f>IF(Tabel3[[#This Row],[Team Rood]]=Tabel3[[#This Row],[Winnaars]],Tabel3[[#This Row],[Team Rood]])</f>
        <v>JonasTiemen</v>
      </c>
      <c r="O566" t="b">
        <f>IF(Tabel3[[#This Row],[Team Groen]]=Tabel3[[#This Row],[Winnaars]],Tabel3[[#This Row],[Team Groen]])</f>
        <v>0</v>
      </c>
    </row>
    <row r="567" spans="1:15" x14ac:dyDescent="0.25">
      <c r="A567" s="14">
        <v>567</v>
      </c>
      <c r="B567" s="205" t="s">
        <v>19</v>
      </c>
      <c r="C567" s="205" t="s">
        <v>6</v>
      </c>
      <c r="D567" s="206" t="s">
        <v>8</v>
      </c>
      <c r="E567" s="206" t="s">
        <v>0</v>
      </c>
      <c r="F567" s="81">
        <v>5</v>
      </c>
      <c r="G567" s="81">
        <v>11</v>
      </c>
      <c r="H567" s="3" t="str">
        <f t="shared" si="26"/>
        <v>GROEN</v>
      </c>
      <c r="I567" s="3" t="str">
        <f t="shared" si="27"/>
        <v>Louis</v>
      </c>
      <c r="J567" s="4" t="str">
        <f t="shared" si="28"/>
        <v>Jonas</v>
      </c>
      <c r="K567" t="str">
        <f>Tabel3[[#This Row],[Rood Verdediging]]&amp;Tabel3[[#This Row],[Rood Aanval]]</f>
        <v>NicolasStef D</v>
      </c>
      <c r="L567" t="str">
        <f>Tabel3[[#This Row],[Groen Verdediging]]&amp;Tabel3[[#This Row],[Groen Aanval]]</f>
        <v>LouisJonas</v>
      </c>
      <c r="M567" t="str">
        <f>Tabel3[[#This Row],[Winnaar 1]]&amp;Tabel3[[#This Row],[Winnaar 2]]</f>
        <v>LouisJonas</v>
      </c>
      <c r="N567" t="b">
        <f>IF(Tabel3[[#This Row],[Team Rood]]=Tabel3[[#This Row],[Winnaars]],Tabel3[[#This Row],[Team Rood]])</f>
        <v>0</v>
      </c>
      <c r="O567" t="str">
        <f>IF(Tabel3[[#This Row],[Team Groen]]=Tabel3[[#This Row],[Winnaars]],Tabel3[[#This Row],[Team Groen]])</f>
        <v>LouisJonas</v>
      </c>
    </row>
    <row r="568" spans="1:15" x14ac:dyDescent="0.25">
      <c r="A568" s="14">
        <v>568</v>
      </c>
      <c r="B568" s="205" t="s">
        <v>8</v>
      </c>
      <c r="C568" s="205" t="s">
        <v>6</v>
      </c>
      <c r="D568" s="206" t="s">
        <v>19</v>
      </c>
      <c r="E568" s="206" t="s">
        <v>0</v>
      </c>
      <c r="F568" s="81">
        <v>12</v>
      </c>
      <c r="G568" s="81">
        <v>10</v>
      </c>
      <c r="H568" s="3" t="str">
        <f t="shared" si="26"/>
        <v>ROOD</v>
      </c>
      <c r="I568" s="3" t="str">
        <f t="shared" si="27"/>
        <v>Louis</v>
      </c>
      <c r="J568" s="4" t="str">
        <f t="shared" si="28"/>
        <v>Stef D</v>
      </c>
      <c r="K568" t="str">
        <f>Tabel3[[#This Row],[Rood Verdediging]]&amp;Tabel3[[#This Row],[Rood Aanval]]</f>
        <v>LouisStef D</v>
      </c>
      <c r="L568" t="str">
        <f>Tabel3[[#This Row],[Groen Verdediging]]&amp;Tabel3[[#This Row],[Groen Aanval]]</f>
        <v>NicolasJonas</v>
      </c>
      <c r="M568" t="str">
        <f>Tabel3[[#This Row],[Winnaar 1]]&amp;Tabel3[[#This Row],[Winnaar 2]]</f>
        <v>LouisStef D</v>
      </c>
      <c r="N568" t="str">
        <f>IF(Tabel3[[#This Row],[Team Rood]]=Tabel3[[#This Row],[Winnaars]],Tabel3[[#This Row],[Team Rood]])</f>
        <v>LouisStef D</v>
      </c>
      <c r="O568" t="b">
        <f>IF(Tabel3[[#This Row],[Team Groen]]=Tabel3[[#This Row],[Winnaars]],Tabel3[[#This Row],[Team Groen]])</f>
        <v>0</v>
      </c>
    </row>
    <row r="569" spans="1:15" x14ac:dyDescent="0.25">
      <c r="A569" s="14">
        <v>569</v>
      </c>
      <c r="B569" s="205" t="s">
        <v>8</v>
      </c>
      <c r="C569" s="205" t="s">
        <v>13</v>
      </c>
      <c r="D569" s="206" t="s">
        <v>0</v>
      </c>
      <c r="E569" s="206" t="s">
        <v>6</v>
      </c>
      <c r="F569" s="81">
        <v>10</v>
      </c>
      <c r="G569" s="81">
        <v>12</v>
      </c>
      <c r="H569" s="3" t="str">
        <f t="shared" si="26"/>
        <v>GROEN</v>
      </c>
      <c r="I569" s="3" t="str">
        <f t="shared" si="27"/>
        <v>Jonas</v>
      </c>
      <c r="J569" s="4" t="str">
        <f t="shared" si="28"/>
        <v>Stef D</v>
      </c>
      <c r="K569" t="str">
        <f>Tabel3[[#This Row],[Rood Verdediging]]&amp;Tabel3[[#This Row],[Rood Aanval]]</f>
        <v>LouisBert</v>
      </c>
      <c r="L569" t="str">
        <f>Tabel3[[#This Row],[Groen Verdediging]]&amp;Tabel3[[#This Row],[Groen Aanval]]</f>
        <v>JonasStef D</v>
      </c>
      <c r="M569" t="str">
        <f>Tabel3[[#This Row],[Winnaar 1]]&amp;Tabel3[[#This Row],[Winnaar 2]]</f>
        <v>JonasStef D</v>
      </c>
      <c r="N569" t="b">
        <f>IF(Tabel3[[#This Row],[Team Rood]]=Tabel3[[#This Row],[Winnaars]],Tabel3[[#This Row],[Team Rood]])</f>
        <v>0</v>
      </c>
      <c r="O569" t="str">
        <f>IF(Tabel3[[#This Row],[Team Groen]]=Tabel3[[#This Row],[Winnaars]],Tabel3[[#This Row],[Team Groen]])</f>
        <v>JonasStef D</v>
      </c>
    </row>
    <row r="570" spans="1:15" x14ac:dyDescent="0.25">
      <c r="A570" s="14">
        <v>570</v>
      </c>
      <c r="B570" s="205" t="s">
        <v>6</v>
      </c>
      <c r="C570" s="205" t="s">
        <v>13</v>
      </c>
      <c r="D570" s="206" t="s">
        <v>19</v>
      </c>
      <c r="E570" s="206" t="s">
        <v>0</v>
      </c>
      <c r="F570" s="81">
        <v>8</v>
      </c>
      <c r="G570" s="81">
        <v>11</v>
      </c>
      <c r="H570" s="3" t="str">
        <f t="shared" si="26"/>
        <v>GROEN</v>
      </c>
      <c r="I570" s="3" t="str">
        <f t="shared" si="27"/>
        <v>Nicolas</v>
      </c>
      <c r="J570" s="4" t="str">
        <f t="shared" si="28"/>
        <v>Jonas</v>
      </c>
      <c r="K570" t="str">
        <f>Tabel3[[#This Row],[Rood Verdediging]]&amp;Tabel3[[#This Row],[Rood Aanval]]</f>
        <v>Stef DBert</v>
      </c>
      <c r="L570" t="str">
        <f>Tabel3[[#This Row],[Groen Verdediging]]&amp;Tabel3[[#This Row],[Groen Aanval]]</f>
        <v>NicolasJonas</v>
      </c>
      <c r="M570" t="str">
        <f>Tabel3[[#This Row],[Winnaar 1]]&amp;Tabel3[[#This Row],[Winnaar 2]]</f>
        <v>NicolasJonas</v>
      </c>
      <c r="N570" t="b">
        <f>IF(Tabel3[[#This Row],[Team Rood]]=Tabel3[[#This Row],[Winnaars]],Tabel3[[#This Row],[Team Rood]])</f>
        <v>0</v>
      </c>
      <c r="O570" t="str">
        <f>IF(Tabel3[[#This Row],[Team Groen]]=Tabel3[[#This Row],[Winnaars]],Tabel3[[#This Row],[Team Groen]])</f>
        <v>NicolasJonas</v>
      </c>
    </row>
    <row r="571" spans="1:15" x14ac:dyDescent="0.25">
      <c r="A571" s="14">
        <v>571</v>
      </c>
      <c r="B571" s="205" t="s">
        <v>6</v>
      </c>
      <c r="C571" s="205" t="s">
        <v>13</v>
      </c>
      <c r="D571" s="206" t="s">
        <v>8</v>
      </c>
      <c r="E571" s="206" t="s">
        <v>19</v>
      </c>
      <c r="F571" s="81">
        <v>12</v>
      </c>
      <c r="G571" s="81">
        <v>10</v>
      </c>
      <c r="H571" s="3" t="str">
        <f t="shared" si="26"/>
        <v>ROOD</v>
      </c>
      <c r="I571" s="3" t="str">
        <f t="shared" si="27"/>
        <v>Stef D</v>
      </c>
      <c r="J571" s="4" t="str">
        <f t="shared" si="28"/>
        <v>Bert</v>
      </c>
      <c r="K571" t="str">
        <f>Tabel3[[#This Row],[Rood Verdediging]]&amp;Tabel3[[#This Row],[Rood Aanval]]</f>
        <v>Stef DBert</v>
      </c>
      <c r="L571" t="str">
        <f>Tabel3[[#This Row],[Groen Verdediging]]&amp;Tabel3[[#This Row],[Groen Aanval]]</f>
        <v>LouisNicolas</v>
      </c>
      <c r="M571" t="str">
        <f>Tabel3[[#This Row],[Winnaar 1]]&amp;Tabel3[[#This Row],[Winnaar 2]]</f>
        <v>Stef DBert</v>
      </c>
      <c r="N571" t="str">
        <f>IF(Tabel3[[#This Row],[Team Rood]]=Tabel3[[#This Row],[Winnaars]],Tabel3[[#This Row],[Team Rood]])</f>
        <v>Stef DBert</v>
      </c>
      <c r="O571" t="b">
        <f>IF(Tabel3[[#This Row],[Team Groen]]=Tabel3[[#This Row],[Winnaars]],Tabel3[[#This Row],[Team Groen]])</f>
        <v>0</v>
      </c>
    </row>
    <row r="572" spans="1:15" x14ac:dyDescent="0.25">
      <c r="A572" s="14">
        <v>572</v>
      </c>
      <c r="B572" s="205" t="s">
        <v>0</v>
      </c>
      <c r="C572" s="205" t="s">
        <v>13</v>
      </c>
      <c r="D572" s="206" t="s">
        <v>19</v>
      </c>
      <c r="E572" s="206" t="s">
        <v>8</v>
      </c>
      <c r="F572" s="81">
        <v>11</v>
      </c>
      <c r="G572" s="81">
        <v>4</v>
      </c>
      <c r="H572" s="3" t="str">
        <f t="shared" si="26"/>
        <v>ROOD</v>
      </c>
      <c r="I572" s="3" t="str">
        <f t="shared" si="27"/>
        <v>Jonas</v>
      </c>
      <c r="J572" s="4" t="str">
        <f t="shared" si="28"/>
        <v>Bert</v>
      </c>
      <c r="K572" t="str">
        <f>Tabel3[[#This Row],[Rood Verdediging]]&amp;Tabel3[[#This Row],[Rood Aanval]]</f>
        <v>JonasBert</v>
      </c>
      <c r="L572" t="str">
        <f>Tabel3[[#This Row],[Groen Verdediging]]&amp;Tabel3[[#This Row],[Groen Aanval]]</f>
        <v>NicolasLouis</v>
      </c>
      <c r="M572" t="str">
        <f>Tabel3[[#This Row],[Winnaar 1]]&amp;Tabel3[[#This Row],[Winnaar 2]]</f>
        <v>JonasBert</v>
      </c>
      <c r="N572" t="str">
        <f>IF(Tabel3[[#This Row],[Team Rood]]=Tabel3[[#This Row],[Winnaars]],Tabel3[[#This Row],[Team Rood]])</f>
        <v>JonasBert</v>
      </c>
      <c r="O572" t="b">
        <f>IF(Tabel3[[#This Row],[Team Groen]]=Tabel3[[#This Row],[Winnaars]],Tabel3[[#This Row],[Team Groen]])</f>
        <v>0</v>
      </c>
    </row>
    <row r="573" spans="1:15" x14ac:dyDescent="0.25">
      <c r="A573" s="14">
        <v>573</v>
      </c>
      <c r="B573" s="205" t="s">
        <v>0</v>
      </c>
      <c r="C573" s="205" t="s">
        <v>6</v>
      </c>
      <c r="D573" s="206" t="s">
        <v>8</v>
      </c>
      <c r="E573" s="206" t="s">
        <v>13</v>
      </c>
      <c r="F573" s="81">
        <v>11</v>
      </c>
      <c r="G573" s="81">
        <v>9</v>
      </c>
      <c r="H573" s="3" t="str">
        <f t="shared" si="26"/>
        <v>ROOD</v>
      </c>
      <c r="I573" s="3" t="str">
        <f t="shared" si="27"/>
        <v>Jonas</v>
      </c>
      <c r="J573" s="4" t="str">
        <f t="shared" si="28"/>
        <v>Stef D</v>
      </c>
      <c r="K573" t="str">
        <f>Tabel3[[#This Row],[Rood Verdediging]]&amp;Tabel3[[#This Row],[Rood Aanval]]</f>
        <v>JonasStef D</v>
      </c>
      <c r="L573" t="str">
        <f>Tabel3[[#This Row],[Groen Verdediging]]&amp;Tabel3[[#This Row],[Groen Aanval]]</f>
        <v>LouisBert</v>
      </c>
      <c r="M573" t="str">
        <f>Tabel3[[#This Row],[Winnaar 1]]&amp;Tabel3[[#This Row],[Winnaar 2]]</f>
        <v>JonasStef D</v>
      </c>
      <c r="N573" t="str">
        <f>IF(Tabel3[[#This Row],[Team Rood]]=Tabel3[[#This Row],[Winnaars]],Tabel3[[#This Row],[Team Rood]])</f>
        <v>JonasStef D</v>
      </c>
      <c r="O573" t="b">
        <f>IF(Tabel3[[#This Row],[Team Groen]]=Tabel3[[#This Row],[Winnaars]],Tabel3[[#This Row],[Team Groen]])</f>
        <v>0</v>
      </c>
    </row>
    <row r="574" spans="1:15" x14ac:dyDescent="0.25">
      <c r="A574" s="14">
        <v>574</v>
      </c>
      <c r="B574" s="205" t="s">
        <v>7</v>
      </c>
      <c r="C574" s="205" t="s">
        <v>6</v>
      </c>
      <c r="D574" s="206" t="s">
        <v>11</v>
      </c>
      <c r="E574" s="206" t="s">
        <v>70</v>
      </c>
      <c r="F574" s="81">
        <v>8</v>
      </c>
      <c r="G574" s="81">
        <v>11</v>
      </c>
      <c r="H574" s="3" t="str">
        <f t="shared" si="26"/>
        <v>GROEN</v>
      </c>
      <c r="I574" s="3" t="str">
        <f t="shared" si="27"/>
        <v>Matthijs</v>
      </c>
      <c r="J574" s="4" t="str">
        <f t="shared" si="28"/>
        <v>Arno</v>
      </c>
      <c r="K574" t="str">
        <f>Tabel3[[#This Row],[Rood Verdediging]]&amp;Tabel3[[#This Row],[Rood Aanval]]</f>
        <v>TiemenStef D</v>
      </c>
      <c r="L574" t="str">
        <f>Tabel3[[#This Row],[Groen Verdediging]]&amp;Tabel3[[#This Row],[Groen Aanval]]</f>
        <v>MatthijsArno</v>
      </c>
      <c r="M574" t="str">
        <f>Tabel3[[#This Row],[Winnaar 1]]&amp;Tabel3[[#This Row],[Winnaar 2]]</f>
        <v>MatthijsArno</v>
      </c>
      <c r="N574" t="b">
        <f>IF(Tabel3[[#This Row],[Team Rood]]=Tabel3[[#This Row],[Winnaars]],Tabel3[[#This Row],[Team Rood]])</f>
        <v>0</v>
      </c>
      <c r="O574" t="str">
        <f>IF(Tabel3[[#This Row],[Team Groen]]=Tabel3[[#This Row],[Winnaars]],Tabel3[[#This Row],[Team Groen]])</f>
        <v>MatthijsArno</v>
      </c>
    </row>
    <row r="575" spans="1:15" x14ac:dyDescent="0.25">
      <c r="A575" s="14">
        <v>575</v>
      </c>
      <c r="B575" s="205" t="s">
        <v>6</v>
      </c>
      <c r="C575" s="205" t="s">
        <v>11</v>
      </c>
      <c r="D575" s="206" t="s">
        <v>0</v>
      </c>
      <c r="E575" s="206" t="s">
        <v>7</v>
      </c>
      <c r="F575" s="81">
        <v>8</v>
      </c>
      <c r="G575" s="81">
        <v>11</v>
      </c>
      <c r="H575" s="3" t="str">
        <f t="shared" si="26"/>
        <v>GROEN</v>
      </c>
      <c r="I575" s="3" t="str">
        <f t="shared" si="27"/>
        <v>Jonas</v>
      </c>
      <c r="J575" s="4" t="str">
        <f t="shared" si="28"/>
        <v>Tiemen</v>
      </c>
      <c r="K575" t="str">
        <f>Tabel3[[#This Row],[Rood Verdediging]]&amp;Tabel3[[#This Row],[Rood Aanval]]</f>
        <v>Stef DMatthijs</v>
      </c>
      <c r="L575" t="str">
        <f>Tabel3[[#This Row],[Groen Verdediging]]&amp;Tabel3[[#This Row],[Groen Aanval]]</f>
        <v>JonasTiemen</v>
      </c>
      <c r="M575" t="str">
        <f>Tabel3[[#This Row],[Winnaar 1]]&amp;Tabel3[[#This Row],[Winnaar 2]]</f>
        <v>JonasTiemen</v>
      </c>
      <c r="N575" t="b">
        <f>IF(Tabel3[[#This Row],[Team Rood]]=Tabel3[[#This Row],[Winnaars]],Tabel3[[#This Row],[Team Rood]])</f>
        <v>0</v>
      </c>
      <c r="O575" t="str">
        <f>IF(Tabel3[[#This Row],[Team Groen]]=Tabel3[[#This Row],[Winnaars]],Tabel3[[#This Row],[Team Groen]])</f>
        <v>JonasTiemen</v>
      </c>
    </row>
    <row r="576" spans="1:15" x14ac:dyDescent="0.25">
      <c r="A576" s="14">
        <v>576</v>
      </c>
      <c r="B576" s="205" t="s">
        <v>70</v>
      </c>
      <c r="C576" s="205" t="s">
        <v>11</v>
      </c>
      <c r="D576" s="206" t="s">
        <v>0</v>
      </c>
      <c r="E576" s="206" t="s">
        <v>6</v>
      </c>
      <c r="F576" s="81">
        <v>7</v>
      </c>
      <c r="G576" s="81">
        <v>11</v>
      </c>
      <c r="H576" s="3" t="str">
        <f t="shared" si="26"/>
        <v>GROEN</v>
      </c>
      <c r="I576" s="3" t="str">
        <f t="shared" si="27"/>
        <v>Jonas</v>
      </c>
      <c r="J576" s="4" t="str">
        <f t="shared" si="28"/>
        <v>Stef D</v>
      </c>
      <c r="K576" t="str">
        <f>Tabel3[[#This Row],[Rood Verdediging]]&amp;Tabel3[[#This Row],[Rood Aanval]]</f>
        <v>ArnoMatthijs</v>
      </c>
      <c r="L576" t="str">
        <f>Tabel3[[#This Row],[Groen Verdediging]]&amp;Tabel3[[#This Row],[Groen Aanval]]</f>
        <v>JonasStef D</v>
      </c>
      <c r="M576" t="str">
        <f>Tabel3[[#This Row],[Winnaar 1]]&amp;Tabel3[[#This Row],[Winnaar 2]]</f>
        <v>JonasStef D</v>
      </c>
      <c r="N576" t="b">
        <f>IF(Tabel3[[#This Row],[Team Rood]]=Tabel3[[#This Row],[Winnaars]],Tabel3[[#This Row],[Team Rood]])</f>
        <v>0</v>
      </c>
      <c r="O576" t="str">
        <f>IF(Tabel3[[#This Row],[Team Groen]]=Tabel3[[#This Row],[Winnaars]],Tabel3[[#This Row],[Team Groen]])</f>
        <v>JonasStef D</v>
      </c>
    </row>
    <row r="577" spans="1:15" x14ac:dyDescent="0.25">
      <c r="A577" s="14">
        <v>577</v>
      </c>
      <c r="B577" s="205" t="s">
        <v>70</v>
      </c>
      <c r="C577" s="205" t="s">
        <v>6</v>
      </c>
      <c r="D577" s="206" t="s">
        <v>7</v>
      </c>
      <c r="E577" s="206" t="s">
        <v>0</v>
      </c>
      <c r="F577" s="81">
        <v>11</v>
      </c>
      <c r="G577" s="81">
        <v>2</v>
      </c>
      <c r="H577" s="3" t="str">
        <f t="shared" si="26"/>
        <v>ROOD</v>
      </c>
      <c r="I577" s="3" t="str">
        <f t="shared" si="27"/>
        <v>Arno</v>
      </c>
      <c r="J577" s="4" t="str">
        <f t="shared" si="28"/>
        <v>Stef D</v>
      </c>
      <c r="K577" t="str">
        <f>Tabel3[[#This Row],[Rood Verdediging]]&amp;Tabel3[[#This Row],[Rood Aanval]]</f>
        <v>ArnoStef D</v>
      </c>
      <c r="L577" t="str">
        <f>Tabel3[[#This Row],[Groen Verdediging]]&amp;Tabel3[[#This Row],[Groen Aanval]]</f>
        <v>TiemenJonas</v>
      </c>
      <c r="M577" t="str">
        <f>Tabel3[[#This Row],[Winnaar 1]]&amp;Tabel3[[#This Row],[Winnaar 2]]</f>
        <v>ArnoStef D</v>
      </c>
      <c r="N577" t="str">
        <f>IF(Tabel3[[#This Row],[Team Rood]]=Tabel3[[#This Row],[Winnaars]],Tabel3[[#This Row],[Team Rood]])</f>
        <v>ArnoStef D</v>
      </c>
      <c r="O577" t="b">
        <f>IF(Tabel3[[#This Row],[Team Groen]]=Tabel3[[#This Row],[Winnaars]],Tabel3[[#This Row],[Team Groen]])</f>
        <v>0</v>
      </c>
    </row>
    <row r="578" spans="1:15" x14ac:dyDescent="0.25">
      <c r="A578" s="14">
        <v>578</v>
      </c>
      <c r="B578" s="205" t="s">
        <v>7</v>
      </c>
      <c r="C578" s="205" t="s">
        <v>70</v>
      </c>
      <c r="D578" s="206" t="s">
        <v>0</v>
      </c>
      <c r="E578" s="206" t="s">
        <v>71</v>
      </c>
      <c r="F578" s="81">
        <v>11</v>
      </c>
      <c r="G578" s="81">
        <v>5</v>
      </c>
      <c r="H578" s="3" t="str">
        <f t="shared" ref="H578:H641" si="29">IF(F578&gt;G578,"ROOD",IF(F578=G578,"","GROEN"))</f>
        <v>ROOD</v>
      </c>
      <c r="I578" s="3" t="str">
        <f t="shared" si="27"/>
        <v>Tiemen</v>
      </c>
      <c r="J578" s="4" t="str">
        <f t="shared" si="28"/>
        <v>Arno</v>
      </c>
      <c r="K578" t="str">
        <f>Tabel3[[#This Row],[Rood Verdediging]]&amp;Tabel3[[#This Row],[Rood Aanval]]</f>
        <v>TiemenArno</v>
      </c>
      <c r="L578" t="str">
        <f>Tabel3[[#This Row],[Groen Verdediging]]&amp;Tabel3[[#This Row],[Groen Aanval]]</f>
        <v xml:space="preserve">JonasMatthijs </v>
      </c>
      <c r="M578" t="str">
        <f>Tabel3[[#This Row],[Winnaar 1]]&amp;Tabel3[[#This Row],[Winnaar 2]]</f>
        <v>TiemenArno</v>
      </c>
      <c r="N578" t="str">
        <f>IF(Tabel3[[#This Row],[Team Rood]]=Tabel3[[#This Row],[Winnaars]],Tabel3[[#This Row],[Team Rood]])</f>
        <v>TiemenArno</v>
      </c>
      <c r="O578" t="b">
        <f>IF(Tabel3[[#This Row],[Team Groen]]=Tabel3[[#This Row],[Winnaars]],Tabel3[[#This Row],[Team Groen]])</f>
        <v>0</v>
      </c>
    </row>
    <row r="579" spans="1:15" x14ac:dyDescent="0.25">
      <c r="A579" s="14">
        <v>579</v>
      </c>
      <c r="B579" s="205" t="s">
        <v>11</v>
      </c>
      <c r="C579" s="205" t="s">
        <v>7</v>
      </c>
      <c r="D579" s="206" t="s">
        <v>6</v>
      </c>
      <c r="E579" s="206" t="s">
        <v>70</v>
      </c>
      <c r="F579" s="81">
        <v>13</v>
      </c>
      <c r="G579" s="81">
        <v>11</v>
      </c>
      <c r="H579" s="3" t="str">
        <f t="shared" si="29"/>
        <v>ROOD</v>
      </c>
      <c r="I579" s="3" t="str">
        <f t="shared" si="27"/>
        <v>Matthijs</v>
      </c>
      <c r="J579" s="4" t="str">
        <f t="shared" si="28"/>
        <v>Tiemen</v>
      </c>
      <c r="K579" t="str">
        <f>Tabel3[[#This Row],[Rood Verdediging]]&amp;Tabel3[[#This Row],[Rood Aanval]]</f>
        <v>MatthijsTiemen</v>
      </c>
      <c r="L579" t="str">
        <f>Tabel3[[#This Row],[Groen Verdediging]]&amp;Tabel3[[#This Row],[Groen Aanval]]</f>
        <v>Stef DArno</v>
      </c>
      <c r="M579" t="str">
        <f>Tabel3[[#This Row],[Winnaar 1]]&amp;Tabel3[[#This Row],[Winnaar 2]]</f>
        <v>MatthijsTiemen</v>
      </c>
      <c r="N579" t="str">
        <f>IF(Tabel3[[#This Row],[Team Rood]]=Tabel3[[#This Row],[Winnaars]],Tabel3[[#This Row],[Team Rood]])</f>
        <v>MatthijsTiemen</v>
      </c>
      <c r="O579" t="b">
        <f>IF(Tabel3[[#This Row],[Team Groen]]=Tabel3[[#This Row],[Winnaars]],Tabel3[[#This Row],[Team Groen]])</f>
        <v>0</v>
      </c>
    </row>
    <row r="580" spans="1:15" x14ac:dyDescent="0.25">
      <c r="A580" s="14">
        <v>580</v>
      </c>
      <c r="B580" s="205" t="s">
        <v>11</v>
      </c>
      <c r="C580" s="205" t="s">
        <v>6</v>
      </c>
      <c r="D580" s="206" t="s">
        <v>0</v>
      </c>
      <c r="E580" s="206" t="s">
        <v>7</v>
      </c>
      <c r="F580" s="81">
        <v>12</v>
      </c>
      <c r="G580" s="81">
        <v>14</v>
      </c>
      <c r="H580" s="3" t="str">
        <f t="shared" si="29"/>
        <v>GROEN</v>
      </c>
      <c r="I580" s="3" t="str">
        <f t="shared" si="27"/>
        <v>Jonas</v>
      </c>
      <c r="J580" s="4" t="str">
        <f t="shared" si="28"/>
        <v>Tiemen</v>
      </c>
      <c r="K580" t="str">
        <f>Tabel3[[#This Row],[Rood Verdediging]]&amp;Tabel3[[#This Row],[Rood Aanval]]</f>
        <v>MatthijsStef D</v>
      </c>
      <c r="L580" t="str">
        <f>Tabel3[[#This Row],[Groen Verdediging]]&amp;Tabel3[[#This Row],[Groen Aanval]]</f>
        <v>JonasTiemen</v>
      </c>
      <c r="M580" t="str">
        <f>Tabel3[[#This Row],[Winnaar 1]]&amp;Tabel3[[#This Row],[Winnaar 2]]</f>
        <v>JonasTiemen</v>
      </c>
      <c r="N580" t="b">
        <f>IF(Tabel3[[#This Row],[Team Rood]]=Tabel3[[#This Row],[Winnaars]],Tabel3[[#This Row],[Team Rood]])</f>
        <v>0</v>
      </c>
      <c r="O580" t="str">
        <f>IF(Tabel3[[#This Row],[Team Groen]]=Tabel3[[#This Row],[Winnaars]],Tabel3[[#This Row],[Team Groen]])</f>
        <v>JonasTiemen</v>
      </c>
    </row>
    <row r="581" spans="1:15" x14ac:dyDescent="0.25">
      <c r="A581" s="14">
        <v>581</v>
      </c>
      <c r="B581" s="205" t="s">
        <v>70</v>
      </c>
      <c r="C581" s="205" t="s">
        <v>6</v>
      </c>
      <c r="D581" s="206" t="s">
        <v>7</v>
      </c>
      <c r="E581" s="206" t="s">
        <v>0</v>
      </c>
      <c r="F581" s="81">
        <v>11</v>
      </c>
      <c r="G581" s="81">
        <v>4</v>
      </c>
      <c r="H581" s="3" t="str">
        <f t="shared" si="29"/>
        <v>ROOD</v>
      </c>
      <c r="I581" s="3" t="str">
        <f t="shared" si="27"/>
        <v>Arno</v>
      </c>
      <c r="J581" s="4" t="str">
        <f t="shared" si="28"/>
        <v>Stef D</v>
      </c>
      <c r="K581" t="str">
        <f>Tabel3[[#This Row],[Rood Verdediging]]&amp;Tabel3[[#This Row],[Rood Aanval]]</f>
        <v>ArnoStef D</v>
      </c>
      <c r="L581" t="str">
        <f>Tabel3[[#This Row],[Groen Verdediging]]&amp;Tabel3[[#This Row],[Groen Aanval]]</f>
        <v>TiemenJonas</v>
      </c>
      <c r="M581" t="str">
        <f>Tabel3[[#This Row],[Winnaar 1]]&amp;Tabel3[[#This Row],[Winnaar 2]]</f>
        <v>ArnoStef D</v>
      </c>
      <c r="N581" t="str">
        <f>IF(Tabel3[[#This Row],[Team Rood]]=Tabel3[[#This Row],[Winnaars]],Tabel3[[#This Row],[Team Rood]])</f>
        <v>ArnoStef D</v>
      </c>
      <c r="O581" t="b">
        <f>IF(Tabel3[[#This Row],[Team Groen]]=Tabel3[[#This Row],[Winnaars]],Tabel3[[#This Row],[Team Groen]])</f>
        <v>0</v>
      </c>
    </row>
    <row r="582" spans="1:15" x14ac:dyDescent="0.25">
      <c r="A582" s="14">
        <v>582</v>
      </c>
      <c r="B582" s="205" t="s">
        <v>3</v>
      </c>
      <c r="C582" s="205" t="s">
        <v>6</v>
      </c>
      <c r="D582" s="206" t="s">
        <v>0</v>
      </c>
      <c r="E582" s="206" t="s">
        <v>8</v>
      </c>
      <c r="F582" s="81">
        <v>12</v>
      </c>
      <c r="G582" s="81">
        <v>5</v>
      </c>
      <c r="H582" s="3" t="str">
        <f t="shared" si="29"/>
        <v>ROOD</v>
      </c>
      <c r="I582" s="3" t="str">
        <f t="shared" si="27"/>
        <v>Karel</v>
      </c>
      <c r="J582" s="4" t="str">
        <f t="shared" si="28"/>
        <v>Stef D</v>
      </c>
      <c r="K582" t="str">
        <f>Tabel3[[#This Row],[Rood Verdediging]]&amp;Tabel3[[#This Row],[Rood Aanval]]</f>
        <v>KarelStef D</v>
      </c>
      <c r="L582" t="str">
        <f>Tabel3[[#This Row],[Groen Verdediging]]&amp;Tabel3[[#This Row],[Groen Aanval]]</f>
        <v>JonasLouis</v>
      </c>
      <c r="M582" t="str">
        <f>Tabel3[[#This Row],[Winnaar 1]]&amp;Tabel3[[#This Row],[Winnaar 2]]</f>
        <v>KarelStef D</v>
      </c>
      <c r="N582" t="str">
        <f>IF(Tabel3[[#This Row],[Team Rood]]=Tabel3[[#This Row],[Winnaars]],Tabel3[[#This Row],[Team Rood]])</f>
        <v>KarelStef D</v>
      </c>
      <c r="O582" t="b">
        <f>IF(Tabel3[[#This Row],[Team Groen]]=Tabel3[[#This Row],[Winnaars]],Tabel3[[#This Row],[Team Groen]])</f>
        <v>0</v>
      </c>
    </row>
    <row r="583" spans="1:15" x14ac:dyDescent="0.25">
      <c r="A583" s="14">
        <v>583</v>
      </c>
      <c r="B583" s="205" t="s">
        <v>0</v>
      </c>
      <c r="C583" s="205" t="s">
        <v>6</v>
      </c>
      <c r="D583" s="206" t="s">
        <v>8</v>
      </c>
      <c r="E583" s="206" t="s">
        <v>3</v>
      </c>
      <c r="F583" s="81">
        <v>7</v>
      </c>
      <c r="G583" s="81">
        <v>11</v>
      </c>
      <c r="H583" s="3" t="str">
        <f t="shared" si="29"/>
        <v>GROEN</v>
      </c>
      <c r="I583" s="3" t="str">
        <f t="shared" si="27"/>
        <v>Louis</v>
      </c>
      <c r="J583" s="4" t="str">
        <f t="shared" si="28"/>
        <v>Karel</v>
      </c>
      <c r="K583" t="str">
        <f>Tabel3[[#This Row],[Rood Verdediging]]&amp;Tabel3[[#This Row],[Rood Aanval]]</f>
        <v>JonasStef D</v>
      </c>
      <c r="L583" t="str">
        <f>Tabel3[[#This Row],[Groen Verdediging]]&amp;Tabel3[[#This Row],[Groen Aanval]]</f>
        <v>LouisKarel</v>
      </c>
      <c r="M583" t="str">
        <f>Tabel3[[#This Row],[Winnaar 1]]&amp;Tabel3[[#This Row],[Winnaar 2]]</f>
        <v>LouisKarel</v>
      </c>
      <c r="N583" t="b">
        <f>IF(Tabel3[[#This Row],[Team Rood]]=Tabel3[[#This Row],[Winnaars]],Tabel3[[#This Row],[Team Rood]])</f>
        <v>0</v>
      </c>
      <c r="O583" t="str">
        <f>IF(Tabel3[[#This Row],[Team Groen]]=Tabel3[[#This Row],[Winnaars]],Tabel3[[#This Row],[Team Groen]])</f>
        <v>LouisKarel</v>
      </c>
    </row>
    <row r="584" spans="1:15" x14ac:dyDescent="0.25">
      <c r="A584" s="14">
        <v>584</v>
      </c>
      <c r="B584" s="205" t="s">
        <v>6</v>
      </c>
      <c r="C584" s="205" t="s">
        <v>0</v>
      </c>
      <c r="D584" s="206" t="s">
        <v>19</v>
      </c>
      <c r="E584" s="206" t="s">
        <v>3</v>
      </c>
      <c r="F584" s="81">
        <v>8</v>
      </c>
      <c r="G584" s="81">
        <v>11</v>
      </c>
      <c r="H584" s="3" t="str">
        <f t="shared" si="29"/>
        <v>GROEN</v>
      </c>
      <c r="I584" s="3" t="str">
        <f t="shared" si="27"/>
        <v>Nicolas</v>
      </c>
      <c r="J584" s="4" t="str">
        <f t="shared" si="28"/>
        <v>Karel</v>
      </c>
      <c r="K584" t="str">
        <f>Tabel3[[#This Row],[Rood Verdediging]]&amp;Tabel3[[#This Row],[Rood Aanval]]</f>
        <v>Stef DJonas</v>
      </c>
      <c r="L584" t="str">
        <f>Tabel3[[#This Row],[Groen Verdediging]]&amp;Tabel3[[#This Row],[Groen Aanval]]</f>
        <v>NicolasKarel</v>
      </c>
      <c r="M584" t="str">
        <f>Tabel3[[#This Row],[Winnaar 1]]&amp;Tabel3[[#This Row],[Winnaar 2]]</f>
        <v>NicolasKarel</v>
      </c>
      <c r="N584" t="b">
        <f>IF(Tabel3[[#This Row],[Team Rood]]=Tabel3[[#This Row],[Winnaars]],Tabel3[[#This Row],[Team Rood]])</f>
        <v>0</v>
      </c>
      <c r="O584" t="str">
        <f>IF(Tabel3[[#This Row],[Team Groen]]=Tabel3[[#This Row],[Winnaars]],Tabel3[[#This Row],[Team Groen]])</f>
        <v>NicolasKarel</v>
      </c>
    </row>
    <row r="585" spans="1:15" x14ac:dyDescent="0.25">
      <c r="A585" s="14">
        <v>585</v>
      </c>
      <c r="B585" s="205" t="s">
        <v>6</v>
      </c>
      <c r="C585" s="205" t="s">
        <v>8</v>
      </c>
      <c r="D585" s="206" t="s">
        <v>3</v>
      </c>
      <c r="E585" s="206" t="s">
        <v>19</v>
      </c>
      <c r="F585" s="81">
        <v>11</v>
      </c>
      <c r="G585" s="81">
        <v>8</v>
      </c>
      <c r="H585" s="3" t="str">
        <f t="shared" si="29"/>
        <v>ROOD</v>
      </c>
      <c r="I585" s="3" t="str">
        <f t="shared" si="27"/>
        <v>Stef D</v>
      </c>
      <c r="J585" s="4" t="str">
        <f t="shared" si="28"/>
        <v>Louis</v>
      </c>
      <c r="K585" t="str">
        <f>Tabel3[[#This Row],[Rood Verdediging]]&amp;Tabel3[[#This Row],[Rood Aanval]]</f>
        <v>Stef DLouis</v>
      </c>
      <c r="L585" t="str">
        <f>Tabel3[[#This Row],[Groen Verdediging]]&amp;Tabel3[[#This Row],[Groen Aanval]]</f>
        <v>KarelNicolas</v>
      </c>
      <c r="M585" t="str">
        <f>Tabel3[[#This Row],[Winnaar 1]]&amp;Tabel3[[#This Row],[Winnaar 2]]</f>
        <v>Stef DLouis</v>
      </c>
      <c r="N585" t="str">
        <f>IF(Tabel3[[#This Row],[Team Rood]]=Tabel3[[#This Row],[Winnaars]],Tabel3[[#This Row],[Team Rood]])</f>
        <v>Stef DLouis</v>
      </c>
      <c r="O585" t="b">
        <f>IF(Tabel3[[#This Row],[Team Groen]]=Tabel3[[#This Row],[Winnaars]],Tabel3[[#This Row],[Team Groen]])</f>
        <v>0</v>
      </c>
    </row>
    <row r="586" spans="1:15" x14ac:dyDescent="0.25">
      <c r="A586" s="14">
        <v>586</v>
      </c>
      <c r="B586" s="205" t="s">
        <v>8</v>
      </c>
      <c r="C586" s="205" t="s">
        <v>3</v>
      </c>
      <c r="D586" s="206" t="s">
        <v>0</v>
      </c>
      <c r="E586" s="206" t="s">
        <v>19</v>
      </c>
      <c r="F586" s="81">
        <v>11</v>
      </c>
      <c r="G586" s="81">
        <v>3</v>
      </c>
      <c r="H586" s="3" t="str">
        <f t="shared" si="29"/>
        <v>ROOD</v>
      </c>
      <c r="I586" s="3" t="str">
        <f t="shared" si="27"/>
        <v>Louis</v>
      </c>
      <c r="J586" s="4" t="str">
        <f t="shared" si="28"/>
        <v>Karel</v>
      </c>
      <c r="K586" t="str">
        <f>Tabel3[[#This Row],[Rood Verdediging]]&amp;Tabel3[[#This Row],[Rood Aanval]]</f>
        <v>LouisKarel</v>
      </c>
      <c r="L586" t="str">
        <f>Tabel3[[#This Row],[Groen Verdediging]]&amp;Tabel3[[#This Row],[Groen Aanval]]</f>
        <v>JonasNicolas</v>
      </c>
      <c r="M586" t="str">
        <f>Tabel3[[#This Row],[Winnaar 1]]&amp;Tabel3[[#This Row],[Winnaar 2]]</f>
        <v>LouisKarel</v>
      </c>
      <c r="N586" t="str">
        <f>IF(Tabel3[[#This Row],[Team Rood]]=Tabel3[[#This Row],[Winnaars]],Tabel3[[#This Row],[Team Rood]])</f>
        <v>LouisKarel</v>
      </c>
      <c r="O586" t="b">
        <f>IF(Tabel3[[#This Row],[Team Groen]]=Tabel3[[#This Row],[Winnaars]],Tabel3[[#This Row],[Team Groen]])</f>
        <v>0</v>
      </c>
    </row>
    <row r="587" spans="1:15" x14ac:dyDescent="0.25">
      <c r="A587" s="14">
        <v>587</v>
      </c>
      <c r="B587" s="205" t="s">
        <v>8</v>
      </c>
      <c r="C587" s="205" t="s">
        <v>6</v>
      </c>
      <c r="D587" s="206" t="s">
        <v>0</v>
      </c>
      <c r="E587" s="206" t="s">
        <v>3</v>
      </c>
      <c r="F587" s="81">
        <v>11</v>
      </c>
      <c r="G587" s="81">
        <v>6</v>
      </c>
      <c r="H587" s="3" t="str">
        <f t="shared" si="29"/>
        <v>ROOD</v>
      </c>
      <c r="I587" s="3" t="str">
        <f t="shared" si="27"/>
        <v>Louis</v>
      </c>
      <c r="J587" s="4" t="str">
        <f t="shared" si="28"/>
        <v>Stef D</v>
      </c>
      <c r="K587" t="str">
        <f>Tabel3[[#This Row],[Rood Verdediging]]&amp;Tabel3[[#This Row],[Rood Aanval]]</f>
        <v>LouisStef D</v>
      </c>
      <c r="L587" t="str">
        <f>Tabel3[[#This Row],[Groen Verdediging]]&amp;Tabel3[[#This Row],[Groen Aanval]]</f>
        <v>JonasKarel</v>
      </c>
      <c r="M587" t="str">
        <f>Tabel3[[#This Row],[Winnaar 1]]&amp;Tabel3[[#This Row],[Winnaar 2]]</f>
        <v>LouisStef D</v>
      </c>
      <c r="N587" t="str">
        <f>IF(Tabel3[[#This Row],[Team Rood]]=Tabel3[[#This Row],[Winnaars]],Tabel3[[#This Row],[Team Rood]])</f>
        <v>LouisStef D</v>
      </c>
      <c r="O587" t="b">
        <f>IF(Tabel3[[#This Row],[Team Groen]]=Tabel3[[#This Row],[Winnaars]],Tabel3[[#This Row],[Team Groen]])</f>
        <v>0</v>
      </c>
    </row>
    <row r="588" spans="1:15" x14ac:dyDescent="0.25">
      <c r="A588" s="14">
        <v>588</v>
      </c>
      <c r="B588" s="205" t="s">
        <v>19</v>
      </c>
      <c r="C588" s="205" t="s">
        <v>6</v>
      </c>
      <c r="D588" s="206" t="s">
        <v>8</v>
      </c>
      <c r="E588" s="206" t="s">
        <v>0</v>
      </c>
      <c r="F588" s="81">
        <v>11</v>
      </c>
      <c r="G588" s="81">
        <v>7</v>
      </c>
      <c r="H588" s="3" t="str">
        <f t="shared" si="29"/>
        <v>ROOD</v>
      </c>
      <c r="I588" s="3" t="str">
        <f t="shared" si="27"/>
        <v>Nicolas</v>
      </c>
      <c r="J588" s="4" t="str">
        <f t="shared" si="28"/>
        <v>Stef D</v>
      </c>
      <c r="K588" t="str">
        <f>Tabel3[[#This Row],[Rood Verdediging]]&amp;Tabel3[[#This Row],[Rood Aanval]]</f>
        <v>NicolasStef D</v>
      </c>
      <c r="L588" t="str">
        <f>Tabel3[[#This Row],[Groen Verdediging]]&amp;Tabel3[[#This Row],[Groen Aanval]]</f>
        <v>LouisJonas</v>
      </c>
      <c r="M588" t="str">
        <f>Tabel3[[#This Row],[Winnaar 1]]&amp;Tabel3[[#This Row],[Winnaar 2]]</f>
        <v>NicolasStef D</v>
      </c>
      <c r="N588" t="str">
        <f>IF(Tabel3[[#This Row],[Team Rood]]=Tabel3[[#This Row],[Winnaars]],Tabel3[[#This Row],[Team Rood]])</f>
        <v>NicolasStef D</v>
      </c>
      <c r="O588" t="b">
        <f>IF(Tabel3[[#This Row],[Team Groen]]=Tabel3[[#This Row],[Winnaars]],Tabel3[[#This Row],[Team Groen]])</f>
        <v>0</v>
      </c>
    </row>
    <row r="589" spans="1:15" x14ac:dyDescent="0.25">
      <c r="A589" s="14">
        <v>589</v>
      </c>
      <c r="B589" s="205" t="s">
        <v>3</v>
      </c>
      <c r="C589" s="205" t="s">
        <v>6</v>
      </c>
      <c r="D589" s="206" t="s">
        <v>0</v>
      </c>
      <c r="E589" s="206" t="s">
        <v>70</v>
      </c>
      <c r="F589" s="81">
        <v>10</v>
      </c>
      <c r="G589" s="81">
        <v>12</v>
      </c>
      <c r="H589" s="3" t="str">
        <f t="shared" si="29"/>
        <v>GROEN</v>
      </c>
      <c r="I589" s="3" t="str">
        <f t="shared" ref="I589:I653" si="30">IF(F589&gt;G589,B589,IF(F589=0,"",D589))</f>
        <v>Jonas</v>
      </c>
      <c r="J589" s="4" t="str">
        <f t="shared" ref="J589:J653" si="31">IF(F589&gt;G589,C589,IF(F589=0,"",E589))</f>
        <v>Arno</v>
      </c>
      <c r="K589" t="str">
        <f>Tabel3[[#This Row],[Rood Verdediging]]&amp;Tabel3[[#This Row],[Rood Aanval]]</f>
        <v>KarelStef D</v>
      </c>
      <c r="L589" t="str">
        <f>Tabel3[[#This Row],[Groen Verdediging]]&amp;Tabel3[[#This Row],[Groen Aanval]]</f>
        <v>JonasArno</v>
      </c>
      <c r="M589" t="str">
        <f>Tabel3[[#This Row],[Winnaar 1]]&amp;Tabel3[[#This Row],[Winnaar 2]]</f>
        <v>JonasArno</v>
      </c>
      <c r="N589" t="b">
        <f>IF(Tabel3[[#This Row],[Team Rood]]=Tabel3[[#This Row],[Winnaars]],Tabel3[[#This Row],[Team Rood]])</f>
        <v>0</v>
      </c>
      <c r="O589" t="str">
        <f>IF(Tabel3[[#This Row],[Team Groen]]=Tabel3[[#This Row],[Winnaars]],Tabel3[[#This Row],[Team Groen]])</f>
        <v>JonasArno</v>
      </c>
    </row>
    <row r="590" spans="1:15" x14ac:dyDescent="0.25">
      <c r="A590" s="14">
        <v>590</v>
      </c>
      <c r="B590" s="205" t="s">
        <v>7</v>
      </c>
      <c r="C590" s="205" t="s">
        <v>3</v>
      </c>
      <c r="D590" s="206" t="s">
        <v>4</v>
      </c>
      <c r="E590" s="206" t="s">
        <v>70</v>
      </c>
      <c r="F590" s="81">
        <v>11</v>
      </c>
      <c r="G590" s="81">
        <v>8</v>
      </c>
      <c r="H590" s="3" t="str">
        <f t="shared" si="29"/>
        <v>ROOD</v>
      </c>
      <c r="I590" s="3" t="str">
        <f t="shared" si="30"/>
        <v>Tiemen</v>
      </c>
      <c r="J590" s="4" t="str">
        <f t="shared" si="31"/>
        <v>Karel</v>
      </c>
      <c r="K590" t="str">
        <f>Tabel3[[#This Row],[Rood Verdediging]]&amp;Tabel3[[#This Row],[Rood Aanval]]</f>
        <v>TiemenKarel</v>
      </c>
      <c r="L590" t="str">
        <f>Tabel3[[#This Row],[Groen Verdediging]]&amp;Tabel3[[#This Row],[Groen Aanval]]</f>
        <v>StefArno</v>
      </c>
      <c r="M590" t="str">
        <f>Tabel3[[#This Row],[Winnaar 1]]&amp;Tabel3[[#This Row],[Winnaar 2]]</f>
        <v>TiemenKarel</v>
      </c>
      <c r="N590" t="str">
        <f>IF(Tabel3[[#This Row],[Team Rood]]=Tabel3[[#This Row],[Winnaars]],Tabel3[[#This Row],[Team Rood]])</f>
        <v>TiemenKarel</v>
      </c>
      <c r="O590" t="b">
        <f>IF(Tabel3[[#This Row],[Team Groen]]=Tabel3[[#This Row],[Winnaars]],Tabel3[[#This Row],[Team Groen]])</f>
        <v>0</v>
      </c>
    </row>
    <row r="591" spans="1:15" x14ac:dyDescent="0.25">
      <c r="A591" s="14">
        <v>591</v>
      </c>
      <c r="B591" s="205" t="s">
        <v>0</v>
      </c>
      <c r="C591" s="205" t="s">
        <v>6</v>
      </c>
      <c r="D591" s="206" t="s">
        <v>3</v>
      </c>
      <c r="E591" s="206" t="s">
        <v>7</v>
      </c>
      <c r="F591" s="81">
        <v>11</v>
      </c>
      <c r="G591" s="81">
        <v>5</v>
      </c>
      <c r="H591" s="3" t="str">
        <f t="shared" si="29"/>
        <v>ROOD</v>
      </c>
      <c r="I591" s="3" t="str">
        <f t="shared" si="30"/>
        <v>Jonas</v>
      </c>
      <c r="J591" s="4" t="str">
        <f t="shared" si="31"/>
        <v>Stef D</v>
      </c>
      <c r="K591" t="str">
        <f>Tabel3[[#This Row],[Rood Verdediging]]&amp;Tabel3[[#This Row],[Rood Aanval]]</f>
        <v>JonasStef D</v>
      </c>
      <c r="L591" t="str">
        <f>Tabel3[[#This Row],[Groen Verdediging]]&amp;Tabel3[[#This Row],[Groen Aanval]]</f>
        <v>KarelTiemen</v>
      </c>
      <c r="M591" t="str">
        <f>Tabel3[[#This Row],[Winnaar 1]]&amp;Tabel3[[#This Row],[Winnaar 2]]</f>
        <v>JonasStef D</v>
      </c>
      <c r="N591" t="str">
        <f>IF(Tabel3[[#This Row],[Team Rood]]=Tabel3[[#This Row],[Winnaars]],Tabel3[[#This Row],[Team Rood]])</f>
        <v>JonasStef D</v>
      </c>
      <c r="O591" t="b">
        <f>IF(Tabel3[[#This Row],[Team Groen]]=Tabel3[[#This Row],[Winnaars]],Tabel3[[#This Row],[Team Groen]])</f>
        <v>0</v>
      </c>
    </row>
    <row r="592" spans="1:15" x14ac:dyDescent="0.25">
      <c r="A592" s="14">
        <v>592</v>
      </c>
      <c r="B592" s="205" t="s">
        <v>7</v>
      </c>
      <c r="C592" s="205" t="s">
        <v>70</v>
      </c>
      <c r="D592" s="206" t="s">
        <v>0</v>
      </c>
      <c r="E592" s="206" t="s">
        <v>6</v>
      </c>
      <c r="F592" s="81">
        <v>11</v>
      </c>
      <c r="G592" s="81">
        <v>2</v>
      </c>
      <c r="H592" s="3" t="str">
        <f t="shared" si="29"/>
        <v>ROOD</v>
      </c>
      <c r="I592" s="3" t="str">
        <f t="shared" si="30"/>
        <v>Tiemen</v>
      </c>
      <c r="J592" s="4" t="str">
        <f t="shared" si="31"/>
        <v>Arno</v>
      </c>
      <c r="K592" t="str">
        <f>Tabel3[[#This Row],[Rood Verdediging]]&amp;Tabel3[[#This Row],[Rood Aanval]]</f>
        <v>TiemenArno</v>
      </c>
      <c r="L592" t="str">
        <f>Tabel3[[#This Row],[Groen Verdediging]]&amp;Tabel3[[#This Row],[Groen Aanval]]</f>
        <v>JonasStef D</v>
      </c>
      <c r="M592" t="str">
        <f>Tabel3[[#This Row],[Winnaar 1]]&amp;Tabel3[[#This Row],[Winnaar 2]]</f>
        <v>TiemenArno</v>
      </c>
      <c r="N592" t="str">
        <f>IF(Tabel3[[#This Row],[Team Rood]]=Tabel3[[#This Row],[Winnaars]],Tabel3[[#This Row],[Team Rood]])</f>
        <v>TiemenArno</v>
      </c>
      <c r="O592" t="b">
        <f>IF(Tabel3[[#This Row],[Team Groen]]=Tabel3[[#This Row],[Winnaars]],Tabel3[[#This Row],[Team Groen]])</f>
        <v>0</v>
      </c>
    </row>
    <row r="593" spans="1:15" x14ac:dyDescent="0.25">
      <c r="A593" s="14">
        <v>593</v>
      </c>
      <c r="B593" s="205" t="s">
        <v>70</v>
      </c>
      <c r="C593" s="205" t="s">
        <v>7</v>
      </c>
      <c r="D593" s="206" t="s">
        <v>3</v>
      </c>
      <c r="E593" s="206" t="s">
        <v>0</v>
      </c>
      <c r="F593" s="81">
        <v>11</v>
      </c>
      <c r="G593" s="81">
        <v>8</v>
      </c>
      <c r="H593" s="3" t="str">
        <f t="shared" si="29"/>
        <v>ROOD</v>
      </c>
      <c r="I593" s="3" t="str">
        <f t="shared" si="30"/>
        <v>Arno</v>
      </c>
      <c r="J593" s="4" t="str">
        <f t="shared" si="31"/>
        <v>Tiemen</v>
      </c>
      <c r="K593" t="str">
        <f>Tabel3[[#This Row],[Rood Verdediging]]&amp;Tabel3[[#This Row],[Rood Aanval]]</f>
        <v>ArnoTiemen</v>
      </c>
      <c r="L593" t="str">
        <f>Tabel3[[#This Row],[Groen Verdediging]]&amp;Tabel3[[#This Row],[Groen Aanval]]</f>
        <v>KarelJonas</v>
      </c>
      <c r="M593" t="str">
        <f>Tabel3[[#This Row],[Winnaar 1]]&amp;Tabel3[[#This Row],[Winnaar 2]]</f>
        <v>ArnoTiemen</v>
      </c>
      <c r="N593" t="str">
        <f>IF(Tabel3[[#This Row],[Team Rood]]=Tabel3[[#This Row],[Winnaars]],Tabel3[[#This Row],[Team Rood]])</f>
        <v>ArnoTiemen</v>
      </c>
      <c r="O593" t="b">
        <f>IF(Tabel3[[#This Row],[Team Groen]]=Tabel3[[#This Row],[Winnaars]],Tabel3[[#This Row],[Team Groen]])</f>
        <v>0</v>
      </c>
    </row>
    <row r="594" spans="1:15" x14ac:dyDescent="0.25">
      <c r="A594" s="14">
        <v>594</v>
      </c>
      <c r="B594" s="205" t="s">
        <v>70</v>
      </c>
      <c r="C594" s="205" t="s">
        <v>6</v>
      </c>
      <c r="D594" s="206" t="s">
        <v>0</v>
      </c>
      <c r="E594" s="206" t="s">
        <v>3</v>
      </c>
      <c r="F594" s="81">
        <v>10</v>
      </c>
      <c r="G594" s="81">
        <v>12</v>
      </c>
      <c r="H594" s="3" t="str">
        <f t="shared" si="29"/>
        <v>GROEN</v>
      </c>
      <c r="I594" s="3" t="str">
        <f t="shared" si="30"/>
        <v>Jonas</v>
      </c>
      <c r="J594" s="4" t="str">
        <f t="shared" si="31"/>
        <v>Karel</v>
      </c>
      <c r="K594" t="str">
        <f>Tabel3[[#This Row],[Rood Verdediging]]&amp;Tabel3[[#This Row],[Rood Aanval]]</f>
        <v>ArnoStef D</v>
      </c>
      <c r="L594" t="str">
        <f>Tabel3[[#This Row],[Groen Verdediging]]&amp;Tabel3[[#This Row],[Groen Aanval]]</f>
        <v>JonasKarel</v>
      </c>
      <c r="M594" t="str">
        <f>Tabel3[[#This Row],[Winnaar 1]]&amp;Tabel3[[#This Row],[Winnaar 2]]</f>
        <v>JonasKarel</v>
      </c>
      <c r="N594" t="b">
        <f>IF(Tabel3[[#This Row],[Team Rood]]=Tabel3[[#This Row],[Winnaars]],Tabel3[[#This Row],[Team Rood]])</f>
        <v>0</v>
      </c>
      <c r="O594" t="str">
        <f>IF(Tabel3[[#This Row],[Team Groen]]=Tabel3[[#This Row],[Winnaars]],Tabel3[[#This Row],[Team Groen]])</f>
        <v>JonasKarel</v>
      </c>
    </row>
    <row r="595" spans="1:15" x14ac:dyDescent="0.25">
      <c r="A595" s="14">
        <v>595</v>
      </c>
      <c r="B595" s="205" t="s">
        <v>6</v>
      </c>
      <c r="C595" s="205" t="s">
        <v>3</v>
      </c>
      <c r="D595" s="206" t="s">
        <v>7</v>
      </c>
      <c r="E595" s="206" t="s">
        <v>0</v>
      </c>
      <c r="F595" s="81">
        <v>11</v>
      </c>
      <c r="G595" s="81">
        <v>3</v>
      </c>
      <c r="H595" s="3" t="str">
        <f t="shared" si="29"/>
        <v>ROOD</v>
      </c>
      <c r="I595" s="3" t="str">
        <f t="shared" si="30"/>
        <v>Stef D</v>
      </c>
      <c r="J595" s="4" t="str">
        <f t="shared" si="31"/>
        <v>Karel</v>
      </c>
      <c r="K595" t="str">
        <f>Tabel3[[#This Row],[Rood Verdediging]]&amp;Tabel3[[#This Row],[Rood Aanval]]</f>
        <v>Stef DKarel</v>
      </c>
      <c r="L595" t="str">
        <f>Tabel3[[#This Row],[Groen Verdediging]]&amp;Tabel3[[#This Row],[Groen Aanval]]</f>
        <v>TiemenJonas</v>
      </c>
      <c r="M595" t="str">
        <f>Tabel3[[#This Row],[Winnaar 1]]&amp;Tabel3[[#This Row],[Winnaar 2]]</f>
        <v>Stef DKarel</v>
      </c>
      <c r="N595" t="str">
        <f>IF(Tabel3[[#This Row],[Team Rood]]=Tabel3[[#This Row],[Winnaars]],Tabel3[[#This Row],[Team Rood]])</f>
        <v>Stef DKarel</v>
      </c>
      <c r="O595" t="b">
        <f>IF(Tabel3[[#This Row],[Team Groen]]=Tabel3[[#This Row],[Winnaars]],Tabel3[[#This Row],[Team Groen]])</f>
        <v>0</v>
      </c>
    </row>
    <row r="596" spans="1:15" x14ac:dyDescent="0.25">
      <c r="A596" s="14">
        <v>596</v>
      </c>
      <c r="B596" s="205" t="s">
        <v>7</v>
      </c>
      <c r="C596" s="205" t="s">
        <v>13</v>
      </c>
      <c r="D596" s="206" t="s">
        <v>8</v>
      </c>
      <c r="E596" s="206" t="s">
        <v>70</v>
      </c>
      <c r="F596" s="81">
        <v>3</v>
      </c>
      <c r="G596" s="81">
        <v>11</v>
      </c>
      <c r="H596" s="3" t="str">
        <f t="shared" si="29"/>
        <v>GROEN</v>
      </c>
      <c r="I596" s="3" t="str">
        <f t="shared" si="30"/>
        <v>Louis</v>
      </c>
      <c r="J596" s="4" t="str">
        <f t="shared" si="31"/>
        <v>Arno</v>
      </c>
      <c r="K596" t="str">
        <f>Tabel3[[#This Row],[Rood Verdediging]]&amp;Tabel3[[#This Row],[Rood Aanval]]</f>
        <v>TiemenBert</v>
      </c>
      <c r="L596" t="str">
        <f>Tabel3[[#This Row],[Groen Verdediging]]&amp;Tabel3[[#This Row],[Groen Aanval]]</f>
        <v>LouisArno</v>
      </c>
      <c r="M596" t="str">
        <f>Tabel3[[#This Row],[Winnaar 1]]&amp;Tabel3[[#This Row],[Winnaar 2]]</f>
        <v>LouisArno</v>
      </c>
      <c r="N596" t="b">
        <f>IF(Tabel3[[#This Row],[Team Rood]]=Tabel3[[#This Row],[Winnaars]],Tabel3[[#This Row],[Team Rood]])</f>
        <v>0</v>
      </c>
      <c r="O596" t="str">
        <f>IF(Tabel3[[#This Row],[Team Groen]]=Tabel3[[#This Row],[Winnaars]],Tabel3[[#This Row],[Team Groen]])</f>
        <v>LouisArno</v>
      </c>
    </row>
    <row r="597" spans="1:15" x14ac:dyDescent="0.25">
      <c r="A597" s="14">
        <v>597</v>
      </c>
      <c r="B597" s="205" t="s">
        <v>6</v>
      </c>
      <c r="C597" s="205" t="s">
        <v>13</v>
      </c>
      <c r="D597" s="206" t="s">
        <v>3</v>
      </c>
      <c r="E597" s="206" t="s">
        <v>0</v>
      </c>
      <c r="F597" s="81">
        <v>5</v>
      </c>
      <c r="G597" s="81">
        <v>11</v>
      </c>
      <c r="H597" s="3" t="str">
        <f t="shared" si="29"/>
        <v>GROEN</v>
      </c>
      <c r="I597" s="3" t="str">
        <f t="shared" si="30"/>
        <v>Karel</v>
      </c>
      <c r="J597" s="4" t="str">
        <f t="shared" si="31"/>
        <v>Jonas</v>
      </c>
      <c r="K597" t="str">
        <f>Tabel3[[#This Row],[Rood Verdediging]]&amp;Tabel3[[#This Row],[Rood Aanval]]</f>
        <v>Stef DBert</v>
      </c>
      <c r="L597" t="str">
        <f>Tabel3[[#This Row],[Groen Verdediging]]&amp;Tabel3[[#This Row],[Groen Aanval]]</f>
        <v>KarelJonas</v>
      </c>
      <c r="M597" t="str">
        <f>Tabel3[[#This Row],[Winnaar 1]]&amp;Tabel3[[#This Row],[Winnaar 2]]</f>
        <v>KarelJonas</v>
      </c>
      <c r="N597" t="b">
        <f>IF(Tabel3[[#This Row],[Team Rood]]=Tabel3[[#This Row],[Winnaars]],Tabel3[[#This Row],[Team Rood]])</f>
        <v>0</v>
      </c>
      <c r="O597" t="str">
        <f>IF(Tabel3[[#This Row],[Team Groen]]=Tabel3[[#This Row],[Winnaars]],Tabel3[[#This Row],[Team Groen]])</f>
        <v>KarelJonas</v>
      </c>
    </row>
    <row r="598" spans="1:15" x14ac:dyDescent="0.25">
      <c r="A598" s="14">
        <v>598</v>
      </c>
      <c r="B598" s="205" t="s">
        <v>70</v>
      </c>
      <c r="C598" s="205" t="s">
        <v>3</v>
      </c>
      <c r="D598" s="206" t="s">
        <v>8</v>
      </c>
      <c r="E598" s="206" t="s">
        <v>7</v>
      </c>
      <c r="F598" s="81">
        <v>10</v>
      </c>
      <c r="G598" s="81">
        <v>12</v>
      </c>
      <c r="H598" s="3" t="str">
        <f t="shared" si="29"/>
        <v>GROEN</v>
      </c>
      <c r="I598" s="3" t="str">
        <f t="shared" si="30"/>
        <v>Louis</v>
      </c>
      <c r="J598" s="4" t="str">
        <f t="shared" si="31"/>
        <v>Tiemen</v>
      </c>
      <c r="K598" t="str">
        <f>Tabel3[[#This Row],[Rood Verdediging]]&amp;Tabel3[[#This Row],[Rood Aanval]]</f>
        <v>ArnoKarel</v>
      </c>
      <c r="L598" t="str">
        <f>Tabel3[[#This Row],[Groen Verdediging]]&amp;Tabel3[[#This Row],[Groen Aanval]]</f>
        <v>LouisTiemen</v>
      </c>
      <c r="M598" t="str">
        <f>Tabel3[[#This Row],[Winnaar 1]]&amp;Tabel3[[#This Row],[Winnaar 2]]</f>
        <v>LouisTiemen</v>
      </c>
      <c r="N598" t="b">
        <f>IF(Tabel3[[#This Row],[Team Rood]]=Tabel3[[#This Row],[Winnaars]],Tabel3[[#This Row],[Team Rood]])</f>
        <v>0</v>
      </c>
      <c r="O598" t="str">
        <f>IF(Tabel3[[#This Row],[Team Groen]]=Tabel3[[#This Row],[Winnaars]],Tabel3[[#This Row],[Team Groen]])</f>
        <v>LouisTiemen</v>
      </c>
    </row>
    <row r="599" spans="1:15" x14ac:dyDescent="0.25">
      <c r="A599" s="14">
        <v>599</v>
      </c>
      <c r="B599" s="205" t="s">
        <v>0</v>
      </c>
      <c r="C599" s="205" t="s">
        <v>7</v>
      </c>
      <c r="D599" s="206" t="s">
        <v>70</v>
      </c>
      <c r="E599" s="206" t="s">
        <v>6</v>
      </c>
      <c r="F599" s="81">
        <v>4</v>
      </c>
      <c r="G599" s="81">
        <v>11</v>
      </c>
      <c r="H599" s="3" t="str">
        <f t="shared" si="29"/>
        <v>GROEN</v>
      </c>
      <c r="I599" s="3" t="str">
        <f t="shared" si="30"/>
        <v>Arno</v>
      </c>
      <c r="J599" s="4" t="str">
        <f t="shared" si="31"/>
        <v>Stef D</v>
      </c>
      <c r="K599" t="str">
        <f>Tabel3[[#This Row],[Rood Verdediging]]&amp;Tabel3[[#This Row],[Rood Aanval]]</f>
        <v>JonasTiemen</v>
      </c>
      <c r="L599" t="str">
        <f>Tabel3[[#This Row],[Groen Verdediging]]&amp;Tabel3[[#This Row],[Groen Aanval]]</f>
        <v>ArnoStef D</v>
      </c>
      <c r="M599" t="str">
        <f>Tabel3[[#This Row],[Winnaar 1]]&amp;Tabel3[[#This Row],[Winnaar 2]]</f>
        <v>ArnoStef D</v>
      </c>
      <c r="N599" t="b">
        <f>IF(Tabel3[[#This Row],[Team Rood]]=Tabel3[[#This Row],[Winnaars]],Tabel3[[#This Row],[Team Rood]])</f>
        <v>0</v>
      </c>
      <c r="O599" t="str">
        <f>IF(Tabel3[[#This Row],[Team Groen]]=Tabel3[[#This Row],[Winnaars]],Tabel3[[#This Row],[Team Groen]])</f>
        <v>ArnoStef D</v>
      </c>
    </row>
    <row r="600" spans="1:15" x14ac:dyDescent="0.25">
      <c r="A600" s="14">
        <v>600</v>
      </c>
      <c r="B600" s="205" t="s">
        <v>0</v>
      </c>
      <c r="C600" s="205" t="s">
        <v>6</v>
      </c>
      <c r="D600" s="206" t="s">
        <v>8</v>
      </c>
      <c r="E600" s="206" t="s">
        <v>3</v>
      </c>
      <c r="F600" s="81">
        <v>11</v>
      </c>
      <c r="G600" s="81">
        <v>7</v>
      </c>
      <c r="H600" s="3" t="str">
        <f t="shared" si="29"/>
        <v>ROOD</v>
      </c>
      <c r="I600" s="3" t="str">
        <f t="shared" si="30"/>
        <v>Jonas</v>
      </c>
      <c r="J600" s="4" t="str">
        <f t="shared" si="31"/>
        <v>Stef D</v>
      </c>
      <c r="K600" t="str">
        <f>Tabel3[[#This Row],[Rood Verdediging]]&amp;Tabel3[[#This Row],[Rood Aanval]]</f>
        <v>JonasStef D</v>
      </c>
      <c r="L600" t="str">
        <f>Tabel3[[#This Row],[Groen Verdediging]]&amp;Tabel3[[#This Row],[Groen Aanval]]</f>
        <v>LouisKarel</v>
      </c>
      <c r="M600" t="str">
        <f>Tabel3[[#This Row],[Winnaar 1]]&amp;Tabel3[[#This Row],[Winnaar 2]]</f>
        <v>JonasStef D</v>
      </c>
      <c r="N600" t="str">
        <f>IF(Tabel3[[#This Row],[Team Rood]]=Tabel3[[#This Row],[Winnaars]],Tabel3[[#This Row],[Team Rood]])</f>
        <v>JonasStef D</v>
      </c>
      <c r="O600" t="b">
        <f>IF(Tabel3[[#This Row],[Team Groen]]=Tabel3[[#This Row],[Winnaars]],Tabel3[[#This Row],[Team Groen]])</f>
        <v>0</v>
      </c>
    </row>
    <row r="601" spans="1:15" x14ac:dyDescent="0.25">
      <c r="A601" s="14">
        <v>601</v>
      </c>
      <c r="B601" s="205" t="s">
        <v>8</v>
      </c>
      <c r="C601" s="205" t="s">
        <v>6</v>
      </c>
      <c r="D601" s="206" t="s">
        <v>70</v>
      </c>
      <c r="E601" s="206" t="s">
        <v>7</v>
      </c>
      <c r="F601" s="81">
        <v>11</v>
      </c>
      <c r="G601" s="81">
        <v>9</v>
      </c>
      <c r="H601" s="3" t="str">
        <f t="shared" si="29"/>
        <v>ROOD</v>
      </c>
      <c r="I601" s="3" t="str">
        <f t="shared" si="30"/>
        <v>Louis</v>
      </c>
      <c r="J601" s="4" t="str">
        <f t="shared" si="31"/>
        <v>Stef D</v>
      </c>
      <c r="K601" t="str">
        <f>Tabel3[[#This Row],[Rood Verdediging]]&amp;Tabel3[[#This Row],[Rood Aanval]]</f>
        <v>LouisStef D</v>
      </c>
      <c r="L601" t="str">
        <f>Tabel3[[#This Row],[Groen Verdediging]]&amp;Tabel3[[#This Row],[Groen Aanval]]</f>
        <v>ArnoTiemen</v>
      </c>
      <c r="M601" t="str">
        <f>Tabel3[[#This Row],[Winnaar 1]]&amp;Tabel3[[#This Row],[Winnaar 2]]</f>
        <v>LouisStef D</v>
      </c>
      <c r="N601" t="str">
        <f>IF(Tabel3[[#This Row],[Team Rood]]=Tabel3[[#This Row],[Winnaars]],Tabel3[[#This Row],[Team Rood]])</f>
        <v>LouisStef D</v>
      </c>
      <c r="O601" t="b">
        <f>IF(Tabel3[[#This Row],[Team Groen]]=Tabel3[[#This Row],[Winnaars]],Tabel3[[#This Row],[Team Groen]])</f>
        <v>0</v>
      </c>
    </row>
    <row r="602" spans="1:15" x14ac:dyDescent="0.25">
      <c r="A602" s="14">
        <v>602</v>
      </c>
      <c r="B602" s="205" t="s">
        <v>19</v>
      </c>
      <c r="C602" s="205" t="s">
        <v>8</v>
      </c>
      <c r="D602" s="206" t="s">
        <v>7</v>
      </c>
      <c r="E602" s="206" t="s">
        <v>6</v>
      </c>
      <c r="F602" s="81">
        <v>4</v>
      </c>
      <c r="G602" s="81">
        <v>11</v>
      </c>
      <c r="H602" s="3" t="str">
        <f t="shared" si="29"/>
        <v>GROEN</v>
      </c>
      <c r="I602" s="3" t="str">
        <f t="shared" si="30"/>
        <v>Tiemen</v>
      </c>
      <c r="J602" s="4" t="str">
        <f t="shared" si="31"/>
        <v>Stef D</v>
      </c>
      <c r="K602" t="str">
        <f>Tabel3[[#This Row],[Rood Verdediging]]&amp;Tabel3[[#This Row],[Rood Aanval]]</f>
        <v>NicolasLouis</v>
      </c>
      <c r="L602" t="str">
        <f>Tabel3[[#This Row],[Groen Verdediging]]&amp;Tabel3[[#This Row],[Groen Aanval]]</f>
        <v>TiemenStef D</v>
      </c>
      <c r="M602" t="str">
        <f>Tabel3[[#This Row],[Winnaar 1]]&amp;Tabel3[[#This Row],[Winnaar 2]]</f>
        <v>TiemenStef D</v>
      </c>
      <c r="N602" t="b">
        <f>IF(Tabel3[[#This Row],[Team Rood]]=Tabel3[[#This Row],[Winnaars]],Tabel3[[#This Row],[Team Rood]])</f>
        <v>0</v>
      </c>
      <c r="O602" t="str">
        <f>IF(Tabel3[[#This Row],[Team Groen]]=Tabel3[[#This Row],[Winnaars]],Tabel3[[#This Row],[Team Groen]])</f>
        <v>TiemenStef D</v>
      </c>
    </row>
    <row r="603" spans="1:15" x14ac:dyDescent="0.25">
      <c r="A603" s="14">
        <v>603</v>
      </c>
      <c r="B603" s="205" t="s">
        <v>8</v>
      </c>
      <c r="C603" s="205" t="s">
        <v>70</v>
      </c>
      <c r="D603" s="206" t="s">
        <v>0</v>
      </c>
      <c r="E603" s="206" t="s">
        <v>11</v>
      </c>
      <c r="F603" s="81">
        <v>11</v>
      </c>
      <c r="G603" s="81">
        <v>5</v>
      </c>
      <c r="H603" s="3" t="str">
        <f t="shared" si="29"/>
        <v>ROOD</v>
      </c>
      <c r="I603" s="3" t="str">
        <f t="shared" si="30"/>
        <v>Louis</v>
      </c>
      <c r="J603" s="4" t="str">
        <f t="shared" si="31"/>
        <v>Arno</v>
      </c>
      <c r="K603" t="str">
        <f>Tabel3[[#This Row],[Rood Verdediging]]&amp;Tabel3[[#This Row],[Rood Aanval]]</f>
        <v>LouisArno</v>
      </c>
      <c r="L603" t="str">
        <f>Tabel3[[#This Row],[Groen Verdediging]]&amp;Tabel3[[#This Row],[Groen Aanval]]</f>
        <v>JonasMatthijs</v>
      </c>
      <c r="M603" t="str">
        <f>Tabel3[[#This Row],[Winnaar 1]]&amp;Tabel3[[#This Row],[Winnaar 2]]</f>
        <v>LouisArno</v>
      </c>
      <c r="N603" t="str">
        <f>IF(Tabel3[[#This Row],[Team Rood]]=Tabel3[[#This Row],[Winnaars]],Tabel3[[#This Row],[Team Rood]])</f>
        <v>LouisArno</v>
      </c>
      <c r="O603" t="b">
        <f>IF(Tabel3[[#This Row],[Team Groen]]=Tabel3[[#This Row],[Winnaars]],Tabel3[[#This Row],[Team Groen]])</f>
        <v>0</v>
      </c>
    </row>
    <row r="604" spans="1:15" x14ac:dyDescent="0.25">
      <c r="A604" s="14">
        <v>604</v>
      </c>
      <c r="B604" s="205" t="s">
        <v>6</v>
      </c>
      <c r="C604" s="205" t="s">
        <v>70</v>
      </c>
      <c r="D604" s="206" t="s">
        <v>19</v>
      </c>
      <c r="E604" s="206" t="s">
        <v>7</v>
      </c>
      <c r="F604" s="81">
        <v>11</v>
      </c>
      <c r="G604" s="81">
        <v>6</v>
      </c>
      <c r="H604" s="3" t="str">
        <f t="shared" si="29"/>
        <v>ROOD</v>
      </c>
      <c r="I604" s="3" t="str">
        <f t="shared" si="30"/>
        <v>Stef D</v>
      </c>
      <c r="J604" s="4" t="str">
        <f t="shared" si="31"/>
        <v>Arno</v>
      </c>
      <c r="K604" t="str">
        <f>Tabel3[[#This Row],[Rood Verdediging]]&amp;Tabel3[[#This Row],[Rood Aanval]]</f>
        <v>Stef DArno</v>
      </c>
      <c r="L604" t="str">
        <f>Tabel3[[#This Row],[Groen Verdediging]]&amp;Tabel3[[#This Row],[Groen Aanval]]</f>
        <v>NicolasTiemen</v>
      </c>
      <c r="M604" t="str">
        <f>Tabel3[[#This Row],[Winnaar 1]]&amp;Tabel3[[#This Row],[Winnaar 2]]</f>
        <v>Stef DArno</v>
      </c>
      <c r="N604" t="str">
        <f>IF(Tabel3[[#This Row],[Team Rood]]=Tabel3[[#This Row],[Winnaars]],Tabel3[[#This Row],[Team Rood]])</f>
        <v>Stef DArno</v>
      </c>
      <c r="O604" t="b">
        <f>IF(Tabel3[[#This Row],[Team Groen]]=Tabel3[[#This Row],[Winnaars]],Tabel3[[#This Row],[Team Groen]])</f>
        <v>0</v>
      </c>
    </row>
    <row r="605" spans="1:15" x14ac:dyDescent="0.25">
      <c r="A605" s="14">
        <v>605</v>
      </c>
      <c r="B605" s="205" t="s">
        <v>8</v>
      </c>
      <c r="C605" s="205" t="s">
        <v>0</v>
      </c>
      <c r="D605" s="206" t="s">
        <v>11</v>
      </c>
      <c r="E605" s="206" t="s">
        <v>70</v>
      </c>
      <c r="F605" s="81">
        <v>13</v>
      </c>
      <c r="G605" s="81">
        <v>11</v>
      </c>
      <c r="H605" s="3" t="str">
        <f t="shared" si="29"/>
        <v>ROOD</v>
      </c>
      <c r="I605" s="3" t="str">
        <f t="shared" si="30"/>
        <v>Louis</v>
      </c>
      <c r="J605" s="4" t="str">
        <f t="shared" si="31"/>
        <v>Jonas</v>
      </c>
      <c r="K605" t="str">
        <f>Tabel3[[#This Row],[Rood Verdediging]]&amp;Tabel3[[#This Row],[Rood Aanval]]</f>
        <v>LouisJonas</v>
      </c>
      <c r="L605" t="str">
        <f>Tabel3[[#This Row],[Groen Verdediging]]&amp;Tabel3[[#This Row],[Groen Aanval]]</f>
        <v>MatthijsArno</v>
      </c>
      <c r="M605" t="str">
        <f>Tabel3[[#This Row],[Winnaar 1]]&amp;Tabel3[[#This Row],[Winnaar 2]]</f>
        <v>LouisJonas</v>
      </c>
      <c r="N605" t="str">
        <f>IF(Tabel3[[#This Row],[Team Rood]]=Tabel3[[#This Row],[Winnaars]],Tabel3[[#This Row],[Team Rood]])</f>
        <v>LouisJonas</v>
      </c>
      <c r="O605" t="b">
        <f>IF(Tabel3[[#This Row],[Team Groen]]=Tabel3[[#This Row],[Winnaars]],Tabel3[[#This Row],[Team Groen]])</f>
        <v>0</v>
      </c>
    </row>
    <row r="606" spans="1:15" x14ac:dyDescent="0.25">
      <c r="A606" s="14">
        <v>606</v>
      </c>
      <c r="B606" s="205" t="s">
        <v>0</v>
      </c>
      <c r="C606" s="205" t="s">
        <v>70</v>
      </c>
      <c r="D606" s="206" t="s">
        <v>6</v>
      </c>
      <c r="E606" s="206" t="s">
        <v>7</v>
      </c>
      <c r="F606" s="81">
        <v>9</v>
      </c>
      <c r="G606" s="81">
        <v>11</v>
      </c>
      <c r="H606" s="3" t="str">
        <f t="shared" si="29"/>
        <v>GROEN</v>
      </c>
      <c r="I606" s="3" t="str">
        <f t="shared" si="30"/>
        <v>Stef D</v>
      </c>
      <c r="J606" s="4" t="str">
        <f t="shared" si="31"/>
        <v>Tiemen</v>
      </c>
      <c r="K606" t="str">
        <f>Tabel3[[#This Row],[Rood Verdediging]]&amp;Tabel3[[#This Row],[Rood Aanval]]</f>
        <v>JonasArno</v>
      </c>
      <c r="L606" t="str">
        <f>Tabel3[[#This Row],[Groen Verdediging]]&amp;Tabel3[[#This Row],[Groen Aanval]]</f>
        <v>Stef DTiemen</v>
      </c>
      <c r="M606" t="str">
        <f>Tabel3[[#This Row],[Winnaar 1]]&amp;Tabel3[[#This Row],[Winnaar 2]]</f>
        <v>Stef DTiemen</v>
      </c>
      <c r="N606" t="b">
        <f>IF(Tabel3[[#This Row],[Team Rood]]=Tabel3[[#This Row],[Winnaars]],Tabel3[[#This Row],[Team Rood]])</f>
        <v>0</v>
      </c>
      <c r="O606" t="str">
        <f>IF(Tabel3[[#This Row],[Team Groen]]=Tabel3[[#This Row],[Winnaars]],Tabel3[[#This Row],[Team Groen]])</f>
        <v>Stef DTiemen</v>
      </c>
    </row>
    <row r="607" spans="1:15" x14ac:dyDescent="0.25">
      <c r="A607" s="14">
        <v>607</v>
      </c>
      <c r="B607" s="205" t="s">
        <v>11</v>
      </c>
      <c r="C607" s="205" t="s">
        <v>6</v>
      </c>
      <c r="D607" s="206" t="s">
        <v>70</v>
      </c>
      <c r="E607" s="206" t="s">
        <v>19</v>
      </c>
      <c r="F607" s="81">
        <v>11</v>
      </c>
      <c r="G607" s="81">
        <v>4</v>
      </c>
      <c r="H607" s="3" t="str">
        <f t="shared" si="29"/>
        <v>ROOD</v>
      </c>
      <c r="I607" s="3" t="str">
        <f t="shared" si="30"/>
        <v>Matthijs</v>
      </c>
      <c r="J607" s="4" t="str">
        <f t="shared" si="31"/>
        <v>Stef D</v>
      </c>
      <c r="K607" t="str">
        <f>Tabel3[[#This Row],[Rood Verdediging]]&amp;Tabel3[[#This Row],[Rood Aanval]]</f>
        <v>MatthijsStef D</v>
      </c>
      <c r="L607" t="str">
        <f>Tabel3[[#This Row],[Groen Verdediging]]&amp;Tabel3[[#This Row],[Groen Aanval]]</f>
        <v>ArnoNicolas</v>
      </c>
      <c r="M607" t="str">
        <f>Tabel3[[#This Row],[Winnaar 1]]&amp;Tabel3[[#This Row],[Winnaar 2]]</f>
        <v>MatthijsStef D</v>
      </c>
      <c r="N607" t="str">
        <f>IF(Tabel3[[#This Row],[Team Rood]]=Tabel3[[#This Row],[Winnaars]],Tabel3[[#This Row],[Team Rood]])</f>
        <v>MatthijsStef D</v>
      </c>
      <c r="O607" t="b">
        <f>IF(Tabel3[[#This Row],[Team Groen]]=Tabel3[[#This Row],[Winnaars]],Tabel3[[#This Row],[Team Groen]])</f>
        <v>0</v>
      </c>
    </row>
    <row r="608" spans="1:15" x14ac:dyDescent="0.25">
      <c r="A608" s="14">
        <v>608</v>
      </c>
      <c r="B608" s="205" t="s">
        <v>19</v>
      </c>
      <c r="C608" s="205" t="s">
        <v>6</v>
      </c>
      <c r="D608" s="206" t="s">
        <v>11</v>
      </c>
      <c r="E608" s="206" t="s">
        <v>70</v>
      </c>
      <c r="F608" s="81">
        <v>3</v>
      </c>
      <c r="G608" s="81">
        <v>11</v>
      </c>
      <c r="H608" s="3" t="str">
        <f t="shared" si="29"/>
        <v>GROEN</v>
      </c>
      <c r="I608" s="3" t="str">
        <f t="shared" si="30"/>
        <v>Matthijs</v>
      </c>
      <c r="J608" s="4" t="str">
        <f t="shared" si="31"/>
        <v>Arno</v>
      </c>
      <c r="K608" t="str">
        <f>Tabel3[[#This Row],[Rood Verdediging]]&amp;Tabel3[[#This Row],[Rood Aanval]]</f>
        <v>NicolasStef D</v>
      </c>
      <c r="L608" t="str">
        <f>Tabel3[[#This Row],[Groen Verdediging]]&amp;Tabel3[[#This Row],[Groen Aanval]]</f>
        <v>MatthijsArno</v>
      </c>
      <c r="M608" t="str">
        <f>Tabel3[[#This Row],[Winnaar 1]]&amp;Tabel3[[#This Row],[Winnaar 2]]</f>
        <v>MatthijsArno</v>
      </c>
      <c r="N608" t="b">
        <f>IF(Tabel3[[#This Row],[Team Rood]]=Tabel3[[#This Row],[Winnaars]],Tabel3[[#This Row],[Team Rood]])</f>
        <v>0</v>
      </c>
      <c r="O608" t="str">
        <f>IF(Tabel3[[#This Row],[Team Groen]]=Tabel3[[#This Row],[Winnaars]],Tabel3[[#This Row],[Team Groen]])</f>
        <v>MatthijsArno</v>
      </c>
    </row>
    <row r="609" spans="1:15" x14ac:dyDescent="0.25">
      <c r="A609" s="14">
        <v>609</v>
      </c>
      <c r="B609" s="205" t="s">
        <v>19</v>
      </c>
      <c r="C609" s="205" t="s">
        <v>11</v>
      </c>
      <c r="D609" s="206" t="s">
        <v>70</v>
      </c>
      <c r="E609" s="206" t="s">
        <v>6</v>
      </c>
      <c r="F609" s="81">
        <v>5</v>
      </c>
      <c r="G609" s="81">
        <v>11</v>
      </c>
      <c r="H609" s="3" t="str">
        <f t="shared" si="29"/>
        <v>GROEN</v>
      </c>
      <c r="I609" s="3" t="str">
        <f t="shared" si="30"/>
        <v>Arno</v>
      </c>
      <c r="J609" s="4" t="str">
        <f t="shared" si="31"/>
        <v>Stef D</v>
      </c>
      <c r="K609" t="str">
        <f>Tabel3[[#This Row],[Rood Verdediging]]&amp;Tabel3[[#This Row],[Rood Aanval]]</f>
        <v>NicolasMatthijs</v>
      </c>
      <c r="L609" t="str">
        <f>Tabel3[[#This Row],[Groen Verdediging]]&amp;Tabel3[[#This Row],[Groen Aanval]]</f>
        <v>ArnoStef D</v>
      </c>
      <c r="M609" t="str">
        <f>Tabel3[[#This Row],[Winnaar 1]]&amp;Tabel3[[#This Row],[Winnaar 2]]</f>
        <v>ArnoStef D</v>
      </c>
      <c r="N609" t="b">
        <f>IF(Tabel3[[#This Row],[Team Rood]]=Tabel3[[#This Row],[Winnaars]],Tabel3[[#This Row],[Team Rood]])</f>
        <v>0</v>
      </c>
      <c r="O609" t="str">
        <f>IF(Tabel3[[#This Row],[Team Groen]]=Tabel3[[#This Row],[Winnaars]],Tabel3[[#This Row],[Team Groen]])</f>
        <v>ArnoStef D</v>
      </c>
    </row>
    <row r="610" spans="1:15" x14ac:dyDescent="0.25">
      <c r="A610" s="14">
        <v>610</v>
      </c>
      <c r="B610" s="205" t="s">
        <v>11</v>
      </c>
      <c r="C610" s="205" t="s">
        <v>6</v>
      </c>
      <c r="D610" s="206" t="s">
        <v>7</v>
      </c>
      <c r="E610" s="206" t="s">
        <v>3</v>
      </c>
      <c r="F610" s="81">
        <v>11</v>
      </c>
      <c r="G610" s="81">
        <v>8</v>
      </c>
      <c r="H610" s="3" t="str">
        <f t="shared" si="29"/>
        <v>ROOD</v>
      </c>
      <c r="I610" s="3" t="str">
        <f t="shared" si="30"/>
        <v>Matthijs</v>
      </c>
      <c r="J610" s="4" t="str">
        <f t="shared" si="31"/>
        <v>Stef D</v>
      </c>
      <c r="K610" t="str">
        <f>Tabel3[[#This Row],[Rood Verdediging]]&amp;Tabel3[[#This Row],[Rood Aanval]]</f>
        <v>MatthijsStef D</v>
      </c>
      <c r="L610" t="str">
        <f>Tabel3[[#This Row],[Groen Verdediging]]&amp;Tabel3[[#This Row],[Groen Aanval]]</f>
        <v>TiemenKarel</v>
      </c>
      <c r="M610" t="str">
        <f>Tabel3[[#This Row],[Winnaar 1]]&amp;Tabel3[[#This Row],[Winnaar 2]]</f>
        <v>MatthijsStef D</v>
      </c>
      <c r="N610" t="str">
        <f>IF(Tabel3[[#This Row],[Team Rood]]=Tabel3[[#This Row],[Winnaars]],Tabel3[[#This Row],[Team Rood]])</f>
        <v>MatthijsStef D</v>
      </c>
      <c r="O610" t="b">
        <f>IF(Tabel3[[#This Row],[Team Groen]]=Tabel3[[#This Row],[Winnaars]],Tabel3[[#This Row],[Team Groen]])</f>
        <v>0</v>
      </c>
    </row>
    <row r="611" spans="1:15" x14ac:dyDescent="0.25">
      <c r="A611" s="14">
        <v>611</v>
      </c>
      <c r="B611" s="205" t="s">
        <v>3</v>
      </c>
      <c r="C611" s="205" t="s">
        <v>6</v>
      </c>
      <c r="D611" s="206" t="s">
        <v>11</v>
      </c>
      <c r="E611" s="206" t="s">
        <v>7</v>
      </c>
      <c r="F611" s="81">
        <v>14</v>
      </c>
      <c r="G611" s="81">
        <v>12</v>
      </c>
      <c r="H611" s="3" t="str">
        <f t="shared" si="29"/>
        <v>ROOD</v>
      </c>
      <c r="I611" s="3" t="str">
        <f t="shared" si="30"/>
        <v>Karel</v>
      </c>
      <c r="J611" s="4" t="str">
        <f t="shared" si="31"/>
        <v>Stef D</v>
      </c>
      <c r="K611" t="str">
        <f>Tabel3[[#This Row],[Rood Verdediging]]&amp;Tabel3[[#This Row],[Rood Aanval]]</f>
        <v>KarelStef D</v>
      </c>
      <c r="L611" t="str">
        <f>Tabel3[[#This Row],[Groen Verdediging]]&amp;Tabel3[[#This Row],[Groen Aanval]]</f>
        <v>MatthijsTiemen</v>
      </c>
      <c r="M611" t="str">
        <f>Tabel3[[#This Row],[Winnaar 1]]&amp;Tabel3[[#This Row],[Winnaar 2]]</f>
        <v>KarelStef D</v>
      </c>
      <c r="N611" t="str">
        <f>IF(Tabel3[[#This Row],[Team Rood]]=Tabel3[[#This Row],[Winnaars]],Tabel3[[#This Row],[Team Rood]])</f>
        <v>KarelStef D</v>
      </c>
      <c r="O611" t="b">
        <f>IF(Tabel3[[#This Row],[Team Groen]]=Tabel3[[#This Row],[Winnaars]],Tabel3[[#This Row],[Team Groen]])</f>
        <v>0</v>
      </c>
    </row>
    <row r="612" spans="1:15" x14ac:dyDescent="0.25">
      <c r="A612" s="14">
        <v>612</v>
      </c>
      <c r="B612" s="205" t="s">
        <v>11</v>
      </c>
      <c r="C612" s="205" t="s">
        <v>3</v>
      </c>
      <c r="D612" s="206" t="s">
        <v>4</v>
      </c>
      <c r="E612" s="206" t="s">
        <v>7</v>
      </c>
      <c r="F612" s="81">
        <v>11</v>
      </c>
      <c r="G612" s="81">
        <v>6</v>
      </c>
      <c r="H612" s="3" t="str">
        <f t="shared" si="29"/>
        <v>ROOD</v>
      </c>
      <c r="I612" s="3" t="str">
        <f t="shared" si="30"/>
        <v>Matthijs</v>
      </c>
      <c r="J612" s="4" t="str">
        <f t="shared" si="31"/>
        <v>Karel</v>
      </c>
      <c r="K612" t="str">
        <f>Tabel3[[#This Row],[Rood Verdediging]]&amp;Tabel3[[#This Row],[Rood Aanval]]</f>
        <v>MatthijsKarel</v>
      </c>
      <c r="L612" t="str">
        <f>Tabel3[[#This Row],[Groen Verdediging]]&amp;Tabel3[[#This Row],[Groen Aanval]]</f>
        <v>StefTiemen</v>
      </c>
      <c r="M612" t="str">
        <f>Tabel3[[#This Row],[Winnaar 1]]&amp;Tabel3[[#This Row],[Winnaar 2]]</f>
        <v>MatthijsKarel</v>
      </c>
      <c r="N612" t="str">
        <f>IF(Tabel3[[#This Row],[Team Rood]]=Tabel3[[#This Row],[Winnaars]],Tabel3[[#This Row],[Team Rood]])</f>
        <v>MatthijsKarel</v>
      </c>
      <c r="O612" t="b">
        <f>IF(Tabel3[[#This Row],[Team Groen]]=Tabel3[[#This Row],[Winnaars]],Tabel3[[#This Row],[Team Groen]])</f>
        <v>0</v>
      </c>
    </row>
    <row r="613" spans="1:15" x14ac:dyDescent="0.25">
      <c r="A613" s="14">
        <v>613</v>
      </c>
      <c r="B613" s="205" t="s">
        <v>6</v>
      </c>
      <c r="C613" s="205" t="s">
        <v>3</v>
      </c>
      <c r="D613" s="206" t="s">
        <v>11</v>
      </c>
      <c r="E613" s="206" t="s">
        <v>7</v>
      </c>
      <c r="F613" s="81">
        <v>11</v>
      </c>
      <c r="G613" s="81">
        <v>7</v>
      </c>
      <c r="H613" s="3" t="str">
        <f t="shared" si="29"/>
        <v>ROOD</v>
      </c>
      <c r="I613" s="3" t="str">
        <f t="shared" si="30"/>
        <v>Stef D</v>
      </c>
      <c r="J613" s="4" t="str">
        <f t="shared" si="31"/>
        <v>Karel</v>
      </c>
      <c r="K613" t="str">
        <f>Tabel3[[#This Row],[Rood Verdediging]]&amp;Tabel3[[#This Row],[Rood Aanval]]</f>
        <v>Stef DKarel</v>
      </c>
      <c r="L613" t="str">
        <f>Tabel3[[#This Row],[Groen Verdediging]]&amp;Tabel3[[#This Row],[Groen Aanval]]</f>
        <v>MatthijsTiemen</v>
      </c>
      <c r="M613" t="str">
        <f>Tabel3[[#This Row],[Winnaar 1]]&amp;Tabel3[[#This Row],[Winnaar 2]]</f>
        <v>Stef DKarel</v>
      </c>
      <c r="N613" t="str">
        <f>IF(Tabel3[[#This Row],[Team Rood]]=Tabel3[[#This Row],[Winnaars]],Tabel3[[#This Row],[Team Rood]])</f>
        <v>Stef DKarel</v>
      </c>
      <c r="O613" t="b">
        <f>IF(Tabel3[[#This Row],[Team Groen]]=Tabel3[[#This Row],[Winnaars]],Tabel3[[#This Row],[Team Groen]])</f>
        <v>0</v>
      </c>
    </row>
    <row r="614" spans="1:15" x14ac:dyDescent="0.25">
      <c r="A614" s="14">
        <v>614</v>
      </c>
      <c r="B614" s="205" t="s">
        <v>70</v>
      </c>
      <c r="C614" s="205" t="s">
        <v>6</v>
      </c>
      <c r="D614" s="206" t="s">
        <v>0</v>
      </c>
      <c r="E614" s="206" t="s">
        <v>3</v>
      </c>
      <c r="F614" s="81">
        <v>9</v>
      </c>
      <c r="G614" s="81">
        <v>11</v>
      </c>
      <c r="H614" s="3" t="str">
        <f t="shared" si="29"/>
        <v>GROEN</v>
      </c>
      <c r="I614" s="3" t="str">
        <f t="shared" si="30"/>
        <v>Jonas</v>
      </c>
      <c r="J614" s="4" t="str">
        <f t="shared" si="31"/>
        <v>Karel</v>
      </c>
      <c r="K614" t="str">
        <f>Tabel3[[#This Row],[Rood Verdediging]]&amp;Tabel3[[#This Row],[Rood Aanval]]</f>
        <v>ArnoStef D</v>
      </c>
      <c r="L614" t="str">
        <f>Tabel3[[#This Row],[Groen Verdediging]]&amp;Tabel3[[#This Row],[Groen Aanval]]</f>
        <v>JonasKarel</v>
      </c>
      <c r="M614" t="str">
        <f>Tabel3[[#This Row],[Winnaar 1]]&amp;Tabel3[[#This Row],[Winnaar 2]]</f>
        <v>JonasKarel</v>
      </c>
      <c r="N614" t="b">
        <f>IF(Tabel3[[#This Row],[Team Rood]]=Tabel3[[#This Row],[Winnaars]],Tabel3[[#This Row],[Team Rood]])</f>
        <v>0</v>
      </c>
      <c r="O614" t="str">
        <f>IF(Tabel3[[#This Row],[Team Groen]]=Tabel3[[#This Row],[Winnaars]],Tabel3[[#This Row],[Team Groen]])</f>
        <v>JonasKarel</v>
      </c>
    </row>
    <row r="615" spans="1:15" x14ac:dyDescent="0.25">
      <c r="A615" s="14">
        <v>615</v>
      </c>
      <c r="B615" s="205" t="s">
        <v>3</v>
      </c>
      <c r="C615" s="205" t="s">
        <v>70</v>
      </c>
      <c r="D615" s="206" t="s">
        <v>0</v>
      </c>
      <c r="E615" s="206" t="s">
        <v>19</v>
      </c>
      <c r="F615" s="81">
        <v>11</v>
      </c>
      <c r="G615" s="81">
        <v>7</v>
      </c>
      <c r="H615" s="3" t="str">
        <f t="shared" si="29"/>
        <v>ROOD</v>
      </c>
      <c r="I615" s="3" t="str">
        <f t="shared" si="30"/>
        <v>Karel</v>
      </c>
      <c r="J615" s="4" t="str">
        <f t="shared" si="31"/>
        <v>Arno</v>
      </c>
      <c r="K615" t="str">
        <f>Tabel3[[#This Row],[Rood Verdediging]]&amp;Tabel3[[#This Row],[Rood Aanval]]</f>
        <v>KarelArno</v>
      </c>
      <c r="L615" t="str">
        <f>Tabel3[[#This Row],[Groen Verdediging]]&amp;Tabel3[[#This Row],[Groen Aanval]]</f>
        <v>JonasNicolas</v>
      </c>
      <c r="M615" t="str">
        <f>Tabel3[[#This Row],[Winnaar 1]]&amp;Tabel3[[#This Row],[Winnaar 2]]</f>
        <v>KarelArno</v>
      </c>
      <c r="N615" t="str">
        <f>IF(Tabel3[[#This Row],[Team Rood]]=Tabel3[[#This Row],[Winnaars]],Tabel3[[#This Row],[Team Rood]])</f>
        <v>KarelArno</v>
      </c>
      <c r="O615" t="b">
        <f>IF(Tabel3[[#This Row],[Team Groen]]=Tabel3[[#This Row],[Winnaars]],Tabel3[[#This Row],[Team Groen]])</f>
        <v>0</v>
      </c>
    </row>
    <row r="616" spans="1:15" x14ac:dyDescent="0.25">
      <c r="A616" s="14">
        <v>616</v>
      </c>
      <c r="B616" s="205" t="s">
        <v>6</v>
      </c>
      <c r="C616" s="205" t="s">
        <v>3</v>
      </c>
      <c r="D616" s="206" t="s">
        <v>19</v>
      </c>
      <c r="E616" s="206" t="s">
        <v>0</v>
      </c>
      <c r="F616" s="81">
        <v>9</v>
      </c>
      <c r="G616" s="81">
        <v>11</v>
      </c>
      <c r="H616" s="3" t="str">
        <f t="shared" si="29"/>
        <v>GROEN</v>
      </c>
      <c r="I616" s="3" t="str">
        <f t="shared" si="30"/>
        <v>Nicolas</v>
      </c>
      <c r="J616" s="4" t="str">
        <f t="shared" si="31"/>
        <v>Jonas</v>
      </c>
      <c r="K616" t="str">
        <f>Tabel3[[#This Row],[Rood Verdediging]]&amp;Tabel3[[#This Row],[Rood Aanval]]</f>
        <v>Stef DKarel</v>
      </c>
      <c r="L616" t="str">
        <f>Tabel3[[#This Row],[Groen Verdediging]]&amp;Tabel3[[#This Row],[Groen Aanval]]</f>
        <v>NicolasJonas</v>
      </c>
      <c r="M616" t="str">
        <f>Tabel3[[#This Row],[Winnaar 1]]&amp;Tabel3[[#This Row],[Winnaar 2]]</f>
        <v>NicolasJonas</v>
      </c>
      <c r="N616" t="b">
        <f>IF(Tabel3[[#This Row],[Team Rood]]=Tabel3[[#This Row],[Winnaars]],Tabel3[[#This Row],[Team Rood]])</f>
        <v>0</v>
      </c>
      <c r="O616" t="str">
        <f>IF(Tabel3[[#This Row],[Team Groen]]=Tabel3[[#This Row],[Winnaars]],Tabel3[[#This Row],[Team Groen]])</f>
        <v>NicolasJonas</v>
      </c>
    </row>
    <row r="617" spans="1:15" x14ac:dyDescent="0.25">
      <c r="A617" s="14">
        <v>617</v>
      </c>
      <c r="B617" s="205" t="s">
        <v>19</v>
      </c>
      <c r="C617" s="205" t="s">
        <v>70</v>
      </c>
      <c r="D617" s="206" t="s">
        <v>4</v>
      </c>
      <c r="E617" s="206" t="s">
        <v>0</v>
      </c>
      <c r="F617" s="81">
        <v>12</v>
      </c>
      <c r="G617" s="81">
        <v>10</v>
      </c>
      <c r="H617" s="3" t="str">
        <f t="shared" si="29"/>
        <v>ROOD</v>
      </c>
      <c r="I617" s="3" t="str">
        <f t="shared" si="30"/>
        <v>Nicolas</v>
      </c>
      <c r="J617" s="4" t="str">
        <f t="shared" si="31"/>
        <v>Arno</v>
      </c>
      <c r="K617" t="str">
        <f>Tabel3[[#This Row],[Rood Verdediging]]&amp;Tabel3[[#This Row],[Rood Aanval]]</f>
        <v>NicolasArno</v>
      </c>
      <c r="L617" t="str">
        <f>Tabel3[[#This Row],[Groen Verdediging]]&amp;Tabel3[[#This Row],[Groen Aanval]]</f>
        <v>StefJonas</v>
      </c>
      <c r="M617" t="str">
        <f>Tabel3[[#This Row],[Winnaar 1]]&amp;Tabel3[[#This Row],[Winnaar 2]]</f>
        <v>NicolasArno</v>
      </c>
      <c r="N617" t="str">
        <f>IF(Tabel3[[#This Row],[Team Rood]]=Tabel3[[#This Row],[Winnaars]],Tabel3[[#This Row],[Team Rood]])</f>
        <v>NicolasArno</v>
      </c>
      <c r="O617" t="b">
        <f>IF(Tabel3[[#This Row],[Team Groen]]=Tabel3[[#This Row],[Winnaars]],Tabel3[[#This Row],[Team Groen]])</f>
        <v>0</v>
      </c>
    </row>
    <row r="618" spans="1:15" x14ac:dyDescent="0.25">
      <c r="A618" s="14">
        <v>618</v>
      </c>
      <c r="B618" s="205" t="s">
        <v>0</v>
      </c>
      <c r="C618" s="205" t="s">
        <v>70</v>
      </c>
      <c r="D618" s="206" t="s">
        <v>3</v>
      </c>
      <c r="E618" s="206" t="s">
        <v>6</v>
      </c>
      <c r="F618" s="81">
        <v>5</v>
      </c>
      <c r="G618" s="81">
        <v>11</v>
      </c>
      <c r="H618" s="3" t="str">
        <f t="shared" si="29"/>
        <v>GROEN</v>
      </c>
      <c r="I618" s="3" t="str">
        <f t="shared" si="30"/>
        <v>Karel</v>
      </c>
      <c r="J618" s="4" t="str">
        <f t="shared" si="31"/>
        <v>Stef D</v>
      </c>
      <c r="K618" t="str">
        <f>Tabel3[[#This Row],[Rood Verdediging]]&amp;Tabel3[[#This Row],[Rood Aanval]]</f>
        <v>JonasArno</v>
      </c>
      <c r="L618" t="str">
        <f>Tabel3[[#This Row],[Groen Verdediging]]&amp;Tabel3[[#This Row],[Groen Aanval]]</f>
        <v>KarelStef D</v>
      </c>
      <c r="M618" t="str">
        <f>Tabel3[[#This Row],[Winnaar 1]]&amp;Tabel3[[#This Row],[Winnaar 2]]</f>
        <v>KarelStef D</v>
      </c>
      <c r="N618" t="b">
        <f>IF(Tabel3[[#This Row],[Team Rood]]=Tabel3[[#This Row],[Winnaars]],Tabel3[[#This Row],[Team Rood]])</f>
        <v>0</v>
      </c>
      <c r="O618" t="str">
        <f>IF(Tabel3[[#This Row],[Team Groen]]=Tabel3[[#This Row],[Winnaars]],Tabel3[[#This Row],[Team Groen]])</f>
        <v>KarelStef D</v>
      </c>
    </row>
    <row r="619" spans="1:15" x14ac:dyDescent="0.25">
      <c r="A619" s="14">
        <v>619</v>
      </c>
      <c r="B619" s="205" t="s">
        <v>70</v>
      </c>
      <c r="C619" s="205" t="s">
        <v>6</v>
      </c>
      <c r="D619" s="206" t="s">
        <v>19</v>
      </c>
      <c r="E619" s="206" t="s">
        <v>3</v>
      </c>
      <c r="F619" s="81">
        <v>12</v>
      </c>
      <c r="G619" s="81">
        <v>10</v>
      </c>
      <c r="H619" s="3" t="str">
        <f t="shared" si="29"/>
        <v>ROOD</v>
      </c>
      <c r="I619" s="3" t="str">
        <f t="shared" si="30"/>
        <v>Arno</v>
      </c>
      <c r="J619" s="4" t="str">
        <f t="shared" si="31"/>
        <v>Stef D</v>
      </c>
      <c r="K619" t="str">
        <f>Tabel3[[#This Row],[Rood Verdediging]]&amp;Tabel3[[#This Row],[Rood Aanval]]</f>
        <v>ArnoStef D</v>
      </c>
      <c r="L619" t="str">
        <f>Tabel3[[#This Row],[Groen Verdediging]]&amp;Tabel3[[#This Row],[Groen Aanval]]</f>
        <v>NicolasKarel</v>
      </c>
      <c r="M619" t="str">
        <f>Tabel3[[#This Row],[Winnaar 1]]&amp;Tabel3[[#This Row],[Winnaar 2]]</f>
        <v>ArnoStef D</v>
      </c>
      <c r="N619" t="str">
        <f>IF(Tabel3[[#This Row],[Team Rood]]=Tabel3[[#This Row],[Winnaars]],Tabel3[[#This Row],[Team Rood]])</f>
        <v>ArnoStef D</v>
      </c>
      <c r="O619" t="b">
        <f>IF(Tabel3[[#This Row],[Team Groen]]=Tabel3[[#This Row],[Winnaars]],Tabel3[[#This Row],[Team Groen]])</f>
        <v>0</v>
      </c>
    </row>
    <row r="620" spans="1:15" x14ac:dyDescent="0.25">
      <c r="A620" s="14">
        <v>620</v>
      </c>
      <c r="B620" s="205" t="s">
        <v>70</v>
      </c>
      <c r="C620" s="205" t="s">
        <v>6</v>
      </c>
      <c r="D620" s="206" t="s">
        <v>3</v>
      </c>
      <c r="E620" s="206" t="s">
        <v>0</v>
      </c>
      <c r="F620" s="81">
        <v>11</v>
      </c>
      <c r="G620" s="81">
        <v>8</v>
      </c>
      <c r="H620" s="3" t="str">
        <f t="shared" si="29"/>
        <v>ROOD</v>
      </c>
      <c r="I620" s="3" t="str">
        <f t="shared" si="30"/>
        <v>Arno</v>
      </c>
      <c r="J620" s="4" t="str">
        <f t="shared" si="31"/>
        <v>Stef D</v>
      </c>
      <c r="K620" t="str">
        <f>Tabel3[[#This Row],[Rood Verdediging]]&amp;Tabel3[[#This Row],[Rood Aanval]]</f>
        <v>ArnoStef D</v>
      </c>
      <c r="L620" t="str">
        <f>Tabel3[[#This Row],[Groen Verdediging]]&amp;Tabel3[[#This Row],[Groen Aanval]]</f>
        <v>KarelJonas</v>
      </c>
      <c r="M620" t="str">
        <f>Tabel3[[#This Row],[Winnaar 1]]&amp;Tabel3[[#This Row],[Winnaar 2]]</f>
        <v>ArnoStef D</v>
      </c>
      <c r="N620" t="str">
        <f>IF(Tabel3[[#This Row],[Team Rood]]=Tabel3[[#This Row],[Winnaars]],Tabel3[[#This Row],[Team Rood]])</f>
        <v>ArnoStef D</v>
      </c>
      <c r="O620" t="b">
        <f>IF(Tabel3[[#This Row],[Team Groen]]=Tabel3[[#This Row],[Winnaars]],Tabel3[[#This Row],[Team Groen]])</f>
        <v>0</v>
      </c>
    </row>
    <row r="621" spans="1:15" x14ac:dyDescent="0.25">
      <c r="A621" s="14">
        <v>621</v>
      </c>
      <c r="B621" s="205" t="s">
        <v>70</v>
      </c>
      <c r="C621" s="205" t="s">
        <v>3</v>
      </c>
      <c r="D621" s="206" t="s">
        <v>19</v>
      </c>
      <c r="E621" s="206" t="s">
        <v>0</v>
      </c>
      <c r="F621" s="81">
        <v>11</v>
      </c>
      <c r="G621" s="81">
        <v>9</v>
      </c>
      <c r="H621" s="3" t="str">
        <f t="shared" si="29"/>
        <v>ROOD</v>
      </c>
      <c r="I621" s="3" t="str">
        <f t="shared" si="30"/>
        <v>Arno</v>
      </c>
      <c r="J621" s="4" t="str">
        <f t="shared" si="31"/>
        <v>Karel</v>
      </c>
      <c r="K621" t="str">
        <f>Tabel3[[#This Row],[Rood Verdediging]]&amp;Tabel3[[#This Row],[Rood Aanval]]</f>
        <v>ArnoKarel</v>
      </c>
      <c r="L621" t="str">
        <f>Tabel3[[#This Row],[Groen Verdediging]]&amp;Tabel3[[#This Row],[Groen Aanval]]</f>
        <v>NicolasJonas</v>
      </c>
      <c r="M621" t="str">
        <f>Tabel3[[#This Row],[Winnaar 1]]&amp;Tabel3[[#This Row],[Winnaar 2]]</f>
        <v>ArnoKarel</v>
      </c>
      <c r="N621" t="str">
        <f>IF(Tabel3[[#This Row],[Team Rood]]=Tabel3[[#This Row],[Winnaars]],Tabel3[[#This Row],[Team Rood]])</f>
        <v>ArnoKarel</v>
      </c>
      <c r="O621" t="b">
        <f>IF(Tabel3[[#This Row],[Team Groen]]=Tabel3[[#This Row],[Winnaars]],Tabel3[[#This Row],[Team Groen]])</f>
        <v>0</v>
      </c>
    </row>
    <row r="622" spans="1:15" x14ac:dyDescent="0.25">
      <c r="A622" s="14">
        <v>622</v>
      </c>
      <c r="B622" s="205" t="s">
        <v>3</v>
      </c>
      <c r="C622" s="205" t="s">
        <v>6</v>
      </c>
      <c r="D622" s="206" t="s">
        <v>70</v>
      </c>
      <c r="E622" s="206" t="s">
        <v>0</v>
      </c>
      <c r="F622" s="81">
        <v>9</v>
      </c>
      <c r="G622" s="81">
        <v>11</v>
      </c>
      <c r="H622" s="3" t="str">
        <f t="shared" si="29"/>
        <v>GROEN</v>
      </c>
      <c r="I622" s="3" t="str">
        <f t="shared" si="30"/>
        <v>Arno</v>
      </c>
      <c r="J622" s="4" t="str">
        <f t="shared" si="31"/>
        <v>Jonas</v>
      </c>
      <c r="K622" t="str">
        <f>Tabel3[[#This Row],[Rood Verdediging]]&amp;Tabel3[[#This Row],[Rood Aanval]]</f>
        <v>KarelStef D</v>
      </c>
      <c r="L622" t="str">
        <f>Tabel3[[#This Row],[Groen Verdediging]]&amp;Tabel3[[#This Row],[Groen Aanval]]</f>
        <v>ArnoJonas</v>
      </c>
      <c r="M622" t="str">
        <f>Tabel3[[#This Row],[Winnaar 1]]&amp;Tabel3[[#This Row],[Winnaar 2]]</f>
        <v>ArnoJonas</v>
      </c>
      <c r="N622" t="b">
        <f>IF(Tabel3[[#This Row],[Team Rood]]=Tabel3[[#This Row],[Winnaars]],Tabel3[[#This Row],[Team Rood]])</f>
        <v>0</v>
      </c>
      <c r="O622" t="str">
        <f>IF(Tabel3[[#This Row],[Team Groen]]=Tabel3[[#This Row],[Winnaars]],Tabel3[[#This Row],[Team Groen]])</f>
        <v>ArnoJonas</v>
      </c>
    </row>
    <row r="623" spans="1:15" x14ac:dyDescent="0.25">
      <c r="A623" s="14">
        <v>623</v>
      </c>
      <c r="B623" s="205" t="s">
        <v>6</v>
      </c>
      <c r="C623" s="205" t="s">
        <v>0</v>
      </c>
      <c r="D623" s="206" t="s">
        <v>3</v>
      </c>
      <c r="E623" s="206" t="s">
        <v>70</v>
      </c>
      <c r="F623" s="81">
        <v>11</v>
      </c>
      <c r="G623" s="81">
        <v>9</v>
      </c>
      <c r="H623" s="3" t="str">
        <f t="shared" si="29"/>
        <v>ROOD</v>
      </c>
      <c r="I623" s="3" t="str">
        <f t="shared" si="30"/>
        <v>Stef D</v>
      </c>
      <c r="J623" s="4" t="str">
        <f t="shared" si="31"/>
        <v>Jonas</v>
      </c>
      <c r="K623" t="str">
        <f>Tabel3[[#This Row],[Rood Verdediging]]&amp;Tabel3[[#This Row],[Rood Aanval]]</f>
        <v>Stef DJonas</v>
      </c>
      <c r="L623" t="str">
        <f>Tabel3[[#This Row],[Groen Verdediging]]&amp;Tabel3[[#This Row],[Groen Aanval]]</f>
        <v>KarelArno</v>
      </c>
      <c r="M623" t="str">
        <f>Tabel3[[#This Row],[Winnaar 1]]&amp;Tabel3[[#This Row],[Winnaar 2]]</f>
        <v>Stef DJonas</v>
      </c>
      <c r="N623" t="str">
        <f>IF(Tabel3[[#This Row],[Team Rood]]=Tabel3[[#This Row],[Winnaars]],Tabel3[[#This Row],[Team Rood]])</f>
        <v>Stef DJonas</v>
      </c>
      <c r="O623" t="b">
        <f>IF(Tabel3[[#This Row],[Team Groen]]=Tabel3[[#This Row],[Winnaars]],Tabel3[[#This Row],[Team Groen]])</f>
        <v>0</v>
      </c>
    </row>
    <row r="624" spans="1:15" x14ac:dyDescent="0.25">
      <c r="A624" s="14">
        <v>624</v>
      </c>
      <c r="B624" s="205" t="s">
        <v>6</v>
      </c>
      <c r="C624" s="205" t="s">
        <v>3</v>
      </c>
      <c r="D624" s="206" t="s">
        <v>0</v>
      </c>
      <c r="E624" s="206" t="s">
        <v>70</v>
      </c>
      <c r="F624" s="81">
        <v>11</v>
      </c>
      <c r="G624" s="81">
        <v>8</v>
      </c>
      <c r="H624" s="3" t="str">
        <f t="shared" si="29"/>
        <v>ROOD</v>
      </c>
      <c r="I624" s="3" t="str">
        <f t="shared" si="30"/>
        <v>Stef D</v>
      </c>
      <c r="J624" s="4" t="str">
        <f t="shared" si="31"/>
        <v>Karel</v>
      </c>
      <c r="K624" t="str">
        <f>Tabel3[[#This Row],[Rood Verdediging]]&amp;Tabel3[[#This Row],[Rood Aanval]]</f>
        <v>Stef DKarel</v>
      </c>
      <c r="L624" t="str">
        <f>Tabel3[[#This Row],[Groen Verdediging]]&amp;Tabel3[[#This Row],[Groen Aanval]]</f>
        <v>JonasArno</v>
      </c>
      <c r="M624" t="str">
        <f>Tabel3[[#This Row],[Winnaar 1]]&amp;Tabel3[[#This Row],[Winnaar 2]]</f>
        <v>Stef DKarel</v>
      </c>
      <c r="N624" t="str">
        <f>IF(Tabel3[[#This Row],[Team Rood]]=Tabel3[[#This Row],[Winnaars]],Tabel3[[#This Row],[Team Rood]])</f>
        <v>Stef DKarel</v>
      </c>
      <c r="O624" t="b">
        <f>IF(Tabel3[[#This Row],[Team Groen]]=Tabel3[[#This Row],[Winnaars]],Tabel3[[#This Row],[Team Groen]])</f>
        <v>0</v>
      </c>
    </row>
    <row r="625" spans="1:15" x14ac:dyDescent="0.25">
      <c r="A625" s="14">
        <v>625</v>
      </c>
      <c r="B625" s="205" t="s">
        <v>0</v>
      </c>
      <c r="C625" s="205" t="s">
        <v>3</v>
      </c>
      <c r="D625" s="206" t="s">
        <v>6</v>
      </c>
      <c r="E625" s="206" t="s">
        <v>70</v>
      </c>
      <c r="F625" s="81">
        <v>3</v>
      </c>
      <c r="G625" s="81">
        <v>11</v>
      </c>
      <c r="H625" s="3" t="str">
        <f t="shared" si="29"/>
        <v>GROEN</v>
      </c>
      <c r="I625" s="3" t="str">
        <f t="shared" si="30"/>
        <v>Stef D</v>
      </c>
      <c r="J625" s="4" t="str">
        <f t="shared" si="31"/>
        <v>Arno</v>
      </c>
      <c r="K625" t="str">
        <f>Tabel3[[#This Row],[Rood Verdediging]]&amp;Tabel3[[#This Row],[Rood Aanval]]</f>
        <v>JonasKarel</v>
      </c>
      <c r="L625" t="str">
        <f>Tabel3[[#This Row],[Groen Verdediging]]&amp;Tabel3[[#This Row],[Groen Aanval]]</f>
        <v>Stef DArno</v>
      </c>
      <c r="M625" t="str">
        <f>Tabel3[[#This Row],[Winnaar 1]]&amp;Tabel3[[#This Row],[Winnaar 2]]</f>
        <v>Stef DArno</v>
      </c>
      <c r="N625" t="b">
        <f>IF(Tabel3[[#This Row],[Team Rood]]=Tabel3[[#This Row],[Winnaars]],Tabel3[[#This Row],[Team Rood]])</f>
        <v>0</v>
      </c>
      <c r="O625" t="str">
        <f>IF(Tabel3[[#This Row],[Team Groen]]=Tabel3[[#This Row],[Winnaars]],Tabel3[[#This Row],[Team Groen]])</f>
        <v>Stef DArno</v>
      </c>
    </row>
    <row r="626" spans="1:15" x14ac:dyDescent="0.25">
      <c r="A626" s="14">
        <v>626</v>
      </c>
      <c r="B626" s="205" t="s">
        <v>6</v>
      </c>
      <c r="C626" s="205" t="s">
        <v>0</v>
      </c>
      <c r="D626" s="206" t="s">
        <v>19</v>
      </c>
      <c r="E626" s="206" t="s">
        <v>7</v>
      </c>
      <c r="F626" s="81">
        <v>12</v>
      </c>
      <c r="G626" s="81">
        <v>10</v>
      </c>
      <c r="H626" s="3" t="str">
        <f t="shared" si="29"/>
        <v>ROOD</v>
      </c>
      <c r="I626" s="3" t="str">
        <f t="shared" si="30"/>
        <v>Stef D</v>
      </c>
      <c r="J626" s="4" t="str">
        <f t="shared" si="31"/>
        <v>Jonas</v>
      </c>
      <c r="K626" t="str">
        <f>Tabel3[[#This Row],[Rood Verdediging]]&amp;Tabel3[[#This Row],[Rood Aanval]]</f>
        <v>Stef DJonas</v>
      </c>
      <c r="L626" t="str">
        <f>Tabel3[[#This Row],[Groen Verdediging]]&amp;Tabel3[[#This Row],[Groen Aanval]]</f>
        <v>NicolasTiemen</v>
      </c>
      <c r="M626" t="str">
        <f>Tabel3[[#This Row],[Winnaar 1]]&amp;Tabel3[[#This Row],[Winnaar 2]]</f>
        <v>Stef DJonas</v>
      </c>
      <c r="N626" t="str">
        <f>IF(Tabel3[[#This Row],[Team Rood]]=Tabel3[[#This Row],[Winnaars]],Tabel3[[#This Row],[Team Rood]])</f>
        <v>Stef DJonas</v>
      </c>
      <c r="O626" t="b">
        <f>IF(Tabel3[[#This Row],[Team Groen]]=Tabel3[[#This Row],[Winnaars]],Tabel3[[#This Row],[Team Groen]])</f>
        <v>0</v>
      </c>
    </row>
    <row r="627" spans="1:15" x14ac:dyDescent="0.25">
      <c r="A627" s="14">
        <v>627</v>
      </c>
      <c r="B627" s="205" t="s">
        <v>0</v>
      </c>
      <c r="C627" s="205" t="s">
        <v>6</v>
      </c>
      <c r="D627" s="206" t="s">
        <v>7</v>
      </c>
      <c r="E627" s="206" t="s">
        <v>19</v>
      </c>
      <c r="F627" s="81">
        <v>12</v>
      </c>
      <c r="G627" s="81">
        <v>2</v>
      </c>
      <c r="H627" s="3" t="str">
        <f t="shared" si="29"/>
        <v>ROOD</v>
      </c>
      <c r="I627" s="3" t="str">
        <f t="shared" si="30"/>
        <v>Jonas</v>
      </c>
      <c r="J627" s="4" t="str">
        <f t="shared" si="31"/>
        <v>Stef D</v>
      </c>
      <c r="K627" t="str">
        <f>Tabel3[[#This Row],[Rood Verdediging]]&amp;Tabel3[[#This Row],[Rood Aanval]]</f>
        <v>JonasStef D</v>
      </c>
      <c r="L627" t="str">
        <f>Tabel3[[#This Row],[Groen Verdediging]]&amp;Tabel3[[#This Row],[Groen Aanval]]</f>
        <v>TiemenNicolas</v>
      </c>
      <c r="M627" t="str">
        <f>Tabel3[[#This Row],[Winnaar 1]]&amp;Tabel3[[#This Row],[Winnaar 2]]</f>
        <v>JonasStef D</v>
      </c>
      <c r="N627" t="str">
        <f>IF(Tabel3[[#This Row],[Team Rood]]=Tabel3[[#This Row],[Winnaars]],Tabel3[[#This Row],[Team Rood]])</f>
        <v>JonasStef D</v>
      </c>
      <c r="O627" t="b">
        <f>IF(Tabel3[[#This Row],[Team Groen]]=Tabel3[[#This Row],[Winnaars]],Tabel3[[#This Row],[Team Groen]])</f>
        <v>0</v>
      </c>
    </row>
    <row r="628" spans="1:15" x14ac:dyDescent="0.25">
      <c r="A628" s="14">
        <v>628</v>
      </c>
      <c r="B628" s="205" t="s">
        <v>0</v>
      </c>
      <c r="C628" s="205" t="s">
        <v>19</v>
      </c>
      <c r="D628" s="206" t="s">
        <v>6</v>
      </c>
      <c r="E628" s="206" t="s">
        <v>7</v>
      </c>
      <c r="F628" s="81">
        <v>8</v>
      </c>
      <c r="G628" s="81">
        <v>11</v>
      </c>
      <c r="H628" s="3" t="str">
        <f t="shared" si="29"/>
        <v>GROEN</v>
      </c>
      <c r="I628" s="3" t="str">
        <f t="shared" si="30"/>
        <v>Stef D</v>
      </c>
      <c r="J628" s="4" t="str">
        <f t="shared" si="31"/>
        <v>Tiemen</v>
      </c>
      <c r="K628" t="str">
        <f>Tabel3[[#This Row],[Rood Verdediging]]&amp;Tabel3[[#This Row],[Rood Aanval]]</f>
        <v>JonasNicolas</v>
      </c>
      <c r="L628" t="str">
        <f>Tabel3[[#This Row],[Groen Verdediging]]&amp;Tabel3[[#This Row],[Groen Aanval]]</f>
        <v>Stef DTiemen</v>
      </c>
      <c r="M628" t="str">
        <f>Tabel3[[#This Row],[Winnaar 1]]&amp;Tabel3[[#This Row],[Winnaar 2]]</f>
        <v>Stef DTiemen</v>
      </c>
      <c r="N628" t="b">
        <f>IF(Tabel3[[#This Row],[Team Rood]]=Tabel3[[#This Row],[Winnaars]],Tabel3[[#This Row],[Team Rood]])</f>
        <v>0</v>
      </c>
      <c r="O628" t="str">
        <f>IF(Tabel3[[#This Row],[Team Groen]]=Tabel3[[#This Row],[Winnaars]],Tabel3[[#This Row],[Team Groen]])</f>
        <v>Stef DTiemen</v>
      </c>
    </row>
    <row r="629" spans="1:15" x14ac:dyDescent="0.25">
      <c r="A629" s="14">
        <v>629</v>
      </c>
      <c r="B629" s="205" t="s">
        <v>7</v>
      </c>
      <c r="C629" s="205" t="s">
        <v>6</v>
      </c>
      <c r="D629" s="206" t="s">
        <v>19</v>
      </c>
      <c r="E629" s="206" t="s">
        <v>0</v>
      </c>
      <c r="F629" s="81">
        <v>11</v>
      </c>
      <c r="G629" s="81">
        <v>8</v>
      </c>
      <c r="H629" s="3" t="str">
        <f t="shared" si="29"/>
        <v>ROOD</v>
      </c>
      <c r="I629" s="3" t="str">
        <f t="shared" si="30"/>
        <v>Tiemen</v>
      </c>
      <c r="J629" s="4" t="str">
        <f t="shared" si="31"/>
        <v>Stef D</v>
      </c>
      <c r="K629" t="str">
        <f>Tabel3[[#This Row],[Rood Verdediging]]&amp;Tabel3[[#This Row],[Rood Aanval]]</f>
        <v>TiemenStef D</v>
      </c>
      <c r="L629" t="str">
        <f>Tabel3[[#This Row],[Groen Verdediging]]&amp;Tabel3[[#This Row],[Groen Aanval]]</f>
        <v>NicolasJonas</v>
      </c>
      <c r="M629" t="str">
        <f>Tabel3[[#This Row],[Winnaar 1]]&amp;Tabel3[[#This Row],[Winnaar 2]]</f>
        <v>TiemenStef D</v>
      </c>
      <c r="N629" t="str">
        <f>IF(Tabel3[[#This Row],[Team Rood]]=Tabel3[[#This Row],[Winnaars]],Tabel3[[#This Row],[Team Rood]])</f>
        <v>TiemenStef D</v>
      </c>
      <c r="O629" t="b">
        <f>IF(Tabel3[[#This Row],[Team Groen]]=Tabel3[[#This Row],[Winnaars]],Tabel3[[#This Row],[Team Groen]])</f>
        <v>0</v>
      </c>
    </row>
    <row r="630" spans="1:15" x14ac:dyDescent="0.25">
      <c r="A630" s="14">
        <v>630</v>
      </c>
      <c r="B630" s="205" t="s">
        <v>19</v>
      </c>
      <c r="C630" s="205" t="s">
        <v>6</v>
      </c>
      <c r="D630" s="206" t="s">
        <v>0</v>
      </c>
      <c r="E630" s="206" t="s">
        <v>7</v>
      </c>
      <c r="F630" s="81">
        <v>5</v>
      </c>
      <c r="G630" s="81">
        <v>11</v>
      </c>
      <c r="H630" s="3" t="str">
        <f t="shared" si="29"/>
        <v>GROEN</v>
      </c>
      <c r="I630" s="3" t="str">
        <f t="shared" si="30"/>
        <v>Jonas</v>
      </c>
      <c r="J630" s="4" t="str">
        <f t="shared" si="31"/>
        <v>Tiemen</v>
      </c>
      <c r="K630" t="str">
        <f>Tabel3[[#This Row],[Rood Verdediging]]&amp;Tabel3[[#This Row],[Rood Aanval]]</f>
        <v>NicolasStef D</v>
      </c>
      <c r="L630" t="str">
        <f>Tabel3[[#This Row],[Groen Verdediging]]&amp;Tabel3[[#This Row],[Groen Aanval]]</f>
        <v>JonasTiemen</v>
      </c>
      <c r="M630" t="str">
        <f>Tabel3[[#This Row],[Winnaar 1]]&amp;Tabel3[[#This Row],[Winnaar 2]]</f>
        <v>JonasTiemen</v>
      </c>
      <c r="N630" t="b">
        <f>IF(Tabel3[[#This Row],[Team Rood]]=Tabel3[[#This Row],[Winnaars]],Tabel3[[#This Row],[Team Rood]])</f>
        <v>0</v>
      </c>
      <c r="O630" t="str">
        <f>IF(Tabel3[[#This Row],[Team Groen]]=Tabel3[[#This Row],[Winnaars]],Tabel3[[#This Row],[Team Groen]])</f>
        <v>JonasTiemen</v>
      </c>
    </row>
    <row r="631" spans="1:15" x14ac:dyDescent="0.25">
      <c r="A631" s="14">
        <v>631</v>
      </c>
      <c r="B631" s="205" t="s">
        <v>6</v>
      </c>
      <c r="C631" s="205" t="s">
        <v>19</v>
      </c>
      <c r="D631" s="206" t="s">
        <v>7</v>
      </c>
      <c r="E631" s="206" t="s">
        <v>0</v>
      </c>
      <c r="F631" s="81">
        <v>10</v>
      </c>
      <c r="G631" s="81">
        <v>12</v>
      </c>
      <c r="H631" s="3" t="str">
        <f t="shared" si="29"/>
        <v>GROEN</v>
      </c>
      <c r="I631" s="3" t="str">
        <f t="shared" si="30"/>
        <v>Tiemen</v>
      </c>
      <c r="J631" s="4" t="str">
        <f t="shared" si="31"/>
        <v>Jonas</v>
      </c>
      <c r="K631" t="str">
        <f>Tabel3[[#This Row],[Rood Verdediging]]&amp;Tabel3[[#This Row],[Rood Aanval]]</f>
        <v>Stef DNicolas</v>
      </c>
      <c r="L631" t="str">
        <f>Tabel3[[#This Row],[Groen Verdediging]]&amp;Tabel3[[#This Row],[Groen Aanval]]</f>
        <v>TiemenJonas</v>
      </c>
      <c r="M631" t="str">
        <f>Tabel3[[#This Row],[Winnaar 1]]&amp;Tabel3[[#This Row],[Winnaar 2]]</f>
        <v>TiemenJonas</v>
      </c>
      <c r="N631" t="b">
        <f>IF(Tabel3[[#This Row],[Team Rood]]=Tabel3[[#This Row],[Winnaars]],Tabel3[[#This Row],[Team Rood]])</f>
        <v>0</v>
      </c>
      <c r="O631" t="str">
        <f>IF(Tabel3[[#This Row],[Team Groen]]=Tabel3[[#This Row],[Winnaars]],Tabel3[[#This Row],[Team Groen]])</f>
        <v>TiemenJonas</v>
      </c>
    </row>
    <row r="632" spans="1:15" x14ac:dyDescent="0.25">
      <c r="A632" s="14">
        <v>632</v>
      </c>
      <c r="B632" s="205" t="s">
        <v>11</v>
      </c>
      <c r="C632" s="205" t="s">
        <v>6</v>
      </c>
      <c r="D632" s="206" t="s">
        <v>0</v>
      </c>
      <c r="E632" s="206" t="s">
        <v>3</v>
      </c>
      <c r="F632" s="81">
        <v>11</v>
      </c>
      <c r="G632" s="81">
        <v>9</v>
      </c>
      <c r="H632" s="3" t="str">
        <f t="shared" si="29"/>
        <v>ROOD</v>
      </c>
      <c r="I632" s="3" t="str">
        <f t="shared" si="30"/>
        <v>Matthijs</v>
      </c>
      <c r="J632" s="4" t="str">
        <f t="shared" si="31"/>
        <v>Stef D</v>
      </c>
      <c r="K632" t="str">
        <f>Tabel3[[#This Row],[Rood Verdediging]]&amp;Tabel3[[#This Row],[Rood Aanval]]</f>
        <v>MatthijsStef D</v>
      </c>
      <c r="L632" t="str">
        <f>Tabel3[[#This Row],[Groen Verdediging]]&amp;Tabel3[[#This Row],[Groen Aanval]]</f>
        <v>JonasKarel</v>
      </c>
      <c r="M632" t="str">
        <f>Tabel3[[#This Row],[Winnaar 1]]&amp;Tabel3[[#This Row],[Winnaar 2]]</f>
        <v>MatthijsStef D</v>
      </c>
      <c r="N632" t="str">
        <f>IF(Tabel3[[#This Row],[Team Rood]]=Tabel3[[#This Row],[Winnaars]],Tabel3[[#This Row],[Team Rood]])</f>
        <v>MatthijsStef D</v>
      </c>
      <c r="O632" t="b">
        <f>IF(Tabel3[[#This Row],[Team Groen]]=Tabel3[[#This Row],[Winnaars]],Tabel3[[#This Row],[Team Groen]])</f>
        <v>0</v>
      </c>
    </row>
    <row r="633" spans="1:15" x14ac:dyDescent="0.25">
      <c r="A633" s="14">
        <v>633</v>
      </c>
      <c r="B633" s="205" t="s">
        <v>6</v>
      </c>
      <c r="C633" s="205" t="s">
        <v>0</v>
      </c>
      <c r="D633" s="206" t="s">
        <v>3</v>
      </c>
      <c r="E633" s="206" t="s">
        <v>11</v>
      </c>
      <c r="F633" s="81">
        <v>11</v>
      </c>
      <c r="G633" s="81">
        <v>8</v>
      </c>
      <c r="H633" s="3" t="str">
        <f t="shared" si="29"/>
        <v>ROOD</v>
      </c>
      <c r="I633" s="3" t="str">
        <f t="shared" si="30"/>
        <v>Stef D</v>
      </c>
      <c r="J633" s="4" t="str">
        <f t="shared" si="31"/>
        <v>Jonas</v>
      </c>
      <c r="K633" t="str">
        <f>Tabel3[[#This Row],[Rood Verdediging]]&amp;Tabel3[[#This Row],[Rood Aanval]]</f>
        <v>Stef DJonas</v>
      </c>
      <c r="L633" t="str">
        <f>Tabel3[[#This Row],[Groen Verdediging]]&amp;Tabel3[[#This Row],[Groen Aanval]]</f>
        <v>KarelMatthijs</v>
      </c>
      <c r="M633" t="str">
        <f>Tabel3[[#This Row],[Winnaar 1]]&amp;Tabel3[[#This Row],[Winnaar 2]]</f>
        <v>Stef DJonas</v>
      </c>
      <c r="N633" t="str">
        <f>IF(Tabel3[[#This Row],[Team Rood]]=Tabel3[[#This Row],[Winnaars]],Tabel3[[#This Row],[Team Rood]])</f>
        <v>Stef DJonas</v>
      </c>
      <c r="O633" t="b">
        <f>IF(Tabel3[[#This Row],[Team Groen]]=Tabel3[[#This Row],[Winnaars]],Tabel3[[#This Row],[Team Groen]])</f>
        <v>0</v>
      </c>
    </row>
    <row r="634" spans="1:15" x14ac:dyDescent="0.25">
      <c r="A634" s="14">
        <v>634</v>
      </c>
      <c r="B634" s="205" t="s">
        <v>6</v>
      </c>
      <c r="C634" s="205" t="s">
        <v>3</v>
      </c>
      <c r="D634" s="206" t="s">
        <v>11</v>
      </c>
      <c r="E634" s="206" t="s">
        <v>0</v>
      </c>
      <c r="F634" s="81">
        <v>11</v>
      </c>
      <c r="G634" s="81">
        <v>4</v>
      </c>
      <c r="H634" s="3" t="str">
        <f t="shared" si="29"/>
        <v>ROOD</v>
      </c>
      <c r="I634" s="3" t="str">
        <f t="shared" si="30"/>
        <v>Stef D</v>
      </c>
      <c r="J634" s="4" t="str">
        <f t="shared" si="31"/>
        <v>Karel</v>
      </c>
      <c r="K634" t="str">
        <f>Tabel3[[#This Row],[Rood Verdediging]]&amp;Tabel3[[#This Row],[Rood Aanval]]</f>
        <v>Stef DKarel</v>
      </c>
      <c r="L634" t="str">
        <f>Tabel3[[#This Row],[Groen Verdediging]]&amp;Tabel3[[#This Row],[Groen Aanval]]</f>
        <v>MatthijsJonas</v>
      </c>
      <c r="M634" t="str">
        <f>Tabel3[[#This Row],[Winnaar 1]]&amp;Tabel3[[#This Row],[Winnaar 2]]</f>
        <v>Stef DKarel</v>
      </c>
      <c r="N634" t="str">
        <f>IF(Tabel3[[#This Row],[Team Rood]]=Tabel3[[#This Row],[Winnaars]],Tabel3[[#This Row],[Team Rood]])</f>
        <v>Stef DKarel</v>
      </c>
      <c r="O634" t="b">
        <f>IF(Tabel3[[#This Row],[Team Groen]]=Tabel3[[#This Row],[Winnaars]],Tabel3[[#This Row],[Team Groen]])</f>
        <v>0</v>
      </c>
    </row>
    <row r="635" spans="1:15" x14ac:dyDescent="0.25">
      <c r="A635" s="14">
        <v>635</v>
      </c>
      <c r="B635" s="205" t="s">
        <v>3</v>
      </c>
      <c r="C635" s="205" t="s">
        <v>13</v>
      </c>
      <c r="D635" s="206" t="s">
        <v>8</v>
      </c>
      <c r="E635" s="206" t="s">
        <v>6</v>
      </c>
      <c r="F635" s="81">
        <v>14</v>
      </c>
      <c r="G635" s="81">
        <v>16</v>
      </c>
      <c r="H635" s="3" t="str">
        <f t="shared" si="29"/>
        <v>GROEN</v>
      </c>
      <c r="I635" s="3" t="str">
        <f t="shared" si="30"/>
        <v>Louis</v>
      </c>
      <c r="J635" s="4" t="str">
        <f t="shared" si="31"/>
        <v>Stef D</v>
      </c>
      <c r="K635" t="str">
        <f>Tabel3[[#This Row],[Rood Verdediging]]&amp;Tabel3[[#This Row],[Rood Aanval]]</f>
        <v>KarelBert</v>
      </c>
      <c r="L635" t="str">
        <f>Tabel3[[#This Row],[Groen Verdediging]]&amp;Tabel3[[#This Row],[Groen Aanval]]</f>
        <v>LouisStef D</v>
      </c>
      <c r="M635" t="str">
        <f>Tabel3[[#This Row],[Winnaar 1]]&amp;Tabel3[[#This Row],[Winnaar 2]]</f>
        <v>LouisStef D</v>
      </c>
      <c r="N635" t="b">
        <f>IF(Tabel3[[#This Row],[Team Rood]]=Tabel3[[#This Row],[Winnaars]],Tabel3[[#This Row],[Team Rood]])</f>
        <v>0</v>
      </c>
      <c r="O635" t="str">
        <f>IF(Tabel3[[#This Row],[Team Groen]]=Tabel3[[#This Row],[Winnaars]],Tabel3[[#This Row],[Team Groen]])</f>
        <v>LouisStef D</v>
      </c>
    </row>
    <row r="636" spans="1:15" x14ac:dyDescent="0.25">
      <c r="A636" s="14">
        <v>636</v>
      </c>
      <c r="B636" s="205" t="s">
        <v>11</v>
      </c>
      <c r="C636" s="205" t="s">
        <v>13</v>
      </c>
      <c r="D636" s="206" t="s">
        <v>0</v>
      </c>
      <c r="E636" s="206" t="s">
        <v>8</v>
      </c>
      <c r="F636" s="81">
        <v>11</v>
      </c>
      <c r="G636" s="81">
        <v>3</v>
      </c>
      <c r="H636" s="3" t="str">
        <f t="shared" si="29"/>
        <v>ROOD</v>
      </c>
      <c r="I636" s="3" t="str">
        <f t="shared" si="30"/>
        <v>Matthijs</v>
      </c>
      <c r="J636" s="4" t="str">
        <f t="shared" si="31"/>
        <v>Bert</v>
      </c>
      <c r="K636" t="str">
        <f>Tabel3[[#This Row],[Rood Verdediging]]&amp;Tabel3[[#This Row],[Rood Aanval]]</f>
        <v>MatthijsBert</v>
      </c>
      <c r="L636" t="str">
        <f>Tabel3[[#This Row],[Groen Verdediging]]&amp;Tabel3[[#This Row],[Groen Aanval]]</f>
        <v>JonasLouis</v>
      </c>
      <c r="M636" t="str">
        <f>Tabel3[[#This Row],[Winnaar 1]]&amp;Tabel3[[#This Row],[Winnaar 2]]</f>
        <v>MatthijsBert</v>
      </c>
      <c r="N636" t="str">
        <f>IF(Tabel3[[#This Row],[Team Rood]]=Tabel3[[#This Row],[Winnaars]],Tabel3[[#This Row],[Team Rood]])</f>
        <v>MatthijsBert</v>
      </c>
      <c r="O636" t="b">
        <f>IF(Tabel3[[#This Row],[Team Groen]]=Tabel3[[#This Row],[Winnaars]],Tabel3[[#This Row],[Team Groen]])</f>
        <v>0</v>
      </c>
    </row>
    <row r="637" spans="1:15" x14ac:dyDescent="0.25">
      <c r="A637" s="14">
        <v>637</v>
      </c>
      <c r="B637" s="205" t="s">
        <v>11</v>
      </c>
      <c r="C637" s="205" t="s">
        <v>6</v>
      </c>
      <c r="D637" s="206" t="s">
        <v>0</v>
      </c>
      <c r="E637" s="206" t="s">
        <v>3</v>
      </c>
      <c r="F637" s="81">
        <v>16</v>
      </c>
      <c r="G637" s="81">
        <v>14</v>
      </c>
      <c r="H637" s="3" t="str">
        <f t="shared" si="29"/>
        <v>ROOD</v>
      </c>
      <c r="I637" s="3" t="str">
        <f t="shared" si="30"/>
        <v>Matthijs</v>
      </c>
      <c r="J637" s="4" t="str">
        <f t="shared" si="31"/>
        <v>Stef D</v>
      </c>
      <c r="K637" t="str">
        <f>Tabel3[[#This Row],[Rood Verdediging]]&amp;Tabel3[[#This Row],[Rood Aanval]]</f>
        <v>MatthijsStef D</v>
      </c>
      <c r="L637" t="str">
        <f>Tabel3[[#This Row],[Groen Verdediging]]&amp;Tabel3[[#This Row],[Groen Aanval]]</f>
        <v>JonasKarel</v>
      </c>
      <c r="M637" t="str">
        <f>Tabel3[[#This Row],[Winnaar 1]]&amp;Tabel3[[#This Row],[Winnaar 2]]</f>
        <v>MatthijsStef D</v>
      </c>
      <c r="N637" t="str">
        <f>IF(Tabel3[[#This Row],[Team Rood]]=Tabel3[[#This Row],[Winnaars]],Tabel3[[#This Row],[Team Rood]])</f>
        <v>MatthijsStef D</v>
      </c>
      <c r="O637" t="b">
        <f>IF(Tabel3[[#This Row],[Team Groen]]=Tabel3[[#This Row],[Winnaars]],Tabel3[[#This Row],[Team Groen]])</f>
        <v>0</v>
      </c>
    </row>
    <row r="638" spans="1:15" x14ac:dyDescent="0.25">
      <c r="A638" s="14">
        <v>638</v>
      </c>
      <c r="B638" s="205" t="s">
        <v>8</v>
      </c>
      <c r="C638" s="205" t="s">
        <v>0</v>
      </c>
      <c r="D638" s="206" t="s">
        <v>6</v>
      </c>
      <c r="E638" s="206" t="s">
        <v>18</v>
      </c>
      <c r="F638" s="81">
        <v>10</v>
      </c>
      <c r="G638" s="81">
        <v>11</v>
      </c>
      <c r="H638" s="3" t="str">
        <f t="shared" si="29"/>
        <v>GROEN</v>
      </c>
      <c r="I638" s="3" t="str">
        <f t="shared" si="30"/>
        <v>Stef D</v>
      </c>
      <c r="J638" s="4" t="str">
        <f t="shared" si="31"/>
        <v xml:space="preserve">Bert </v>
      </c>
      <c r="K638" t="str">
        <f>Tabel3[[#This Row],[Rood Verdediging]]&amp;Tabel3[[#This Row],[Rood Aanval]]</f>
        <v>LouisJonas</v>
      </c>
      <c r="L638" t="str">
        <f>Tabel3[[#This Row],[Groen Verdediging]]&amp;Tabel3[[#This Row],[Groen Aanval]]</f>
        <v xml:space="preserve">Stef DBert </v>
      </c>
      <c r="M638" t="str">
        <f>Tabel3[[#This Row],[Winnaar 1]]&amp;Tabel3[[#This Row],[Winnaar 2]]</f>
        <v xml:space="preserve">Stef DBert </v>
      </c>
      <c r="N638" t="b">
        <f>IF(Tabel3[[#This Row],[Team Rood]]=Tabel3[[#This Row],[Winnaars]],Tabel3[[#This Row],[Team Rood]])</f>
        <v>0</v>
      </c>
      <c r="O638" t="str">
        <f>IF(Tabel3[[#This Row],[Team Groen]]=Tabel3[[#This Row],[Winnaars]],Tabel3[[#This Row],[Team Groen]])</f>
        <v xml:space="preserve">Stef DBert </v>
      </c>
    </row>
    <row r="639" spans="1:15" x14ac:dyDescent="0.25">
      <c r="A639" s="14">
        <v>639</v>
      </c>
      <c r="B639" s="205" t="s">
        <v>0</v>
      </c>
      <c r="C639" s="205" t="s">
        <v>6</v>
      </c>
      <c r="D639" s="206" t="s">
        <v>11</v>
      </c>
      <c r="E639" s="206" t="s">
        <v>3</v>
      </c>
      <c r="F639" s="81">
        <v>12</v>
      </c>
      <c r="G639" s="81">
        <v>10</v>
      </c>
      <c r="H639" s="3" t="str">
        <f t="shared" si="29"/>
        <v>ROOD</v>
      </c>
      <c r="I639" s="3" t="str">
        <f t="shared" si="30"/>
        <v>Jonas</v>
      </c>
      <c r="J639" s="4" t="str">
        <f t="shared" si="31"/>
        <v>Stef D</v>
      </c>
      <c r="K639" t="str">
        <f>Tabel3[[#This Row],[Rood Verdediging]]&amp;Tabel3[[#This Row],[Rood Aanval]]</f>
        <v>JonasStef D</v>
      </c>
      <c r="L639" t="str">
        <f>Tabel3[[#This Row],[Groen Verdediging]]&amp;Tabel3[[#This Row],[Groen Aanval]]</f>
        <v>MatthijsKarel</v>
      </c>
      <c r="M639" t="str">
        <f>Tabel3[[#This Row],[Winnaar 1]]&amp;Tabel3[[#This Row],[Winnaar 2]]</f>
        <v>JonasStef D</v>
      </c>
      <c r="N639" t="str">
        <f>IF(Tabel3[[#This Row],[Team Rood]]=Tabel3[[#This Row],[Winnaars]],Tabel3[[#This Row],[Team Rood]])</f>
        <v>JonasStef D</v>
      </c>
      <c r="O639" t="b">
        <f>IF(Tabel3[[#This Row],[Team Groen]]=Tabel3[[#This Row],[Winnaars]],Tabel3[[#This Row],[Team Groen]])</f>
        <v>0</v>
      </c>
    </row>
    <row r="640" spans="1:15" x14ac:dyDescent="0.25">
      <c r="A640" s="14">
        <v>640</v>
      </c>
      <c r="B640" s="205" t="s">
        <v>8</v>
      </c>
      <c r="C640" s="205" t="s">
        <v>11</v>
      </c>
      <c r="D640" s="206" t="s">
        <v>6</v>
      </c>
      <c r="E640" s="206" t="s">
        <v>3</v>
      </c>
      <c r="F640" s="81">
        <v>11</v>
      </c>
      <c r="G640" s="81">
        <v>6</v>
      </c>
      <c r="H640" s="3" t="str">
        <f t="shared" si="29"/>
        <v>ROOD</v>
      </c>
      <c r="I640" s="3" t="str">
        <f t="shared" si="30"/>
        <v>Louis</v>
      </c>
      <c r="J640" s="4" t="str">
        <f t="shared" si="31"/>
        <v>Matthijs</v>
      </c>
      <c r="K640" t="str">
        <f>Tabel3[[#This Row],[Rood Verdediging]]&amp;Tabel3[[#This Row],[Rood Aanval]]</f>
        <v>LouisMatthijs</v>
      </c>
      <c r="L640" t="str">
        <f>Tabel3[[#This Row],[Groen Verdediging]]&amp;Tabel3[[#This Row],[Groen Aanval]]</f>
        <v>Stef DKarel</v>
      </c>
      <c r="M640" t="str">
        <f>Tabel3[[#This Row],[Winnaar 1]]&amp;Tabel3[[#This Row],[Winnaar 2]]</f>
        <v>LouisMatthijs</v>
      </c>
      <c r="N640" t="str">
        <f>IF(Tabel3[[#This Row],[Team Rood]]=Tabel3[[#This Row],[Winnaars]],Tabel3[[#This Row],[Team Rood]])</f>
        <v>LouisMatthijs</v>
      </c>
      <c r="O640" t="b">
        <f>IF(Tabel3[[#This Row],[Team Groen]]=Tabel3[[#This Row],[Winnaars]],Tabel3[[#This Row],[Team Groen]])</f>
        <v>0</v>
      </c>
    </row>
    <row r="641" spans="1:15" x14ac:dyDescent="0.25">
      <c r="A641" s="14">
        <v>641</v>
      </c>
      <c r="B641" s="205" t="s">
        <v>0</v>
      </c>
      <c r="C641" s="205" t="s">
        <v>6</v>
      </c>
      <c r="D641" s="206" t="s">
        <v>19</v>
      </c>
      <c r="E641" s="206" t="s">
        <v>8</v>
      </c>
      <c r="F641" s="81">
        <v>11</v>
      </c>
      <c r="G641" s="81">
        <v>5</v>
      </c>
      <c r="H641" s="3" t="str">
        <f t="shared" si="29"/>
        <v>ROOD</v>
      </c>
      <c r="I641" s="3" t="str">
        <f t="shared" si="30"/>
        <v>Jonas</v>
      </c>
      <c r="J641" s="4" t="str">
        <f t="shared" si="31"/>
        <v>Stef D</v>
      </c>
      <c r="K641" t="str">
        <f>Tabel3[[#This Row],[Rood Verdediging]]&amp;Tabel3[[#This Row],[Rood Aanval]]</f>
        <v>JonasStef D</v>
      </c>
      <c r="L641" t="str">
        <f>Tabel3[[#This Row],[Groen Verdediging]]&amp;Tabel3[[#This Row],[Groen Aanval]]</f>
        <v>NicolasLouis</v>
      </c>
      <c r="M641" t="str">
        <f>Tabel3[[#This Row],[Winnaar 1]]&amp;Tabel3[[#This Row],[Winnaar 2]]</f>
        <v>JonasStef D</v>
      </c>
      <c r="N641" t="str">
        <f>IF(Tabel3[[#This Row],[Team Rood]]=Tabel3[[#This Row],[Winnaars]],Tabel3[[#This Row],[Team Rood]])</f>
        <v>JonasStef D</v>
      </c>
      <c r="O641" t="b">
        <f>IF(Tabel3[[#This Row],[Team Groen]]=Tabel3[[#This Row],[Winnaars]],Tabel3[[#This Row],[Team Groen]])</f>
        <v>0</v>
      </c>
    </row>
    <row r="642" spans="1:15" x14ac:dyDescent="0.25">
      <c r="A642" s="14">
        <v>642</v>
      </c>
      <c r="B642" s="205" t="s">
        <v>19</v>
      </c>
      <c r="C642" s="205" t="s">
        <v>0</v>
      </c>
      <c r="D642" s="206" t="s">
        <v>6</v>
      </c>
      <c r="E642" s="206" t="s">
        <v>8</v>
      </c>
      <c r="F642" s="81">
        <v>5</v>
      </c>
      <c r="G642" s="81">
        <v>11</v>
      </c>
      <c r="H642" s="3" t="str">
        <f t="shared" ref="H642:H672" si="32">IF(F642&gt;G642,"ROOD",IF(F642=G642,"","GROEN"))</f>
        <v>GROEN</v>
      </c>
      <c r="I642" s="3" t="str">
        <f t="shared" si="30"/>
        <v>Stef D</v>
      </c>
      <c r="J642" s="4" t="str">
        <f t="shared" si="31"/>
        <v>Louis</v>
      </c>
      <c r="K642" t="str">
        <f>Tabel3[[#This Row],[Rood Verdediging]]&amp;Tabel3[[#This Row],[Rood Aanval]]</f>
        <v>NicolasJonas</v>
      </c>
      <c r="L642" t="str">
        <f>Tabel3[[#This Row],[Groen Verdediging]]&amp;Tabel3[[#This Row],[Groen Aanval]]</f>
        <v>Stef DLouis</v>
      </c>
      <c r="M642" t="str">
        <f>Tabel3[[#This Row],[Winnaar 1]]&amp;Tabel3[[#This Row],[Winnaar 2]]</f>
        <v>Stef DLouis</v>
      </c>
      <c r="N642" t="b">
        <f>IF(Tabel3[[#This Row],[Team Rood]]=Tabel3[[#This Row],[Winnaars]],Tabel3[[#This Row],[Team Rood]])</f>
        <v>0</v>
      </c>
      <c r="O642" t="str">
        <f>IF(Tabel3[[#This Row],[Team Groen]]=Tabel3[[#This Row],[Winnaars]],Tabel3[[#This Row],[Team Groen]])</f>
        <v>Stef DLouis</v>
      </c>
    </row>
    <row r="643" spans="1:15" x14ac:dyDescent="0.25">
      <c r="A643" s="14">
        <v>643</v>
      </c>
      <c r="B643" s="205" t="s">
        <v>19</v>
      </c>
      <c r="C643" s="205" t="s">
        <v>6</v>
      </c>
      <c r="D643" s="206" t="s">
        <v>8</v>
      </c>
      <c r="E643" s="206" t="s">
        <v>0</v>
      </c>
      <c r="F643" s="81">
        <v>11</v>
      </c>
      <c r="G643" s="81">
        <v>9</v>
      </c>
      <c r="H643" s="3" t="str">
        <f t="shared" si="32"/>
        <v>ROOD</v>
      </c>
      <c r="I643" s="3" t="str">
        <f t="shared" si="30"/>
        <v>Nicolas</v>
      </c>
      <c r="J643" s="4" t="str">
        <f t="shared" si="31"/>
        <v>Stef D</v>
      </c>
      <c r="K643" t="str">
        <f>Tabel3[[#This Row],[Rood Verdediging]]&amp;Tabel3[[#This Row],[Rood Aanval]]</f>
        <v>NicolasStef D</v>
      </c>
      <c r="L643" t="str">
        <f>Tabel3[[#This Row],[Groen Verdediging]]&amp;Tabel3[[#This Row],[Groen Aanval]]</f>
        <v>LouisJonas</v>
      </c>
      <c r="M643" t="str">
        <f>Tabel3[[#This Row],[Winnaar 1]]&amp;Tabel3[[#This Row],[Winnaar 2]]</f>
        <v>NicolasStef D</v>
      </c>
      <c r="N643" t="str">
        <f>IF(Tabel3[[#This Row],[Team Rood]]=Tabel3[[#This Row],[Winnaars]],Tabel3[[#This Row],[Team Rood]])</f>
        <v>NicolasStef D</v>
      </c>
      <c r="O643" t="b">
        <f>IF(Tabel3[[#This Row],[Team Groen]]=Tabel3[[#This Row],[Winnaars]],Tabel3[[#This Row],[Team Groen]])</f>
        <v>0</v>
      </c>
    </row>
    <row r="644" spans="1:15" x14ac:dyDescent="0.25">
      <c r="A644" s="14">
        <v>644</v>
      </c>
      <c r="B644" s="205" t="s">
        <v>8</v>
      </c>
      <c r="C644" s="205" t="s">
        <v>19</v>
      </c>
      <c r="D644" s="206" t="s">
        <v>6</v>
      </c>
      <c r="E644" s="206" t="s">
        <v>0</v>
      </c>
      <c r="F644" s="81">
        <v>11</v>
      </c>
      <c r="G644" s="81">
        <v>4</v>
      </c>
      <c r="H644" s="3" t="str">
        <f t="shared" si="32"/>
        <v>ROOD</v>
      </c>
      <c r="I644" s="3" t="str">
        <f t="shared" si="30"/>
        <v>Louis</v>
      </c>
      <c r="J644" s="4" t="str">
        <f t="shared" si="31"/>
        <v>Nicolas</v>
      </c>
      <c r="K644" t="str">
        <f>Tabel3[[#This Row],[Rood Verdediging]]&amp;Tabel3[[#This Row],[Rood Aanval]]</f>
        <v>LouisNicolas</v>
      </c>
      <c r="L644" t="str">
        <f>Tabel3[[#This Row],[Groen Verdediging]]&amp;Tabel3[[#This Row],[Groen Aanval]]</f>
        <v>Stef DJonas</v>
      </c>
      <c r="M644" t="str">
        <f>Tabel3[[#This Row],[Winnaar 1]]&amp;Tabel3[[#This Row],[Winnaar 2]]</f>
        <v>LouisNicolas</v>
      </c>
      <c r="N644" t="str">
        <f>IF(Tabel3[[#This Row],[Team Rood]]=Tabel3[[#This Row],[Winnaars]],Tabel3[[#This Row],[Team Rood]])</f>
        <v>LouisNicolas</v>
      </c>
      <c r="O644" t="b">
        <f>IF(Tabel3[[#This Row],[Team Groen]]=Tabel3[[#This Row],[Winnaars]],Tabel3[[#This Row],[Team Groen]])</f>
        <v>0</v>
      </c>
    </row>
    <row r="645" spans="1:15" x14ac:dyDescent="0.25">
      <c r="A645" s="14">
        <v>645</v>
      </c>
      <c r="B645" s="205" t="s">
        <v>0</v>
      </c>
      <c r="C645" s="205" t="s">
        <v>19</v>
      </c>
      <c r="D645" s="206" t="s">
        <v>8</v>
      </c>
      <c r="E645" s="206" t="s">
        <v>6</v>
      </c>
      <c r="F645" s="81">
        <v>9</v>
      </c>
      <c r="G645" s="81">
        <v>11</v>
      </c>
      <c r="H645" s="3" t="str">
        <f t="shared" si="32"/>
        <v>GROEN</v>
      </c>
      <c r="I645" s="3" t="str">
        <f t="shared" si="30"/>
        <v>Louis</v>
      </c>
      <c r="J645" s="4" t="str">
        <f t="shared" si="31"/>
        <v>Stef D</v>
      </c>
      <c r="K645" t="str">
        <f>Tabel3[[#This Row],[Rood Verdediging]]&amp;Tabel3[[#This Row],[Rood Aanval]]</f>
        <v>JonasNicolas</v>
      </c>
      <c r="L645" t="str">
        <f>Tabel3[[#This Row],[Groen Verdediging]]&amp;Tabel3[[#This Row],[Groen Aanval]]</f>
        <v>LouisStef D</v>
      </c>
      <c r="M645" t="str">
        <f>Tabel3[[#This Row],[Winnaar 1]]&amp;Tabel3[[#This Row],[Winnaar 2]]</f>
        <v>LouisStef D</v>
      </c>
      <c r="N645" t="b">
        <f>IF(Tabel3[[#This Row],[Team Rood]]=Tabel3[[#This Row],[Winnaars]],Tabel3[[#This Row],[Team Rood]])</f>
        <v>0</v>
      </c>
      <c r="O645" t="str">
        <f>IF(Tabel3[[#This Row],[Team Groen]]=Tabel3[[#This Row],[Winnaars]],Tabel3[[#This Row],[Team Groen]])</f>
        <v>LouisStef D</v>
      </c>
    </row>
    <row r="646" spans="1:15" x14ac:dyDescent="0.25">
      <c r="A646" s="14">
        <v>646</v>
      </c>
      <c r="B646" s="205" t="s">
        <v>0</v>
      </c>
      <c r="C646" s="205" t="s">
        <v>8</v>
      </c>
      <c r="D646" s="206" t="s">
        <v>6</v>
      </c>
      <c r="E646" s="206" t="s">
        <v>19</v>
      </c>
      <c r="F646" s="81">
        <v>11</v>
      </c>
      <c r="G646" s="81">
        <v>7</v>
      </c>
      <c r="H646" s="3" t="str">
        <f t="shared" si="32"/>
        <v>ROOD</v>
      </c>
      <c r="I646" s="3" t="str">
        <f t="shared" si="30"/>
        <v>Jonas</v>
      </c>
      <c r="J646" s="4" t="str">
        <f t="shared" si="31"/>
        <v>Louis</v>
      </c>
      <c r="K646" t="str">
        <f>Tabel3[[#This Row],[Rood Verdediging]]&amp;Tabel3[[#This Row],[Rood Aanval]]</f>
        <v>JonasLouis</v>
      </c>
      <c r="L646" t="str">
        <f>Tabel3[[#This Row],[Groen Verdediging]]&amp;Tabel3[[#This Row],[Groen Aanval]]</f>
        <v>Stef DNicolas</v>
      </c>
      <c r="M646" t="str">
        <f>Tabel3[[#This Row],[Winnaar 1]]&amp;Tabel3[[#This Row],[Winnaar 2]]</f>
        <v>JonasLouis</v>
      </c>
      <c r="N646" t="str">
        <f>IF(Tabel3[[#This Row],[Team Rood]]=Tabel3[[#This Row],[Winnaars]],Tabel3[[#This Row],[Team Rood]])</f>
        <v>JonasLouis</v>
      </c>
      <c r="O646" t="b">
        <f>IF(Tabel3[[#This Row],[Team Groen]]=Tabel3[[#This Row],[Winnaars]],Tabel3[[#This Row],[Team Groen]])</f>
        <v>0</v>
      </c>
    </row>
    <row r="647" spans="1:15" x14ac:dyDescent="0.25">
      <c r="A647" s="14">
        <v>647</v>
      </c>
      <c r="B647" s="207" t="s">
        <v>8</v>
      </c>
      <c r="C647" s="207" t="s">
        <v>0</v>
      </c>
      <c r="D647" s="203" t="s">
        <v>11</v>
      </c>
      <c r="E647" s="203" t="s">
        <v>7</v>
      </c>
      <c r="F647" s="81">
        <v>11</v>
      </c>
      <c r="G647" s="81">
        <v>9</v>
      </c>
      <c r="H647" s="3" t="str">
        <f t="shared" si="32"/>
        <v>ROOD</v>
      </c>
      <c r="I647" s="3" t="str">
        <f t="shared" si="30"/>
        <v>Louis</v>
      </c>
      <c r="J647" s="4" t="str">
        <f t="shared" si="31"/>
        <v>Jonas</v>
      </c>
      <c r="K647" t="str">
        <f>Tabel3[[#This Row],[Rood Verdediging]]&amp;Tabel3[[#This Row],[Rood Aanval]]</f>
        <v>LouisJonas</v>
      </c>
      <c r="L647" t="str">
        <f>Tabel3[[#This Row],[Groen Verdediging]]&amp;Tabel3[[#This Row],[Groen Aanval]]</f>
        <v>MatthijsTiemen</v>
      </c>
      <c r="M647" t="str">
        <f>Tabel3[[#This Row],[Winnaar 1]]&amp;Tabel3[[#This Row],[Winnaar 2]]</f>
        <v>LouisJonas</v>
      </c>
      <c r="N647" t="str">
        <f>IF(Tabel3[[#This Row],[Team Rood]]=Tabel3[[#This Row],[Winnaars]],Tabel3[[#This Row],[Team Rood]])</f>
        <v>LouisJonas</v>
      </c>
      <c r="O647" t="b">
        <f>IF(Tabel3[[#This Row],[Team Groen]]=Tabel3[[#This Row],[Winnaars]],Tabel3[[#This Row],[Team Groen]])</f>
        <v>0</v>
      </c>
    </row>
    <row r="648" spans="1:15" x14ac:dyDescent="0.25">
      <c r="A648" s="14">
        <v>648</v>
      </c>
      <c r="B648" s="207" t="s">
        <v>6</v>
      </c>
      <c r="C648" s="207" t="s">
        <v>3</v>
      </c>
      <c r="D648" s="203" t="s">
        <v>7</v>
      </c>
      <c r="E648" s="203" t="s">
        <v>0</v>
      </c>
      <c r="F648" s="81">
        <v>11</v>
      </c>
      <c r="G648" s="81">
        <v>5</v>
      </c>
      <c r="H648" s="3" t="str">
        <f t="shared" si="32"/>
        <v>ROOD</v>
      </c>
      <c r="I648" s="3" t="str">
        <f t="shared" si="30"/>
        <v>Stef D</v>
      </c>
      <c r="J648" s="4" t="str">
        <f t="shared" si="31"/>
        <v>Karel</v>
      </c>
      <c r="K648" t="str">
        <f>Tabel3[[#This Row],[Rood Verdediging]]&amp;Tabel3[[#This Row],[Rood Aanval]]</f>
        <v>Stef DKarel</v>
      </c>
      <c r="L648" t="str">
        <f>Tabel3[[#This Row],[Groen Verdediging]]&amp;Tabel3[[#This Row],[Groen Aanval]]</f>
        <v>TiemenJonas</v>
      </c>
      <c r="M648" t="str">
        <f>Tabel3[[#This Row],[Winnaar 1]]&amp;Tabel3[[#This Row],[Winnaar 2]]</f>
        <v>Stef DKarel</v>
      </c>
      <c r="N648" t="str">
        <f>IF(Tabel3[[#This Row],[Team Rood]]=Tabel3[[#This Row],[Winnaars]],Tabel3[[#This Row],[Team Rood]])</f>
        <v>Stef DKarel</v>
      </c>
      <c r="O648" t="b">
        <f>IF(Tabel3[[#This Row],[Team Groen]]=Tabel3[[#This Row],[Winnaars]],Tabel3[[#This Row],[Team Groen]])</f>
        <v>0</v>
      </c>
    </row>
    <row r="649" spans="1:15" x14ac:dyDescent="0.25">
      <c r="A649" s="14">
        <v>649</v>
      </c>
      <c r="B649" s="207" t="s">
        <v>11</v>
      </c>
      <c r="C649" s="207" t="s">
        <v>6</v>
      </c>
      <c r="D649" s="203" t="s">
        <v>8</v>
      </c>
      <c r="E649" s="203" t="s">
        <v>3</v>
      </c>
      <c r="F649" s="81">
        <v>9</v>
      </c>
      <c r="G649" s="81">
        <v>11</v>
      </c>
      <c r="H649" s="3" t="str">
        <f t="shared" si="32"/>
        <v>GROEN</v>
      </c>
      <c r="I649" s="3" t="str">
        <f t="shared" si="30"/>
        <v>Louis</v>
      </c>
      <c r="J649" s="4" t="str">
        <f t="shared" si="31"/>
        <v>Karel</v>
      </c>
      <c r="K649" t="str">
        <f>Tabel3[[#This Row],[Rood Verdediging]]&amp;Tabel3[[#This Row],[Rood Aanval]]</f>
        <v>MatthijsStef D</v>
      </c>
      <c r="L649" t="str">
        <f>Tabel3[[#This Row],[Groen Verdediging]]&amp;Tabel3[[#This Row],[Groen Aanval]]</f>
        <v>LouisKarel</v>
      </c>
      <c r="M649" t="str">
        <f>Tabel3[[#This Row],[Winnaar 1]]&amp;Tabel3[[#This Row],[Winnaar 2]]</f>
        <v>LouisKarel</v>
      </c>
      <c r="N649" t="b">
        <f>IF(Tabel3[[#This Row],[Team Rood]]=Tabel3[[#This Row],[Winnaars]],Tabel3[[#This Row],[Team Rood]])</f>
        <v>0</v>
      </c>
      <c r="O649" t="str">
        <f>IF(Tabel3[[#This Row],[Team Groen]]=Tabel3[[#This Row],[Winnaars]],Tabel3[[#This Row],[Team Groen]])</f>
        <v>LouisKarel</v>
      </c>
    </row>
    <row r="650" spans="1:15" x14ac:dyDescent="0.25">
      <c r="A650" s="14">
        <v>650</v>
      </c>
      <c r="B650" s="207" t="s">
        <v>6</v>
      </c>
      <c r="C650" s="207" t="s">
        <v>7</v>
      </c>
      <c r="D650" s="203" t="s">
        <v>0</v>
      </c>
      <c r="E650" s="204" t="s">
        <v>11</v>
      </c>
      <c r="F650" s="81">
        <v>11</v>
      </c>
      <c r="G650" s="81">
        <v>8</v>
      </c>
      <c r="H650" s="3" t="str">
        <f t="shared" si="32"/>
        <v>ROOD</v>
      </c>
      <c r="I650" s="3" t="str">
        <f t="shared" si="30"/>
        <v>Stef D</v>
      </c>
      <c r="J650" s="4" t="str">
        <f t="shared" si="31"/>
        <v>Tiemen</v>
      </c>
      <c r="K650" t="str">
        <f>Tabel3[[#This Row],[Rood Verdediging]]&amp;Tabel3[[#This Row],[Rood Aanval]]</f>
        <v>Stef DTiemen</v>
      </c>
      <c r="L650" t="str">
        <f>Tabel3[[#This Row],[Groen Verdediging]]&amp;Tabel3[[#This Row],[Groen Aanval]]</f>
        <v>JonasMatthijs</v>
      </c>
      <c r="M650" t="str">
        <f>Tabel3[[#This Row],[Winnaar 1]]&amp;Tabel3[[#This Row],[Winnaar 2]]</f>
        <v>Stef DTiemen</v>
      </c>
      <c r="N650" t="str">
        <f>IF(Tabel3[[#This Row],[Team Rood]]=Tabel3[[#This Row],[Winnaars]],Tabel3[[#This Row],[Team Rood]])</f>
        <v>Stef DTiemen</v>
      </c>
      <c r="O650" t="b">
        <f>IF(Tabel3[[#This Row],[Team Groen]]=Tabel3[[#This Row],[Winnaars]],Tabel3[[#This Row],[Team Groen]])</f>
        <v>0</v>
      </c>
    </row>
    <row r="651" spans="1:15" x14ac:dyDescent="0.25">
      <c r="A651" s="14">
        <v>651</v>
      </c>
      <c r="B651" s="207" t="s">
        <v>3</v>
      </c>
      <c r="C651" s="207" t="s">
        <v>8</v>
      </c>
      <c r="D651" s="204" t="s">
        <v>0</v>
      </c>
      <c r="E651" s="204" t="s">
        <v>7</v>
      </c>
      <c r="F651" s="81">
        <v>10</v>
      </c>
      <c r="G651" s="81">
        <v>11</v>
      </c>
      <c r="H651" s="3" t="str">
        <f t="shared" si="32"/>
        <v>GROEN</v>
      </c>
      <c r="I651" s="3" t="str">
        <f t="shared" si="30"/>
        <v>Jonas</v>
      </c>
      <c r="J651" s="4" t="str">
        <f t="shared" si="31"/>
        <v>Tiemen</v>
      </c>
      <c r="K651" t="str">
        <f>Tabel3[[#This Row],[Rood Verdediging]]&amp;Tabel3[[#This Row],[Rood Aanval]]</f>
        <v>KarelLouis</v>
      </c>
      <c r="L651" t="str">
        <f>Tabel3[[#This Row],[Groen Verdediging]]&amp;Tabel3[[#This Row],[Groen Aanval]]</f>
        <v>JonasTiemen</v>
      </c>
      <c r="M651" t="str">
        <f>Tabel3[[#This Row],[Winnaar 1]]&amp;Tabel3[[#This Row],[Winnaar 2]]</f>
        <v>JonasTiemen</v>
      </c>
      <c r="N651" t="b">
        <f>IF(Tabel3[[#This Row],[Team Rood]]=Tabel3[[#This Row],[Winnaars]],Tabel3[[#This Row],[Team Rood]])</f>
        <v>0</v>
      </c>
      <c r="O651" t="str">
        <f>IF(Tabel3[[#This Row],[Team Groen]]=Tabel3[[#This Row],[Winnaars]],Tabel3[[#This Row],[Team Groen]])</f>
        <v>JonasTiemen</v>
      </c>
    </row>
    <row r="652" spans="1:15" x14ac:dyDescent="0.25">
      <c r="A652" s="14">
        <v>652</v>
      </c>
      <c r="B652" s="207" t="s">
        <v>11</v>
      </c>
      <c r="C652" s="207" t="s">
        <v>3</v>
      </c>
      <c r="D652" s="204" t="s">
        <v>8</v>
      </c>
      <c r="E652" s="204" t="s">
        <v>6</v>
      </c>
      <c r="F652" s="81">
        <v>7</v>
      </c>
      <c r="G652" s="81">
        <v>11</v>
      </c>
      <c r="H652" s="3" t="str">
        <f t="shared" si="32"/>
        <v>GROEN</v>
      </c>
      <c r="I652" s="3" t="str">
        <f t="shared" si="30"/>
        <v>Louis</v>
      </c>
      <c r="J652" s="4" t="str">
        <f t="shared" si="31"/>
        <v>Stef D</v>
      </c>
      <c r="K652" t="str">
        <f>Tabel3[[#This Row],[Rood Verdediging]]&amp;Tabel3[[#This Row],[Rood Aanval]]</f>
        <v>MatthijsKarel</v>
      </c>
      <c r="L652" t="str">
        <f>Tabel3[[#This Row],[Groen Verdediging]]&amp;Tabel3[[#This Row],[Groen Aanval]]</f>
        <v>LouisStef D</v>
      </c>
      <c r="M652" t="str">
        <f>Tabel3[[#This Row],[Winnaar 1]]&amp;Tabel3[[#This Row],[Winnaar 2]]</f>
        <v>LouisStef D</v>
      </c>
      <c r="N652" t="b">
        <f>IF(Tabel3[[#This Row],[Team Rood]]=Tabel3[[#This Row],[Winnaars]],Tabel3[[#This Row],[Team Rood]])</f>
        <v>0</v>
      </c>
      <c r="O652" t="str">
        <f>IF(Tabel3[[#This Row],[Team Groen]]=Tabel3[[#This Row],[Winnaars]],Tabel3[[#This Row],[Team Groen]])</f>
        <v>LouisStef D</v>
      </c>
    </row>
    <row r="653" spans="1:15" x14ac:dyDescent="0.25">
      <c r="A653" s="14">
        <v>653</v>
      </c>
      <c r="B653" s="207" t="s">
        <v>0</v>
      </c>
      <c r="C653" s="207" t="s">
        <v>6</v>
      </c>
      <c r="D653" s="204" t="s">
        <v>7</v>
      </c>
      <c r="E653" s="204" t="s">
        <v>3</v>
      </c>
      <c r="F653" s="81">
        <v>11</v>
      </c>
      <c r="G653" s="81">
        <v>8</v>
      </c>
      <c r="H653" s="3" t="str">
        <f t="shared" si="32"/>
        <v>ROOD</v>
      </c>
      <c r="I653" s="3" t="str">
        <f t="shared" si="30"/>
        <v>Jonas</v>
      </c>
      <c r="J653" s="4" t="str">
        <f t="shared" si="31"/>
        <v>Stef D</v>
      </c>
      <c r="K653" t="str">
        <f>Tabel3[[#This Row],[Rood Verdediging]]&amp;Tabel3[[#This Row],[Rood Aanval]]</f>
        <v>JonasStef D</v>
      </c>
      <c r="L653" t="str">
        <f>Tabel3[[#This Row],[Groen Verdediging]]&amp;Tabel3[[#This Row],[Groen Aanval]]</f>
        <v>TiemenKarel</v>
      </c>
      <c r="M653" t="str">
        <f>Tabel3[[#This Row],[Winnaar 1]]&amp;Tabel3[[#This Row],[Winnaar 2]]</f>
        <v>JonasStef D</v>
      </c>
      <c r="N653" t="str">
        <f>IF(Tabel3[[#This Row],[Team Rood]]=Tabel3[[#This Row],[Winnaars]],Tabel3[[#This Row],[Team Rood]])</f>
        <v>JonasStef D</v>
      </c>
      <c r="O653" t="b">
        <f>IF(Tabel3[[#This Row],[Team Groen]]=Tabel3[[#This Row],[Winnaars]],Tabel3[[#This Row],[Team Groen]])</f>
        <v>0</v>
      </c>
    </row>
    <row r="654" spans="1:15" x14ac:dyDescent="0.25">
      <c r="A654" s="14">
        <v>654</v>
      </c>
      <c r="B654" s="207" t="s">
        <v>3</v>
      </c>
      <c r="C654" s="207" t="s">
        <v>6</v>
      </c>
      <c r="D654" s="204" t="s">
        <v>11</v>
      </c>
      <c r="E654" s="204" t="s">
        <v>8</v>
      </c>
      <c r="F654" s="81">
        <v>7</v>
      </c>
      <c r="G654" s="81">
        <v>11</v>
      </c>
      <c r="H654" s="3" t="str">
        <f t="shared" si="32"/>
        <v>GROEN</v>
      </c>
      <c r="I654" s="3" t="str">
        <f t="shared" ref="I654:I672" si="33">IF(F654&gt;G654,B654,IF(F654=0,"",D654))</f>
        <v>Matthijs</v>
      </c>
      <c r="J654" s="4" t="str">
        <f t="shared" ref="J654:J672" si="34">IF(F654&gt;G654,C654,IF(F654=0,"",E654))</f>
        <v>Louis</v>
      </c>
      <c r="K654" t="str">
        <f>Tabel3[[#This Row],[Rood Verdediging]]&amp;Tabel3[[#This Row],[Rood Aanval]]</f>
        <v>KarelStef D</v>
      </c>
      <c r="L654" t="str">
        <f>Tabel3[[#This Row],[Groen Verdediging]]&amp;Tabel3[[#This Row],[Groen Aanval]]</f>
        <v>MatthijsLouis</v>
      </c>
      <c r="M654" t="str">
        <f>Tabel3[[#This Row],[Winnaar 1]]&amp;Tabel3[[#This Row],[Winnaar 2]]</f>
        <v>MatthijsLouis</v>
      </c>
      <c r="N654" t="b">
        <f>IF(Tabel3[[#This Row],[Team Rood]]=Tabel3[[#This Row],[Winnaars]],Tabel3[[#This Row],[Team Rood]])</f>
        <v>0</v>
      </c>
      <c r="O654" t="str">
        <f>IF(Tabel3[[#This Row],[Team Groen]]=Tabel3[[#This Row],[Winnaars]],Tabel3[[#This Row],[Team Groen]])</f>
        <v>MatthijsLouis</v>
      </c>
    </row>
    <row r="655" spans="1:15" x14ac:dyDescent="0.25">
      <c r="A655" s="14">
        <v>655</v>
      </c>
      <c r="B655" s="207" t="s">
        <v>7</v>
      </c>
      <c r="C655" s="207" t="s">
        <v>3</v>
      </c>
      <c r="D655" s="204" t="s">
        <v>0</v>
      </c>
      <c r="E655" s="204" t="s">
        <v>6</v>
      </c>
      <c r="F655" s="81">
        <v>9</v>
      </c>
      <c r="G655" s="81">
        <v>11</v>
      </c>
      <c r="H655" s="3" t="str">
        <f t="shared" si="32"/>
        <v>GROEN</v>
      </c>
      <c r="I655" s="3" t="str">
        <f t="shared" si="33"/>
        <v>Jonas</v>
      </c>
      <c r="J655" s="4" t="str">
        <f t="shared" si="34"/>
        <v>Stef D</v>
      </c>
      <c r="K655" t="str">
        <f>Tabel3[[#This Row],[Rood Verdediging]]&amp;Tabel3[[#This Row],[Rood Aanval]]</f>
        <v>TiemenKarel</v>
      </c>
      <c r="L655" t="str">
        <f>Tabel3[[#This Row],[Groen Verdediging]]&amp;Tabel3[[#This Row],[Groen Aanval]]</f>
        <v>JonasStef D</v>
      </c>
      <c r="M655" t="str">
        <f>Tabel3[[#This Row],[Winnaar 1]]&amp;Tabel3[[#This Row],[Winnaar 2]]</f>
        <v>JonasStef D</v>
      </c>
      <c r="N655" t="b">
        <f>IF(Tabel3[[#This Row],[Team Rood]]=Tabel3[[#This Row],[Winnaars]],Tabel3[[#This Row],[Team Rood]])</f>
        <v>0</v>
      </c>
      <c r="O655" t="str">
        <f>IF(Tabel3[[#This Row],[Team Groen]]=Tabel3[[#This Row],[Winnaars]],Tabel3[[#This Row],[Team Groen]])</f>
        <v>JonasStef D</v>
      </c>
    </row>
    <row r="656" spans="1:15" x14ac:dyDescent="0.25">
      <c r="A656" s="14">
        <v>656</v>
      </c>
      <c r="B656" s="207" t="s">
        <v>3</v>
      </c>
      <c r="C656" s="207" t="s">
        <v>6</v>
      </c>
      <c r="D656" s="204" t="s">
        <v>11</v>
      </c>
      <c r="E656" s="204" t="s">
        <v>19</v>
      </c>
      <c r="F656" s="81">
        <v>11</v>
      </c>
      <c r="G656" s="81">
        <v>4</v>
      </c>
      <c r="H656" s="3" t="str">
        <f t="shared" si="32"/>
        <v>ROOD</v>
      </c>
      <c r="I656" s="3" t="str">
        <f t="shared" si="33"/>
        <v>Karel</v>
      </c>
      <c r="J656" s="4" t="str">
        <f t="shared" si="34"/>
        <v>Stef D</v>
      </c>
      <c r="K656" t="str">
        <f>Tabel3[[#This Row],[Rood Verdediging]]&amp;Tabel3[[#This Row],[Rood Aanval]]</f>
        <v>KarelStef D</v>
      </c>
      <c r="L656" t="str">
        <f>Tabel3[[#This Row],[Groen Verdediging]]&amp;Tabel3[[#This Row],[Groen Aanval]]</f>
        <v>MatthijsNicolas</v>
      </c>
      <c r="M656" t="str">
        <f>Tabel3[[#This Row],[Winnaar 1]]&amp;Tabel3[[#This Row],[Winnaar 2]]</f>
        <v>KarelStef D</v>
      </c>
      <c r="N656" t="str">
        <f>IF(Tabel3[[#This Row],[Team Rood]]=Tabel3[[#This Row],[Winnaars]],Tabel3[[#This Row],[Team Rood]])</f>
        <v>KarelStef D</v>
      </c>
      <c r="O656" t="b">
        <f>IF(Tabel3[[#This Row],[Team Groen]]=Tabel3[[#This Row],[Winnaars]],Tabel3[[#This Row],[Team Groen]])</f>
        <v>0</v>
      </c>
    </row>
    <row r="657" spans="1:15" x14ac:dyDescent="0.25">
      <c r="A657" s="14">
        <v>657</v>
      </c>
      <c r="B657" s="207" t="s">
        <v>0</v>
      </c>
      <c r="C657" s="207" t="s">
        <v>6</v>
      </c>
      <c r="D657" s="204" t="s">
        <v>3</v>
      </c>
      <c r="E657" s="204" t="s">
        <v>11</v>
      </c>
      <c r="F657" s="81">
        <v>11</v>
      </c>
      <c r="G657" s="81">
        <v>9</v>
      </c>
      <c r="H657" s="3" t="str">
        <f t="shared" si="32"/>
        <v>ROOD</v>
      </c>
      <c r="I657" s="3" t="str">
        <f t="shared" si="33"/>
        <v>Jonas</v>
      </c>
      <c r="J657" s="4" t="str">
        <f t="shared" si="34"/>
        <v>Stef D</v>
      </c>
      <c r="K657" t="str">
        <f>Tabel3[[#This Row],[Rood Verdediging]]&amp;Tabel3[[#This Row],[Rood Aanval]]</f>
        <v>JonasStef D</v>
      </c>
      <c r="L657" t="str">
        <f>Tabel3[[#This Row],[Groen Verdediging]]&amp;Tabel3[[#This Row],[Groen Aanval]]</f>
        <v>KarelMatthijs</v>
      </c>
      <c r="M657" t="str">
        <f>Tabel3[[#This Row],[Winnaar 1]]&amp;Tabel3[[#This Row],[Winnaar 2]]</f>
        <v>JonasStef D</v>
      </c>
      <c r="N657" t="str">
        <f>IF(Tabel3[[#This Row],[Team Rood]]=Tabel3[[#This Row],[Winnaars]],Tabel3[[#This Row],[Team Rood]])</f>
        <v>JonasStef D</v>
      </c>
      <c r="O657" t="b">
        <f>IF(Tabel3[[#This Row],[Team Groen]]=Tabel3[[#This Row],[Winnaars]],Tabel3[[#This Row],[Team Groen]])</f>
        <v>0</v>
      </c>
    </row>
    <row r="658" spans="1:15" x14ac:dyDescent="0.25">
      <c r="A658" s="14">
        <v>658</v>
      </c>
      <c r="B658" s="207" t="s">
        <v>19</v>
      </c>
      <c r="C658" s="207" t="s">
        <v>3</v>
      </c>
      <c r="D658" s="204" t="s">
        <v>11</v>
      </c>
      <c r="E658" s="204" t="s">
        <v>0</v>
      </c>
      <c r="F658" s="81">
        <v>8</v>
      </c>
      <c r="G658" s="81">
        <v>11</v>
      </c>
      <c r="H658" s="3" t="str">
        <f t="shared" si="32"/>
        <v>GROEN</v>
      </c>
      <c r="I658" s="3" t="str">
        <f t="shared" si="33"/>
        <v>Matthijs</v>
      </c>
      <c r="J658" s="4" t="str">
        <f t="shared" si="34"/>
        <v>Jonas</v>
      </c>
      <c r="K658" t="str">
        <f>Tabel3[[#This Row],[Rood Verdediging]]&amp;Tabel3[[#This Row],[Rood Aanval]]</f>
        <v>NicolasKarel</v>
      </c>
      <c r="L658" t="str">
        <f>Tabel3[[#This Row],[Groen Verdediging]]&amp;Tabel3[[#This Row],[Groen Aanval]]</f>
        <v>MatthijsJonas</v>
      </c>
      <c r="M658" t="str">
        <f>Tabel3[[#This Row],[Winnaar 1]]&amp;Tabel3[[#This Row],[Winnaar 2]]</f>
        <v>MatthijsJonas</v>
      </c>
      <c r="N658" t="b">
        <f>IF(Tabel3[[#This Row],[Team Rood]]=Tabel3[[#This Row],[Winnaars]],Tabel3[[#This Row],[Team Rood]])</f>
        <v>0</v>
      </c>
      <c r="O658" t="str">
        <f>IF(Tabel3[[#This Row],[Team Groen]]=Tabel3[[#This Row],[Winnaars]],Tabel3[[#This Row],[Team Groen]])</f>
        <v>MatthijsJonas</v>
      </c>
    </row>
    <row r="659" spans="1:15" x14ac:dyDescent="0.25">
      <c r="A659" s="14">
        <v>659</v>
      </c>
      <c r="B659" s="207" t="s">
        <v>0</v>
      </c>
      <c r="C659" s="207" t="s">
        <v>3</v>
      </c>
      <c r="D659" s="204" t="s">
        <v>19</v>
      </c>
      <c r="E659" s="204" t="s">
        <v>6</v>
      </c>
      <c r="F659" s="81">
        <v>11</v>
      </c>
      <c r="G659" s="81">
        <v>9</v>
      </c>
      <c r="H659" s="3" t="str">
        <f t="shared" si="32"/>
        <v>ROOD</v>
      </c>
      <c r="I659" s="3" t="str">
        <f t="shared" si="33"/>
        <v>Jonas</v>
      </c>
      <c r="J659" s="4" t="str">
        <f t="shared" si="34"/>
        <v>Karel</v>
      </c>
      <c r="K659" t="str">
        <f>Tabel3[[#This Row],[Rood Verdediging]]&amp;Tabel3[[#This Row],[Rood Aanval]]</f>
        <v>JonasKarel</v>
      </c>
      <c r="L659" t="str">
        <f>Tabel3[[#This Row],[Groen Verdediging]]&amp;Tabel3[[#This Row],[Groen Aanval]]</f>
        <v>NicolasStef D</v>
      </c>
      <c r="M659" t="str">
        <f>Tabel3[[#This Row],[Winnaar 1]]&amp;Tabel3[[#This Row],[Winnaar 2]]</f>
        <v>JonasKarel</v>
      </c>
      <c r="N659" t="str">
        <f>IF(Tabel3[[#This Row],[Team Rood]]=Tabel3[[#This Row],[Winnaars]],Tabel3[[#This Row],[Team Rood]])</f>
        <v>JonasKarel</v>
      </c>
      <c r="O659" t="b">
        <f>IF(Tabel3[[#This Row],[Team Groen]]=Tabel3[[#This Row],[Winnaars]],Tabel3[[#This Row],[Team Groen]])</f>
        <v>0</v>
      </c>
    </row>
    <row r="660" spans="1:15" x14ac:dyDescent="0.25">
      <c r="A660" s="14">
        <v>660</v>
      </c>
      <c r="B660" s="207" t="s">
        <v>0</v>
      </c>
      <c r="C660" s="207" t="s">
        <v>19</v>
      </c>
      <c r="D660" s="204" t="s">
        <v>6</v>
      </c>
      <c r="E660" s="204" t="s">
        <v>11</v>
      </c>
      <c r="F660" s="81">
        <v>8</v>
      </c>
      <c r="G660" s="81">
        <v>11</v>
      </c>
      <c r="H660" s="3" t="str">
        <f t="shared" si="32"/>
        <v>GROEN</v>
      </c>
      <c r="I660" s="3" t="str">
        <f t="shared" si="33"/>
        <v>Stef D</v>
      </c>
      <c r="J660" s="4" t="str">
        <f t="shared" si="34"/>
        <v>Matthijs</v>
      </c>
      <c r="K660" t="str">
        <f>Tabel3[[#This Row],[Rood Verdediging]]&amp;Tabel3[[#This Row],[Rood Aanval]]</f>
        <v>JonasNicolas</v>
      </c>
      <c r="L660" t="str">
        <f>Tabel3[[#This Row],[Groen Verdediging]]&amp;Tabel3[[#This Row],[Groen Aanval]]</f>
        <v>Stef DMatthijs</v>
      </c>
      <c r="M660" t="str">
        <f>Tabel3[[#This Row],[Winnaar 1]]&amp;Tabel3[[#This Row],[Winnaar 2]]</f>
        <v>Stef DMatthijs</v>
      </c>
      <c r="N660" t="b">
        <f>IF(Tabel3[[#This Row],[Team Rood]]=Tabel3[[#This Row],[Winnaars]],Tabel3[[#This Row],[Team Rood]])</f>
        <v>0</v>
      </c>
      <c r="O660" t="str">
        <f>IF(Tabel3[[#This Row],[Team Groen]]=Tabel3[[#This Row],[Winnaars]],Tabel3[[#This Row],[Team Groen]])</f>
        <v>Stef DMatthijs</v>
      </c>
    </row>
    <row r="661" spans="1:15" x14ac:dyDescent="0.25">
      <c r="A661" s="14">
        <v>661</v>
      </c>
      <c r="B661" s="207" t="s">
        <v>6</v>
      </c>
      <c r="C661" s="207" t="s">
        <v>0</v>
      </c>
      <c r="D661" s="204" t="s">
        <v>11</v>
      </c>
      <c r="E661" s="204" t="s">
        <v>3</v>
      </c>
      <c r="F661" s="81">
        <v>5</v>
      </c>
      <c r="G661" s="81">
        <v>11</v>
      </c>
      <c r="H661" s="3" t="str">
        <f t="shared" si="32"/>
        <v>GROEN</v>
      </c>
      <c r="I661" s="3" t="str">
        <f t="shared" si="33"/>
        <v>Matthijs</v>
      </c>
      <c r="J661" s="4" t="str">
        <f t="shared" si="34"/>
        <v>Karel</v>
      </c>
      <c r="K661" t="str">
        <f>Tabel3[[#This Row],[Rood Verdediging]]&amp;Tabel3[[#This Row],[Rood Aanval]]</f>
        <v>Stef DJonas</v>
      </c>
      <c r="L661" t="str">
        <f>Tabel3[[#This Row],[Groen Verdediging]]&amp;Tabel3[[#This Row],[Groen Aanval]]</f>
        <v>MatthijsKarel</v>
      </c>
      <c r="M661" t="str">
        <f>Tabel3[[#This Row],[Winnaar 1]]&amp;Tabel3[[#This Row],[Winnaar 2]]</f>
        <v>MatthijsKarel</v>
      </c>
      <c r="N661" t="b">
        <f>IF(Tabel3[[#This Row],[Team Rood]]=Tabel3[[#This Row],[Winnaars]],Tabel3[[#This Row],[Team Rood]])</f>
        <v>0</v>
      </c>
      <c r="O661" t="str">
        <f>IF(Tabel3[[#This Row],[Team Groen]]=Tabel3[[#This Row],[Winnaars]],Tabel3[[#This Row],[Team Groen]])</f>
        <v>MatthijsKarel</v>
      </c>
    </row>
    <row r="662" spans="1:15" x14ac:dyDescent="0.25">
      <c r="A662" s="14">
        <v>662</v>
      </c>
      <c r="B662" s="207" t="s">
        <v>11</v>
      </c>
      <c r="C662" s="207" t="s">
        <v>6</v>
      </c>
      <c r="D662" s="204" t="s">
        <v>0</v>
      </c>
      <c r="E662" s="204" t="s">
        <v>3</v>
      </c>
      <c r="F662" s="81">
        <v>11</v>
      </c>
      <c r="G662" s="81">
        <v>13</v>
      </c>
      <c r="H662" s="3" t="str">
        <f t="shared" si="32"/>
        <v>GROEN</v>
      </c>
      <c r="I662" s="3" t="str">
        <f t="shared" si="33"/>
        <v>Jonas</v>
      </c>
      <c r="J662" s="4" t="str">
        <f t="shared" si="34"/>
        <v>Karel</v>
      </c>
      <c r="K662" t="str">
        <f>Tabel3[[#This Row],[Rood Verdediging]]&amp;Tabel3[[#This Row],[Rood Aanval]]</f>
        <v>MatthijsStef D</v>
      </c>
      <c r="L662" t="str">
        <f>Tabel3[[#This Row],[Groen Verdediging]]&amp;Tabel3[[#This Row],[Groen Aanval]]</f>
        <v>JonasKarel</v>
      </c>
      <c r="M662" t="str">
        <f>Tabel3[[#This Row],[Winnaar 1]]&amp;Tabel3[[#This Row],[Winnaar 2]]</f>
        <v>JonasKarel</v>
      </c>
      <c r="N662" t="b">
        <f>IF(Tabel3[[#This Row],[Team Rood]]=Tabel3[[#This Row],[Winnaars]],Tabel3[[#This Row],[Team Rood]])</f>
        <v>0</v>
      </c>
      <c r="O662" t="str">
        <f>IF(Tabel3[[#This Row],[Team Groen]]=Tabel3[[#This Row],[Winnaars]],Tabel3[[#This Row],[Team Groen]])</f>
        <v>JonasKarel</v>
      </c>
    </row>
    <row r="663" spans="1:15" x14ac:dyDescent="0.25">
      <c r="A663" s="14">
        <v>663</v>
      </c>
      <c r="B663" s="207" t="s">
        <v>6</v>
      </c>
      <c r="C663" s="207" t="s">
        <v>3</v>
      </c>
      <c r="D663" s="204" t="s">
        <v>0</v>
      </c>
      <c r="E663" s="204" t="s">
        <v>11</v>
      </c>
      <c r="F663" s="81">
        <v>11</v>
      </c>
      <c r="G663" s="81">
        <v>6</v>
      </c>
      <c r="H663" s="3" t="str">
        <f t="shared" si="32"/>
        <v>ROOD</v>
      </c>
      <c r="I663" s="3" t="str">
        <f t="shared" si="33"/>
        <v>Stef D</v>
      </c>
      <c r="J663" s="4" t="str">
        <f t="shared" si="34"/>
        <v>Karel</v>
      </c>
      <c r="K663" t="str">
        <f>Tabel3[[#This Row],[Rood Verdediging]]&amp;Tabel3[[#This Row],[Rood Aanval]]</f>
        <v>Stef DKarel</v>
      </c>
      <c r="L663" t="str">
        <f>Tabel3[[#This Row],[Groen Verdediging]]&amp;Tabel3[[#This Row],[Groen Aanval]]</f>
        <v>JonasMatthijs</v>
      </c>
      <c r="M663" t="str">
        <f>Tabel3[[#This Row],[Winnaar 1]]&amp;Tabel3[[#This Row],[Winnaar 2]]</f>
        <v>Stef DKarel</v>
      </c>
      <c r="N663" t="str">
        <f>IF(Tabel3[[#This Row],[Team Rood]]=Tabel3[[#This Row],[Winnaars]],Tabel3[[#This Row],[Team Rood]])</f>
        <v>Stef DKarel</v>
      </c>
      <c r="O663" t="b">
        <f>IF(Tabel3[[#This Row],[Team Groen]]=Tabel3[[#This Row],[Winnaars]],Tabel3[[#This Row],[Team Groen]])</f>
        <v>0</v>
      </c>
    </row>
    <row r="664" spans="1:15" x14ac:dyDescent="0.25">
      <c r="A664" s="14">
        <v>664</v>
      </c>
      <c r="B664" s="207" t="s">
        <v>0</v>
      </c>
      <c r="C664" s="207" t="s">
        <v>6</v>
      </c>
      <c r="D664" s="208" t="s">
        <v>167</v>
      </c>
      <c r="E664" s="208" t="s">
        <v>3</v>
      </c>
      <c r="F664" s="81">
        <v>11</v>
      </c>
      <c r="G664" s="81">
        <v>5</v>
      </c>
      <c r="H664" s="3" t="str">
        <f t="shared" si="32"/>
        <v>ROOD</v>
      </c>
      <c r="I664" s="3" t="str">
        <f t="shared" si="33"/>
        <v>Jonas</v>
      </c>
      <c r="J664" s="4" t="str">
        <f t="shared" si="34"/>
        <v>Stef D</v>
      </c>
      <c r="K664" t="str">
        <f>Tabel3[[#This Row],[Rood Verdediging]]&amp;Tabel3[[#This Row],[Rood Aanval]]</f>
        <v>JonasStef D</v>
      </c>
      <c r="L664" t="str">
        <f>Tabel3[[#This Row],[Groen Verdediging]]&amp;Tabel3[[#This Row],[Groen Aanval]]</f>
        <v>CogheKarel</v>
      </c>
      <c r="M664" t="str">
        <f>Tabel3[[#This Row],[Winnaar 1]]&amp;Tabel3[[#This Row],[Winnaar 2]]</f>
        <v>JonasStef D</v>
      </c>
      <c r="N664" t="str">
        <f>IF(Tabel3[[#This Row],[Team Rood]]=Tabel3[[#This Row],[Winnaars]],Tabel3[[#This Row],[Team Rood]])</f>
        <v>JonasStef D</v>
      </c>
      <c r="O664" t="b">
        <f>IF(Tabel3[[#This Row],[Team Groen]]=Tabel3[[#This Row],[Winnaars]],Tabel3[[#This Row],[Team Groen]])</f>
        <v>0</v>
      </c>
    </row>
    <row r="665" spans="1:15" x14ac:dyDescent="0.25">
      <c r="A665" s="14">
        <v>665</v>
      </c>
      <c r="B665" s="205" t="s">
        <v>6</v>
      </c>
      <c r="C665" s="205" t="s">
        <v>13</v>
      </c>
      <c r="D665" s="206" t="s">
        <v>0</v>
      </c>
      <c r="E665" s="206" t="s">
        <v>167</v>
      </c>
      <c r="F665" s="81">
        <v>11</v>
      </c>
      <c r="G665" s="81">
        <v>2</v>
      </c>
      <c r="H665" s="3" t="str">
        <f t="shared" si="32"/>
        <v>ROOD</v>
      </c>
      <c r="I665" s="3" t="str">
        <f t="shared" si="33"/>
        <v>Stef D</v>
      </c>
      <c r="J665" s="4" t="str">
        <f t="shared" si="34"/>
        <v>Bert</v>
      </c>
      <c r="K665" t="str">
        <f>Tabel3[[#This Row],[Rood Verdediging]]&amp;Tabel3[[#This Row],[Rood Aanval]]</f>
        <v>Stef DBert</v>
      </c>
      <c r="L665" t="str">
        <f>Tabel3[[#This Row],[Groen Verdediging]]&amp;Tabel3[[#This Row],[Groen Aanval]]</f>
        <v>JonasCoghe</v>
      </c>
      <c r="M665" t="str">
        <f>Tabel3[[#This Row],[Winnaar 1]]&amp;Tabel3[[#This Row],[Winnaar 2]]</f>
        <v>Stef DBert</v>
      </c>
      <c r="N665" t="str">
        <f>IF(Tabel3[[#This Row],[Team Rood]]=Tabel3[[#This Row],[Winnaars]],Tabel3[[#This Row],[Team Rood]])</f>
        <v>Stef DBert</v>
      </c>
      <c r="O665" t="b">
        <f>IF(Tabel3[[#This Row],[Team Groen]]=Tabel3[[#This Row],[Winnaars]],Tabel3[[#This Row],[Team Groen]])</f>
        <v>0</v>
      </c>
    </row>
    <row r="666" spans="1:15" x14ac:dyDescent="0.25">
      <c r="A666" s="14">
        <v>666</v>
      </c>
      <c r="B666" s="205" t="s">
        <v>3</v>
      </c>
      <c r="C666" s="205" t="s">
        <v>0</v>
      </c>
      <c r="D666" s="206" t="s">
        <v>167</v>
      </c>
      <c r="E666" s="206" t="s">
        <v>13</v>
      </c>
      <c r="F666" s="81">
        <v>9</v>
      </c>
      <c r="G666" s="81">
        <v>11</v>
      </c>
      <c r="H666" s="3" t="str">
        <f t="shared" si="32"/>
        <v>GROEN</v>
      </c>
      <c r="I666" s="3" t="str">
        <f t="shared" si="33"/>
        <v>Coghe</v>
      </c>
      <c r="J666" s="4" t="str">
        <f t="shared" si="34"/>
        <v>Bert</v>
      </c>
      <c r="K666" t="str">
        <f>Tabel3[[#This Row],[Rood Verdediging]]&amp;Tabel3[[#This Row],[Rood Aanval]]</f>
        <v>KarelJonas</v>
      </c>
      <c r="L666" t="str">
        <f>Tabel3[[#This Row],[Groen Verdediging]]&amp;Tabel3[[#This Row],[Groen Aanval]]</f>
        <v>CogheBert</v>
      </c>
      <c r="M666" t="str">
        <f>Tabel3[[#This Row],[Winnaar 1]]&amp;Tabel3[[#This Row],[Winnaar 2]]</f>
        <v>CogheBert</v>
      </c>
      <c r="N666" t="b">
        <f>IF(Tabel3[[#This Row],[Team Rood]]=Tabel3[[#This Row],[Winnaars]],Tabel3[[#This Row],[Team Rood]])</f>
        <v>0</v>
      </c>
      <c r="O666" t="str">
        <f>IF(Tabel3[[#This Row],[Team Groen]]=Tabel3[[#This Row],[Winnaars]],Tabel3[[#This Row],[Team Groen]])</f>
        <v>CogheBert</v>
      </c>
    </row>
    <row r="667" spans="1:15" x14ac:dyDescent="0.25">
      <c r="A667" s="14">
        <v>667</v>
      </c>
      <c r="B667" s="205" t="s">
        <v>13</v>
      </c>
      <c r="C667" s="205" t="s">
        <v>3</v>
      </c>
      <c r="D667" s="206" t="s">
        <v>0</v>
      </c>
      <c r="E667" s="206" t="s">
        <v>6</v>
      </c>
      <c r="F667" s="81">
        <v>11</v>
      </c>
      <c r="G667" s="81">
        <v>7</v>
      </c>
      <c r="H667" s="3" t="str">
        <f t="shared" si="32"/>
        <v>ROOD</v>
      </c>
      <c r="I667" s="3" t="str">
        <f t="shared" si="33"/>
        <v>Bert</v>
      </c>
      <c r="J667" s="4" t="str">
        <f t="shared" si="34"/>
        <v>Karel</v>
      </c>
      <c r="K667" t="str">
        <f>Tabel3[[#This Row],[Rood Verdediging]]&amp;Tabel3[[#This Row],[Rood Aanval]]</f>
        <v>BertKarel</v>
      </c>
      <c r="L667" t="str">
        <f>Tabel3[[#This Row],[Groen Verdediging]]&amp;Tabel3[[#This Row],[Groen Aanval]]</f>
        <v>JonasStef D</v>
      </c>
      <c r="M667" t="str">
        <f>Tabel3[[#This Row],[Winnaar 1]]&amp;Tabel3[[#This Row],[Winnaar 2]]</f>
        <v>BertKarel</v>
      </c>
      <c r="N667" t="str">
        <f>IF(Tabel3[[#This Row],[Team Rood]]=Tabel3[[#This Row],[Winnaars]],Tabel3[[#This Row],[Team Rood]])</f>
        <v>BertKarel</v>
      </c>
      <c r="O667" t="b">
        <f>IF(Tabel3[[#This Row],[Team Groen]]=Tabel3[[#This Row],[Winnaars]],Tabel3[[#This Row],[Team Groen]])</f>
        <v>0</v>
      </c>
    </row>
    <row r="668" spans="1:15" x14ac:dyDescent="0.25">
      <c r="A668" s="14">
        <v>668</v>
      </c>
      <c r="B668" s="205" t="s">
        <v>6</v>
      </c>
      <c r="C668" s="205" t="s">
        <v>18</v>
      </c>
      <c r="D668" s="206" t="s">
        <v>167</v>
      </c>
      <c r="E668" s="206" t="s">
        <v>11</v>
      </c>
      <c r="F668" s="81">
        <v>11</v>
      </c>
      <c r="G668" s="81">
        <v>6</v>
      </c>
      <c r="H668" s="3" t="str">
        <f t="shared" si="32"/>
        <v>ROOD</v>
      </c>
      <c r="I668" s="3" t="str">
        <f t="shared" si="33"/>
        <v>Stef D</v>
      </c>
      <c r="J668" s="4" t="str">
        <f t="shared" si="34"/>
        <v xml:space="preserve">Bert </v>
      </c>
      <c r="K668" t="str">
        <f>Tabel3[[#This Row],[Rood Verdediging]]&amp;Tabel3[[#This Row],[Rood Aanval]]</f>
        <v xml:space="preserve">Stef DBert </v>
      </c>
      <c r="L668" t="str">
        <f>Tabel3[[#This Row],[Groen Verdediging]]&amp;Tabel3[[#This Row],[Groen Aanval]]</f>
        <v>CogheMatthijs</v>
      </c>
      <c r="M668" t="str">
        <f>Tabel3[[#This Row],[Winnaar 1]]&amp;Tabel3[[#This Row],[Winnaar 2]]</f>
        <v xml:space="preserve">Stef DBert </v>
      </c>
      <c r="N668" t="str">
        <f>IF(Tabel3[[#This Row],[Team Rood]]=Tabel3[[#This Row],[Winnaars]],Tabel3[[#This Row],[Team Rood]])</f>
        <v xml:space="preserve">Stef DBert </v>
      </c>
      <c r="O668" t="b">
        <f>IF(Tabel3[[#This Row],[Team Groen]]=Tabel3[[#This Row],[Winnaars]],Tabel3[[#This Row],[Team Groen]])</f>
        <v>0</v>
      </c>
    </row>
    <row r="669" spans="1:15" x14ac:dyDescent="0.25">
      <c r="A669" s="14">
        <v>669</v>
      </c>
      <c r="B669" s="205" t="s">
        <v>11</v>
      </c>
      <c r="C669" s="205" t="s">
        <v>6</v>
      </c>
      <c r="D669" s="206" t="s">
        <v>3</v>
      </c>
      <c r="E669" s="206" t="s">
        <v>0</v>
      </c>
      <c r="F669" s="81">
        <v>11</v>
      </c>
      <c r="G669" s="81">
        <v>3</v>
      </c>
      <c r="H669" s="3" t="str">
        <f t="shared" si="32"/>
        <v>ROOD</v>
      </c>
      <c r="I669" s="3" t="str">
        <f t="shared" si="33"/>
        <v>Matthijs</v>
      </c>
      <c r="J669" s="4" t="str">
        <f t="shared" si="34"/>
        <v>Stef D</v>
      </c>
      <c r="K669" t="str">
        <f>Tabel3[[#This Row],[Rood Verdediging]]&amp;Tabel3[[#This Row],[Rood Aanval]]</f>
        <v>MatthijsStef D</v>
      </c>
      <c r="L669" t="str">
        <f>Tabel3[[#This Row],[Groen Verdediging]]&amp;Tabel3[[#This Row],[Groen Aanval]]</f>
        <v>KarelJonas</v>
      </c>
      <c r="M669" t="str">
        <f>Tabel3[[#This Row],[Winnaar 1]]&amp;Tabel3[[#This Row],[Winnaar 2]]</f>
        <v>MatthijsStef D</v>
      </c>
      <c r="N669" t="str">
        <f>IF(Tabel3[[#This Row],[Team Rood]]=Tabel3[[#This Row],[Winnaars]],Tabel3[[#This Row],[Team Rood]])</f>
        <v>MatthijsStef D</v>
      </c>
      <c r="O669" t="b">
        <f>IF(Tabel3[[#This Row],[Team Groen]]=Tabel3[[#This Row],[Winnaars]],Tabel3[[#This Row],[Team Groen]])</f>
        <v>0</v>
      </c>
    </row>
    <row r="670" spans="1:15" x14ac:dyDescent="0.25">
      <c r="A670" s="14">
        <v>670</v>
      </c>
      <c r="B670" s="205" t="s">
        <v>11</v>
      </c>
      <c r="C670" s="205" t="s">
        <v>13</v>
      </c>
      <c r="D670" s="206" t="s">
        <v>167</v>
      </c>
      <c r="E670" s="206" t="s">
        <v>3</v>
      </c>
      <c r="F670" s="81">
        <v>11</v>
      </c>
      <c r="G670" s="81">
        <v>5</v>
      </c>
      <c r="H670" s="3" t="str">
        <f t="shared" si="32"/>
        <v>ROOD</v>
      </c>
      <c r="I670" s="3" t="str">
        <f t="shared" si="33"/>
        <v>Matthijs</v>
      </c>
      <c r="J670" s="4" t="str">
        <f t="shared" si="34"/>
        <v>Bert</v>
      </c>
      <c r="K670" t="str">
        <f>Tabel3[[#This Row],[Rood Verdediging]]&amp;Tabel3[[#This Row],[Rood Aanval]]</f>
        <v>MatthijsBert</v>
      </c>
      <c r="L670" t="str">
        <f>Tabel3[[#This Row],[Groen Verdediging]]&amp;Tabel3[[#This Row],[Groen Aanval]]</f>
        <v>CogheKarel</v>
      </c>
      <c r="M670" t="str">
        <f>Tabel3[[#This Row],[Winnaar 1]]&amp;Tabel3[[#This Row],[Winnaar 2]]</f>
        <v>MatthijsBert</v>
      </c>
      <c r="N670" t="str">
        <f>IF(Tabel3[[#This Row],[Team Rood]]=Tabel3[[#This Row],[Winnaars]],Tabel3[[#This Row],[Team Rood]])</f>
        <v>MatthijsBert</v>
      </c>
      <c r="O670" t="b">
        <f>IF(Tabel3[[#This Row],[Team Groen]]=Tabel3[[#This Row],[Winnaars]],Tabel3[[#This Row],[Team Groen]])</f>
        <v>0</v>
      </c>
    </row>
    <row r="671" spans="1:15" x14ac:dyDescent="0.25">
      <c r="A671" s="14">
        <v>671</v>
      </c>
      <c r="B671" s="205" t="s">
        <v>0</v>
      </c>
      <c r="C671" s="205" t="s">
        <v>11</v>
      </c>
      <c r="D671" s="206" t="s">
        <v>6</v>
      </c>
      <c r="E671" s="206" t="s">
        <v>3</v>
      </c>
      <c r="F671" s="81">
        <v>7</v>
      </c>
      <c r="G671" s="81">
        <v>11</v>
      </c>
      <c r="H671" s="3" t="str">
        <f t="shared" si="32"/>
        <v>GROEN</v>
      </c>
      <c r="I671" s="3" t="str">
        <f t="shared" si="33"/>
        <v>Stef D</v>
      </c>
      <c r="J671" s="4" t="str">
        <f t="shared" si="34"/>
        <v>Karel</v>
      </c>
      <c r="K671" t="str">
        <f>Tabel3[[#This Row],[Rood Verdediging]]&amp;Tabel3[[#This Row],[Rood Aanval]]</f>
        <v>JonasMatthijs</v>
      </c>
      <c r="L671" t="str">
        <f>Tabel3[[#This Row],[Groen Verdediging]]&amp;Tabel3[[#This Row],[Groen Aanval]]</f>
        <v>Stef DKarel</v>
      </c>
      <c r="M671" t="str">
        <f>Tabel3[[#This Row],[Winnaar 1]]&amp;Tabel3[[#This Row],[Winnaar 2]]</f>
        <v>Stef DKarel</v>
      </c>
      <c r="N671" t="b">
        <f>IF(Tabel3[[#This Row],[Team Rood]]=Tabel3[[#This Row],[Winnaars]],Tabel3[[#This Row],[Team Rood]])</f>
        <v>0</v>
      </c>
      <c r="O671" t="str">
        <f>IF(Tabel3[[#This Row],[Team Groen]]=Tabel3[[#This Row],[Winnaars]],Tabel3[[#This Row],[Team Groen]])</f>
        <v>Stef DKarel</v>
      </c>
    </row>
    <row r="672" spans="1:15" x14ac:dyDescent="0.25">
      <c r="A672" s="14">
        <v>672</v>
      </c>
      <c r="B672" s="205" t="s">
        <v>11</v>
      </c>
      <c r="C672" s="205" t="s">
        <v>3</v>
      </c>
      <c r="D672" s="206" t="s">
        <v>167</v>
      </c>
      <c r="E672" s="206" t="s">
        <v>6</v>
      </c>
      <c r="F672" s="81">
        <v>9</v>
      </c>
      <c r="G672" s="81">
        <v>11</v>
      </c>
      <c r="H672" s="3" t="str">
        <f t="shared" si="32"/>
        <v>GROEN</v>
      </c>
      <c r="I672" s="3" t="str">
        <f t="shared" si="33"/>
        <v>Coghe</v>
      </c>
      <c r="J672" s="4" t="str">
        <f t="shared" si="34"/>
        <v>Stef D</v>
      </c>
      <c r="K672" t="str">
        <f>Tabel3[[#This Row],[Rood Verdediging]]&amp;Tabel3[[#This Row],[Rood Aanval]]</f>
        <v>MatthijsKarel</v>
      </c>
      <c r="L672" t="str">
        <f>Tabel3[[#This Row],[Groen Verdediging]]&amp;Tabel3[[#This Row],[Groen Aanval]]</f>
        <v>CogheStef D</v>
      </c>
      <c r="M672" t="str">
        <f>Tabel3[[#This Row],[Winnaar 1]]&amp;Tabel3[[#This Row],[Winnaar 2]]</f>
        <v>CogheStef D</v>
      </c>
      <c r="N672" t="b">
        <f>IF(Tabel3[[#This Row],[Team Rood]]=Tabel3[[#This Row],[Winnaars]],Tabel3[[#This Row],[Team Rood]])</f>
        <v>0</v>
      </c>
      <c r="O672" t="str">
        <f>IF(Tabel3[[#This Row],[Team Groen]]=Tabel3[[#This Row],[Winnaars]],Tabel3[[#This Row],[Team Groen]])</f>
        <v>CogheStef D</v>
      </c>
    </row>
  </sheetData>
  <phoneticPr fontId="14" type="noConversion"/>
  <conditionalFormatting sqref="H2:H115 H144:H1048576">
    <cfRule type="containsText" dxfId="373" priority="6" operator="containsText" text="ROOD">
      <formula>NOT(ISERROR(SEARCH("ROOD",H2)))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372" priority="8" operator="containsText" text="GROEN">
      <formula>NOT(ISERROR(SEARCH("GROEN",H2)))</formula>
    </cfRule>
    <cfRule type="cellIs" dxfId="371" priority="9" operator="equal">
      <formula>"""GROEN"""</formula>
    </cfRule>
  </conditionalFormatting>
  <conditionalFormatting sqref="H116:H143">
    <cfRule type="containsText" dxfId="370" priority="2" operator="containsText" text="ROOD">
      <formula>NOT(ISERROR(SEARCH("ROOD",H116)))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369" priority="4" operator="containsText" text="GROEN">
      <formula>NOT(ISERROR(SEARCH("GROEN",H116)))</formula>
    </cfRule>
    <cfRule type="cellIs" dxfId="368" priority="5" operator="equal">
      <formula>"""GROEN"""</formula>
    </cfRule>
  </conditionalFormatting>
  <conditionalFormatting sqref="B648:B672">
    <cfRule type="expression" dxfId="367" priority="1">
      <formula>AND($P647&lt;&gt;"",$F648=0)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B0FA-EF10-426A-8FC2-534D85825752}">
  <sheetPr codeName="Blad4"/>
  <dimension ref="A1:AC157"/>
  <sheetViews>
    <sheetView workbookViewId="0">
      <selection activeCell="K26" sqref="K26"/>
    </sheetView>
  </sheetViews>
  <sheetFormatPr defaultColWidth="9.140625" defaultRowHeight="15" x14ac:dyDescent="0.25"/>
  <cols>
    <col min="1" max="1" width="11.5703125" style="213" bestFit="1" customWidth="1"/>
    <col min="2" max="2" width="23.5703125" style="213" customWidth="1"/>
    <col min="3" max="3" width="22" style="213" customWidth="1"/>
    <col min="4" max="4" width="24.5703125" style="213" customWidth="1"/>
    <col min="5" max="5" width="23" style="213" customWidth="1"/>
    <col min="6" max="6" width="16.7109375" style="213" customWidth="1"/>
    <col min="7" max="7" width="13.42578125" style="213" customWidth="1"/>
    <col min="8" max="8" width="14.7109375" style="213" customWidth="1"/>
    <col min="9" max="9" width="14.85546875" style="213" customWidth="1"/>
    <col min="10" max="10" width="17.42578125" style="293" customWidth="1"/>
    <col min="11" max="11" width="18.7109375" style="293" bestFit="1" customWidth="1"/>
    <col min="12" max="12" width="14.42578125" style="213" bestFit="1" customWidth="1"/>
    <col min="13" max="13" width="15.140625" style="213" bestFit="1" customWidth="1"/>
    <col min="14" max="14" width="9.140625" style="293"/>
    <col min="15" max="15" width="13.140625" style="213" customWidth="1"/>
    <col min="16" max="16" width="11.5703125" style="213" customWidth="1"/>
    <col min="17" max="17" width="16.85546875" style="213" hidden="1" customWidth="1"/>
    <col min="18" max="18" width="13.42578125" style="213" customWidth="1"/>
    <col min="19" max="19" width="14.42578125" style="213" customWidth="1"/>
    <col min="20" max="20" width="11.7109375" style="213" customWidth="1"/>
    <col min="21" max="21" width="12.7109375" style="213" customWidth="1"/>
    <col min="22" max="22" width="13.7109375" style="213" customWidth="1"/>
    <col min="23" max="23" width="11" style="213" customWidth="1"/>
    <col min="24" max="24" width="13.85546875" style="213" customWidth="1"/>
    <col min="25" max="25" width="14.85546875" style="213" customWidth="1"/>
    <col min="26" max="26" width="12.140625" style="213" customWidth="1"/>
    <col min="27" max="27" width="20.42578125" style="213" customWidth="1"/>
    <col min="28" max="28" width="21.42578125" style="213" customWidth="1"/>
    <col min="29" max="29" width="18.28515625" style="213" customWidth="1"/>
    <col min="30" max="16384" width="9.140625" style="213"/>
  </cols>
  <sheetData>
    <row r="1" spans="1:29" ht="28.5" customHeight="1" x14ac:dyDescent="0.25">
      <c r="A1" s="226" t="s">
        <v>33</v>
      </c>
      <c r="B1" s="227" t="s">
        <v>34</v>
      </c>
      <c r="C1" s="227" t="s">
        <v>35</v>
      </c>
      <c r="D1" s="228" t="s">
        <v>36</v>
      </c>
      <c r="E1" s="228" t="s">
        <v>37</v>
      </c>
      <c r="F1" s="229" t="s">
        <v>38</v>
      </c>
      <c r="G1" s="229" t="s">
        <v>39</v>
      </c>
      <c r="H1" s="229" t="s">
        <v>40</v>
      </c>
      <c r="I1" s="230" t="s">
        <v>48</v>
      </c>
      <c r="J1" s="230" t="s">
        <v>154</v>
      </c>
      <c r="K1" s="230" t="s">
        <v>155</v>
      </c>
      <c r="L1" s="303" t="s">
        <v>152</v>
      </c>
      <c r="M1" s="303" t="s">
        <v>153</v>
      </c>
      <c r="O1" s="252" t="s">
        <v>81</v>
      </c>
      <c r="P1" s="253" t="s">
        <v>82</v>
      </c>
      <c r="Q1" s="254" t="s">
        <v>83</v>
      </c>
      <c r="R1" s="255" t="s">
        <v>95</v>
      </c>
      <c r="S1" s="256" t="s">
        <v>96</v>
      </c>
      <c r="T1" s="257" t="s">
        <v>97</v>
      </c>
      <c r="U1" s="255" t="s">
        <v>89</v>
      </c>
      <c r="V1" s="256" t="s">
        <v>90</v>
      </c>
      <c r="W1" s="257" t="s">
        <v>91</v>
      </c>
      <c r="X1" s="255" t="s">
        <v>113</v>
      </c>
      <c r="Y1" s="256" t="s">
        <v>92</v>
      </c>
      <c r="Z1" s="257" t="s">
        <v>93</v>
      </c>
      <c r="AA1" s="255" t="s">
        <v>98</v>
      </c>
      <c r="AB1" s="256" t="s">
        <v>99</v>
      </c>
      <c r="AC1" s="257" t="s">
        <v>100</v>
      </c>
    </row>
    <row r="2" spans="1:29" x14ac:dyDescent="0.25">
      <c r="A2" s="213" t="s">
        <v>169</v>
      </c>
      <c r="B2" s="213">
        <f>COUNTIF('All Time'!$B$2:B15947,Tabel11[[#This Row],[Player ]])</f>
        <v>112</v>
      </c>
      <c r="C2" s="213">
        <f>COUNTIF('All Time'!$C$2:C15947,Tabel11[[#This Row],[Player ]])</f>
        <v>225</v>
      </c>
      <c r="D2" s="213">
        <f>COUNTIF('All Time'!$D$2:D15947,Tabel11[[#This Row],[Player ]])</f>
        <v>89</v>
      </c>
      <c r="E2" s="213">
        <f>COUNTIF('All Time'!$E$2:E15947,Tabel11[[#This Row],[Player ]])</f>
        <v>136</v>
      </c>
      <c r="F2" s="213">
        <f>SUM(B2:E2)</f>
        <v>562</v>
      </c>
      <c r="G2" s="213">
        <f>COUNTIF('All Time'!$I$2:$J$15946,Tabel11[[#This Row],[Player ]])</f>
        <v>375</v>
      </c>
      <c r="H2" s="213">
        <f t="shared" ref="H2:H14" si="0">F2-G2</f>
        <v>187</v>
      </c>
      <c r="I2" s="199">
        <f>IF(F2=0,"Geen info",G2/F2)</f>
        <v>0.66725978647686834</v>
      </c>
      <c r="J2" s="283">
        <f>COUNTIF(Tabel3[Winnaar 1],Tabel11[[#This Row],[Player ]])</f>
        <v>123</v>
      </c>
      <c r="K2" s="283">
        <f>COUNTIF(Tabel3[Winnaar 2],Tabel11[[#This Row],[Player ]])</f>
        <v>252</v>
      </c>
      <c r="L2" s="304">
        <f>IF(Tabel11[[#This Row],[Wins def]]/(Tabel11[[#This Row],[Aantal rood verdediger]]+Tabel11[[#This Row],[Aantal groen verdediger]])=1,0.5,Tabel11[[#This Row],[Wins def]]/(Tabel11[[#This Row],[Aantal rood verdediger]]+Tabel11[[#This Row],[Aantal groen verdediger]]))</f>
        <v>0.61194029850746268</v>
      </c>
      <c r="M2" s="304">
        <f>Tabel11[[#This Row],[Wins aanv]]/IF((Tabel11[[#This Row],[Aantal rood aanvaller]]+Tabel11[[#This Row],[Aantal groen aanvaller]])=0,10000000000000,(Tabel11[[#This Row],[Aantal rood aanvaller]]+Tabel11[[#This Row],[Aantal groen aanvaller]]))</f>
        <v>0.69806094182825484</v>
      </c>
      <c r="O2" s="251" t="s">
        <v>158</v>
      </c>
      <c r="P2" s="233" t="s">
        <v>159</v>
      </c>
      <c r="Q2" s="234" t="str">
        <f t="shared" ref="Q2:Q33" si="1">O2&amp;P2</f>
        <v>Arno*Jonas*</v>
      </c>
      <c r="R2" s="235">
        <f>IF(Tabel12[[#This Row],[Aantal Games Rood]]=0,0,(Tabel12[[#This Row],[Wins Rood]])/Tabel12[[#This Row],[Aantal Games Rood]])</f>
        <v>0</v>
      </c>
      <c r="S2" s="236">
        <f>IF(Tabel12[[#This Row],[Aantal Games Groen]]=0,0,(Tabel12[[#This Row],[Wins Groen]])/Tabel12[[#This Row],[Aantal Games Groen]])</f>
        <v>1</v>
      </c>
      <c r="T2" s="242">
        <f>IF(Tabel12[[#This Row],[Aantal games Alg]]=0,0,(Tabel12[[#This Row],[Wins Alg]])/Tabel12[[#This Row],[Aantal games Alg]])</f>
        <v>1</v>
      </c>
      <c r="U2" s="238">
        <f>COUNTIF(Tabel3[Winaar rood],Tabel12[[#This Row],[Team]])</f>
        <v>0</v>
      </c>
      <c r="V2" s="239">
        <f>COUNTIF(Tabel3[Winnaar Groen],Tabel12[[#This Row],[Team]])</f>
        <v>1</v>
      </c>
      <c r="W2" s="223">
        <f>COUNTIF(Tabel3[Winnaars],Tabel12[[#This Row],[Team]])</f>
        <v>1</v>
      </c>
      <c r="X2" s="240">
        <f>Tabel12[[#This Row],[Aantal Games Rood]]-Tabel5[[#This Row],[Wins Rood]]</f>
        <v>0</v>
      </c>
      <c r="Y2" s="239">
        <f>Tabel12[[#This Row],[Aantal Games Groen]]-Tabel5[[#This Row],[Wins Groen]]</f>
        <v>1</v>
      </c>
      <c r="Z2" s="243">
        <f>Tabel12[[#This Row],[Aantal games Alg]]-Tabel5[[#This Row],[Wins Alg]]</f>
        <v>1</v>
      </c>
      <c r="AA2" s="238">
        <f>COUNTIF(Tabel3[Team Rood],Tabel12[[#This Row],[Team]])</f>
        <v>0</v>
      </c>
      <c r="AB2" s="239">
        <f>COUNTIF(Tabel3[Team Groen],Tabel12[[#This Row],[Team]])</f>
        <v>1</v>
      </c>
      <c r="AC2" s="223">
        <f>Tabel12[[#This Row],[Aantal Games Rood]]+Tabel12[[#This Row],[Aantal Games Groen]]</f>
        <v>1</v>
      </c>
    </row>
    <row r="3" spans="1:29" x14ac:dyDescent="0.25">
      <c r="A3" s="213" t="s">
        <v>157</v>
      </c>
      <c r="B3" s="213">
        <f>COUNTIF('All Time'!$B$2:B15948,Tabel11[[#This Row],[Player ]])</f>
        <v>5</v>
      </c>
      <c r="C3" s="213">
        <f>COUNTIF('All Time'!$C$2:C15948,Tabel11[[#This Row],[Player ]])</f>
        <v>5</v>
      </c>
      <c r="D3" s="213">
        <f>COUNTIF('All Time'!$D$2:D15948,Tabel11[[#This Row],[Player ]])</f>
        <v>3</v>
      </c>
      <c r="E3" s="213">
        <f>COUNTIF('All Time'!$E$2:E15948,Tabel11[[#This Row],[Player ]])</f>
        <v>10</v>
      </c>
      <c r="F3" s="213">
        <f t="shared" ref="F3:F14" si="2">SUM(B3:E3)</f>
        <v>23</v>
      </c>
      <c r="G3" s="213">
        <f>COUNTIF('All Time'!$I$2:$J$15946,Tabel11[[#This Row],[Player ]])</f>
        <v>15</v>
      </c>
      <c r="H3" s="213">
        <f t="shared" si="0"/>
        <v>8</v>
      </c>
      <c r="I3" s="199">
        <f>IF(F3 &lt; 15, 0, IF(F3=0,"Geen info",G3/F3))</f>
        <v>0.65217391304347827</v>
      </c>
      <c r="J3" s="283">
        <f>COUNTIF(Tabel3[Winnaar 1],Tabel11[[#This Row],[Player ]])</f>
        <v>3</v>
      </c>
      <c r="K3" s="283">
        <f>COUNTIF(Tabel3[Winnaar 2],Tabel11[[#This Row],[Player ]])</f>
        <v>12</v>
      </c>
      <c r="L3" s="304">
        <f>IF(Tabel11[[#This Row],[Wins def]]/(Tabel11[[#This Row],[Aantal rood verdediger]]+Tabel11[[#This Row],[Aantal groen verdediger]])=1,0.5,Tabel11[[#This Row],[Wins def]]/(Tabel11[[#This Row],[Aantal rood verdediger]]+Tabel11[[#This Row],[Aantal groen verdediger]]))</f>
        <v>0.375</v>
      </c>
      <c r="M3" s="304">
        <f>Tabel11[[#This Row],[Wins aanv]]/IF((Tabel11[[#This Row],[Aantal rood aanvaller]]+Tabel11[[#This Row],[Aantal groen aanvaller]])=0,10000000000000,(Tabel11[[#This Row],[Aantal rood aanvaller]]+Tabel11[[#This Row],[Aantal groen aanvaller]]))</f>
        <v>0.8</v>
      </c>
      <c r="O3" s="251" t="s">
        <v>163</v>
      </c>
      <c r="P3" s="233" t="s">
        <v>159</v>
      </c>
      <c r="Q3" s="234" t="str">
        <f t="shared" si="1"/>
        <v>Bert*Jonas*</v>
      </c>
      <c r="R3" s="235">
        <f>IF(Tabel12[[#This Row],[Aantal Games Rood]]=0,0,(Tabel12[[#This Row],[Wins Rood]])/Tabel12[[#This Row],[Aantal Games Rood]])</f>
        <v>1</v>
      </c>
      <c r="S3" s="236">
        <f>IF(Tabel12[[#This Row],[Aantal Games Groen]]=0,0,(Tabel12[[#This Row],[Wins Groen]])/Tabel12[[#This Row],[Aantal Games Groen]])</f>
        <v>0</v>
      </c>
      <c r="T3" s="242">
        <f>IF(Tabel12[[#This Row],[Aantal games Alg]]=0,0,(Tabel12[[#This Row],[Wins Alg]])/Tabel12[[#This Row],[Aantal games Alg]])</f>
        <v>1</v>
      </c>
      <c r="U3" s="238">
        <f>COUNTIF(Tabel3[Winaar rood],Tabel12[[#This Row],[Team]])</f>
        <v>2</v>
      </c>
      <c r="V3" s="239">
        <f>COUNTIF(Tabel3[Winnaar Groen],Tabel12[[#This Row],[Team]])</f>
        <v>0</v>
      </c>
      <c r="W3" s="223">
        <f>COUNTIF(Tabel3[Winnaars],Tabel12[[#This Row],[Team]])</f>
        <v>2</v>
      </c>
      <c r="X3" s="240">
        <f>Tabel12[[#This Row],[Aantal Games Rood]]-Tabel5[[#This Row],[Wins Rood]]</f>
        <v>2</v>
      </c>
      <c r="Y3" s="239">
        <f>Tabel12[[#This Row],[Aantal Games Groen]]-Tabel5[[#This Row],[Wins Groen]]</f>
        <v>0</v>
      </c>
      <c r="Z3" s="243">
        <f>Tabel12[[#This Row],[Aantal games Alg]]-Tabel5[[#This Row],[Wins Alg]]</f>
        <v>2</v>
      </c>
      <c r="AA3" s="238">
        <f>COUNTIF(Tabel3[Team Rood],Tabel12[[#This Row],[Team]])</f>
        <v>2</v>
      </c>
      <c r="AB3" s="239">
        <f>COUNTIF(Tabel3[Team Groen],Tabel12[[#This Row],[Team]])</f>
        <v>0</v>
      </c>
      <c r="AC3" s="223">
        <f>Tabel12[[#This Row],[Aantal Games Rood]]+Tabel12[[#This Row],[Aantal Games Groen]]</f>
        <v>2</v>
      </c>
    </row>
    <row r="4" spans="1:29" x14ac:dyDescent="0.25">
      <c r="A4" s="213" t="s">
        <v>158</v>
      </c>
      <c r="B4" s="213">
        <f>COUNTIF('All Time'!$B$2:B15949,Tabel11[[#This Row],[Player ]])</f>
        <v>11</v>
      </c>
      <c r="C4" s="213">
        <f>COUNTIF('All Time'!$C$2:C15949,Tabel11[[#This Row],[Player ]])</f>
        <v>9</v>
      </c>
      <c r="D4" s="213">
        <f>COUNTIF('All Time'!$D$2:D15949,Tabel11[[#This Row],[Player ]])</f>
        <v>5</v>
      </c>
      <c r="E4" s="213">
        <f>COUNTIF('All Time'!$E$2:E15949,Tabel11[[#This Row],[Player ]])</f>
        <v>10</v>
      </c>
      <c r="F4" s="213">
        <f t="shared" si="2"/>
        <v>35</v>
      </c>
      <c r="G4" s="213">
        <f>COUNTIF('All Time'!$I$2:$J$15946,Tabel11[[#This Row],[Player ]])</f>
        <v>22</v>
      </c>
      <c r="H4" s="213">
        <f t="shared" si="0"/>
        <v>13</v>
      </c>
      <c r="I4" s="199">
        <f>IF(F4 &lt; 15, 0, IF(F4=0,"Geen info",G4/F4))</f>
        <v>0.62857142857142856</v>
      </c>
      <c r="J4" s="283">
        <f>COUNTIF(Tabel3[Winnaar 1],Tabel11[[#This Row],[Player ]])</f>
        <v>10</v>
      </c>
      <c r="K4" s="283">
        <f>COUNTIF(Tabel3[Winnaar 2],Tabel11[[#This Row],[Player ]])</f>
        <v>12</v>
      </c>
      <c r="L4" s="304">
        <f>IF(Tabel11[[#This Row],[Wins def]]/(Tabel11[[#This Row],[Aantal rood verdediger]]+Tabel11[[#This Row],[Aantal groen verdediger]])=1,0.5,Tabel11[[#This Row],[Wins def]]/(Tabel11[[#This Row],[Aantal rood verdediger]]+Tabel11[[#This Row],[Aantal groen verdediger]]))</f>
        <v>0.625</v>
      </c>
      <c r="M4" s="304">
        <f>Tabel11[[#This Row],[Wins aanv]]/IF((Tabel11[[#This Row],[Aantal rood aanvaller]]+Tabel11[[#This Row],[Aantal groen aanvaller]])=0,10000000000000,(Tabel11[[#This Row],[Aantal rood aanvaller]]+Tabel11[[#This Row],[Aantal groen aanvaller]]))</f>
        <v>0.63157894736842102</v>
      </c>
      <c r="O4" s="251" t="s">
        <v>163</v>
      </c>
      <c r="P4" s="233" t="s">
        <v>164</v>
      </c>
      <c r="Q4" s="234" t="str">
        <f t="shared" si="1"/>
        <v>Bert*Karel*</v>
      </c>
      <c r="R4" s="235">
        <f>IF(Tabel12[[#This Row],[Aantal Games Rood]]=0,0,(Tabel12[[#This Row],[Wins Rood]])/Tabel12[[#This Row],[Aantal Games Rood]])</f>
        <v>1</v>
      </c>
      <c r="S4" s="236">
        <f>IF(Tabel12[[#This Row],[Aantal Games Groen]]=0,0,(Tabel12[[#This Row],[Wins Groen]])/Tabel12[[#This Row],[Aantal Games Groen]])</f>
        <v>0</v>
      </c>
      <c r="T4" s="237">
        <f>IF(Tabel12[[#This Row],[Aantal games Alg]]=0,0,(Tabel12[[#This Row],[Wins Alg]])/Tabel12[[#This Row],[Aantal games Alg]])</f>
        <v>1</v>
      </c>
      <c r="U4" s="238">
        <f>COUNTIF(Tabel3[Winaar rood],Tabel12[[#This Row],[Team]])</f>
        <v>2</v>
      </c>
      <c r="V4" s="239">
        <f>COUNTIF(Tabel3[Winnaar Groen],Tabel12[[#This Row],[Team]])</f>
        <v>0</v>
      </c>
      <c r="W4" s="223">
        <f>COUNTIF(Tabel3[Winnaars],Tabel12[[#This Row],[Team]])</f>
        <v>2</v>
      </c>
      <c r="X4" s="240">
        <f>Tabel12[[#This Row],[Aantal Games Rood]]-Tabel5[[#This Row],[Wins Rood]]</f>
        <v>1</v>
      </c>
      <c r="Y4" s="239">
        <f>Tabel12[[#This Row],[Aantal Games Groen]]-Tabel5[[#This Row],[Wins Groen]]</f>
        <v>0</v>
      </c>
      <c r="Z4" s="241">
        <f>Tabel12[[#This Row],[Aantal games Alg]]-Tabel5[[#This Row],[Wins Alg]]</f>
        <v>1</v>
      </c>
      <c r="AA4" s="238">
        <f>COUNTIF(Tabel3[Team Rood],Tabel12[[#This Row],[Team]])</f>
        <v>2</v>
      </c>
      <c r="AB4" s="239">
        <f>COUNTIF(Tabel3[Team Groen],Tabel12[[#This Row],[Team]])</f>
        <v>0</v>
      </c>
      <c r="AC4" s="223">
        <f>Tabel12[[#This Row],[Aantal Games Rood]]+Tabel12[[#This Row],[Aantal Games Groen]]</f>
        <v>2</v>
      </c>
    </row>
    <row r="5" spans="1:29" x14ac:dyDescent="0.25">
      <c r="A5" s="213" t="s">
        <v>168</v>
      </c>
      <c r="B5" s="213">
        <f>COUNTIF('All Time'!$B$2:B15950,Tabel11[[#This Row],[Player ]])</f>
        <v>6</v>
      </c>
      <c r="C5" s="213">
        <f>COUNTIF('All Time'!$C$2:C15950,Tabel11[[#This Row],[Player ]])</f>
        <v>0</v>
      </c>
      <c r="D5" s="213">
        <f>COUNTIF('All Time'!$D$2:D15950,Tabel11[[#This Row],[Player ]])</f>
        <v>10</v>
      </c>
      <c r="E5" s="213">
        <f>COUNTIF('All Time'!$E$2:E15950,Tabel11[[#This Row],[Player ]])</f>
        <v>2</v>
      </c>
      <c r="F5" s="213">
        <f t="shared" si="2"/>
        <v>18</v>
      </c>
      <c r="G5" s="213">
        <f>COUNTIF('All Time'!$I$2:$J$15946,Tabel11[[#This Row],[Player ]])</f>
        <v>10</v>
      </c>
      <c r="H5" s="213">
        <f t="shared" si="0"/>
        <v>8</v>
      </c>
      <c r="I5" s="199">
        <f>IF(F5 &lt; 15, 0, IF(F5=0,"Geen info",G5/F5))</f>
        <v>0.55555555555555558</v>
      </c>
      <c r="J5" s="283">
        <f>COUNTIF(Tabel3[Winnaar 1],Tabel11[[#This Row],[Player ]])</f>
        <v>10</v>
      </c>
      <c r="K5" s="283">
        <f>COUNTIF(Tabel3[Winnaar 2],Tabel11[[#This Row],[Player ]])</f>
        <v>0</v>
      </c>
      <c r="L5" s="304">
        <f>IF(Tabel11[[#This Row],[Wins def]]/(Tabel11[[#This Row],[Aantal rood verdediger]]+Tabel11[[#This Row],[Aantal groen verdediger]])=1,0.5,Tabel11[[#This Row],[Wins def]]/(Tabel11[[#This Row],[Aantal rood verdediger]]+Tabel11[[#This Row],[Aantal groen verdediger]]))</f>
        <v>0.625</v>
      </c>
      <c r="M5" s="304">
        <f>Tabel11[[#This Row],[Wins aanv]]/IF((Tabel11[[#This Row],[Aantal rood aanvaller]]+Tabel11[[#This Row],[Aantal groen aanvaller]])=0,10000000000000,(Tabel11[[#This Row],[Aantal rood aanvaller]]+Tabel11[[#This Row],[Aantal groen aanvaller]]))</f>
        <v>0</v>
      </c>
      <c r="O5" s="251" t="s">
        <v>168</v>
      </c>
      <c r="P5" s="233" t="s">
        <v>163</v>
      </c>
      <c r="Q5" s="234" t="str">
        <f t="shared" si="1"/>
        <v>Coghe*Bert*</v>
      </c>
      <c r="R5" s="235">
        <f>IF(Tabel12[[#This Row],[Aantal Games Rood]]=0,0,(Tabel12[[#This Row],[Wins Rood]])/Tabel12[[#This Row],[Aantal Games Rood]])</f>
        <v>0</v>
      </c>
      <c r="S5" s="236">
        <f>IF(Tabel12[[#This Row],[Aantal Games Groen]]=0,0,(Tabel12[[#This Row],[Wins Groen]])/Tabel12[[#This Row],[Aantal Games Groen]])</f>
        <v>1</v>
      </c>
      <c r="T5" s="237">
        <f>IF(Tabel12[[#This Row],[Aantal games Alg]]=0,0,(Tabel12[[#This Row],[Wins Alg]])/Tabel12[[#This Row],[Aantal games Alg]])</f>
        <v>1</v>
      </c>
      <c r="U5" s="238">
        <f>COUNTIF(Tabel3[Winaar rood],Tabel12[[#This Row],[Team]])</f>
        <v>0</v>
      </c>
      <c r="V5" s="239">
        <f>COUNTIF(Tabel3[Winnaar Groen],Tabel12[[#This Row],[Team]])</f>
        <v>1</v>
      </c>
      <c r="W5" s="223">
        <f>COUNTIF(Tabel3[Winnaars],Tabel12[[#This Row],[Team]])</f>
        <v>1</v>
      </c>
      <c r="X5" s="245">
        <f>Tabel12[[#This Row],[Aantal Games Rood]]-Tabel5[[#This Row],[Wins Rood]]</f>
        <v>0</v>
      </c>
      <c r="Y5" s="244">
        <f>Tabel12[[#This Row],[Aantal Games Groen]]-Tabel5[[#This Row],[Wins Groen]]</f>
        <v>1</v>
      </c>
      <c r="Z5" s="247">
        <f>Tabel12[[#This Row],[Aantal games Alg]]-Tabel5[[#This Row],[Wins Alg]]</f>
        <v>1</v>
      </c>
      <c r="AA5" s="238">
        <f>COUNTIF(Tabel3[Team Rood],Tabel12[[#This Row],[Team]])</f>
        <v>0</v>
      </c>
      <c r="AB5" s="239">
        <f>COUNTIF(Tabel3[Team Groen],Tabel12[[#This Row],[Team]])</f>
        <v>1</v>
      </c>
      <c r="AC5" s="223">
        <f>Tabel12[[#This Row],[Aantal Games Rood]]+Tabel12[[#This Row],[Aantal Games Groen]]</f>
        <v>1</v>
      </c>
    </row>
    <row r="6" spans="1:29" x14ac:dyDescent="0.25">
      <c r="A6" s="213" t="s">
        <v>163</v>
      </c>
      <c r="B6" s="213">
        <f>COUNTIF('All Time'!$B$2:B15952,Tabel11[[#This Row],[Player ]])</f>
        <v>15</v>
      </c>
      <c r="C6" s="213">
        <f>COUNTIF('All Time'!$C$2:C15952,Tabel11[[#This Row],[Player ]])</f>
        <v>52</v>
      </c>
      <c r="D6" s="213">
        <f>COUNTIF('All Time'!$D$2:D15952,Tabel11[[#This Row],[Player ]])</f>
        <v>14</v>
      </c>
      <c r="E6" s="213">
        <f>COUNTIF('All Time'!$E$2:E15952,Tabel11[[#This Row],[Player ]])</f>
        <v>62</v>
      </c>
      <c r="F6" s="213">
        <f t="shared" si="2"/>
        <v>143</v>
      </c>
      <c r="G6" s="213">
        <f>COUNTIF('All Time'!$I$2:$J$15946,Tabel11[[#This Row],[Player ]])</f>
        <v>79</v>
      </c>
      <c r="H6" s="213">
        <f t="shared" si="0"/>
        <v>64</v>
      </c>
      <c r="I6" s="199">
        <f t="shared" ref="I6:I11" si="3">IF(F6=0,"Geen info",G6/F6)</f>
        <v>0.55244755244755239</v>
      </c>
      <c r="J6" s="283">
        <f>COUNTIF(Tabel3[Winnaar 1],Tabel11[[#This Row],[Player ]])</f>
        <v>16</v>
      </c>
      <c r="K6" s="283">
        <f>COUNTIF(Tabel3[Winnaar 2],Tabel11[[#This Row],[Player ]])</f>
        <v>63</v>
      </c>
      <c r="L6" s="304">
        <f>IF(Tabel11[[#This Row],[Wins def]]/(Tabel11[[#This Row],[Aantal rood verdediger]]+Tabel11[[#This Row],[Aantal groen verdediger]])=1,0.5,Tabel11[[#This Row],[Wins def]]/(Tabel11[[#This Row],[Aantal rood verdediger]]+Tabel11[[#This Row],[Aantal groen verdediger]]))</f>
        <v>0.55172413793103448</v>
      </c>
      <c r="M6" s="304">
        <f>Tabel11[[#This Row],[Wins aanv]]/IF((Tabel11[[#This Row],[Aantal rood aanvaller]]+Tabel11[[#This Row],[Aantal groen aanvaller]])=0,10000000000000,(Tabel11[[#This Row],[Aantal rood aanvaller]]+Tabel11[[#This Row],[Aantal groen aanvaller]]))</f>
        <v>0.55263157894736847</v>
      </c>
      <c r="O6" s="251" t="s">
        <v>168</v>
      </c>
      <c r="P6" s="233" t="s">
        <v>159</v>
      </c>
      <c r="Q6" s="234" t="str">
        <f t="shared" si="1"/>
        <v>Coghe*Jonas*</v>
      </c>
      <c r="R6" s="235">
        <f>IF(Tabel12[[#This Row],[Aantal Games Rood]]=0,0,(Tabel12[[#This Row],[Wins Rood]])/Tabel12[[#This Row],[Aantal Games Rood]])</f>
        <v>1</v>
      </c>
      <c r="S6" s="236">
        <f>IF(Tabel12[[#This Row],[Aantal Games Groen]]=0,0,(Tabel12[[#This Row],[Wins Groen]])/Tabel12[[#This Row],[Aantal Games Groen]])</f>
        <v>1</v>
      </c>
      <c r="T6" s="242">
        <f>IF(Tabel12[[#This Row],[Aantal games Alg]]=0,0,(Tabel12[[#This Row],[Wins Alg]])/Tabel12[[#This Row],[Aantal games Alg]])</f>
        <v>1</v>
      </c>
      <c r="U6" s="238">
        <f>COUNTIF(Tabel3[Winaar rood],Tabel12[[#This Row],[Team]])</f>
        <v>1</v>
      </c>
      <c r="V6" s="239">
        <f>COUNTIF(Tabel3[Winnaar Groen],Tabel12[[#This Row],[Team]])</f>
        <v>1</v>
      </c>
      <c r="W6" s="223">
        <f>COUNTIF(Tabel3[Winnaars],Tabel12[[#This Row],[Team]])</f>
        <v>2</v>
      </c>
      <c r="X6" s="245">
        <f>Tabel12[[#This Row],[Aantal Games Rood]]-Tabel5[[#This Row],[Wins Rood]]</f>
        <v>1</v>
      </c>
      <c r="Y6" s="244">
        <f>Tabel12[[#This Row],[Aantal Games Groen]]-Tabel5[[#This Row],[Wins Groen]]</f>
        <v>1</v>
      </c>
      <c r="Z6" s="246">
        <f>Tabel12[[#This Row],[Aantal games Alg]]-Tabel5[[#This Row],[Wins Alg]]</f>
        <v>2</v>
      </c>
      <c r="AA6" s="238">
        <f>COUNTIF(Tabel3[Team Rood],Tabel12[[#This Row],[Team]])</f>
        <v>1</v>
      </c>
      <c r="AB6" s="239">
        <f>COUNTIF(Tabel3[Team Groen],Tabel12[[#This Row],[Team]])</f>
        <v>1</v>
      </c>
      <c r="AC6" s="223">
        <f>Tabel12[[#This Row],[Aantal Games Rood]]+Tabel12[[#This Row],[Aantal Games Groen]]</f>
        <v>2</v>
      </c>
    </row>
    <row r="7" spans="1:29" x14ac:dyDescent="0.25">
      <c r="A7" s="213" t="s">
        <v>164</v>
      </c>
      <c r="B7" s="213">
        <f>COUNTIF('All Time'!$B$2:B15951,Tabel11[[#This Row],[Player ]])</f>
        <v>86</v>
      </c>
      <c r="C7" s="213">
        <f>COUNTIF('All Time'!$C$2:C15951,Tabel11[[#This Row],[Player ]])</f>
        <v>85</v>
      </c>
      <c r="D7" s="213">
        <f>COUNTIF('All Time'!$D$2:D15951,Tabel11[[#This Row],[Player ]])</f>
        <v>94</v>
      </c>
      <c r="E7" s="213">
        <f>COUNTIF('All Time'!$E$2:E15951,Tabel11[[#This Row],[Player ]])</f>
        <v>102</v>
      </c>
      <c r="F7" s="213">
        <f t="shared" si="2"/>
        <v>367</v>
      </c>
      <c r="G7" s="213">
        <f>COUNTIF('All Time'!$I$2:$J$15946,Tabel11[[#This Row],[Player ]])</f>
        <v>200</v>
      </c>
      <c r="H7" s="213">
        <f t="shared" si="0"/>
        <v>167</v>
      </c>
      <c r="I7" s="199">
        <f t="shared" si="3"/>
        <v>0.54495912806539515</v>
      </c>
      <c r="J7" s="283">
        <f>COUNTIF(Tabel3[Winnaar 1],Tabel11[[#This Row],[Player ]])</f>
        <v>91</v>
      </c>
      <c r="K7" s="283">
        <f>COUNTIF(Tabel3[Winnaar 2],Tabel11[[#This Row],[Player ]])</f>
        <v>109</v>
      </c>
      <c r="L7" s="304">
        <f>IF(Tabel11[[#This Row],[Wins def]]/(Tabel11[[#This Row],[Aantal rood verdediger]]+Tabel11[[#This Row],[Aantal groen verdediger]])=1,0.5,Tabel11[[#This Row],[Wins def]]/(Tabel11[[#This Row],[Aantal rood verdediger]]+Tabel11[[#This Row],[Aantal groen verdediger]]))</f>
        <v>0.50555555555555554</v>
      </c>
      <c r="M7" s="304">
        <f>Tabel11[[#This Row],[Wins aanv]]/IF((Tabel11[[#This Row],[Aantal rood aanvaller]]+Tabel11[[#This Row],[Aantal groen aanvaller]])=0,10000000000000,(Tabel11[[#This Row],[Aantal rood aanvaller]]+Tabel11[[#This Row],[Aantal groen aanvaller]]))</f>
        <v>0.58288770053475936</v>
      </c>
      <c r="O7" s="251" t="s">
        <v>168</v>
      </c>
      <c r="P7" s="233" t="s">
        <v>169</v>
      </c>
      <c r="Q7" s="234" t="str">
        <f t="shared" si="1"/>
        <v>Coghe*Stef*</v>
      </c>
      <c r="R7" s="235">
        <f>IF(Tabel12[[#This Row],[Aantal Games Rood]]=0,0,(Tabel12[[#This Row],[Wins Rood]])/Tabel12[[#This Row],[Aantal Games Rood]])</f>
        <v>1</v>
      </c>
      <c r="S7" s="236">
        <f>IF(Tabel12[[#This Row],[Aantal Games Groen]]=0,0,(Tabel12[[#This Row],[Wins Groen]])/Tabel12[[#This Row],[Aantal Games Groen]])</f>
        <v>1</v>
      </c>
      <c r="T7" s="242">
        <f>IF(Tabel12[[#This Row],[Aantal games Alg]]=0,0,(Tabel12[[#This Row],[Wins Alg]])/Tabel12[[#This Row],[Aantal games Alg]])</f>
        <v>1</v>
      </c>
      <c r="U7" s="238">
        <f>COUNTIF(Tabel3[Winaar rood],Tabel12[[#This Row],[Team]])</f>
        <v>2</v>
      </c>
      <c r="V7" s="239">
        <f>COUNTIF(Tabel3[Winnaar Groen],Tabel12[[#This Row],[Team]])</f>
        <v>1</v>
      </c>
      <c r="W7" s="223">
        <f>COUNTIF(Tabel3[Winnaars],Tabel12[[#This Row],[Team]])</f>
        <v>3</v>
      </c>
      <c r="X7" s="245">
        <f>Tabel12[[#This Row],[Aantal Games Rood]]-Tabel5[[#This Row],[Wins Rood]]</f>
        <v>2</v>
      </c>
      <c r="Y7" s="244">
        <f>Tabel12[[#This Row],[Aantal Games Groen]]-Tabel5[[#This Row],[Wins Groen]]</f>
        <v>1</v>
      </c>
      <c r="Z7" s="246">
        <f>Tabel12[[#This Row],[Aantal games Alg]]-Tabel5[[#This Row],[Wins Alg]]</f>
        <v>3</v>
      </c>
      <c r="AA7" s="238">
        <f>COUNTIF(Tabel3[Team Rood],Tabel12[[#This Row],[Team]])</f>
        <v>2</v>
      </c>
      <c r="AB7" s="239">
        <f>COUNTIF(Tabel3[Team Groen],Tabel12[[#This Row],[Team]])</f>
        <v>1</v>
      </c>
      <c r="AC7" s="223">
        <f>Tabel12[[#This Row],[Aantal Games Rood]]+Tabel12[[#This Row],[Aantal Games Groen]]</f>
        <v>3</v>
      </c>
    </row>
    <row r="8" spans="1:29" x14ac:dyDescent="0.25">
      <c r="A8" s="213" t="s">
        <v>160</v>
      </c>
      <c r="B8" s="213">
        <f>COUNTIF('All Time'!$B$2:B15953,Tabel11[[#This Row],[Player ]])</f>
        <v>50</v>
      </c>
      <c r="C8" s="213">
        <f>COUNTIF('All Time'!$C$2:C15953,Tabel11[[#This Row],[Player ]])</f>
        <v>66</v>
      </c>
      <c r="D8" s="213">
        <f>COUNTIF('All Time'!$D$2:D15953,Tabel11[[#This Row],[Player ]])</f>
        <v>57</v>
      </c>
      <c r="E8" s="213">
        <f>COUNTIF('All Time'!$E$2:E15953,Tabel11[[#This Row],[Player ]])</f>
        <v>90</v>
      </c>
      <c r="F8" s="213">
        <f t="shared" si="2"/>
        <v>263</v>
      </c>
      <c r="G8" s="213">
        <f>COUNTIF('All Time'!$I$2:$J$15946,Tabel11[[#This Row],[Player ]])</f>
        <v>138</v>
      </c>
      <c r="H8" s="213">
        <f t="shared" si="0"/>
        <v>125</v>
      </c>
      <c r="I8" s="199">
        <f t="shared" si="3"/>
        <v>0.52471482889733845</v>
      </c>
      <c r="J8" s="283">
        <f>COUNTIF(Tabel3[Winnaar 1],Tabel11[[#This Row],[Player ]])</f>
        <v>57</v>
      </c>
      <c r="K8" s="283">
        <f>COUNTIF(Tabel3[Winnaar 2],Tabel11[[#This Row],[Player ]])</f>
        <v>81</v>
      </c>
      <c r="L8" s="304">
        <f>IF(Tabel11[[#This Row],[Wins def]]/(Tabel11[[#This Row],[Aantal rood verdediger]]+Tabel11[[#This Row],[Aantal groen verdediger]])=1,0.5,Tabel11[[#This Row],[Wins def]]/(Tabel11[[#This Row],[Aantal rood verdediger]]+Tabel11[[#This Row],[Aantal groen verdediger]]))</f>
        <v>0.53271028037383172</v>
      </c>
      <c r="M8" s="304">
        <f>Tabel11[[#This Row],[Wins aanv]]/IF((Tabel11[[#This Row],[Aantal rood aanvaller]]+Tabel11[[#This Row],[Aantal groen aanvaller]])=0,10000000000000,(Tabel11[[#This Row],[Aantal rood aanvaller]]+Tabel11[[#This Row],[Aantal groen aanvaller]]))</f>
        <v>0.51923076923076927</v>
      </c>
      <c r="O8" s="251" t="s">
        <v>159</v>
      </c>
      <c r="P8" s="233" t="s">
        <v>157</v>
      </c>
      <c r="Q8" s="234" t="str">
        <f t="shared" si="1"/>
        <v>Jonas*Tobi*</v>
      </c>
      <c r="R8" s="235">
        <f>IF(Tabel12[[#This Row],[Aantal Games Rood]]=0,0,(Tabel12[[#This Row],[Wins Rood]])/Tabel12[[#This Row],[Aantal Games Rood]])</f>
        <v>1</v>
      </c>
      <c r="S8" s="236">
        <f>IF(Tabel12[[#This Row],[Aantal Games Groen]]=0,0,(Tabel12[[#This Row],[Wins Groen]])/Tabel12[[#This Row],[Aantal Games Groen]])</f>
        <v>1</v>
      </c>
      <c r="T8" s="242">
        <f>IF(Tabel12[[#This Row],[Aantal games Alg]]=0,0,(Tabel12[[#This Row],[Wins Alg]])/Tabel12[[#This Row],[Aantal games Alg]])</f>
        <v>1</v>
      </c>
      <c r="U8" s="238">
        <f>COUNTIF(Tabel3[Winaar rood],Tabel12[[#This Row],[Team]])</f>
        <v>2</v>
      </c>
      <c r="V8" s="239">
        <f>COUNTIF(Tabel3[Winnaar Groen],Tabel12[[#This Row],[Team]])</f>
        <v>1</v>
      </c>
      <c r="W8" s="223">
        <f>COUNTIF(Tabel3[Winnaars],Tabel12[[#This Row],[Team]])</f>
        <v>3</v>
      </c>
      <c r="X8" s="240">
        <f>Tabel12[[#This Row],[Aantal Games Rood]]-Tabel5[[#This Row],[Wins Rood]]</f>
        <v>2</v>
      </c>
      <c r="Y8" s="239">
        <f>Tabel12[[#This Row],[Aantal Games Groen]]-Tabel5[[#This Row],[Wins Groen]]</f>
        <v>1</v>
      </c>
      <c r="Z8" s="243">
        <f>Tabel12[[#This Row],[Aantal games Alg]]-Tabel5[[#This Row],[Wins Alg]]</f>
        <v>3</v>
      </c>
      <c r="AA8" s="238">
        <f>COUNTIF(Tabel3[Team Rood],Tabel12[[#This Row],[Team]])</f>
        <v>2</v>
      </c>
      <c r="AB8" s="239">
        <f>COUNTIF(Tabel3[Team Groen],Tabel12[[#This Row],[Team]])</f>
        <v>1</v>
      </c>
      <c r="AC8" s="223">
        <f>Tabel12[[#This Row],[Aantal Games Rood]]+Tabel12[[#This Row],[Aantal Games Groen]]</f>
        <v>3</v>
      </c>
    </row>
    <row r="9" spans="1:29" x14ac:dyDescent="0.25">
      <c r="A9" s="213" t="s">
        <v>159</v>
      </c>
      <c r="B9" s="213">
        <f>COUNTIF('All Time'!$B$2:B15954,Tabel11[[#This Row],[Player ]])</f>
        <v>124</v>
      </c>
      <c r="C9" s="213">
        <f>COUNTIF('All Time'!$C$2:C15954,Tabel11[[#This Row],[Player ]])</f>
        <v>58</v>
      </c>
      <c r="D9" s="213">
        <f>COUNTIF('All Time'!$D$2:D15954,Tabel11[[#This Row],[Player ]])</f>
        <v>135</v>
      </c>
      <c r="E9" s="213">
        <f>COUNTIF('All Time'!$E$2:E15954,Tabel11[[#This Row],[Player ]])</f>
        <v>81</v>
      </c>
      <c r="F9" s="213">
        <f t="shared" si="2"/>
        <v>398</v>
      </c>
      <c r="G9" s="213">
        <f>COUNTIF('All Time'!$I$2:$J$15946,Tabel11[[#This Row],[Player ]])</f>
        <v>207</v>
      </c>
      <c r="H9" s="213">
        <f t="shared" si="0"/>
        <v>191</v>
      </c>
      <c r="I9" s="199">
        <f t="shared" si="3"/>
        <v>0.52010050251256279</v>
      </c>
      <c r="J9" s="283">
        <f>COUNTIF(Tabel3[Winnaar 1],Tabel11[[#This Row],[Player ]])</f>
        <v>149</v>
      </c>
      <c r="K9" s="283">
        <f>COUNTIF(Tabel3[Winnaar 2],Tabel11[[#This Row],[Player ]])</f>
        <v>58</v>
      </c>
      <c r="L9" s="304">
        <f>IF(Tabel11[[#This Row],[Wins def]]/(Tabel11[[#This Row],[Aantal rood verdediger]]+Tabel11[[#This Row],[Aantal groen verdediger]])=1,0.5,Tabel11[[#This Row],[Wins def]]/(Tabel11[[#This Row],[Aantal rood verdediger]]+Tabel11[[#This Row],[Aantal groen verdediger]]))</f>
        <v>0.57528957528957525</v>
      </c>
      <c r="M9" s="304">
        <f>Tabel11[[#This Row],[Wins aanv]]/IF((Tabel11[[#This Row],[Aantal rood aanvaller]]+Tabel11[[#This Row],[Aantal groen aanvaller]])=0,10000000000000,(Tabel11[[#This Row],[Aantal rood aanvaller]]+Tabel11[[#This Row],[Aantal groen aanvaller]]))</f>
        <v>0.41726618705035973</v>
      </c>
      <c r="O9" s="251" t="s">
        <v>161</v>
      </c>
      <c r="P9" s="233" t="s">
        <v>158</v>
      </c>
      <c r="Q9" s="234" t="str">
        <f t="shared" si="1"/>
        <v>Louis*Arno*</v>
      </c>
      <c r="R9" s="235">
        <f>IF(Tabel12[[#This Row],[Aantal Games Rood]]=0,0,(Tabel12[[#This Row],[Wins Rood]])/Tabel12[[#This Row],[Aantal Games Rood]])</f>
        <v>1</v>
      </c>
      <c r="S9" s="236">
        <f>IF(Tabel12[[#This Row],[Aantal Games Groen]]=0,0,(Tabel12[[#This Row],[Wins Groen]])/Tabel12[[#This Row],[Aantal Games Groen]])</f>
        <v>1</v>
      </c>
      <c r="T9" s="237">
        <f>IF(Tabel12[[#This Row],[Aantal games Alg]]=0,0,(Tabel12[[#This Row],[Wins Alg]])/Tabel12[[#This Row],[Aantal games Alg]])</f>
        <v>1</v>
      </c>
      <c r="U9" s="238">
        <f>COUNTIF(Tabel3[Winaar rood],Tabel12[[#This Row],[Team]])</f>
        <v>1</v>
      </c>
      <c r="V9" s="239">
        <f>COUNTIF(Tabel3[Winnaar Groen],Tabel12[[#This Row],[Team]])</f>
        <v>1</v>
      </c>
      <c r="W9" s="223">
        <f>COUNTIF(Tabel3[Winnaars],Tabel12[[#This Row],[Team]])</f>
        <v>2</v>
      </c>
      <c r="X9" s="240">
        <f>Tabel12[[#This Row],[Aantal Games Rood]]-Tabel5[[#This Row],[Wins Rood]]</f>
        <v>1</v>
      </c>
      <c r="Y9" s="239">
        <f>Tabel12[[#This Row],[Aantal Games Groen]]-Tabel5[[#This Row],[Wins Groen]]</f>
        <v>1</v>
      </c>
      <c r="Z9" s="241">
        <f>Tabel12[[#This Row],[Aantal games Alg]]-Tabel5[[#This Row],[Wins Alg]]</f>
        <v>2</v>
      </c>
      <c r="AA9" s="238">
        <f>COUNTIF(Tabel3[Team Rood],Tabel12[[#This Row],[Team]])</f>
        <v>1</v>
      </c>
      <c r="AB9" s="239">
        <f>COUNTIF(Tabel3[Team Groen],Tabel12[[#This Row],[Team]])</f>
        <v>1</v>
      </c>
      <c r="AC9" s="223">
        <f>Tabel12[[#This Row],[Aantal Games Rood]]+Tabel12[[#This Row],[Aantal Games Groen]]</f>
        <v>2</v>
      </c>
    </row>
    <row r="10" spans="1:29" x14ac:dyDescent="0.25">
      <c r="A10" s="213" t="s">
        <v>161</v>
      </c>
      <c r="B10" s="213">
        <f>COUNTIF('All Time'!$B$2:B15955,Tabel11[[#This Row],[Player ]])</f>
        <v>86</v>
      </c>
      <c r="C10" s="213">
        <f>COUNTIF('All Time'!$C$2:C15955,Tabel11[[#This Row],[Player ]])</f>
        <v>40</v>
      </c>
      <c r="D10" s="213">
        <f>COUNTIF('All Time'!$D$2:D15955,Tabel11[[#This Row],[Player ]])</f>
        <v>100</v>
      </c>
      <c r="E10" s="213">
        <f>COUNTIF('All Time'!$E$2:E15955,Tabel11[[#This Row],[Player ]])</f>
        <v>57</v>
      </c>
      <c r="F10" s="213">
        <f t="shared" si="2"/>
        <v>283</v>
      </c>
      <c r="G10" s="213">
        <f>COUNTIF('All Time'!$I$2:$J$15946,Tabel11[[#This Row],[Player ]])</f>
        <v>129</v>
      </c>
      <c r="H10" s="213">
        <f t="shared" si="0"/>
        <v>154</v>
      </c>
      <c r="I10" s="199">
        <f t="shared" si="3"/>
        <v>0.45583038869257952</v>
      </c>
      <c r="J10" s="283">
        <f>COUNTIF(Tabel3[Winnaar 1],Tabel11[[#This Row],[Player ]])</f>
        <v>100</v>
      </c>
      <c r="K10" s="283">
        <f>COUNTIF(Tabel3[Winnaar 2],Tabel11[[#This Row],[Player ]])</f>
        <v>29</v>
      </c>
      <c r="L10" s="304">
        <f>IF(Tabel11[[#This Row],[Wins def]]/(Tabel11[[#This Row],[Aantal rood verdediger]]+Tabel11[[#This Row],[Aantal groen verdediger]])=1,0.5,Tabel11[[#This Row],[Wins def]]/(Tabel11[[#This Row],[Aantal rood verdediger]]+Tabel11[[#This Row],[Aantal groen verdediger]]))</f>
        <v>0.5376344086021505</v>
      </c>
      <c r="M10" s="304">
        <f>Tabel11[[#This Row],[Wins aanv]]/IF((Tabel11[[#This Row],[Aantal rood aanvaller]]+Tabel11[[#This Row],[Aantal groen aanvaller]])=0,10000000000000,(Tabel11[[#This Row],[Aantal rood aanvaller]]+Tabel11[[#This Row],[Aantal groen aanvaller]]))</f>
        <v>0.29896907216494845</v>
      </c>
      <c r="O10" s="251" t="s">
        <v>161</v>
      </c>
      <c r="P10" s="233" t="s">
        <v>67</v>
      </c>
      <c r="Q10" s="234" t="str">
        <f t="shared" si="1"/>
        <v>Louis*Lawrence</v>
      </c>
      <c r="R10" s="235">
        <f>IF(Tabel12[[#This Row],[Aantal Games Rood]]=0,0,(Tabel12[[#This Row],[Wins Rood]])/Tabel12[[#This Row],[Aantal Games Rood]])</f>
        <v>0</v>
      </c>
      <c r="S10" s="236">
        <f>IF(Tabel12[[#This Row],[Aantal Games Groen]]=0,0,(Tabel12[[#This Row],[Wins Groen]])/Tabel12[[#This Row],[Aantal Games Groen]])</f>
        <v>1</v>
      </c>
      <c r="T10" s="237">
        <f>IF(Tabel12[[#This Row],[Aantal games Alg]]=0,0,(Tabel12[[#This Row],[Wins Alg]])/Tabel12[[#This Row],[Aantal games Alg]])</f>
        <v>1</v>
      </c>
      <c r="U10" s="238">
        <f>COUNTIF(Tabel3[Winaar rood],Tabel12[[#This Row],[Team]])</f>
        <v>0</v>
      </c>
      <c r="V10" s="239">
        <f>COUNTIF(Tabel3[Winnaar Groen],Tabel12[[#This Row],[Team]])</f>
        <v>1</v>
      </c>
      <c r="W10" s="223">
        <f>COUNTIF(Tabel3[Winnaars],Tabel12[[#This Row],[Team]])</f>
        <v>1</v>
      </c>
      <c r="X10" s="240">
        <f>Tabel12[[#This Row],[Aantal Games Rood]]-Tabel5[[#This Row],[Wins Rood]]</f>
        <v>-1</v>
      </c>
      <c r="Y10" s="239">
        <f>Tabel12[[#This Row],[Aantal Games Groen]]-Tabel5[[#This Row],[Wins Groen]]</f>
        <v>1</v>
      </c>
      <c r="Z10" s="241">
        <f>Tabel12[[#This Row],[Aantal games Alg]]-Tabel5[[#This Row],[Wins Alg]]</f>
        <v>0</v>
      </c>
      <c r="AA10" s="238">
        <f>COUNTIF(Tabel3[Team Rood],Tabel12[[#This Row],[Team]])</f>
        <v>0</v>
      </c>
      <c r="AB10" s="239">
        <f>COUNTIF(Tabel3[Team Groen],Tabel12[[#This Row],[Team]])</f>
        <v>1</v>
      </c>
      <c r="AC10" s="223">
        <f>Tabel12[[#This Row],[Aantal Games Rood]]+Tabel12[[#This Row],[Aantal Games Groen]]</f>
        <v>1</v>
      </c>
    </row>
    <row r="11" spans="1:29" x14ac:dyDescent="0.25">
      <c r="A11" s="213" t="s">
        <v>162</v>
      </c>
      <c r="B11" s="213">
        <f>COUNTIF('All Time'!$B$2:B15956,Tabel11[[#This Row],[Player ]])</f>
        <v>84</v>
      </c>
      <c r="C11" s="213">
        <f>COUNTIF('All Time'!$C$2:C15956,Tabel11[[#This Row],[Player ]])</f>
        <v>62</v>
      </c>
      <c r="D11" s="213">
        <f>COUNTIF('All Time'!$D$2:D15956,Tabel11[[#This Row],[Player ]])</f>
        <v>81</v>
      </c>
      <c r="E11" s="213">
        <f>COUNTIF('All Time'!$E$2:E15956,Tabel11[[#This Row],[Player ]])</f>
        <v>46</v>
      </c>
      <c r="F11" s="213">
        <f t="shared" si="2"/>
        <v>273</v>
      </c>
      <c r="G11" s="213">
        <f>COUNTIF('All Time'!$I$2:$J$15946,Tabel11[[#This Row],[Player ]])</f>
        <v>106</v>
      </c>
      <c r="H11" s="213">
        <f t="shared" si="0"/>
        <v>167</v>
      </c>
      <c r="I11" s="199">
        <f t="shared" si="3"/>
        <v>0.38827838827838829</v>
      </c>
      <c r="J11" s="283">
        <f>COUNTIF(Tabel3[Winnaar 1],Tabel11[[#This Row],[Player ]])</f>
        <v>75</v>
      </c>
      <c r="K11" s="283">
        <f>COUNTIF(Tabel3[Winnaar 2],Tabel11[[#This Row],[Player ]])</f>
        <v>31</v>
      </c>
      <c r="L11" s="304">
        <f>IF(Tabel11[[#This Row],[Wins def]]/(Tabel11[[#This Row],[Aantal rood verdediger]]+Tabel11[[#This Row],[Aantal groen verdediger]])=1,0.5,Tabel11[[#This Row],[Wins def]]/(Tabel11[[#This Row],[Aantal rood verdediger]]+Tabel11[[#This Row],[Aantal groen verdediger]]))</f>
        <v>0.45454545454545453</v>
      </c>
      <c r="M11" s="304">
        <f>Tabel11[[#This Row],[Wins aanv]]/IF((Tabel11[[#This Row],[Aantal rood aanvaller]]+Tabel11[[#This Row],[Aantal groen aanvaller]])=0,10000000000000,(Tabel11[[#This Row],[Aantal rood aanvaller]]+Tabel11[[#This Row],[Aantal groen aanvaller]]))</f>
        <v>0.28703703703703703</v>
      </c>
      <c r="O11" s="251" t="s">
        <v>162</v>
      </c>
      <c r="P11" s="233" t="s">
        <v>157</v>
      </c>
      <c r="Q11" s="234" t="str">
        <f t="shared" si="1"/>
        <v>Matthijs*Tobi*</v>
      </c>
      <c r="R11" s="235">
        <f>IF(Tabel12[[#This Row],[Aantal Games Rood]]=0,0,(Tabel12[[#This Row],[Wins Rood]])/Tabel12[[#This Row],[Aantal Games Rood]])</f>
        <v>0</v>
      </c>
      <c r="S11" s="236">
        <f>IF(Tabel12[[#This Row],[Aantal Games Groen]]=0,0,(Tabel12[[#This Row],[Wins Groen]])/Tabel12[[#This Row],[Aantal Games Groen]])</f>
        <v>1</v>
      </c>
      <c r="T11" s="237">
        <f>IF(Tabel12[[#This Row],[Aantal games Alg]]=0,0,(Tabel12[[#This Row],[Wins Alg]])/Tabel12[[#This Row],[Aantal games Alg]])</f>
        <v>1</v>
      </c>
      <c r="U11" s="238">
        <f>COUNTIF(Tabel3[Winaar rood],Tabel12[[#This Row],[Team]])</f>
        <v>0</v>
      </c>
      <c r="V11" s="239">
        <f>COUNTIF(Tabel3[Winnaar Groen],Tabel12[[#This Row],[Team]])</f>
        <v>2</v>
      </c>
      <c r="W11" s="223">
        <f>COUNTIF(Tabel3[Winnaars],Tabel12[[#This Row],[Team]])</f>
        <v>2</v>
      </c>
      <c r="X11" s="240">
        <f>Tabel12[[#This Row],[Aantal Games Rood]]-Tabel5[[#This Row],[Wins Rood]]</f>
        <v>0</v>
      </c>
      <c r="Y11" s="239">
        <f>Tabel12[[#This Row],[Aantal Games Groen]]-Tabel5[[#This Row],[Wins Groen]]</f>
        <v>2</v>
      </c>
      <c r="Z11" s="241">
        <f>Tabel12[[#This Row],[Aantal games Alg]]-Tabel5[[#This Row],[Wins Alg]]</f>
        <v>2</v>
      </c>
      <c r="AA11" s="238">
        <f>COUNTIF(Tabel3[Team Rood],Tabel12[[#This Row],[Team]])</f>
        <v>0</v>
      </c>
      <c r="AB11" s="239">
        <f>COUNTIF(Tabel3[Team Groen],Tabel12[[#This Row],[Team]])</f>
        <v>2</v>
      </c>
      <c r="AC11" s="223">
        <f>Tabel12[[#This Row],[Aantal Games Rood]]+Tabel12[[#This Row],[Aantal Games Groen]]</f>
        <v>2</v>
      </c>
    </row>
    <row r="12" spans="1:29" x14ac:dyDescent="0.25">
      <c r="A12" s="213" t="s">
        <v>170</v>
      </c>
      <c r="B12" s="213">
        <f>COUNTIF('All Time'!$B$2:B15957,Tabel11[[#This Row],[Player ]])</f>
        <v>71</v>
      </c>
      <c r="C12" s="213">
        <f>COUNTIF('All Time'!$C$2:C15957,Tabel11[[#This Row],[Player ]])</f>
        <v>45</v>
      </c>
      <c r="D12" s="213">
        <f>COUNTIF('All Time'!$D$2:D15957,Tabel11[[#This Row],[Player ]])</f>
        <v>52</v>
      </c>
      <c r="E12" s="213">
        <f>COUNTIF('All Time'!$E$2:E15957,Tabel11[[#This Row],[Player ]])</f>
        <v>44</v>
      </c>
      <c r="F12" s="213">
        <f t="shared" si="2"/>
        <v>212</v>
      </c>
      <c r="G12" s="213">
        <f>COUNTIF('All Time'!$I$2:$J$15946,Tabel11[[#This Row],[Player ]])</f>
        <v>37</v>
      </c>
      <c r="H12" s="213">
        <f t="shared" si="0"/>
        <v>175</v>
      </c>
      <c r="I12" s="199">
        <f>IF(F12&lt;15,0,IF(F10=0,"Geen info",G12/F12))</f>
        <v>0.17452830188679244</v>
      </c>
      <c r="J12" s="283">
        <f>COUNTIF(Tabel3[Winnaar 1],Tabel11[[#This Row],[Player ]])</f>
        <v>25</v>
      </c>
      <c r="K12" s="283">
        <f>COUNTIF(Tabel3[Winnaar 2],Tabel11[[#This Row],[Player ]])</f>
        <v>12</v>
      </c>
      <c r="L12" s="304">
        <f>IF(Tabel11[[#This Row],[Wins def]]/(Tabel11[[#This Row],[Aantal rood verdediger]]+Tabel11[[#This Row],[Aantal groen verdediger]])=1,0.5,Tabel11[[#This Row],[Wins def]]/(Tabel11[[#This Row],[Aantal rood verdediger]]+Tabel11[[#This Row],[Aantal groen verdediger]]))</f>
        <v>0.2032520325203252</v>
      </c>
      <c r="M12" s="304">
        <f>Tabel11[[#This Row],[Wins aanv]]/IF((Tabel11[[#This Row],[Aantal rood aanvaller]]+Tabel11[[#This Row],[Aantal groen aanvaller]])=0,10000000000000,(Tabel11[[#This Row],[Aantal rood aanvaller]]+Tabel11[[#This Row],[Aantal groen aanvaller]]))</f>
        <v>0.1348314606741573</v>
      </c>
      <c r="O12" s="251" t="s">
        <v>170</v>
      </c>
      <c r="P12" s="233" t="s">
        <v>158</v>
      </c>
      <c r="Q12" s="234" t="str">
        <f t="shared" si="1"/>
        <v>Nico*Arno*</v>
      </c>
      <c r="R12" s="235">
        <f>IF(Tabel12[[#This Row],[Aantal Games Rood]]=0,0,(Tabel12[[#This Row],[Wins Rood]])/Tabel12[[#This Row],[Aantal Games Rood]])</f>
        <v>1</v>
      </c>
      <c r="S12" s="236">
        <f>IF(Tabel12[[#This Row],[Aantal Games Groen]]=0,0,(Tabel12[[#This Row],[Wins Groen]])/Tabel12[[#This Row],[Aantal Games Groen]])</f>
        <v>0</v>
      </c>
      <c r="T12" s="242">
        <f>IF(Tabel12[[#This Row],[Aantal games Alg]]=0,0,(Tabel12[[#This Row],[Wins Alg]])/Tabel12[[#This Row],[Aantal games Alg]])</f>
        <v>1</v>
      </c>
      <c r="U12" s="238">
        <f>COUNTIF(Tabel3[Winaar rood],Tabel12[[#This Row],[Team]])</f>
        <v>1</v>
      </c>
      <c r="V12" s="239">
        <f>COUNTIF(Tabel3[Winnaar Groen],Tabel12[[#This Row],[Team]])</f>
        <v>0</v>
      </c>
      <c r="W12" s="223">
        <f>COUNTIF(Tabel3[Winnaars],Tabel12[[#This Row],[Team]])</f>
        <v>1</v>
      </c>
      <c r="X12" s="240">
        <f>Tabel12[[#This Row],[Aantal Games Rood]]-Tabel5[[#This Row],[Wins Rood]]</f>
        <v>1</v>
      </c>
      <c r="Y12" s="239">
        <f>Tabel12[[#This Row],[Aantal Games Groen]]-Tabel5[[#This Row],[Wins Groen]]</f>
        <v>0</v>
      </c>
      <c r="Z12" s="243">
        <f>Tabel12[[#This Row],[Aantal games Alg]]-Tabel5[[#This Row],[Wins Alg]]</f>
        <v>1</v>
      </c>
      <c r="AA12" s="238">
        <f>COUNTIF(Tabel3[Team Rood],Tabel12[[#This Row],[Team]])</f>
        <v>1</v>
      </c>
      <c r="AB12" s="239">
        <f>COUNTIF(Tabel3[Team Groen],Tabel12[[#This Row],[Team]])</f>
        <v>0</v>
      </c>
      <c r="AC12" s="223">
        <f>Tabel12[[#This Row],[Aantal Games Rood]]+Tabel12[[#This Row],[Aantal Games Groen]]</f>
        <v>1</v>
      </c>
    </row>
    <row r="13" spans="1:29" x14ac:dyDescent="0.25">
      <c r="A13" s="213" t="s">
        <v>166</v>
      </c>
      <c r="B13" s="213">
        <f>COUNTIF('All Time'!$B$2:B15959,Tabel11[[#This Row],[Player ]])</f>
        <v>10</v>
      </c>
      <c r="C13" s="213">
        <f>COUNTIF('All Time'!$C$2:C15959,Tabel11[[#This Row],[Player ]])</f>
        <v>14</v>
      </c>
      <c r="D13" s="213">
        <f>COUNTIF('All Time'!$D$2:D15959,Tabel11[[#This Row],[Player ]])</f>
        <v>17</v>
      </c>
      <c r="E13" s="213">
        <f>COUNTIF('All Time'!$E$2:E15959,Tabel11[[#This Row],[Player ]])</f>
        <v>11</v>
      </c>
      <c r="F13" s="213">
        <f t="shared" si="2"/>
        <v>52</v>
      </c>
      <c r="G13" s="213">
        <f>COUNTIF('All Time'!$I$2:$J$15946,Tabel11[[#This Row],[Player ]])</f>
        <v>9</v>
      </c>
      <c r="H13" s="213">
        <f t="shared" si="0"/>
        <v>43</v>
      </c>
      <c r="I13" s="199">
        <f>IF(F13&lt;15,0,IF(F13=0,"Geen info",G13/F13))</f>
        <v>0.17307692307692307</v>
      </c>
      <c r="J13" s="283">
        <f>COUNTIF(Tabel3[Winnaar 1],Tabel11[[#This Row],[Player ]])</f>
        <v>6</v>
      </c>
      <c r="K13" s="283">
        <f>COUNTIF(Tabel3[Winnaar 2],Tabel11[[#This Row],[Player ]])</f>
        <v>3</v>
      </c>
      <c r="L13" s="304">
        <f>IF(Tabel11[[#This Row],[Wins def]]/(Tabel11[[#This Row],[Aantal rood verdediger]]+Tabel11[[#This Row],[Aantal groen verdediger]])=1,0.5,Tabel11[[#This Row],[Wins def]]/(Tabel11[[#This Row],[Aantal rood verdediger]]+Tabel11[[#This Row],[Aantal groen verdediger]]))</f>
        <v>0.22222222222222221</v>
      </c>
      <c r="M13" s="304">
        <f>Tabel11[[#This Row],[Wins aanv]]/IF((Tabel11[[#This Row],[Aantal rood aanvaller]]+Tabel11[[#This Row],[Aantal groen aanvaller]])=0,10000000000000,(Tabel11[[#This Row],[Aantal rood aanvaller]]+Tabel11[[#This Row],[Aantal groen aanvaller]]))</f>
        <v>0.12</v>
      </c>
      <c r="O13" s="251" t="s">
        <v>169</v>
      </c>
      <c r="P13" s="233" t="s">
        <v>67</v>
      </c>
      <c r="Q13" s="234" t="str">
        <f t="shared" si="1"/>
        <v>Stef*Lawrence</v>
      </c>
      <c r="R13" s="235">
        <f>IF(Tabel12[[#This Row],[Aantal Games Rood]]=0,0,(Tabel12[[#This Row],[Wins Rood]])/Tabel12[[#This Row],[Aantal Games Rood]])</f>
        <v>0</v>
      </c>
      <c r="S13" s="236">
        <f>IF(Tabel12[[#This Row],[Aantal Games Groen]]=0,0,(Tabel12[[#This Row],[Wins Groen]])/Tabel12[[#This Row],[Aantal Games Groen]])</f>
        <v>1</v>
      </c>
      <c r="T13" s="242">
        <f>IF(Tabel12[[#This Row],[Aantal games Alg]]=0,0,(Tabel12[[#This Row],[Wins Alg]])/Tabel12[[#This Row],[Aantal games Alg]])</f>
        <v>1</v>
      </c>
      <c r="U13" s="238">
        <f>COUNTIF(Tabel3[Winaar rood],Tabel12[[#This Row],[Team]])</f>
        <v>0</v>
      </c>
      <c r="V13" s="239">
        <f>COUNTIF(Tabel3[Winnaar Groen],Tabel12[[#This Row],[Team]])</f>
        <v>1</v>
      </c>
      <c r="W13" s="223">
        <f>COUNTIF(Tabel3[Winnaars],Tabel12[[#This Row],[Team]])</f>
        <v>1</v>
      </c>
      <c r="X13" s="240">
        <f>Tabel12[[#This Row],[Aantal Games Rood]]-Tabel5[[#This Row],[Wins Rood]]</f>
        <v>0</v>
      </c>
      <c r="Y13" s="239">
        <f>Tabel12[[#This Row],[Aantal Games Groen]]-Tabel5[[#This Row],[Wins Groen]]</f>
        <v>1</v>
      </c>
      <c r="Z13" s="243">
        <f>Tabel12[[#This Row],[Aantal games Alg]]-Tabel5[[#This Row],[Wins Alg]]</f>
        <v>1</v>
      </c>
      <c r="AA13" s="238">
        <f>COUNTIF(Tabel3[Team Rood],Tabel12[[#This Row],[Team]])</f>
        <v>0</v>
      </c>
      <c r="AB13" s="239">
        <f>COUNTIF(Tabel3[Team Groen],Tabel12[[#This Row],[Team]])</f>
        <v>1</v>
      </c>
      <c r="AC13" s="223">
        <f>Tabel12[[#This Row],[Aantal Games Rood]]+Tabel12[[#This Row],[Aantal Games Groen]]</f>
        <v>1</v>
      </c>
    </row>
    <row r="14" spans="1:29" x14ac:dyDescent="0.25">
      <c r="A14" s="213" t="s">
        <v>165</v>
      </c>
      <c r="B14" s="213">
        <f>COUNTIF('All Time'!$B$2:B15958,Tabel11[[#This Row],[Player ]])</f>
        <v>6</v>
      </c>
      <c r="C14" s="213">
        <f>COUNTIF('All Time'!$C$2:C15958,Tabel11[[#This Row],[Player ]])</f>
        <v>4</v>
      </c>
      <c r="D14" s="213">
        <f>COUNTIF('All Time'!$D$2:D15958,Tabel11[[#This Row],[Player ]])</f>
        <v>5</v>
      </c>
      <c r="E14" s="213">
        <f>COUNTIF('All Time'!$E$2:E15958,Tabel11[[#This Row],[Player ]])</f>
        <v>9</v>
      </c>
      <c r="F14" s="213">
        <f t="shared" si="2"/>
        <v>24</v>
      </c>
      <c r="G14" s="213">
        <f>COUNTIF('All Time'!$I$2:$J$15946,Tabel11[[#This Row],[Player ]])</f>
        <v>4</v>
      </c>
      <c r="H14" s="213">
        <f t="shared" si="0"/>
        <v>20</v>
      </c>
      <c r="I14" s="199">
        <f>IF(F14&lt;15,0,IF(F14=0,"Geen info",G14/F14))</f>
        <v>0.16666666666666666</v>
      </c>
      <c r="J14" s="283">
        <f>COUNTIF(Tabel3[Winnaar 1],Tabel11[[#This Row],[Player ]])</f>
        <v>1</v>
      </c>
      <c r="K14" s="283">
        <f>COUNTIF(Tabel3[Winnaar 2],Tabel11[[#This Row],[Player ]])</f>
        <v>3</v>
      </c>
      <c r="L14" s="304">
        <f>IF(Tabel11[[#This Row],[Wins def]]/(Tabel11[[#This Row],[Aantal rood verdediger]]+Tabel11[[#This Row],[Aantal groen verdediger]])=1,0.5,Tabel11[[#This Row],[Wins def]]/(Tabel11[[#This Row],[Aantal rood verdediger]]+Tabel11[[#This Row],[Aantal groen verdediger]]))</f>
        <v>9.0909090909090912E-2</v>
      </c>
      <c r="M14" s="304">
        <f>Tabel11[[#This Row],[Wins aanv]]/IF((Tabel11[[#This Row],[Aantal rood aanvaller]]+Tabel11[[#This Row],[Aantal groen aanvaller]])=0,10000000000000,(Tabel11[[#This Row],[Aantal rood aanvaller]]+Tabel11[[#This Row],[Aantal groen aanvaller]]))</f>
        <v>0.23076923076923078</v>
      </c>
      <c r="O14" s="251" t="s">
        <v>169</v>
      </c>
      <c r="P14" s="233" t="s">
        <v>157</v>
      </c>
      <c r="Q14" s="234" t="str">
        <f t="shared" si="1"/>
        <v>Stef*Tobi*</v>
      </c>
      <c r="R14" s="235">
        <f>IF(Tabel12[[#This Row],[Aantal Games Rood]]=0,0,(Tabel12[[#This Row],[Wins Rood]])/Tabel12[[#This Row],[Aantal Games Rood]])</f>
        <v>1</v>
      </c>
      <c r="S14" s="236">
        <f>IF(Tabel12[[#This Row],[Aantal Games Groen]]=0,0,(Tabel12[[#This Row],[Wins Groen]])/Tabel12[[#This Row],[Aantal Games Groen]])</f>
        <v>1</v>
      </c>
      <c r="T14" s="237">
        <f>IF(Tabel12[[#This Row],[Aantal games Alg]]=0,0,(Tabel12[[#This Row],[Wins Alg]])/Tabel12[[#This Row],[Aantal games Alg]])</f>
        <v>1</v>
      </c>
      <c r="U14" s="238">
        <f>COUNTIF(Tabel3[Winaar rood],Tabel12[[#This Row],[Team]])</f>
        <v>1</v>
      </c>
      <c r="V14" s="239">
        <f>COUNTIF(Tabel3[Winnaar Groen],Tabel12[[#This Row],[Team]])</f>
        <v>2</v>
      </c>
      <c r="W14" s="223">
        <f>COUNTIF(Tabel3[Winnaars],Tabel12[[#This Row],[Team]])</f>
        <v>3</v>
      </c>
      <c r="X14" s="240">
        <f>Tabel12[[#This Row],[Aantal Games Rood]]-Tabel5[[#This Row],[Wins Rood]]</f>
        <v>1</v>
      </c>
      <c r="Y14" s="239">
        <f>Tabel12[[#This Row],[Aantal Games Groen]]-Tabel5[[#This Row],[Wins Groen]]</f>
        <v>2</v>
      </c>
      <c r="Z14" s="241">
        <f>Tabel12[[#This Row],[Aantal games Alg]]-Tabel5[[#This Row],[Wins Alg]]</f>
        <v>3</v>
      </c>
      <c r="AA14" s="238">
        <f>COUNTIF(Tabel3[Team Rood],Tabel12[[#This Row],[Team]])</f>
        <v>1</v>
      </c>
      <c r="AB14" s="239">
        <f>COUNTIF(Tabel3[Team Groen],Tabel12[[#This Row],[Team]])</f>
        <v>2</v>
      </c>
      <c r="AC14" s="223">
        <f>Tabel12[[#This Row],[Aantal Games Rood]]+Tabel12[[#This Row],[Aantal Games Groen]]</f>
        <v>3</v>
      </c>
    </row>
    <row r="15" spans="1:29" x14ac:dyDescent="0.25">
      <c r="O15" s="251" t="s">
        <v>166</v>
      </c>
      <c r="P15" s="233" t="s">
        <v>163</v>
      </c>
      <c r="Q15" s="234" t="str">
        <f t="shared" si="1"/>
        <v>Stijn*Bert*</v>
      </c>
      <c r="R15" s="235">
        <f>IF(Tabel12[[#This Row],[Aantal Games Rood]]=0,0,(Tabel12[[#This Row],[Wins Rood]])/Tabel12[[#This Row],[Aantal Games Rood]])</f>
        <v>0</v>
      </c>
      <c r="S15" s="236">
        <f>IF(Tabel12[[#This Row],[Aantal Games Groen]]=0,0,(Tabel12[[#This Row],[Wins Groen]])/Tabel12[[#This Row],[Aantal Games Groen]])</f>
        <v>1</v>
      </c>
      <c r="T15" s="242">
        <f>IF(Tabel12[[#This Row],[Aantal games Alg]]=0,0,(Tabel12[[#This Row],[Wins Alg]])/Tabel12[[#This Row],[Aantal games Alg]])</f>
        <v>1</v>
      </c>
      <c r="U15" s="238">
        <f>COUNTIF(Tabel3[Winaar rood],Tabel12[[#This Row],[Team]])</f>
        <v>0</v>
      </c>
      <c r="V15" s="239">
        <f>COUNTIF(Tabel3[Winnaar Groen],Tabel12[[#This Row],[Team]])</f>
        <v>1</v>
      </c>
      <c r="W15" s="223">
        <f>COUNTIF(Tabel3[Winnaars],Tabel12[[#This Row],[Team]])</f>
        <v>1</v>
      </c>
      <c r="X15" s="240">
        <f>Tabel12[[#This Row],[Aantal Games Rood]]-Tabel5[[#This Row],[Wins Rood]]</f>
        <v>0</v>
      </c>
      <c r="Y15" s="239">
        <f>Tabel12[[#This Row],[Aantal Games Groen]]-Tabel5[[#This Row],[Wins Groen]]</f>
        <v>1</v>
      </c>
      <c r="Z15" s="243">
        <f>Tabel12[[#This Row],[Aantal games Alg]]-Tabel5[[#This Row],[Wins Alg]]</f>
        <v>1</v>
      </c>
      <c r="AA15" s="238">
        <f>COUNTIF(Tabel3[Team Rood],Tabel12[[#This Row],[Team]])</f>
        <v>0</v>
      </c>
      <c r="AB15" s="239">
        <f>COUNTIF(Tabel3[Team Groen],Tabel12[[#This Row],[Team]])</f>
        <v>1</v>
      </c>
      <c r="AC15" s="223">
        <f>Tabel12[[#This Row],[Aantal Games Rood]]+Tabel12[[#This Row],[Aantal Games Groen]]</f>
        <v>1</v>
      </c>
    </row>
    <row r="16" spans="1:29" x14ac:dyDescent="0.25">
      <c r="O16" s="251" t="s">
        <v>166</v>
      </c>
      <c r="P16" s="233" t="s">
        <v>157</v>
      </c>
      <c r="Q16" s="234" t="str">
        <f t="shared" si="1"/>
        <v>Stijn*Tobi*</v>
      </c>
      <c r="R16" s="235">
        <f>IF(Tabel12[[#This Row],[Aantal Games Rood]]=0,0,(Tabel12[[#This Row],[Wins Rood]])/Tabel12[[#This Row],[Aantal Games Rood]])</f>
        <v>1</v>
      </c>
      <c r="S16" s="236">
        <f>IF(Tabel12[[#This Row],[Aantal Games Groen]]=0,0,(Tabel12[[#This Row],[Wins Groen]])/Tabel12[[#This Row],[Aantal Games Groen]])</f>
        <v>0</v>
      </c>
      <c r="T16" s="242">
        <f>IF(Tabel12[[#This Row],[Aantal games Alg]]=0,0,(Tabel12[[#This Row],[Wins Alg]])/Tabel12[[#This Row],[Aantal games Alg]])</f>
        <v>1</v>
      </c>
      <c r="U16" s="238">
        <f>COUNTIF(Tabel3[Winaar rood],Tabel12[[#This Row],[Team]])</f>
        <v>1</v>
      </c>
      <c r="V16" s="239">
        <f>COUNTIF(Tabel3[Winnaar Groen],Tabel12[[#This Row],[Team]])</f>
        <v>0</v>
      </c>
      <c r="W16" s="223">
        <f>COUNTIF(Tabel3[Winnaars],Tabel12[[#This Row],[Team]])</f>
        <v>1</v>
      </c>
      <c r="X16" s="240">
        <f>Tabel12[[#This Row],[Aantal Games Rood]]-Tabel5[[#This Row],[Wins Rood]]</f>
        <v>1</v>
      </c>
      <c r="Y16" s="239">
        <f>Tabel12[[#This Row],[Aantal Games Groen]]-Tabel5[[#This Row],[Wins Groen]]</f>
        <v>-1</v>
      </c>
      <c r="Z16" s="243">
        <f>Tabel12[[#This Row],[Aantal games Alg]]-Tabel5[[#This Row],[Wins Alg]]</f>
        <v>0</v>
      </c>
      <c r="AA16" s="238">
        <f>COUNTIF(Tabel3[Team Rood],Tabel12[[#This Row],[Team]])</f>
        <v>1</v>
      </c>
      <c r="AB16" s="239">
        <f>COUNTIF(Tabel3[Team Groen],Tabel12[[#This Row],[Team]])</f>
        <v>0</v>
      </c>
      <c r="AC16" s="223">
        <f>Tabel12[[#This Row],[Aantal Games Rood]]+Tabel12[[#This Row],[Aantal Games Groen]]</f>
        <v>1</v>
      </c>
    </row>
    <row r="17" spans="15:29" x14ac:dyDescent="0.25">
      <c r="O17" s="251" t="s">
        <v>160</v>
      </c>
      <c r="P17" s="233" t="s">
        <v>158</v>
      </c>
      <c r="Q17" s="234" t="str">
        <f t="shared" si="1"/>
        <v>Tiemen*Arno*</v>
      </c>
      <c r="R17" s="235">
        <f>IF(Tabel12[[#This Row],[Aantal Games Rood]]=0,0,(Tabel12[[#This Row],[Wins Rood]])/Tabel12[[#This Row],[Aantal Games Rood]])</f>
        <v>1</v>
      </c>
      <c r="S17" s="236">
        <f>IF(Tabel12[[#This Row],[Aantal Games Groen]]=0,0,(Tabel12[[#This Row],[Wins Groen]])/Tabel12[[#This Row],[Aantal Games Groen]])</f>
        <v>0</v>
      </c>
      <c r="T17" s="242">
        <f>IF(Tabel12[[#This Row],[Aantal games Alg]]=0,0,(Tabel12[[#This Row],[Wins Alg]])/Tabel12[[#This Row],[Aantal games Alg]])</f>
        <v>1</v>
      </c>
      <c r="U17" s="238">
        <f>COUNTIF(Tabel3[Winaar rood],Tabel12[[#This Row],[Team]])</f>
        <v>2</v>
      </c>
      <c r="V17" s="239">
        <f>COUNTIF(Tabel3[Winnaar Groen],Tabel12[[#This Row],[Team]])</f>
        <v>0</v>
      </c>
      <c r="W17" s="223">
        <f>COUNTIF(Tabel3[Winnaars],Tabel12[[#This Row],[Team]])</f>
        <v>2</v>
      </c>
      <c r="X17" s="240">
        <f>Tabel12[[#This Row],[Aantal Games Rood]]-Tabel5[[#This Row],[Wins Rood]]</f>
        <v>1</v>
      </c>
      <c r="Y17" s="239">
        <f>Tabel12[[#This Row],[Aantal Games Groen]]-Tabel5[[#This Row],[Wins Groen]]</f>
        <v>0</v>
      </c>
      <c r="Z17" s="243">
        <f>Tabel12[[#This Row],[Aantal games Alg]]-Tabel5[[#This Row],[Wins Alg]]</f>
        <v>1</v>
      </c>
      <c r="AA17" s="238">
        <f>COUNTIF(Tabel3[Team Rood],Tabel12[[#This Row],[Team]])</f>
        <v>2</v>
      </c>
      <c r="AB17" s="239">
        <f>COUNTIF(Tabel3[Team Groen],Tabel12[[#This Row],[Team]])</f>
        <v>0</v>
      </c>
      <c r="AC17" s="223">
        <f>Tabel12[[#This Row],[Aantal Games Rood]]+Tabel12[[#This Row],[Aantal Games Groen]]</f>
        <v>2</v>
      </c>
    </row>
    <row r="18" spans="15:29" x14ac:dyDescent="0.25">
      <c r="O18" s="251" t="s">
        <v>160</v>
      </c>
      <c r="P18" s="233" t="s">
        <v>67</v>
      </c>
      <c r="Q18" s="234" t="str">
        <f t="shared" si="1"/>
        <v>Tiemen*Lawrence</v>
      </c>
      <c r="R18" s="235">
        <f>IF(Tabel12[[#This Row],[Aantal Games Rood]]=0,0,(Tabel12[[#This Row],[Wins Rood]])/Tabel12[[#This Row],[Aantal Games Rood]])</f>
        <v>0</v>
      </c>
      <c r="S18" s="236">
        <f>IF(Tabel12[[#This Row],[Aantal Games Groen]]=0,0,(Tabel12[[#This Row],[Wins Groen]])/Tabel12[[#This Row],[Aantal Games Groen]])</f>
        <v>1</v>
      </c>
      <c r="T18" s="237">
        <f>IF(Tabel12[[#This Row],[Aantal games Alg]]=0,0,(Tabel12[[#This Row],[Wins Alg]])/Tabel12[[#This Row],[Aantal games Alg]])</f>
        <v>1</v>
      </c>
      <c r="U18" s="238">
        <f>COUNTIF(Tabel3[Winaar rood],Tabel12[[#This Row],[Team]])</f>
        <v>0</v>
      </c>
      <c r="V18" s="239">
        <f>COUNTIF(Tabel3[Winnaar Groen],Tabel12[[#This Row],[Team]])</f>
        <v>1</v>
      </c>
      <c r="W18" s="223">
        <f>COUNTIF(Tabel3[Winnaars],Tabel12[[#This Row],[Team]])</f>
        <v>1</v>
      </c>
      <c r="X18" s="240">
        <f>Tabel12[[#This Row],[Aantal Games Rood]]-Tabel5[[#This Row],[Wins Rood]]</f>
        <v>0</v>
      </c>
      <c r="Y18" s="239">
        <f>Tabel12[[#This Row],[Aantal Games Groen]]-Tabel5[[#This Row],[Wins Groen]]</f>
        <v>1</v>
      </c>
      <c r="Z18" s="241">
        <f>Tabel12[[#This Row],[Aantal games Alg]]-Tabel5[[#This Row],[Wins Alg]]</f>
        <v>1</v>
      </c>
      <c r="AA18" s="238">
        <f>COUNTIF(Tabel3[Team Rood],Tabel12[[#This Row],[Team]])</f>
        <v>0</v>
      </c>
      <c r="AB18" s="239">
        <f>COUNTIF(Tabel3[Team Groen],Tabel12[[#This Row],[Team]])</f>
        <v>1</v>
      </c>
      <c r="AC18" s="223">
        <f>Tabel12[[#This Row],[Aantal Games Rood]]+Tabel12[[#This Row],[Aantal Games Groen]]</f>
        <v>1</v>
      </c>
    </row>
    <row r="19" spans="15:29" x14ac:dyDescent="0.25">
      <c r="O19" s="251" t="s">
        <v>160</v>
      </c>
      <c r="P19" s="233" t="s">
        <v>157</v>
      </c>
      <c r="Q19" s="234" t="str">
        <f t="shared" si="1"/>
        <v>Tiemen*Tobi*</v>
      </c>
      <c r="R19" s="235">
        <f>IF(Tabel12[[#This Row],[Aantal Games Rood]]=0,0,(Tabel12[[#This Row],[Wins Rood]])/Tabel12[[#This Row],[Aantal Games Rood]])</f>
        <v>0</v>
      </c>
      <c r="S19" s="236">
        <f>IF(Tabel12[[#This Row],[Aantal Games Groen]]=0,0,(Tabel12[[#This Row],[Wins Groen]])/Tabel12[[#This Row],[Aantal Games Groen]])</f>
        <v>1</v>
      </c>
      <c r="T19" s="242">
        <f>IF(Tabel12[[#This Row],[Aantal games Alg]]=0,0,(Tabel12[[#This Row],[Wins Alg]])/Tabel12[[#This Row],[Aantal games Alg]])</f>
        <v>1</v>
      </c>
      <c r="U19" s="238">
        <f>COUNTIF(Tabel3[Winaar rood],Tabel12[[#This Row],[Team]])</f>
        <v>0</v>
      </c>
      <c r="V19" s="239">
        <f>COUNTIF(Tabel3[Winnaar Groen],Tabel12[[#This Row],[Team]])</f>
        <v>2</v>
      </c>
      <c r="W19" s="223">
        <f>COUNTIF(Tabel3[Winnaars],Tabel12[[#This Row],[Team]])</f>
        <v>2</v>
      </c>
      <c r="X19" s="240">
        <f>Tabel12[[#This Row],[Aantal Games Rood]]-Tabel5[[#This Row],[Wins Rood]]</f>
        <v>0</v>
      </c>
      <c r="Y19" s="239">
        <f>Tabel12[[#This Row],[Aantal Games Groen]]-Tabel5[[#This Row],[Wins Groen]]</f>
        <v>2</v>
      </c>
      <c r="Z19" s="243">
        <f>Tabel12[[#This Row],[Aantal games Alg]]-Tabel5[[#This Row],[Wins Alg]]</f>
        <v>2</v>
      </c>
      <c r="AA19" s="238">
        <f>COUNTIF(Tabel3[Team Rood],Tabel12[[#This Row],[Team]])</f>
        <v>0</v>
      </c>
      <c r="AB19" s="239">
        <f>COUNTIF(Tabel3[Team Groen],Tabel12[[#This Row],[Team]])</f>
        <v>2</v>
      </c>
      <c r="AC19" s="223">
        <f>Tabel12[[#This Row],[Aantal Games Rood]]+Tabel12[[#This Row],[Aantal Games Groen]]</f>
        <v>2</v>
      </c>
    </row>
    <row r="20" spans="15:29" x14ac:dyDescent="0.25">
      <c r="O20" s="251" t="s">
        <v>157</v>
      </c>
      <c r="P20" s="233" t="s">
        <v>163</v>
      </c>
      <c r="Q20" s="234" t="str">
        <f t="shared" si="1"/>
        <v>Tobi*Bert*</v>
      </c>
      <c r="R20" s="235">
        <f>IF(Tabel12[[#This Row],[Aantal Games Rood]]=0,0,(Tabel12[[#This Row],[Wins Rood]])/Tabel12[[#This Row],[Aantal Games Rood]])</f>
        <v>0</v>
      </c>
      <c r="S20" s="236">
        <f>IF(Tabel12[[#This Row],[Aantal Games Groen]]=0,0,(Tabel12[[#This Row],[Wins Groen]])/Tabel12[[#This Row],[Aantal Games Groen]])</f>
        <v>1</v>
      </c>
      <c r="T20" s="242">
        <f>IF(Tabel12[[#This Row],[Aantal games Alg]]=0,0,(Tabel12[[#This Row],[Wins Alg]])/Tabel12[[#This Row],[Aantal games Alg]])</f>
        <v>1</v>
      </c>
      <c r="U20" s="238">
        <f>COUNTIF(Tabel3[Winaar rood],Tabel12[[#This Row],[Team]])</f>
        <v>0</v>
      </c>
      <c r="V20" s="239">
        <f>COUNTIF(Tabel3[Winnaar Groen],Tabel12[[#This Row],[Team]])</f>
        <v>1</v>
      </c>
      <c r="W20" s="223">
        <f>COUNTIF(Tabel3[Winnaars],Tabel12[[#This Row],[Team]])</f>
        <v>1</v>
      </c>
      <c r="X20" s="240">
        <f>Tabel12[[#This Row],[Aantal Games Rood]]-Tabel5[[#This Row],[Wins Rood]]</f>
        <v>0</v>
      </c>
      <c r="Y20" s="239">
        <f>Tabel12[[#This Row],[Aantal Games Groen]]-Tabel5[[#This Row],[Wins Groen]]</f>
        <v>1</v>
      </c>
      <c r="Z20" s="243">
        <f>Tabel12[[#This Row],[Aantal games Alg]]-Tabel5[[#This Row],[Wins Alg]]</f>
        <v>1</v>
      </c>
      <c r="AA20" s="238">
        <f>COUNTIF(Tabel3[Team Rood],Tabel12[[#This Row],[Team]])</f>
        <v>0</v>
      </c>
      <c r="AB20" s="239">
        <f>COUNTIF(Tabel3[Team Groen],Tabel12[[#This Row],[Team]])</f>
        <v>1</v>
      </c>
      <c r="AC20" s="223">
        <f>Tabel12[[#This Row],[Aantal Games Rood]]+Tabel12[[#This Row],[Aantal Games Groen]]</f>
        <v>1</v>
      </c>
    </row>
    <row r="21" spans="15:29" x14ac:dyDescent="0.25">
      <c r="O21" s="251" t="s">
        <v>157</v>
      </c>
      <c r="P21" s="233" t="s">
        <v>169</v>
      </c>
      <c r="Q21" s="234" t="str">
        <f t="shared" si="1"/>
        <v>Tobi*Stef*</v>
      </c>
      <c r="R21" s="235">
        <f>IF(Tabel12[[#This Row],[Aantal Games Rood]]=0,0,(Tabel12[[#This Row],[Wins Rood]])/Tabel12[[#This Row],[Aantal Games Rood]])</f>
        <v>1</v>
      </c>
      <c r="S21" s="236">
        <f>IF(Tabel12[[#This Row],[Aantal Games Groen]]=0,0,(Tabel12[[#This Row],[Wins Groen]])/Tabel12[[#This Row],[Aantal Games Groen]])</f>
        <v>0</v>
      </c>
      <c r="T21" s="237">
        <f>IF(Tabel12[[#This Row],[Aantal games Alg]]=0,0,(Tabel12[[#This Row],[Wins Alg]])/Tabel12[[#This Row],[Aantal games Alg]])</f>
        <v>1</v>
      </c>
      <c r="U21" s="238">
        <f>COUNTIF(Tabel3[Winaar rood],Tabel12[[#This Row],[Team]])</f>
        <v>1</v>
      </c>
      <c r="V21" s="239">
        <f>COUNTIF(Tabel3[Winnaar Groen],Tabel12[[#This Row],[Team]])</f>
        <v>0</v>
      </c>
      <c r="W21" s="223">
        <f>COUNTIF(Tabel3[Winnaars],Tabel12[[#This Row],[Team]])</f>
        <v>1</v>
      </c>
      <c r="X21" s="240">
        <f>Tabel12[[#This Row],[Aantal Games Rood]]-Tabel5[[#This Row],[Wins Rood]]</f>
        <v>1</v>
      </c>
      <c r="Y21" s="239">
        <f>Tabel12[[#This Row],[Aantal Games Groen]]-Tabel5[[#This Row],[Wins Groen]]</f>
        <v>0</v>
      </c>
      <c r="Z21" s="241">
        <f>Tabel12[[#This Row],[Aantal games Alg]]-Tabel5[[#This Row],[Wins Alg]]</f>
        <v>1</v>
      </c>
      <c r="AA21" s="238">
        <f>COUNTIF(Tabel3[Team Rood],Tabel12[[#This Row],[Team]])</f>
        <v>1</v>
      </c>
      <c r="AB21" s="239">
        <f>COUNTIF(Tabel3[Team Groen],Tabel12[[#This Row],[Team]])</f>
        <v>0</v>
      </c>
      <c r="AC21" s="223">
        <f>Tabel12[[#This Row],[Aantal Games Rood]]+Tabel12[[#This Row],[Aantal Games Groen]]</f>
        <v>1</v>
      </c>
    </row>
    <row r="22" spans="15:29" x14ac:dyDescent="0.25">
      <c r="O22" s="251" t="s">
        <v>164</v>
      </c>
      <c r="P22" s="233" t="s">
        <v>169</v>
      </c>
      <c r="Q22" s="234" t="str">
        <f t="shared" si="1"/>
        <v>Karel*Stef*</v>
      </c>
      <c r="R22" s="235">
        <f>IF(Tabel12[[#This Row],[Aantal Games Rood]]=0,0,(Tabel12[[#This Row],[Wins Rood]])/Tabel12[[#This Row],[Aantal Games Rood]])</f>
        <v>0.77419354838709675</v>
      </c>
      <c r="S22" s="236">
        <f>IF(Tabel12[[#This Row],[Aantal Games Groen]]=0,0,(Tabel12[[#This Row],[Wins Groen]])/Tabel12[[#This Row],[Aantal Games Groen]])</f>
        <v>0.90909090909090906</v>
      </c>
      <c r="T22" s="237">
        <f>IF(Tabel12[[#This Row],[Aantal games Alg]]=0,0,(Tabel12[[#This Row],[Wins Alg]])/Tabel12[[#This Row],[Aantal games Alg]])</f>
        <v>0.83018867924528306</v>
      </c>
      <c r="U22" s="238">
        <f>COUNTIF(Tabel3[Winaar rood],Tabel12[[#This Row],[Team]])</f>
        <v>24</v>
      </c>
      <c r="V22" s="239">
        <f>COUNTIF(Tabel3[Winnaar Groen],Tabel12[[#This Row],[Team]])</f>
        <v>20</v>
      </c>
      <c r="W22" s="223">
        <f>COUNTIF(Tabel3[Winnaars],Tabel12[[#This Row],[Team]])</f>
        <v>44</v>
      </c>
      <c r="X22" s="240">
        <f>Tabel12[[#This Row],[Aantal Games Rood]]-Tabel5[[#This Row],[Wins Rood]]</f>
        <v>28</v>
      </c>
      <c r="Y22" s="239">
        <f>Tabel12[[#This Row],[Aantal Games Groen]]-Tabel5[[#This Row],[Wins Groen]]</f>
        <v>22</v>
      </c>
      <c r="Z22" s="241">
        <f>Tabel12[[#This Row],[Aantal games Alg]]-Tabel5[[#This Row],[Wins Alg]]</f>
        <v>50</v>
      </c>
      <c r="AA22" s="238">
        <f>COUNTIF(Tabel3[Team Rood],Tabel12[[#This Row],[Team]])</f>
        <v>31</v>
      </c>
      <c r="AB22" s="239">
        <f>COUNTIF(Tabel3[Team Groen],Tabel12[[#This Row],[Team]])</f>
        <v>22</v>
      </c>
      <c r="AC22" s="223">
        <f>Tabel12[[#This Row],[Aantal Games Rood]]+Tabel12[[#This Row],[Aantal Games Groen]]</f>
        <v>53</v>
      </c>
    </row>
    <row r="23" spans="15:29" x14ac:dyDescent="0.25">
      <c r="O23" s="251" t="s">
        <v>169</v>
      </c>
      <c r="P23" s="233" t="s">
        <v>164</v>
      </c>
      <c r="Q23" s="234" t="str">
        <f t="shared" si="1"/>
        <v>Stef*Karel*</v>
      </c>
      <c r="R23" s="235">
        <f>IF(Tabel12[[#This Row],[Aantal Games Rood]]=0,0,(Tabel12[[#This Row],[Wins Rood]])/Tabel12[[#This Row],[Aantal Games Rood]])</f>
        <v>0.83333333333333337</v>
      </c>
      <c r="S23" s="236">
        <f>IF(Tabel12[[#This Row],[Aantal Games Groen]]=0,0,(Tabel12[[#This Row],[Wins Groen]])/Tabel12[[#This Row],[Aantal Games Groen]])</f>
        <v>0.82352941176470584</v>
      </c>
      <c r="T23" s="242">
        <f>IF(Tabel12[[#This Row],[Aantal games Alg]]=0,0,(Tabel12[[#This Row],[Wins Alg]])/Tabel12[[#This Row],[Aantal games Alg]])</f>
        <v>0.82926829268292679</v>
      </c>
      <c r="U23" s="238">
        <f>COUNTIF(Tabel3[Winaar rood],Tabel12[[#This Row],[Team]])</f>
        <v>20</v>
      </c>
      <c r="V23" s="239">
        <f>COUNTIF(Tabel3[Winnaar Groen],Tabel12[[#This Row],[Team]])</f>
        <v>14</v>
      </c>
      <c r="W23" s="223">
        <f>COUNTIF(Tabel3[Winnaars],Tabel12[[#This Row],[Team]])</f>
        <v>34</v>
      </c>
      <c r="X23" s="240">
        <f>Tabel12[[#This Row],[Aantal Games Rood]]-Tabel5[[#This Row],[Wins Rood]]</f>
        <v>24</v>
      </c>
      <c r="Y23" s="239">
        <f>Tabel12[[#This Row],[Aantal Games Groen]]-Tabel5[[#This Row],[Wins Groen]]</f>
        <v>17</v>
      </c>
      <c r="Z23" s="243">
        <f>Tabel12[[#This Row],[Aantal games Alg]]-Tabel5[[#This Row],[Wins Alg]]</f>
        <v>41</v>
      </c>
      <c r="AA23" s="238">
        <f>COUNTIF(Tabel3[Team Rood],Tabel12[[#This Row],[Team]])</f>
        <v>24</v>
      </c>
      <c r="AB23" s="239">
        <f>COUNTIF(Tabel3[Team Groen],Tabel12[[#This Row],[Team]])</f>
        <v>17</v>
      </c>
      <c r="AC23" s="223">
        <f>Tabel12[[#This Row],[Aantal Games Rood]]+Tabel12[[#This Row],[Aantal Games Groen]]</f>
        <v>41</v>
      </c>
    </row>
    <row r="24" spans="15:29" x14ac:dyDescent="0.25">
      <c r="O24" s="251" t="s">
        <v>161</v>
      </c>
      <c r="P24" s="233" t="s">
        <v>169</v>
      </c>
      <c r="Q24" s="234" t="str">
        <f t="shared" si="1"/>
        <v>Louis*Stef*</v>
      </c>
      <c r="R24" s="235">
        <f>IF(Tabel12[[#This Row],[Aantal Games Rood]]=0,0,(Tabel12[[#This Row],[Wins Rood]])/Tabel12[[#This Row],[Aantal Games Rood]])</f>
        <v>0.75</v>
      </c>
      <c r="S24" s="236">
        <f>IF(Tabel12[[#This Row],[Aantal Games Groen]]=0,0,(Tabel12[[#This Row],[Wins Groen]])/Tabel12[[#This Row],[Aantal Games Groen]])</f>
        <v>0.91304347826086951</v>
      </c>
      <c r="T24" s="242">
        <f>IF(Tabel12[[#This Row],[Aantal games Alg]]=0,0,(Tabel12[[#This Row],[Wins Alg]])/Tabel12[[#This Row],[Aantal games Alg]])</f>
        <v>0.81818181818181823</v>
      </c>
      <c r="U24" s="238">
        <f>COUNTIF(Tabel3[Winaar rood],Tabel12[[#This Row],[Team]])</f>
        <v>24</v>
      </c>
      <c r="V24" s="239">
        <f>COUNTIF(Tabel3[Winnaar Groen],Tabel12[[#This Row],[Team]])</f>
        <v>21</v>
      </c>
      <c r="W24" s="223">
        <f>COUNTIF(Tabel3[Winnaars],Tabel12[[#This Row],[Team]])</f>
        <v>45</v>
      </c>
      <c r="X24" s="240">
        <f>Tabel12[[#This Row],[Aantal Games Rood]]-Tabel5[[#This Row],[Wins Rood]]</f>
        <v>32</v>
      </c>
      <c r="Y24" s="239">
        <f>Tabel12[[#This Row],[Aantal Games Groen]]-Tabel5[[#This Row],[Wins Groen]]</f>
        <v>22</v>
      </c>
      <c r="Z24" s="243">
        <f>Tabel12[[#This Row],[Aantal games Alg]]-Tabel5[[#This Row],[Wins Alg]]</f>
        <v>54</v>
      </c>
      <c r="AA24" s="238">
        <f>COUNTIF(Tabel3[Team Rood],Tabel12[[#This Row],[Team]])</f>
        <v>32</v>
      </c>
      <c r="AB24" s="239">
        <f>COUNTIF(Tabel3[Team Groen],Tabel12[[#This Row],[Team]])</f>
        <v>23</v>
      </c>
      <c r="AC24" s="223">
        <f>Tabel12[[#This Row],[Aantal Games Rood]]+Tabel12[[#This Row],[Aantal Games Groen]]</f>
        <v>55</v>
      </c>
    </row>
    <row r="25" spans="15:29" x14ac:dyDescent="0.25">
      <c r="O25" s="251" t="s">
        <v>159</v>
      </c>
      <c r="P25" s="233" t="s">
        <v>169</v>
      </c>
      <c r="Q25" s="234" t="str">
        <f t="shared" si="1"/>
        <v>Jonas*Stef*</v>
      </c>
      <c r="R25" s="235">
        <f>IF(Tabel12[[#This Row],[Aantal Games Rood]]=0,0,(Tabel12[[#This Row],[Wins Rood]])/Tabel12[[#This Row],[Aantal Games Rood]])</f>
        <v>0.82222222222222219</v>
      </c>
      <c r="S25" s="236">
        <f>IF(Tabel12[[#This Row],[Aantal Games Groen]]=0,0,(Tabel12[[#This Row],[Wins Groen]])/Tabel12[[#This Row],[Aantal Games Groen]])</f>
        <v>0.81081081081081086</v>
      </c>
      <c r="T25" s="237">
        <f>IF(Tabel12[[#This Row],[Aantal games Alg]]=0,0,(Tabel12[[#This Row],[Wins Alg]])/Tabel12[[#This Row],[Aantal games Alg]])</f>
        <v>0.81707317073170727</v>
      </c>
      <c r="U25" s="238">
        <f>COUNTIF(Tabel3[Winaar rood],Tabel12[[#This Row],[Team]])</f>
        <v>37</v>
      </c>
      <c r="V25" s="239">
        <f>COUNTIF(Tabel3[Winnaar Groen],Tabel12[[#This Row],[Team]])</f>
        <v>30</v>
      </c>
      <c r="W25" s="223">
        <f>COUNTIF(Tabel3[Winnaars],Tabel12[[#This Row],[Team]])</f>
        <v>67</v>
      </c>
      <c r="X25" s="240">
        <f>Tabel12[[#This Row],[Aantal Games Rood]]-Tabel5[[#This Row],[Wins Rood]]</f>
        <v>45</v>
      </c>
      <c r="Y25" s="239">
        <f>Tabel12[[#This Row],[Aantal Games Groen]]-Tabel5[[#This Row],[Wins Groen]]</f>
        <v>37</v>
      </c>
      <c r="Z25" s="241">
        <f>Tabel12[[#This Row],[Aantal games Alg]]-Tabel5[[#This Row],[Wins Alg]]</f>
        <v>82</v>
      </c>
      <c r="AA25" s="238">
        <f>COUNTIF(Tabel3[Team Rood],Tabel12[[#This Row],[Team]])</f>
        <v>45</v>
      </c>
      <c r="AB25" s="239">
        <f>COUNTIF(Tabel3[Team Groen],Tabel12[[#This Row],[Team]])</f>
        <v>37</v>
      </c>
      <c r="AC25" s="223">
        <f>Tabel12[[#This Row],[Aantal Games Rood]]+Tabel12[[#This Row],[Aantal Games Groen]]</f>
        <v>82</v>
      </c>
    </row>
    <row r="26" spans="15:29" x14ac:dyDescent="0.25">
      <c r="O26" s="251" t="s">
        <v>158</v>
      </c>
      <c r="P26" s="233" t="s">
        <v>169</v>
      </c>
      <c r="Q26" s="234" t="str">
        <f t="shared" si="1"/>
        <v>Arno*Stef*</v>
      </c>
      <c r="R26" s="235">
        <f>IF(Tabel12[[#This Row],[Aantal Games Rood]]=0,0,(Tabel12[[#This Row],[Wins Rood]])/Tabel12[[#This Row],[Aantal Games Rood]])</f>
        <v>0.7142857142857143</v>
      </c>
      <c r="S26" s="236">
        <f>IF(Tabel12[[#This Row],[Aantal Games Groen]]=0,0,(Tabel12[[#This Row],[Wins Groen]])/Tabel12[[#This Row],[Aantal Games Groen]])</f>
        <v>1</v>
      </c>
      <c r="T26" s="237">
        <f>IF(Tabel12[[#This Row],[Aantal games Alg]]=0,0,(Tabel12[[#This Row],[Wins Alg]])/Tabel12[[#This Row],[Aantal games Alg]])</f>
        <v>0.77777777777777779</v>
      </c>
      <c r="U26" s="238">
        <f>COUNTIF(Tabel3[Winaar rood],Tabel12[[#This Row],[Team]])</f>
        <v>5</v>
      </c>
      <c r="V26" s="239">
        <f>COUNTIF(Tabel3[Winnaar Groen],Tabel12[[#This Row],[Team]])</f>
        <v>2</v>
      </c>
      <c r="W26" s="223">
        <f>COUNTIF(Tabel3[Winnaars],Tabel12[[#This Row],[Team]])</f>
        <v>7</v>
      </c>
      <c r="X26" s="240">
        <f>Tabel12[[#This Row],[Aantal Games Rood]]-Tabel5[[#This Row],[Wins Rood]]</f>
        <v>7</v>
      </c>
      <c r="Y26" s="239">
        <f>Tabel12[[#This Row],[Aantal Games Groen]]-Tabel5[[#This Row],[Wins Groen]]</f>
        <v>2</v>
      </c>
      <c r="Z26" s="241">
        <f>Tabel12[[#This Row],[Aantal games Alg]]-Tabel5[[#This Row],[Wins Alg]]</f>
        <v>9</v>
      </c>
      <c r="AA26" s="238">
        <f>COUNTIF(Tabel3[Team Rood],Tabel12[[#This Row],[Team]])</f>
        <v>7</v>
      </c>
      <c r="AB26" s="239">
        <f>COUNTIF(Tabel3[Team Groen],Tabel12[[#This Row],[Team]])</f>
        <v>2</v>
      </c>
      <c r="AC26" s="223">
        <f>Tabel12[[#This Row],[Aantal Games Rood]]+Tabel12[[#This Row],[Aantal Games Groen]]</f>
        <v>9</v>
      </c>
    </row>
    <row r="27" spans="15:29" x14ac:dyDescent="0.25">
      <c r="O27" s="251" t="s">
        <v>163</v>
      </c>
      <c r="P27" s="233" t="s">
        <v>169</v>
      </c>
      <c r="Q27" s="234" t="str">
        <f t="shared" si="1"/>
        <v>Bert*Stef*</v>
      </c>
      <c r="R27" s="235">
        <f>IF(Tabel12[[#This Row],[Aantal Games Rood]]=0,0,(Tabel12[[#This Row],[Wins Rood]])/Tabel12[[#This Row],[Aantal Games Rood]])</f>
        <v>1</v>
      </c>
      <c r="S27" s="236">
        <f>IF(Tabel12[[#This Row],[Aantal Games Groen]]=0,0,(Tabel12[[#This Row],[Wins Groen]])/Tabel12[[#This Row],[Aantal Games Groen]])</f>
        <v>0.33333333333333331</v>
      </c>
      <c r="T27" s="237">
        <f>IF(Tabel12[[#This Row],[Aantal games Alg]]=0,0,(Tabel12[[#This Row],[Wins Alg]])/Tabel12[[#This Row],[Aantal games Alg]])</f>
        <v>0.75</v>
      </c>
      <c r="U27" s="238">
        <f>COUNTIF(Tabel3[Winaar rood],Tabel12[[#This Row],[Team]])</f>
        <v>5</v>
      </c>
      <c r="V27" s="239">
        <f>COUNTIF(Tabel3[Winnaar Groen],Tabel12[[#This Row],[Team]])</f>
        <v>1</v>
      </c>
      <c r="W27" s="223">
        <f>COUNTIF(Tabel3[Winnaars],Tabel12[[#This Row],[Team]])</f>
        <v>6</v>
      </c>
      <c r="X27" s="240">
        <f>Tabel12[[#This Row],[Aantal Games Rood]]-Tabel5[[#This Row],[Wins Rood]]</f>
        <v>5</v>
      </c>
      <c r="Y27" s="239">
        <f>Tabel12[[#This Row],[Aantal Games Groen]]-Tabel5[[#This Row],[Wins Groen]]</f>
        <v>1</v>
      </c>
      <c r="Z27" s="241">
        <f>Tabel12[[#This Row],[Aantal games Alg]]-Tabel5[[#This Row],[Wins Alg]]</f>
        <v>6</v>
      </c>
      <c r="AA27" s="238">
        <f>COUNTIF(Tabel3[Team Rood],Tabel12[[#This Row],[Team]])</f>
        <v>5</v>
      </c>
      <c r="AB27" s="239">
        <f>COUNTIF(Tabel3[Team Groen],Tabel12[[#This Row],[Team]])</f>
        <v>3</v>
      </c>
      <c r="AC27" s="223">
        <f>Tabel12[[#This Row],[Aantal Games Rood]]+Tabel12[[#This Row],[Aantal Games Groen]]</f>
        <v>8</v>
      </c>
    </row>
    <row r="28" spans="15:29" x14ac:dyDescent="0.25">
      <c r="O28" s="251" t="s">
        <v>169</v>
      </c>
      <c r="P28" s="233" t="s">
        <v>161</v>
      </c>
      <c r="Q28" s="234" t="str">
        <f t="shared" si="1"/>
        <v>Stef*Louis*</v>
      </c>
      <c r="R28" s="235">
        <f>IF(Tabel12[[#This Row],[Aantal Games Rood]]=0,0,(Tabel12[[#This Row],[Wins Rood]])/Tabel12[[#This Row],[Aantal Games Rood]])</f>
        <v>0.72727272727272729</v>
      </c>
      <c r="S28" s="236">
        <f>IF(Tabel12[[#This Row],[Aantal Games Groen]]=0,0,(Tabel12[[#This Row],[Wins Groen]])/Tabel12[[#This Row],[Aantal Games Groen]])</f>
        <v>0.66666666666666663</v>
      </c>
      <c r="T28" s="242">
        <f>IF(Tabel12[[#This Row],[Aantal games Alg]]=0,0,(Tabel12[[#This Row],[Wins Alg]])/Tabel12[[#This Row],[Aantal games Alg]])</f>
        <v>0.70588235294117652</v>
      </c>
      <c r="U28" s="238">
        <f>COUNTIF(Tabel3[Winaar rood],Tabel12[[#This Row],[Team]])</f>
        <v>8</v>
      </c>
      <c r="V28" s="239">
        <f>COUNTIF(Tabel3[Winnaar Groen],Tabel12[[#This Row],[Team]])</f>
        <v>4</v>
      </c>
      <c r="W28" s="223">
        <f>COUNTIF(Tabel3[Winnaars],Tabel12[[#This Row],[Team]])</f>
        <v>12</v>
      </c>
      <c r="X28" s="240">
        <f>Tabel12[[#This Row],[Aantal Games Rood]]-Tabel5[[#This Row],[Wins Rood]]</f>
        <v>11</v>
      </c>
      <c r="Y28" s="239">
        <f>Tabel12[[#This Row],[Aantal Games Groen]]-Tabel5[[#This Row],[Wins Groen]]</f>
        <v>4</v>
      </c>
      <c r="Z28" s="243">
        <f>Tabel12[[#This Row],[Aantal games Alg]]-Tabel5[[#This Row],[Wins Alg]]</f>
        <v>15</v>
      </c>
      <c r="AA28" s="238">
        <f>COUNTIF(Tabel3[Team Rood],Tabel12[[#This Row],[Team]])</f>
        <v>11</v>
      </c>
      <c r="AB28" s="239">
        <f>COUNTIF(Tabel3[Team Groen],Tabel12[[#This Row],[Team]])</f>
        <v>6</v>
      </c>
      <c r="AC28" s="223">
        <f>Tabel12[[#This Row],[Aantal Games Rood]]+Tabel12[[#This Row],[Aantal Games Groen]]</f>
        <v>17</v>
      </c>
    </row>
    <row r="29" spans="15:29" x14ac:dyDescent="0.25">
      <c r="O29" s="251" t="s">
        <v>160</v>
      </c>
      <c r="P29" s="233" t="s">
        <v>169</v>
      </c>
      <c r="Q29" s="234" t="str">
        <f t="shared" si="1"/>
        <v>Tiemen*Stef*</v>
      </c>
      <c r="R29" s="235">
        <f>IF(Tabel12[[#This Row],[Aantal Games Rood]]=0,0,(Tabel12[[#This Row],[Wins Rood]])/Tabel12[[#This Row],[Aantal Games Rood]])</f>
        <v>0.65217391304347827</v>
      </c>
      <c r="S29" s="236">
        <f>IF(Tabel12[[#This Row],[Aantal Games Groen]]=0,0,(Tabel12[[#This Row],[Wins Groen]])/Tabel12[[#This Row],[Aantal Games Groen]])</f>
        <v>0.77777777777777779</v>
      </c>
      <c r="T29" s="242">
        <f>IF(Tabel12[[#This Row],[Aantal games Alg]]=0,0,(Tabel12[[#This Row],[Wins Alg]])/Tabel12[[#This Row],[Aantal games Alg]])</f>
        <v>0.6875</v>
      </c>
      <c r="U29" s="238">
        <f>COUNTIF(Tabel3[Winaar rood],Tabel12[[#This Row],[Team]])</f>
        <v>15</v>
      </c>
      <c r="V29" s="239">
        <f>COUNTIF(Tabel3[Winnaar Groen],Tabel12[[#This Row],[Team]])</f>
        <v>7</v>
      </c>
      <c r="W29" s="223">
        <f>COUNTIF(Tabel3[Winnaars],Tabel12[[#This Row],[Team]])</f>
        <v>22</v>
      </c>
      <c r="X29" s="240">
        <f>Tabel12[[#This Row],[Aantal Games Rood]]-Tabel5[[#This Row],[Wins Rood]]</f>
        <v>22</v>
      </c>
      <c r="Y29" s="239">
        <f>Tabel12[[#This Row],[Aantal Games Groen]]-Tabel5[[#This Row],[Wins Groen]]</f>
        <v>9</v>
      </c>
      <c r="Z29" s="243">
        <f>Tabel12[[#This Row],[Aantal games Alg]]-Tabel5[[#This Row],[Wins Alg]]</f>
        <v>31</v>
      </c>
      <c r="AA29" s="238">
        <f>COUNTIF(Tabel3[Team Rood],Tabel12[[#This Row],[Team]])</f>
        <v>23</v>
      </c>
      <c r="AB29" s="239">
        <f>COUNTIF(Tabel3[Team Groen],Tabel12[[#This Row],[Team]])</f>
        <v>9</v>
      </c>
      <c r="AC29" s="223">
        <f>Tabel12[[#This Row],[Aantal Games Rood]]+Tabel12[[#This Row],[Aantal Games Groen]]</f>
        <v>32</v>
      </c>
    </row>
    <row r="30" spans="15:29" x14ac:dyDescent="0.25">
      <c r="O30" s="251" t="s">
        <v>159</v>
      </c>
      <c r="P30" s="233" t="s">
        <v>164</v>
      </c>
      <c r="Q30" s="234" t="str">
        <f t="shared" si="1"/>
        <v>Jonas*Karel*</v>
      </c>
      <c r="R30" s="235">
        <f>IF(Tabel12[[#This Row],[Aantal Games Rood]]=0,0,(Tabel12[[#This Row],[Wins Rood]])/Tabel12[[#This Row],[Aantal Games Rood]])</f>
        <v>0.69230769230769229</v>
      </c>
      <c r="S30" s="236">
        <f>IF(Tabel12[[#This Row],[Aantal Games Groen]]=0,0,(Tabel12[[#This Row],[Wins Groen]])/Tabel12[[#This Row],[Aantal Games Groen]])</f>
        <v>0.68181818181818177</v>
      </c>
      <c r="T30" s="237">
        <f>IF(Tabel12[[#This Row],[Aantal games Alg]]=0,0,(Tabel12[[#This Row],[Wins Alg]])/Tabel12[[#This Row],[Aantal games Alg]])</f>
        <v>0.68571428571428572</v>
      </c>
      <c r="U30" s="238">
        <f>COUNTIF(Tabel3[Winaar rood],Tabel12[[#This Row],[Team]])</f>
        <v>9</v>
      </c>
      <c r="V30" s="239">
        <f>COUNTIF(Tabel3[Winnaar Groen],Tabel12[[#This Row],[Team]])</f>
        <v>15</v>
      </c>
      <c r="W30" s="223">
        <f>COUNTIF(Tabel3[Winnaars],Tabel12[[#This Row],[Team]])</f>
        <v>24</v>
      </c>
      <c r="X30" s="240">
        <f>Tabel12[[#This Row],[Aantal Games Rood]]-Tabel5[[#This Row],[Wins Rood]]</f>
        <v>13</v>
      </c>
      <c r="Y30" s="239">
        <f>Tabel12[[#This Row],[Aantal Games Groen]]-Tabel5[[#This Row],[Wins Groen]]</f>
        <v>22</v>
      </c>
      <c r="Z30" s="241">
        <f>Tabel12[[#This Row],[Aantal games Alg]]-Tabel5[[#This Row],[Wins Alg]]</f>
        <v>35</v>
      </c>
      <c r="AA30" s="238">
        <f>COUNTIF(Tabel3[Team Rood],Tabel12[[#This Row],[Team]])</f>
        <v>13</v>
      </c>
      <c r="AB30" s="239">
        <f>COUNTIF(Tabel3[Team Groen],Tabel12[[#This Row],[Team]])</f>
        <v>22</v>
      </c>
      <c r="AC30" s="223">
        <f>Tabel12[[#This Row],[Aantal Games Rood]]+Tabel12[[#This Row],[Aantal Games Groen]]</f>
        <v>35</v>
      </c>
    </row>
    <row r="31" spans="15:29" x14ac:dyDescent="0.25">
      <c r="O31" s="251" t="s">
        <v>168</v>
      </c>
      <c r="P31" s="233" t="s">
        <v>160</v>
      </c>
      <c r="Q31" s="234" t="str">
        <f t="shared" si="1"/>
        <v>Coghe*Tiemen*</v>
      </c>
      <c r="R31" s="235">
        <f>IF(Tabel12[[#This Row],[Aantal Games Rood]]=0,0,(Tabel12[[#This Row],[Wins Rood]])/Tabel12[[#This Row],[Aantal Games Rood]])</f>
        <v>1</v>
      </c>
      <c r="S31" s="236">
        <f>IF(Tabel12[[#This Row],[Aantal Games Groen]]=0,0,(Tabel12[[#This Row],[Wins Groen]])/Tabel12[[#This Row],[Aantal Games Groen]])</f>
        <v>0.5</v>
      </c>
      <c r="T31" s="242">
        <f>IF(Tabel12[[#This Row],[Aantal games Alg]]=0,0,(Tabel12[[#This Row],[Wins Alg]])/Tabel12[[#This Row],[Aantal games Alg]])</f>
        <v>0.66666666666666663</v>
      </c>
      <c r="U31" s="238">
        <f>COUNTIF(Tabel3[Winaar rood],Tabel12[[#This Row],[Team]])</f>
        <v>1</v>
      </c>
      <c r="V31" s="239">
        <f>COUNTIF(Tabel3[Winnaar Groen],Tabel12[[#This Row],[Team]])</f>
        <v>1</v>
      </c>
      <c r="W31" s="223">
        <f>COUNTIF(Tabel3[Winnaars],Tabel12[[#This Row],[Team]])</f>
        <v>2</v>
      </c>
      <c r="X31" s="245">
        <f>Tabel12[[#This Row],[Aantal Games Rood]]-Tabel5[[#This Row],[Wins Rood]]</f>
        <v>1</v>
      </c>
      <c r="Y31" s="244">
        <f>Tabel12[[#This Row],[Aantal Games Groen]]-Tabel5[[#This Row],[Wins Groen]]</f>
        <v>2</v>
      </c>
      <c r="Z31" s="246">
        <f>Tabel12[[#This Row],[Aantal games Alg]]-Tabel5[[#This Row],[Wins Alg]]</f>
        <v>3</v>
      </c>
      <c r="AA31" s="238">
        <f>COUNTIF(Tabel3[Team Rood],Tabel12[[#This Row],[Team]])</f>
        <v>1</v>
      </c>
      <c r="AB31" s="239">
        <f>COUNTIF(Tabel3[Team Groen],Tabel12[[#This Row],[Team]])</f>
        <v>2</v>
      </c>
      <c r="AC31" s="223">
        <f>Tabel12[[#This Row],[Aantal Games Rood]]+Tabel12[[#This Row],[Aantal Games Groen]]</f>
        <v>3</v>
      </c>
    </row>
    <row r="32" spans="15:29" x14ac:dyDescent="0.25">
      <c r="O32" s="251" t="s">
        <v>162</v>
      </c>
      <c r="P32" s="233" t="s">
        <v>158</v>
      </c>
      <c r="Q32" s="234" t="str">
        <f t="shared" si="1"/>
        <v>Matthijs*Arno*</v>
      </c>
      <c r="R32" s="235">
        <f>IF(Tabel12[[#This Row],[Aantal Games Rood]]=0,0,(Tabel12[[#This Row],[Wins Rood]])/Tabel12[[#This Row],[Aantal Games Rood]])</f>
        <v>0</v>
      </c>
      <c r="S32" s="236">
        <f>IF(Tabel12[[#This Row],[Aantal Games Groen]]=0,0,(Tabel12[[#This Row],[Wins Groen]])/Tabel12[[#This Row],[Aantal Games Groen]])</f>
        <v>0.66666666666666663</v>
      </c>
      <c r="T32" s="242">
        <f>IF(Tabel12[[#This Row],[Aantal games Alg]]=0,0,(Tabel12[[#This Row],[Wins Alg]])/Tabel12[[#This Row],[Aantal games Alg]])</f>
        <v>0.66666666666666663</v>
      </c>
      <c r="U32" s="238">
        <f>COUNTIF(Tabel3[Winaar rood],Tabel12[[#This Row],[Team]])</f>
        <v>0</v>
      </c>
      <c r="V32" s="239">
        <f>COUNTIF(Tabel3[Winnaar Groen],Tabel12[[#This Row],[Team]])</f>
        <v>2</v>
      </c>
      <c r="W32" s="223">
        <f>COUNTIF(Tabel3[Winnaars],Tabel12[[#This Row],[Team]])</f>
        <v>2</v>
      </c>
      <c r="X32" s="240">
        <f>Tabel12[[#This Row],[Aantal Games Rood]]-Tabel5[[#This Row],[Wins Rood]]</f>
        <v>0</v>
      </c>
      <c r="Y32" s="239">
        <f>Tabel12[[#This Row],[Aantal Games Groen]]-Tabel5[[#This Row],[Wins Groen]]</f>
        <v>3</v>
      </c>
      <c r="Z32" s="243">
        <f>Tabel12[[#This Row],[Aantal games Alg]]-Tabel5[[#This Row],[Wins Alg]]</f>
        <v>3</v>
      </c>
      <c r="AA32" s="238">
        <f>COUNTIF(Tabel3[Team Rood],Tabel12[[#This Row],[Team]])</f>
        <v>0</v>
      </c>
      <c r="AB32" s="239">
        <f>COUNTIF(Tabel3[Team Groen],Tabel12[[#This Row],[Team]])</f>
        <v>3</v>
      </c>
      <c r="AC32" s="223">
        <f>Tabel12[[#This Row],[Aantal Games Rood]]+Tabel12[[#This Row],[Aantal Games Groen]]</f>
        <v>3</v>
      </c>
    </row>
    <row r="33" spans="15:29" x14ac:dyDescent="0.25">
      <c r="O33" s="251" t="s">
        <v>162</v>
      </c>
      <c r="P33" s="233" t="s">
        <v>169</v>
      </c>
      <c r="Q33" s="234" t="str">
        <f t="shared" si="1"/>
        <v>Matthijs*Stef*</v>
      </c>
      <c r="R33" s="235">
        <f>IF(Tabel12[[#This Row],[Aantal Games Rood]]=0,0,(Tabel12[[#This Row],[Wins Rood]])/Tabel12[[#This Row],[Aantal Games Rood]])</f>
        <v>0.69230769230769229</v>
      </c>
      <c r="S33" s="236">
        <f>IF(Tabel12[[#This Row],[Aantal Games Groen]]=0,0,(Tabel12[[#This Row],[Wins Groen]])/Tabel12[[#This Row],[Aantal Games Groen]])</f>
        <v>0.52941176470588236</v>
      </c>
      <c r="T33" s="242">
        <f>IF(Tabel12[[#This Row],[Aantal games Alg]]=0,0,(Tabel12[[#This Row],[Wins Alg]])/Tabel12[[#This Row],[Aantal games Alg]])</f>
        <v>0.6428571428571429</v>
      </c>
      <c r="U33" s="238">
        <f>COUNTIF(Tabel3[Winaar rood],Tabel12[[#This Row],[Team]])</f>
        <v>27</v>
      </c>
      <c r="V33" s="239">
        <f>COUNTIF(Tabel3[Winnaar Groen],Tabel12[[#This Row],[Team]])</f>
        <v>9</v>
      </c>
      <c r="W33" s="223">
        <f>COUNTIF(Tabel3[Winnaars],Tabel12[[#This Row],[Team]])</f>
        <v>36</v>
      </c>
      <c r="X33" s="240">
        <f>Tabel12[[#This Row],[Aantal Games Rood]]-Tabel5[[#This Row],[Wins Rood]]</f>
        <v>39</v>
      </c>
      <c r="Y33" s="239">
        <f>Tabel12[[#This Row],[Aantal Games Groen]]-Tabel5[[#This Row],[Wins Groen]]</f>
        <v>17</v>
      </c>
      <c r="Z33" s="243">
        <f>Tabel12[[#This Row],[Aantal games Alg]]-Tabel5[[#This Row],[Wins Alg]]</f>
        <v>56</v>
      </c>
      <c r="AA33" s="238">
        <f>COUNTIF(Tabel3[Team Rood],Tabel12[[#This Row],[Team]])</f>
        <v>39</v>
      </c>
      <c r="AB33" s="239">
        <f>COUNTIF(Tabel3[Team Groen],Tabel12[[#This Row],[Team]])</f>
        <v>17</v>
      </c>
      <c r="AC33" s="223">
        <f>Tabel12[[#This Row],[Aantal Games Rood]]+Tabel12[[#This Row],[Aantal Games Groen]]</f>
        <v>56</v>
      </c>
    </row>
    <row r="34" spans="15:29" x14ac:dyDescent="0.25">
      <c r="O34" s="251" t="s">
        <v>169</v>
      </c>
      <c r="P34" s="233" t="s">
        <v>163</v>
      </c>
      <c r="Q34" s="234" t="str">
        <f t="shared" ref="Q34:Q65" si="4">O34&amp;P34</f>
        <v>Stef*Bert*</v>
      </c>
      <c r="R34" s="235">
        <f>IF(Tabel12[[#This Row],[Aantal Games Rood]]=0,0,(Tabel12[[#This Row],[Wins Rood]])/Tabel12[[#This Row],[Aantal Games Rood]])</f>
        <v>0.70588235294117652</v>
      </c>
      <c r="S34" s="236">
        <f>IF(Tabel12[[#This Row],[Aantal Games Groen]]=0,0,(Tabel12[[#This Row],[Wins Groen]])/Tabel12[[#This Row],[Aantal Games Groen]])</f>
        <v>0.42857142857142855</v>
      </c>
      <c r="T34" s="237">
        <f>IF(Tabel12[[#This Row],[Aantal games Alg]]=0,0,(Tabel12[[#This Row],[Wins Alg]])/Tabel12[[#This Row],[Aantal games Alg]])</f>
        <v>0.625</v>
      </c>
      <c r="U34" s="238">
        <f>COUNTIF(Tabel3[Winaar rood],Tabel12[[#This Row],[Team]])</f>
        <v>12</v>
      </c>
      <c r="V34" s="239">
        <f>COUNTIF(Tabel3[Winnaar Groen],Tabel12[[#This Row],[Team]])</f>
        <v>3</v>
      </c>
      <c r="W34" s="223">
        <f>COUNTIF(Tabel3[Winnaars],Tabel12[[#This Row],[Team]])</f>
        <v>15</v>
      </c>
      <c r="X34" s="240">
        <f>Tabel12[[#This Row],[Aantal Games Rood]]-Tabel5[[#This Row],[Wins Rood]]</f>
        <v>17</v>
      </c>
      <c r="Y34" s="239">
        <f>Tabel12[[#This Row],[Aantal Games Groen]]-Tabel5[[#This Row],[Wins Groen]]</f>
        <v>5</v>
      </c>
      <c r="Z34" s="241">
        <f>Tabel12[[#This Row],[Aantal games Alg]]-Tabel5[[#This Row],[Wins Alg]]</f>
        <v>22</v>
      </c>
      <c r="AA34" s="238">
        <f>COUNTIF(Tabel3[Team Rood],Tabel12[[#This Row],[Team]])</f>
        <v>17</v>
      </c>
      <c r="AB34" s="239">
        <f>COUNTIF(Tabel3[Team Groen],Tabel12[[#This Row],[Team]])</f>
        <v>7</v>
      </c>
      <c r="AC34" s="223">
        <f>Tabel12[[#This Row],[Aantal Games Rood]]+Tabel12[[#This Row],[Aantal Games Groen]]</f>
        <v>24</v>
      </c>
    </row>
    <row r="35" spans="15:29" x14ac:dyDescent="0.25">
      <c r="O35" s="251" t="s">
        <v>169</v>
      </c>
      <c r="P35" s="233" t="s">
        <v>160</v>
      </c>
      <c r="Q35" s="234" t="str">
        <f t="shared" si="4"/>
        <v>Stef*Tiemen*</v>
      </c>
      <c r="R35" s="235">
        <f>IF(Tabel12[[#This Row],[Aantal Games Rood]]=0,0,(Tabel12[[#This Row],[Wins Rood]])/Tabel12[[#This Row],[Aantal Games Rood]])</f>
        <v>0.7142857142857143</v>
      </c>
      <c r="S35" s="236">
        <f>IF(Tabel12[[#This Row],[Aantal Games Groen]]=0,0,(Tabel12[[#This Row],[Wins Groen]])/Tabel12[[#This Row],[Aantal Games Groen]])</f>
        <v>0.55000000000000004</v>
      </c>
      <c r="T35" s="237">
        <f>IF(Tabel12[[#This Row],[Aantal games Alg]]=0,0,(Tabel12[[#This Row],[Wins Alg]])/Tabel12[[#This Row],[Aantal games Alg]])</f>
        <v>0.61764705882352944</v>
      </c>
      <c r="U35" s="238">
        <f>COUNTIF(Tabel3[Winaar rood],Tabel12[[#This Row],[Team]])</f>
        <v>10</v>
      </c>
      <c r="V35" s="239">
        <f>COUNTIF(Tabel3[Winnaar Groen],Tabel12[[#This Row],[Team]])</f>
        <v>11</v>
      </c>
      <c r="W35" s="223">
        <f>COUNTIF(Tabel3[Winnaars],Tabel12[[#This Row],[Team]])</f>
        <v>21</v>
      </c>
      <c r="X35" s="240">
        <f>Tabel12[[#This Row],[Aantal Games Rood]]-Tabel5[[#This Row],[Wins Rood]]</f>
        <v>14</v>
      </c>
      <c r="Y35" s="239">
        <f>Tabel12[[#This Row],[Aantal Games Groen]]-Tabel5[[#This Row],[Wins Groen]]</f>
        <v>20</v>
      </c>
      <c r="Z35" s="241">
        <f>Tabel12[[#This Row],[Aantal games Alg]]-Tabel5[[#This Row],[Wins Alg]]</f>
        <v>34</v>
      </c>
      <c r="AA35" s="238">
        <f>COUNTIF(Tabel3[Team Rood],Tabel12[[#This Row],[Team]])</f>
        <v>14</v>
      </c>
      <c r="AB35" s="239">
        <f>COUNTIF(Tabel3[Team Groen],Tabel12[[#This Row],[Team]])</f>
        <v>20</v>
      </c>
      <c r="AC35" s="223">
        <f>Tabel12[[#This Row],[Aantal Games Rood]]+Tabel12[[#This Row],[Aantal Games Groen]]</f>
        <v>34</v>
      </c>
    </row>
    <row r="36" spans="15:29" x14ac:dyDescent="0.25">
      <c r="O36" s="251" t="s">
        <v>164</v>
      </c>
      <c r="P36" s="233" t="s">
        <v>163</v>
      </c>
      <c r="Q36" s="234" t="str">
        <f t="shared" si="4"/>
        <v>Karel*Bert*</v>
      </c>
      <c r="R36" s="235">
        <f>IF(Tabel12[[#This Row],[Aantal Games Rood]]=0,0,(Tabel12[[#This Row],[Wins Rood]])/Tabel12[[#This Row],[Aantal Games Rood]])</f>
        <v>0.66666666666666663</v>
      </c>
      <c r="S36" s="236">
        <f>IF(Tabel12[[#This Row],[Aantal Games Groen]]=0,0,(Tabel12[[#This Row],[Wins Groen]])/Tabel12[[#This Row],[Aantal Games Groen]])</f>
        <v>0.5714285714285714</v>
      </c>
      <c r="T36" s="237">
        <f>IF(Tabel12[[#This Row],[Aantal games Alg]]=0,0,(Tabel12[[#This Row],[Wins Alg]])/Tabel12[[#This Row],[Aantal games Alg]])</f>
        <v>0.61538461538461542</v>
      </c>
      <c r="U36" s="238">
        <f>COUNTIF(Tabel3[Winaar rood],Tabel12[[#This Row],[Team]])</f>
        <v>4</v>
      </c>
      <c r="V36" s="239">
        <f>COUNTIF(Tabel3[Winnaar Groen],Tabel12[[#This Row],[Team]])</f>
        <v>4</v>
      </c>
      <c r="W36" s="223">
        <f>COUNTIF(Tabel3[Winnaars],Tabel12[[#This Row],[Team]])</f>
        <v>8</v>
      </c>
      <c r="X36" s="240">
        <f>Tabel12[[#This Row],[Aantal Games Rood]]-Tabel5[[#This Row],[Wins Rood]]</f>
        <v>6</v>
      </c>
      <c r="Y36" s="239">
        <f>Tabel12[[#This Row],[Aantal Games Groen]]-Tabel5[[#This Row],[Wins Groen]]</f>
        <v>6</v>
      </c>
      <c r="Z36" s="241">
        <f>Tabel12[[#This Row],[Aantal games Alg]]-Tabel5[[#This Row],[Wins Alg]]</f>
        <v>12</v>
      </c>
      <c r="AA36" s="238">
        <f>COUNTIF(Tabel3[Team Rood],Tabel12[[#This Row],[Team]])</f>
        <v>6</v>
      </c>
      <c r="AB36" s="239">
        <f>COUNTIF(Tabel3[Team Groen],Tabel12[[#This Row],[Team]])</f>
        <v>7</v>
      </c>
      <c r="AC36" s="223">
        <f>Tabel12[[#This Row],[Aantal Games Rood]]+Tabel12[[#This Row],[Aantal Games Groen]]</f>
        <v>13</v>
      </c>
    </row>
    <row r="37" spans="15:29" x14ac:dyDescent="0.25">
      <c r="O37" s="251" t="s">
        <v>159</v>
      </c>
      <c r="P37" s="233" t="s">
        <v>163</v>
      </c>
      <c r="Q37" s="234" t="str">
        <f t="shared" si="4"/>
        <v>Jonas*Bert*</v>
      </c>
      <c r="R37" s="235">
        <f>IF(Tabel12[[#This Row],[Aantal Games Rood]]=0,0,(Tabel12[[#This Row],[Wins Rood]])/Tabel12[[#This Row],[Aantal Games Rood]])</f>
        <v>0.7142857142857143</v>
      </c>
      <c r="S37" s="236">
        <f>IF(Tabel12[[#This Row],[Aantal Games Groen]]=0,0,(Tabel12[[#This Row],[Wins Groen]])/Tabel12[[#This Row],[Aantal Games Groen]])</f>
        <v>0.54545454545454541</v>
      </c>
      <c r="T37" s="237">
        <f>IF(Tabel12[[#This Row],[Aantal games Alg]]=0,0,(Tabel12[[#This Row],[Wins Alg]])/Tabel12[[#This Row],[Aantal games Alg]])</f>
        <v>0.61111111111111116</v>
      </c>
      <c r="U37" s="238">
        <f>COUNTIF(Tabel3[Winaar rood],Tabel12[[#This Row],[Team]])</f>
        <v>5</v>
      </c>
      <c r="V37" s="239">
        <f>COUNTIF(Tabel3[Winnaar Groen],Tabel12[[#This Row],[Team]])</f>
        <v>6</v>
      </c>
      <c r="W37" s="223">
        <f>COUNTIF(Tabel3[Winnaars],Tabel12[[#This Row],[Team]])</f>
        <v>11</v>
      </c>
      <c r="X37" s="240">
        <f>Tabel12[[#This Row],[Aantal Games Rood]]-Tabel5[[#This Row],[Wins Rood]]</f>
        <v>7</v>
      </c>
      <c r="Y37" s="239">
        <f>Tabel12[[#This Row],[Aantal Games Groen]]-Tabel5[[#This Row],[Wins Groen]]</f>
        <v>11</v>
      </c>
      <c r="Z37" s="241">
        <f>Tabel12[[#This Row],[Aantal games Alg]]-Tabel5[[#This Row],[Wins Alg]]</f>
        <v>18</v>
      </c>
      <c r="AA37" s="238">
        <f>COUNTIF(Tabel3[Team Rood],Tabel12[[#This Row],[Team]])</f>
        <v>7</v>
      </c>
      <c r="AB37" s="239">
        <f>COUNTIF(Tabel3[Team Groen],Tabel12[[#This Row],[Team]])</f>
        <v>11</v>
      </c>
      <c r="AC37" s="223">
        <f>Tabel12[[#This Row],[Aantal Games Rood]]+Tabel12[[#This Row],[Aantal Games Groen]]</f>
        <v>18</v>
      </c>
    </row>
    <row r="38" spans="15:29" x14ac:dyDescent="0.25">
      <c r="O38" s="251" t="s">
        <v>164</v>
      </c>
      <c r="P38" s="233" t="s">
        <v>160</v>
      </c>
      <c r="Q38" s="234" t="str">
        <f t="shared" si="4"/>
        <v>Karel*Tiemen*</v>
      </c>
      <c r="R38" s="235">
        <f>IF(Tabel12[[#This Row],[Aantal Games Rood]]=0,0,(Tabel12[[#This Row],[Wins Rood]])/Tabel12[[#This Row],[Aantal Games Rood]])</f>
        <v>0.58333333333333337</v>
      </c>
      <c r="S38" s="236">
        <f>IF(Tabel12[[#This Row],[Aantal Games Groen]]=0,0,(Tabel12[[#This Row],[Wins Groen]])/Tabel12[[#This Row],[Aantal Games Groen]])</f>
        <v>0.61538461538461542</v>
      </c>
      <c r="T38" s="237">
        <f>IF(Tabel12[[#This Row],[Aantal games Alg]]=0,0,(Tabel12[[#This Row],[Wins Alg]])/Tabel12[[#This Row],[Aantal games Alg]])</f>
        <v>0.6</v>
      </c>
      <c r="U38" s="238">
        <f>COUNTIF(Tabel3[Winaar rood],Tabel12[[#This Row],[Team]])</f>
        <v>7</v>
      </c>
      <c r="V38" s="239">
        <f>COUNTIF(Tabel3[Winnaar Groen],Tabel12[[#This Row],[Team]])</f>
        <v>8</v>
      </c>
      <c r="W38" s="223">
        <f>COUNTIF(Tabel3[Winnaars],Tabel12[[#This Row],[Team]])</f>
        <v>15</v>
      </c>
      <c r="X38" s="240">
        <f>Tabel12[[#This Row],[Aantal Games Rood]]-Tabel5[[#This Row],[Wins Rood]]</f>
        <v>11</v>
      </c>
      <c r="Y38" s="239">
        <f>Tabel12[[#This Row],[Aantal Games Groen]]-Tabel5[[#This Row],[Wins Groen]]</f>
        <v>13</v>
      </c>
      <c r="Z38" s="241">
        <f>Tabel12[[#This Row],[Aantal games Alg]]-Tabel5[[#This Row],[Wins Alg]]</f>
        <v>24</v>
      </c>
      <c r="AA38" s="238">
        <f>COUNTIF(Tabel3[Team Rood],Tabel12[[#This Row],[Team]])</f>
        <v>12</v>
      </c>
      <c r="AB38" s="239">
        <f>COUNTIF(Tabel3[Team Groen],Tabel12[[#This Row],[Team]])</f>
        <v>13</v>
      </c>
      <c r="AC38" s="223">
        <f>Tabel12[[#This Row],[Aantal Games Rood]]+Tabel12[[#This Row],[Aantal Games Groen]]</f>
        <v>25</v>
      </c>
    </row>
    <row r="39" spans="15:29" x14ac:dyDescent="0.25">
      <c r="O39" s="251" t="s">
        <v>169</v>
      </c>
      <c r="P39" s="233" t="s">
        <v>158</v>
      </c>
      <c r="Q39" s="234" t="str">
        <f t="shared" si="4"/>
        <v>Stef*Arno*</v>
      </c>
      <c r="R39" s="235">
        <f>IF(Tabel12[[#This Row],[Aantal Games Rood]]=0,0,(Tabel12[[#This Row],[Wins Rood]])/Tabel12[[#This Row],[Aantal Games Rood]])</f>
        <v>1</v>
      </c>
      <c r="S39" s="236">
        <f>IF(Tabel12[[#This Row],[Aantal Games Groen]]=0,0,(Tabel12[[#This Row],[Wins Groen]])/Tabel12[[#This Row],[Aantal Games Groen]])</f>
        <v>0.33333333333333331</v>
      </c>
      <c r="T39" s="237">
        <f>IF(Tabel12[[#This Row],[Aantal games Alg]]=0,0,(Tabel12[[#This Row],[Wins Alg]])/Tabel12[[#This Row],[Aantal games Alg]])</f>
        <v>0.6</v>
      </c>
      <c r="U39" s="238">
        <f>COUNTIF(Tabel3[Winaar rood],Tabel12[[#This Row],[Team]])</f>
        <v>2</v>
      </c>
      <c r="V39" s="239">
        <f>COUNTIF(Tabel3[Winnaar Groen],Tabel12[[#This Row],[Team]])</f>
        <v>1</v>
      </c>
      <c r="W39" s="223">
        <f>COUNTIF(Tabel3[Winnaars],Tabel12[[#This Row],[Team]])</f>
        <v>3</v>
      </c>
      <c r="X39" s="240">
        <f>Tabel12[[#This Row],[Aantal Games Rood]]-Tabel5[[#This Row],[Wins Rood]]</f>
        <v>2</v>
      </c>
      <c r="Y39" s="239">
        <f>Tabel12[[#This Row],[Aantal Games Groen]]-Tabel5[[#This Row],[Wins Groen]]</f>
        <v>2</v>
      </c>
      <c r="Z39" s="241">
        <f>Tabel12[[#This Row],[Aantal games Alg]]-Tabel5[[#This Row],[Wins Alg]]</f>
        <v>4</v>
      </c>
      <c r="AA39" s="238">
        <f>COUNTIF(Tabel3[Team Rood],Tabel12[[#This Row],[Team]])</f>
        <v>2</v>
      </c>
      <c r="AB39" s="239">
        <f>COUNTIF(Tabel3[Team Groen],Tabel12[[#This Row],[Team]])</f>
        <v>3</v>
      </c>
      <c r="AC39" s="223">
        <f>Tabel12[[#This Row],[Aantal Games Rood]]+Tabel12[[#This Row],[Aantal Games Groen]]</f>
        <v>5</v>
      </c>
    </row>
    <row r="40" spans="15:29" x14ac:dyDescent="0.25">
      <c r="O40" s="251" t="s">
        <v>169</v>
      </c>
      <c r="P40" s="233" t="s">
        <v>159</v>
      </c>
      <c r="Q40" s="234" t="str">
        <f t="shared" si="4"/>
        <v>Stef*Jonas*</v>
      </c>
      <c r="R40" s="235">
        <f>IF(Tabel12[[#This Row],[Aantal Games Rood]]=0,0,(Tabel12[[#This Row],[Wins Rood]])/Tabel12[[#This Row],[Aantal Games Rood]])</f>
        <v>0.625</v>
      </c>
      <c r="S40" s="236">
        <f>IF(Tabel12[[#This Row],[Aantal Games Groen]]=0,0,(Tabel12[[#This Row],[Wins Groen]])/Tabel12[[#This Row],[Aantal Games Groen]])</f>
        <v>0.53333333333333333</v>
      </c>
      <c r="T40" s="242">
        <f>IF(Tabel12[[#This Row],[Aantal games Alg]]=0,0,(Tabel12[[#This Row],[Wins Alg]])/Tabel12[[#This Row],[Aantal games Alg]])</f>
        <v>0.58064516129032262</v>
      </c>
      <c r="U40" s="238">
        <f>COUNTIF(Tabel3[Winaar rood],Tabel12[[#This Row],[Team]])</f>
        <v>10</v>
      </c>
      <c r="V40" s="239">
        <f>COUNTIF(Tabel3[Winnaar Groen],Tabel12[[#This Row],[Team]])</f>
        <v>8</v>
      </c>
      <c r="W40" s="223">
        <f>COUNTIF(Tabel3[Winnaars],Tabel12[[#This Row],[Team]])</f>
        <v>18</v>
      </c>
      <c r="X40" s="240">
        <f>Tabel12[[#This Row],[Aantal Games Rood]]-Tabel5[[#This Row],[Wins Rood]]</f>
        <v>16</v>
      </c>
      <c r="Y40" s="239">
        <f>Tabel12[[#This Row],[Aantal Games Groen]]-Tabel5[[#This Row],[Wins Groen]]</f>
        <v>15</v>
      </c>
      <c r="Z40" s="243">
        <f>Tabel12[[#This Row],[Aantal games Alg]]-Tabel5[[#This Row],[Wins Alg]]</f>
        <v>31</v>
      </c>
      <c r="AA40" s="238">
        <f>COUNTIF(Tabel3[Team Rood],Tabel12[[#This Row],[Team]])</f>
        <v>16</v>
      </c>
      <c r="AB40" s="239">
        <f>COUNTIF(Tabel3[Team Groen],Tabel12[[#This Row],[Team]])</f>
        <v>15</v>
      </c>
      <c r="AC40" s="223">
        <f>Tabel12[[#This Row],[Aantal Games Rood]]+Tabel12[[#This Row],[Aantal Games Groen]]</f>
        <v>31</v>
      </c>
    </row>
    <row r="41" spans="15:29" x14ac:dyDescent="0.25">
      <c r="O41" s="251" t="s">
        <v>159</v>
      </c>
      <c r="P41" s="233" t="s">
        <v>160</v>
      </c>
      <c r="Q41" s="234" t="str">
        <f t="shared" si="4"/>
        <v>Jonas*Tiemen*</v>
      </c>
      <c r="R41" s="235">
        <f>IF(Tabel12[[#This Row],[Aantal Games Rood]]=0,0,(Tabel12[[#This Row],[Wins Rood]])/Tabel12[[#This Row],[Aantal Games Rood]])</f>
        <v>0.6875</v>
      </c>
      <c r="S41" s="236">
        <f>IF(Tabel12[[#This Row],[Aantal Games Groen]]=0,0,(Tabel12[[#This Row],[Wins Groen]])/Tabel12[[#This Row],[Aantal Games Groen]])</f>
        <v>0.5</v>
      </c>
      <c r="T41" s="242">
        <f>IF(Tabel12[[#This Row],[Aantal games Alg]]=0,0,(Tabel12[[#This Row],[Wins Alg]])/Tabel12[[#This Row],[Aantal games Alg]])</f>
        <v>0.57499999999999996</v>
      </c>
      <c r="U41" s="238">
        <f>COUNTIF(Tabel3[Winaar rood],Tabel12[[#This Row],[Team]])</f>
        <v>11</v>
      </c>
      <c r="V41" s="239">
        <f>COUNTIF(Tabel3[Winnaar Groen],Tabel12[[#This Row],[Team]])</f>
        <v>12</v>
      </c>
      <c r="W41" s="223">
        <f>COUNTIF(Tabel3[Winnaars],Tabel12[[#This Row],[Team]])</f>
        <v>23</v>
      </c>
      <c r="X41" s="240">
        <f>Tabel12[[#This Row],[Aantal Games Rood]]-Tabel5[[#This Row],[Wins Rood]]</f>
        <v>15</v>
      </c>
      <c r="Y41" s="239">
        <f>Tabel12[[#This Row],[Aantal Games Groen]]-Tabel5[[#This Row],[Wins Groen]]</f>
        <v>19</v>
      </c>
      <c r="Z41" s="243">
        <f>Tabel12[[#This Row],[Aantal games Alg]]-Tabel5[[#This Row],[Wins Alg]]</f>
        <v>34</v>
      </c>
      <c r="AA41" s="238">
        <f>COUNTIF(Tabel3[Team Rood],Tabel12[[#This Row],[Team]])</f>
        <v>16</v>
      </c>
      <c r="AB41" s="239">
        <f>COUNTIF(Tabel3[Team Groen],Tabel12[[#This Row],[Team]])</f>
        <v>24</v>
      </c>
      <c r="AC41" s="223">
        <f>Tabel12[[#This Row],[Aantal Games Rood]]+Tabel12[[#This Row],[Aantal Games Groen]]</f>
        <v>40</v>
      </c>
    </row>
    <row r="42" spans="15:29" x14ac:dyDescent="0.25">
      <c r="O42" s="251" t="s">
        <v>161</v>
      </c>
      <c r="P42" s="233" t="s">
        <v>160</v>
      </c>
      <c r="Q42" s="234" t="str">
        <f t="shared" si="4"/>
        <v>Louis*Tiemen*</v>
      </c>
      <c r="R42" s="235">
        <f>IF(Tabel12[[#This Row],[Aantal Games Rood]]=0,0,(Tabel12[[#This Row],[Wins Rood]])/Tabel12[[#This Row],[Aantal Games Rood]])</f>
        <v>0.5</v>
      </c>
      <c r="S42" s="236">
        <f>IF(Tabel12[[#This Row],[Aantal Games Groen]]=0,0,(Tabel12[[#This Row],[Wins Groen]])/Tabel12[[#This Row],[Aantal Games Groen]])</f>
        <v>0.66666666666666663</v>
      </c>
      <c r="T42" s="242">
        <f>IF(Tabel12[[#This Row],[Aantal games Alg]]=0,0,(Tabel12[[#This Row],[Wins Alg]])/Tabel12[[#This Row],[Aantal games Alg]])</f>
        <v>0.5714285714285714</v>
      </c>
      <c r="U42" s="238">
        <f>COUNTIF(Tabel3[Winaar rood],Tabel12[[#This Row],[Team]])</f>
        <v>4</v>
      </c>
      <c r="V42" s="239">
        <f>COUNTIF(Tabel3[Winnaar Groen],Tabel12[[#This Row],[Team]])</f>
        <v>4</v>
      </c>
      <c r="W42" s="223">
        <f>COUNTIF(Tabel3[Winnaars],Tabel12[[#This Row],[Team]])</f>
        <v>8</v>
      </c>
      <c r="X42" s="240">
        <f>Tabel12[[#This Row],[Aantal Games Rood]]-Tabel5[[#This Row],[Wins Rood]]</f>
        <v>8</v>
      </c>
      <c r="Y42" s="239">
        <f>Tabel12[[#This Row],[Aantal Games Groen]]-Tabel5[[#This Row],[Wins Groen]]</f>
        <v>6</v>
      </c>
      <c r="Z42" s="243">
        <f>Tabel12[[#This Row],[Aantal games Alg]]-Tabel5[[#This Row],[Wins Alg]]</f>
        <v>14</v>
      </c>
      <c r="AA42" s="238">
        <f>COUNTIF(Tabel3[Team Rood],Tabel12[[#This Row],[Team]])</f>
        <v>8</v>
      </c>
      <c r="AB42" s="239">
        <f>COUNTIF(Tabel3[Team Groen],Tabel12[[#This Row],[Team]])</f>
        <v>6</v>
      </c>
      <c r="AC42" s="223">
        <f>Tabel12[[#This Row],[Aantal Games Rood]]+Tabel12[[#This Row],[Aantal Games Groen]]</f>
        <v>14</v>
      </c>
    </row>
    <row r="43" spans="15:29" x14ac:dyDescent="0.25">
      <c r="O43" s="251" t="s">
        <v>160</v>
      </c>
      <c r="P43" s="233" t="s">
        <v>164</v>
      </c>
      <c r="Q43" s="234" t="str">
        <f t="shared" si="4"/>
        <v>Tiemen*Karel*</v>
      </c>
      <c r="R43" s="235">
        <f>IF(Tabel12[[#This Row],[Aantal Games Rood]]=0,0,(Tabel12[[#This Row],[Wins Rood]])/Tabel12[[#This Row],[Aantal Games Rood]])</f>
        <v>0.77777777777777779</v>
      </c>
      <c r="S43" s="236">
        <f>IF(Tabel12[[#This Row],[Aantal Games Groen]]=0,0,(Tabel12[[#This Row],[Wins Groen]])/Tabel12[[#This Row],[Aantal Games Groen]])</f>
        <v>0.42857142857142855</v>
      </c>
      <c r="T43" s="237">
        <f>IF(Tabel12[[#This Row],[Aantal games Alg]]=0,0,(Tabel12[[#This Row],[Wins Alg]])/Tabel12[[#This Row],[Aantal games Alg]])</f>
        <v>0.56521739130434778</v>
      </c>
      <c r="U43" s="238">
        <f>COUNTIF(Tabel3[Winaar rood],Tabel12[[#This Row],[Team]])</f>
        <v>7</v>
      </c>
      <c r="V43" s="239">
        <f>COUNTIF(Tabel3[Winnaar Groen],Tabel12[[#This Row],[Team]])</f>
        <v>6</v>
      </c>
      <c r="W43" s="223">
        <f>COUNTIF(Tabel3[Winnaars],Tabel12[[#This Row],[Team]])</f>
        <v>13</v>
      </c>
      <c r="X43" s="240">
        <f>Tabel12[[#This Row],[Aantal Games Rood]]-Tabel5[[#This Row],[Wins Rood]]</f>
        <v>8</v>
      </c>
      <c r="Y43" s="239">
        <f>Tabel12[[#This Row],[Aantal Games Groen]]-Tabel5[[#This Row],[Wins Groen]]</f>
        <v>14</v>
      </c>
      <c r="Z43" s="241">
        <f>Tabel12[[#This Row],[Aantal games Alg]]-Tabel5[[#This Row],[Wins Alg]]</f>
        <v>22</v>
      </c>
      <c r="AA43" s="238">
        <f>COUNTIF(Tabel3[Team Rood],Tabel12[[#This Row],[Team]])</f>
        <v>9</v>
      </c>
      <c r="AB43" s="239">
        <f>COUNTIF(Tabel3[Team Groen],Tabel12[[#This Row],[Team]])</f>
        <v>14</v>
      </c>
      <c r="AC43" s="223">
        <f>Tabel12[[#This Row],[Aantal Games Rood]]+Tabel12[[#This Row],[Aantal Games Groen]]</f>
        <v>23</v>
      </c>
    </row>
    <row r="44" spans="15:29" x14ac:dyDescent="0.25">
      <c r="O44" s="251" t="s">
        <v>169</v>
      </c>
      <c r="P44" s="233" t="s">
        <v>162</v>
      </c>
      <c r="Q44" s="234" t="str">
        <f t="shared" si="4"/>
        <v>Stef*Matthijs*</v>
      </c>
      <c r="R44" s="235">
        <f>IF(Tabel12[[#This Row],[Aantal Games Rood]]=0,0,(Tabel12[[#This Row],[Wins Rood]])/Tabel12[[#This Row],[Aantal Games Rood]])</f>
        <v>0.46153846153846156</v>
      </c>
      <c r="S44" s="236">
        <f>IF(Tabel12[[#This Row],[Aantal Games Groen]]=0,0,(Tabel12[[#This Row],[Wins Groen]])/Tabel12[[#This Row],[Aantal Games Groen]])</f>
        <v>0.66666666666666663</v>
      </c>
      <c r="T44" s="237">
        <f>IF(Tabel12[[#This Row],[Aantal games Alg]]=0,0,(Tabel12[[#This Row],[Wins Alg]])/Tabel12[[#This Row],[Aantal games Alg]])</f>
        <v>0.54545454545454541</v>
      </c>
      <c r="U44" s="238">
        <f>COUNTIF(Tabel3[Winaar rood],Tabel12[[#This Row],[Team]])</f>
        <v>6</v>
      </c>
      <c r="V44" s="239">
        <f>COUNTIF(Tabel3[Winnaar Groen],Tabel12[[#This Row],[Team]])</f>
        <v>6</v>
      </c>
      <c r="W44" s="223">
        <f>COUNTIF(Tabel3[Winnaars],Tabel12[[#This Row],[Team]])</f>
        <v>12</v>
      </c>
      <c r="X44" s="240">
        <f>Tabel12[[#This Row],[Aantal Games Rood]]-Tabel5[[#This Row],[Wins Rood]]</f>
        <v>13</v>
      </c>
      <c r="Y44" s="239">
        <f>Tabel12[[#This Row],[Aantal Games Groen]]-Tabel5[[#This Row],[Wins Groen]]</f>
        <v>8</v>
      </c>
      <c r="Z44" s="241">
        <f>Tabel12[[#This Row],[Aantal games Alg]]-Tabel5[[#This Row],[Wins Alg]]</f>
        <v>21</v>
      </c>
      <c r="AA44" s="238">
        <f>COUNTIF(Tabel3[Team Rood],Tabel12[[#This Row],[Team]])</f>
        <v>13</v>
      </c>
      <c r="AB44" s="239">
        <f>COUNTIF(Tabel3[Team Groen],Tabel12[[#This Row],[Team]])</f>
        <v>9</v>
      </c>
      <c r="AC44" s="223">
        <f>Tabel12[[#This Row],[Aantal Games Rood]]+Tabel12[[#This Row],[Aantal Games Groen]]</f>
        <v>22</v>
      </c>
    </row>
    <row r="45" spans="15:29" x14ac:dyDescent="0.25">
      <c r="O45" s="251" t="s">
        <v>162</v>
      </c>
      <c r="P45" s="233" t="s">
        <v>164</v>
      </c>
      <c r="Q45" s="234" t="str">
        <f t="shared" si="4"/>
        <v>Matthijs*Karel*</v>
      </c>
      <c r="R45" s="235">
        <f>IF(Tabel12[[#This Row],[Aantal Games Rood]]=0,0,(Tabel12[[#This Row],[Wins Rood]])/Tabel12[[#This Row],[Aantal Games Rood]])</f>
        <v>0.41666666666666669</v>
      </c>
      <c r="S45" s="236">
        <f>IF(Tabel12[[#This Row],[Aantal Games Groen]]=0,0,(Tabel12[[#This Row],[Wins Groen]])/Tabel12[[#This Row],[Aantal Games Groen]])</f>
        <v>0.58823529411764708</v>
      </c>
      <c r="T45" s="237">
        <f>IF(Tabel12[[#This Row],[Aantal games Alg]]=0,0,(Tabel12[[#This Row],[Wins Alg]])/Tabel12[[#This Row],[Aantal games Alg]])</f>
        <v>0.51724137931034486</v>
      </c>
      <c r="U45" s="238">
        <f>COUNTIF(Tabel3[Winaar rood],Tabel12[[#This Row],[Team]])</f>
        <v>5</v>
      </c>
      <c r="V45" s="239">
        <f>COUNTIF(Tabel3[Winnaar Groen],Tabel12[[#This Row],[Team]])</f>
        <v>10</v>
      </c>
      <c r="W45" s="223">
        <f>COUNTIF(Tabel3[Winnaars],Tabel12[[#This Row],[Team]])</f>
        <v>15</v>
      </c>
      <c r="X45" s="240">
        <f>Tabel12[[#This Row],[Aantal Games Rood]]-Tabel5[[#This Row],[Wins Rood]]</f>
        <v>12</v>
      </c>
      <c r="Y45" s="239">
        <f>Tabel12[[#This Row],[Aantal Games Groen]]-Tabel5[[#This Row],[Wins Groen]]</f>
        <v>17</v>
      </c>
      <c r="Z45" s="241">
        <f>Tabel12[[#This Row],[Aantal games Alg]]-Tabel5[[#This Row],[Wins Alg]]</f>
        <v>29</v>
      </c>
      <c r="AA45" s="238">
        <f>COUNTIF(Tabel3[Team Rood],Tabel12[[#This Row],[Team]])</f>
        <v>12</v>
      </c>
      <c r="AB45" s="239">
        <f>COUNTIF(Tabel3[Team Groen],Tabel12[[#This Row],[Team]])</f>
        <v>17</v>
      </c>
      <c r="AC45" s="223">
        <f>Tabel12[[#This Row],[Aantal Games Rood]]+Tabel12[[#This Row],[Aantal Games Groen]]</f>
        <v>29</v>
      </c>
    </row>
    <row r="46" spans="15:29" x14ac:dyDescent="0.25">
      <c r="O46" s="251" t="s">
        <v>158</v>
      </c>
      <c r="P46" s="233" t="s">
        <v>164</v>
      </c>
      <c r="Q46" s="234" t="str">
        <f t="shared" si="4"/>
        <v>Arno*Karel*</v>
      </c>
      <c r="R46" s="235">
        <f>IF(Tabel12[[#This Row],[Aantal Games Rood]]=0,0,(Tabel12[[#This Row],[Wins Rood]])/Tabel12[[#This Row],[Aantal Games Rood]])</f>
        <v>0.5</v>
      </c>
      <c r="S46" s="236">
        <f>IF(Tabel12[[#This Row],[Aantal Games Groen]]=0,0,(Tabel12[[#This Row],[Wins Groen]])/Tabel12[[#This Row],[Aantal Games Groen]])</f>
        <v>0</v>
      </c>
      <c r="T46" s="242">
        <f>IF(Tabel12[[#This Row],[Aantal games Alg]]=0,0,(Tabel12[[#This Row],[Wins Alg]])/Tabel12[[#This Row],[Aantal games Alg]])</f>
        <v>0.5</v>
      </c>
      <c r="U46" s="238">
        <f>COUNTIF(Tabel3[Winaar rood],Tabel12[[#This Row],[Team]])</f>
        <v>1</v>
      </c>
      <c r="V46" s="239">
        <f>COUNTIF(Tabel3[Winnaar Groen],Tabel12[[#This Row],[Team]])</f>
        <v>0</v>
      </c>
      <c r="W46" s="223">
        <f>COUNTIF(Tabel3[Winnaars],Tabel12[[#This Row],[Team]])</f>
        <v>1</v>
      </c>
      <c r="X46" s="240">
        <f>Tabel12[[#This Row],[Aantal Games Rood]]-Tabel5[[#This Row],[Wins Rood]]</f>
        <v>-8</v>
      </c>
      <c r="Y46" s="239">
        <f>Tabel12[[#This Row],[Aantal Games Groen]]-Tabel5[[#This Row],[Wins Groen]]</f>
        <v>-3</v>
      </c>
      <c r="Z46" s="243">
        <f>Tabel12[[#This Row],[Aantal games Alg]]-Tabel5[[#This Row],[Wins Alg]]</f>
        <v>-11</v>
      </c>
      <c r="AA46" s="238">
        <f>COUNTIF(Tabel3[Team Rood],Tabel12[[#This Row],[Team]])</f>
        <v>2</v>
      </c>
      <c r="AB46" s="239">
        <f>COUNTIF(Tabel3[Team Groen],Tabel12[[#This Row],[Team]])</f>
        <v>0</v>
      </c>
      <c r="AC46" s="223">
        <f>Tabel12[[#This Row],[Aantal Games Rood]]+Tabel12[[#This Row],[Aantal Games Groen]]</f>
        <v>2</v>
      </c>
    </row>
    <row r="47" spans="15:29" x14ac:dyDescent="0.25">
      <c r="O47" s="251" t="s">
        <v>158</v>
      </c>
      <c r="P47" s="233" t="s">
        <v>160</v>
      </c>
      <c r="Q47" s="234" t="str">
        <f t="shared" si="4"/>
        <v>Arno*Tiemen*</v>
      </c>
      <c r="R47" s="235">
        <f>IF(Tabel12[[#This Row],[Aantal Games Rood]]=0,0,(Tabel12[[#This Row],[Wins Rood]])/Tabel12[[#This Row],[Aantal Games Rood]])</f>
        <v>1</v>
      </c>
      <c r="S47" s="236">
        <f>IF(Tabel12[[#This Row],[Aantal Games Groen]]=0,0,(Tabel12[[#This Row],[Wins Groen]])/Tabel12[[#This Row],[Aantal Games Groen]])</f>
        <v>0</v>
      </c>
      <c r="T47" s="242">
        <f>IF(Tabel12[[#This Row],[Aantal games Alg]]=0,0,(Tabel12[[#This Row],[Wins Alg]])/Tabel12[[#This Row],[Aantal games Alg]])</f>
        <v>0.5</v>
      </c>
      <c r="U47" s="238">
        <f>COUNTIF(Tabel3[Winaar rood],Tabel12[[#This Row],[Team]])</f>
        <v>1</v>
      </c>
      <c r="V47" s="239">
        <f>COUNTIF(Tabel3[Winnaar Groen],Tabel12[[#This Row],[Team]])</f>
        <v>0</v>
      </c>
      <c r="W47" s="223">
        <f>COUNTIF(Tabel3[Winnaars],Tabel12[[#This Row],[Team]])</f>
        <v>1</v>
      </c>
      <c r="X47" s="240">
        <f>Tabel12[[#This Row],[Aantal Games Rood]]-Tabel5[[#This Row],[Wins Rood]]</f>
        <v>1</v>
      </c>
      <c r="Y47" s="239">
        <f>Tabel12[[#This Row],[Aantal Games Groen]]-Tabel5[[#This Row],[Wins Groen]]</f>
        <v>1</v>
      </c>
      <c r="Z47" s="243">
        <f>Tabel12[[#This Row],[Aantal games Alg]]-Tabel5[[#This Row],[Wins Alg]]</f>
        <v>2</v>
      </c>
      <c r="AA47" s="238">
        <f>COUNTIF(Tabel3[Team Rood],Tabel12[[#This Row],[Team]])</f>
        <v>1</v>
      </c>
      <c r="AB47" s="239">
        <f>COUNTIF(Tabel3[Team Groen],Tabel12[[#This Row],[Team]])</f>
        <v>1</v>
      </c>
      <c r="AC47" s="223">
        <f>Tabel12[[#This Row],[Aantal Games Rood]]+Tabel12[[#This Row],[Aantal Games Groen]]</f>
        <v>2</v>
      </c>
    </row>
    <row r="48" spans="15:29" x14ac:dyDescent="0.25">
      <c r="O48" s="251" t="s">
        <v>163</v>
      </c>
      <c r="P48" s="233" t="s">
        <v>162</v>
      </c>
      <c r="Q48" s="234" t="str">
        <f t="shared" si="4"/>
        <v>Bert*Matthijs*</v>
      </c>
      <c r="R48" s="235">
        <f>IF(Tabel12[[#This Row],[Aantal Games Rood]]=0,0,(Tabel12[[#This Row],[Wins Rood]])/Tabel12[[#This Row],[Aantal Games Rood]])</f>
        <v>0.5</v>
      </c>
      <c r="S48" s="236">
        <f>IF(Tabel12[[#This Row],[Aantal Games Groen]]=0,0,(Tabel12[[#This Row],[Wins Groen]])/Tabel12[[#This Row],[Aantal Games Groen]])</f>
        <v>0.5</v>
      </c>
      <c r="T48" s="237">
        <f>IF(Tabel12[[#This Row],[Aantal games Alg]]=0,0,(Tabel12[[#This Row],[Wins Alg]])/Tabel12[[#This Row],[Aantal games Alg]])</f>
        <v>0.5</v>
      </c>
      <c r="U48" s="238">
        <f>COUNTIF(Tabel3[Winaar rood],Tabel12[[#This Row],[Team]])</f>
        <v>1</v>
      </c>
      <c r="V48" s="239">
        <f>COUNTIF(Tabel3[Winnaar Groen],Tabel12[[#This Row],[Team]])</f>
        <v>1</v>
      </c>
      <c r="W48" s="223">
        <f>COUNTIF(Tabel3[Winnaars],Tabel12[[#This Row],[Team]])</f>
        <v>2</v>
      </c>
      <c r="X48" s="240">
        <f>Tabel12[[#This Row],[Aantal Games Rood]]-Tabel5[[#This Row],[Wins Rood]]</f>
        <v>2</v>
      </c>
      <c r="Y48" s="239">
        <f>Tabel12[[#This Row],[Aantal Games Groen]]-Tabel5[[#This Row],[Wins Groen]]</f>
        <v>-2</v>
      </c>
      <c r="Z48" s="241">
        <f>Tabel12[[#This Row],[Aantal games Alg]]-Tabel5[[#This Row],[Wins Alg]]</f>
        <v>0</v>
      </c>
      <c r="AA48" s="238">
        <f>COUNTIF(Tabel3[Team Rood],Tabel12[[#This Row],[Team]])</f>
        <v>2</v>
      </c>
      <c r="AB48" s="239">
        <f>COUNTIF(Tabel3[Team Groen],Tabel12[[#This Row],[Team]])</f>
        <v>2</v>
      </c>
      <c r="AC48" s="223">
        <f>Tabel12[[#This Row],[Aantal Games Rood]]+Tabel12[[#This Row],[Aantal Games Groen]]</f>
        <v>4</v>
      </c>
    </row>
    <row r="49" spans="15:29" x14ac:dyDescent="0.25">
      <c r="O49" s="251" t="s">
        <v>163</v>
      </c>
      <c r="P49" s="233" t="s">
        <v>160</v>
      </c>
      <c r="Q49" s="234" t="str">
        <f t="shared" si="4"/>
        <v>Bert*Tiemen*</v>
      </c>
      <c r="R49" s="235">
        <f>IF(Tabel12[[#This Row],[Aantal Games Rood]]=0,0,(Tabel12[[#This Row],[Wins Rood]])/Tabel12[[#This Row],[Aantal Games Rood]])</f>
        <v>0.5</v>
      </c>
      <c r="S49" s="236">
        <f>IF(Tabel12[[#This Row],[Aantal Games Groen]]=0,0,(Tabel12[[#This Row],[Wins Groen]])/Tabel12[[#This Row],[Aantal Games Groen]])</f>
        <v>0.5</v>
      </c>
      <c r="T49" s="237">
        <f>IF(Tabel12[[#This Row],[Aantal games Alg]]=0,0,(Tabel12[[#This Row],[Wins Alg]])/Tabel12[[#This Row],[Aantal games Alg]])</f>
        <v>0.5</v>
      </c>
      <c r="U49" s="238">
        <f>COUNTIF(Tabel3[Winaar rood],Tabel12[[#This Row],[Team]])</f>
        <v>2</v>
      </c>
      <c r="V49" s="239">
        <f>COUNTIF(Tabel3[Winnaar Groen],Tabel12[[#This Row],[Team]])</f>
        <v>2</v>
      </c>
      <c r="W49" s="223">
        <f>COUNTIF(Tabel3[Winnaars],Tabel12[[#This Row],[Team]])</f>
        <v>4</v>
      </c>
      <c r="X49" s="240">
        <f>Tabel12[[#This Row],[Aantal Games Rood]]-Tabel5[[#This Row],[Wins Rood]]</f>
        <v>4</v>
      </c>
      <c r="Y49" s="239">
        <f>Tabel12[[#This Row],[Aantal Games Groen]]-Tabel5[[#This Row],[Wins Groen]]</f>
        <v>4</v>
      </c>
      <c r="Z49" s="241">
        <f>Tabel12[[#This Row],[Aantal games Alg]]-Tabel5[[#This Row],[Wins Alg]]</f>
        <v>8</v>
      </c>
      <c r="AA49" s="238">
        <f>COUNTIF(Tabel3[Team Rood],Tabel12[[#This Row],[Team]])</f>
        <v>4</v>
      </c>
      <c r="AB49" s="239">
        <f>COUNTIF(Tabel3[Team Groen],Tabel12[[#This Row],[Team]])</f>
        <v>4</v>
      </c>
      <c r="AC49" s="223">
        <f>Tabel12[[#This Row],[Aantal Games Rood]]+Tabel12[[#This Row],[Aantal Games Groen]]</f>
        <v>8</v>
      </c>
    </row>
    <row r="50" spans="15:29" x14ac:dyDescent="0.25">
      <c r="O50" s="251" t="s">
        <v>168</v>
      </c>
      <c r="P50" s="233" t="s">
        <v>162</v>
      </c>
      <c r="Q50" s="234" t="str">
        <f t="shared" si="4"/>
        <v>Coghe*Matthijs*</v>
      </c>
      <c r="R50" s="235">
        <f>IF(Tabel12[[#This Row],[Aantal Games Rood]]=0,0,(Tabel12[[#This Row],[Wins Rood]])/Tabel12[[#This Row],[Aantal Games Rood]])</f>
        <v>1</v>
      </c>
      <c r="S50" s="236">
        <f>IF(Tabel12[[#This Row],[Aantal Games Groen]]=0,0,(Tabel12[[#This Row],[Wins Groen]])/Tabel12[[#This Row],[Aantal Games Groen]])</f>
        <v>0</v>
      </c>
      <c r="T50" s="237">
        <f>IF(Tabel12[[#This Row],[Aantal games Alg]]=0,0,(Tabel12[[#This Row],[Wins Alg]])/Tabel12[[#This Row],[Aantal games Alg]])</f>
        <v>0.5</v>
      </c>
      <c r="U50" s="238">
        <f>COUNTIF(Tabel3[Winaar rood],Tabel12[[#This Row],[Team]])</f>
        <v>1</v>
      </c>
      <c r="V50" s="239">
        <f>COUNTIF(Tabel3[Winnaar Groen],Tabel12[[#This Row],[Team]])</f>
        <v>0</v>
      </c>
      <c r="W50" s="223">
        <f>COUNTIF(Tabel3[Winnaars],Tabel12[[#This Row],[Team]])</f>
        <v>1</v>
      </c>
      <c r="X50" s="245">
        <f>Tabel12[[#This Row],[Aantal Games Rood]]-Tabel5[[#This Row],[Wins Rood]]</f>
        <v>1</v>
      </c>
      <c r="Y50" s="244">
        <f>Tabel12[[#This Row],[Aantal Games Groen]]-Tabel5[[#This Row],[Wins Groen]]</f>
        <v>1</v>
      </c>
      <c r="Z50" s="247">
        <f>Tabel12[[#This Row],[Aantal games Alg]]-Tabel5[[#This Row],[Wins Alg]]</f>
        <v>2</v>
      </c>
      <c r="AA50" s="238">
        <f>COUNTIF(Tabel3[Team Rood],Tabel12[[#This Row],[Team]])</f>
        <v>1</v>
      </c>
      <c r="AB50" s="239">
        <f>COUNTIF(Tabel3[Team Groen],Tabel12[[#This Row],[Team]])</f>
        <v>1</v>
      </c>
      <c r="AC50" s="223">
        <f>Tabel12[[#This Row],[Aantal Games Rood]]+Tabel12[[#This Row],[Aantal Games Groen]]</f>
        <v>2</v>
      </c>
    </row>
    <row r="51" spans="15:29" x14ac:dyDescent="0.25">
      <c r="O51" s="251" t="s">
        <v>159</v>
      </c>
      <c r="P51" s="233" t="s">
        <v>67</v>
      </c>
      <c r="Q51" s="234" t="str">
        <f t="shared" si="4"/>
        <v>Jonas*Lawrence</v>
      </c>
      <c r="R51" s="235">
        <f>IF(Tabel12[[#This Row],[Aantal Games Rood]]=0,0,(Tabel12[[#This Row],[Wins Rood]])/Tabel12[[#This Row],[Aantal Games Rood]])</f>
        <v>0</v>
      </c>
      <c r="S51" s="236">
        <f>IF(Tabel12[[#This Row],[Aantal Games Groen]]=0,0,(Tabel12[[#This Row],[Wins Groen]])/Tabel12[[#This Row],[Aantal Games Groen]])</f>
        <v>0.5</v>
      </c>
      <c r="T51" s="242">
        <f>IF(Tabel12[[#This Row],[Aantal games Alg]]=0,0,(Tabel12[[#This Row],[Wins Alg]])/Tabel12[[#This Row],[Aantal games Alg]])</f>
        <v>0.5</v>
      </c>
      <c r="U51" s="238">
        <f>COUNTIF(Tabel3[Winaar rood],Tabel12[[#This Row],[Team]])</f>
        <v>0</v>
      </c>
      <c r="V51" s="239">
        <f>COUNTIF(Tabel3[Winnaar Groen],Tabel12[[#This Row],[Team]])</f>
        <v>1</v>
      </c>
      <c r="W51" s="223">
        <f>COUNTIF(Tabel3[Winnaars],Tabel12[[#This Row],[Team]])</f>
        <v>1</v>
      </c>
      <c r="X51" s="240">
        <f>Tabel12[[#This Row],[Aantal Games Rood]]-Tabel5[[#This Row],[Wins Rood]]</f>
        <v>-1</v>
      </c>
      <c r="Y51" s="239">
        <f>Tabel12[[#This Row],[Aantal Games Groen]]-Tabel5[[#This Row],[Wins Groen]]</f>
        <v>2</v>
      </c>
      <c r="Z51" s="243">
        <f>Tabel12[[#This Row],[Aantal games Alg]]-Tabel5[[#This Row],[Wins Alg]]</f>
        <v>1</v>
      </c>
      <c r="AA51" s="238">
        <f>COUNTIF(Tabel3[Team Rood],Tabel12[[#This Row],[Team]])</f>
        <v>0</v>
      </c>
      <c r="AB51" s="239">
        <f>COUNTIF(Tabel3[Team Groen],Tabel12[[#This Row],[Team]])</f>
        <v>2</v>
      </c>
      <c r="AC51" s="223">
        <f>Tabel12[[#This Row],[Aantal Games Rood]]+Tabel12[[#This Row],[Aantal Games Groen]]</f>
        <v>2</v>
      </c>
    </row>
    <row r="52" spans="15:29" x14ac:dyDescent="0.25">
      <c r="O52" s="251" t="s">
        <v>159</v>
      </c>
      <c r="P52" s="233" t="s">
        <v>161</v>
      </c>
      <c r="Q52" s="234" t="str">
        <f t="shared" si="4"/>
        <v>Jonas*Louis*</v>
      </c>
      <c r="R52" s="235">
        <f>IF(Tabel12[[#This Row],[Aantal Games Rood]]=0,0,(Tabel12[[#This Row],[Wins Rood]])/Tabel12[[#This Row],[Aantal Games Rood]])</f>
        <v>0.625</v>
      </c>
      <c r="S52" s="236">
        <f>IF(Tabel12[[#This Row],[Aantal Games Groen]]=0,0,(Tabel12[[#This Row],[Wins Groen]])/Tabel12[[#This Row],[Aantal Games Groen]])</f>
        <v>0.4</v>
      </c>
      <c r="T52" s="242">
        <f>IF(Tabel12[[#This Row],[Aantal games Alg]]=0,0,(Tabel12[[#This Row],[Wins Alg]])/Tabel12[[#This Row],[Aantal games Alg]])</f>
        <v>0.5</v>
      </c>
      <c r="U52" s="238">
        <f>COUNTIF(Tabel3[Winaar rood],Tabel12[[#This Row],[Team]])</f>
        <v>5</v>
      </c>
      <c r="V52" s="239">
        <f>COUNTIF(Tabel3[Winnaar Groen],Tabel12[[#This Row],[Team]])</f>
        <v>4</v>
      </c>
      <c r="W52" s="223">
        <f>COUNTIF(Tabel3[Winnaars],Tabel12[[#This Row],[Team]])</f>
        <v>9</v>
      </c>
      <c r="X52" s="240">
        <f>Tabel12[[#This Row],[Aantal Games Rood]]-Tabel5[[#This Row],[Wins Rood]]</f>
        <v>8</v>
      </c>
      <c r="Y52" s="239">
        <f>Tabel12[[#This Row],[Aantal Games Groen]]-Tabel5[[#This Row],[Wins Groen]]</f>
        <v>10</v>
      </c>
      <c r="Z52" s="243">
        <f>Tabel12[[#This Row],[Aantal games Alg]]-Tabel5[[#This Row],[Wins Alg]]</f>
        <v>18</v>
      </c>
      <c r="AA52" s="238">
        <f>COUNTIF(Tabel3[Team Rood],Tabel12[[#This Row],[Team]])</f>
        <v>8</v>
      </c>
      <c r="AB52" s="239">
        <f>COUNTIF(Tabel3[Team Groen],Tabel12[[#This Row],[Team]])</f>
        <v>10</v>
      </c>
      <c r="AC52" s="223">
        <f>Tabel12[[#This Row],[Aantal Games Rood]]+Tabel12[[#This Row],[Aantal Games Groen]]</f>
        <v>18</v>
      </c>
    </row>
    <row r="53" spans="15:29" x14ac:dyDescent="0.25">
      <c r="O53" s="251" t="s">
        <v>164</v>
      </c>
      <c r="P53" s="233" t="s">
        <v>158</v>
      </c>
      <c r="Q53" s="234" t="str">
        <f t="shared" si="4"/>
        <v>Karel*Arno*</v>
      </c>
      <c r="R53" s="235">
        <f>IF(Tabel12[[#This Row],[Aantal Games Rood]]=0,0,(Tabel12[[#This Row],[Wins Rood]])/Tabel12[[#This Row],[Aantal Games Rood]])</f>
        <v>1</v>
      </c>
      <c r="S53" s="236">
        <f>IF(Tabel12[[#This Row],[Aantal Games Groen]]=0,0,(Tabel12[[#This Row],[Wins Groen]])/Tabel12[[#This Row],[Aantal Games Groen]])</f>
        <v>0</v>
      </c>
      <c r="T53" s="237">
        <f>IF(Tabel12[[#This Row],[Aantal games Alg]]=0,0,(Tabel12[[#This Row],[Wins Alg]])/Tabel12[[#This Row],[Aantal games Alg]])</f>
        <v>0.5</v>
      </c>
      <c r="U53" s="238">
        <f>COUNTIF(Tabel3[Winaar rood],Tabel12[[#This Row],[Team]])</f>
        <v>1</v>
      </c>
      <c r="V53" s="239">
        <f>COUNTIF(Tabel3[Winnaar Groen],Tabel12[[#This Row],[Team]])</f>
        <v>0</v>
      </c>
      <c r="W53" s="223">
        <f>COUNTIF(Tabel3[Winnaars],Tabel12[[#This Row],[Team]])</f>
        <v>1</v>
      </c>
      <c r="X53" s="240">
        <f>Tabel12[[#This Row],[Aantal Games Rood]]-Tabel5[[#This Row],[Wins Rood]]</f>
        <v>0</v>
      </c>
      <c r="Y53" s="239">
        <f>Tabel12[[#This Row],[Aantal Games Groen]]-Tabel5[[#This Row],[Wins Groen]]</f>
        <v>-1</v>
      </c>
      <c r="Z53" s="241">
        <f>Tabel12[[#This Row],[Aantal games Alg]]-Tabel5[[#This Row],[Wins Alg]]</f>
        <v>-1</v>
      </c>
      <c r="AA53" s="238">
        <f>COUNTIF(Tabel3[Team Rood],Tabel12[[#This Row],[Team]])</f>
        <v>1</v>
      </c>
      <c r="AB53" s="239">
        <f>COUNTIF(Tabel3[Team Groen],Tabel12[[#This Row],[Team]])</f>
        <v>1</v>
      </c>
      <c r="AC53" s="223">
        <f>Tabel12[[#This Row],[Aantal Games Rood]]+Tabel12[[#This Row],[Aantal Games Groen]]</f>
        <v>2</v>
      </c>
    </row>
    <row r="54" spans="15:29" x14ac:dyDescent="0.25">
      <c r="O54" s="251" t="s">
        <v>162</v>
      </c>
      <c r="P54" s="233" t="s">
        <v>163</v>
      </c>
      <c r="Q54" s="234" t="str">
        <f t="shared" si="4"/>
        <v>Matthijs*Bert*</v>
      </c>
      <c r="R54" s="235">
        <f>IF(Tabel12[[#This Row],[Aantal Games Rood]]=0,0,(Tabel12[[#This Row],[Wins Rood]])/Tabel12[[#This Row],[Aantal Games Rood]])</f>
        <v>0.5</v>
      </c>
      <c r="S54" s="236">
        <f>IF(Tabel12[[#This Row],[Aantal Games Groen]]=0,0,(Tabel12[[#This Row],[Wins Groen]])/Tabel12[[#This Row],[Aantal Games Groen]])</f>
        <v>0.5</v>
      </c>
      <c r="T54" s="237">
        <f>IF(Tabel12[[#This Row],[Aantal games Alg]]=0,0,(Tabel12[[#This Row],[Wins Alg]])/Tabel12[[#This Row],[Aantal games Alg]])</f>
        <v>0.5</v>
      </c>
      <c r="U54" s="238">
        <f>COUNTIF(Tabel3[Winaar rood],Tabel12[[#This Row],[Team]])</f>
        <v>2</v>
      </c>
      <c r="V54" s="239">
        <f>COUNTIF(Tabel3[Winnaar Groen],Tabel12[[#This Row],[Team]])</f>
        <v>1</v>
      </c>
      <c r="W54" s="223">
        <f>COUNTIF(Tabel3[Winnaars],Tabel12[[#This Row],[Team]])</f>
        <v>3</v>
      </c>
      <c r="X54" s="240">
        <f>Tabel12[[#This Row],[Aantal Games Rood]]-Tabel5[[#This Row],[Wins Rood]]</f>
        <v>4</v>
      </c>
      <c r="Y54" s="239">
        <f>Tabel12[[#This Row],[Aantal Games Groen]]-Tabel5[[#This Row],[Wins Groen]]</f>
        <v>2</v>
      </c>
      <c r="Z54" s="241">
        <f>Tabel12[[#This Row],[Aantal games Alg]]-Tabel5[[#This Row],[Wins Alg]]</f>
        <v>6</v>
      </c>
      <c r="AA54" s="238">
        <f>COUNTIF(Tabel3[Team Rood],Tabel12[[#This Row],[Team]])</f>
        <v>4</v>
      </c>
      <c r="AB54" s="239">
        <f>COUNTIF(Tabel3[Team Groen],Tabel12[[#This Row],[Team]])</f>
        <v>2</v>
      </c>
      <c r="AC54" s="223">
        <f>Tabel12[[#This Row],[Aantal Games Rood]]+Tabel12[[#This Row],[Aantal Games Groen]]</f>
        <v>6</v>
      </c>
    </row>
    <row r="55" spans="15:29" x14ac:dyDescent="0.25">
      <c r="O55" s="251" t="s">
        <v>166</v>
      </c>
      <c r="P55" s="233" t="s">
        <v>169</v>
      </c>
      <c r="Q55" s="234" t="str">
        <f t="shared" si="4"/>
        <v>Stijn*Stef*</v>
      </c>
      <c r="R55" s="235">
        <f>IF(Tabel12[[#This Row],[Aantal Games Rood]]=0,0,(Tabel12[[#This Row],[Wins Rood]])/Tabel12[[#This Row],[Aantal Games Rood]])</f>
        <v>0.33333333333333331</v>
      </c>
      <c r="S55" s="236">
        <f>IF(Tabel12[[#This Row],[Aantal Games Groen]]=0,0,(Tabel12[[#This Row],[Wins Groen]])/Tabel12[[#This Row],[Aantal Games Groen]])</f>
        <v>0.66666666666666663</v>
      </c>
      <c r="T55" s="242">
        <f>IF(Tabel12[[#This Row],[Aantal games Alg]]=0,0,(Tabel12[[#This Row],[Wins Alg]])/Tabel12[[#This Row],[Aantal games Alg]])</f>
        <v>0.5</v>
      </c>
      <c r="U55" s="238">
        <f>COUNTIF(Tabel3[Winaar rood],Tabel12[[#This Row],[Team]])</f>
        <v>1</v>
      </c>
      <c r="V55" s="239">
        <f>COUNTIF(Tabel3[Winnaar Groen],Tabel12[[#This Row],[Team]])</f>
        <v>2</v>
      </c>
      <c r="W55" s="223">
        <f>COUNTIF(Tabel3[Winnaars],Tabel12[[#This Row],[Team]])</f>
        <v>3</v>
      </c>
      <c r="X55" s="240">
        <f>Tabel12[[#This Row],[Aantal Games Rood]]-Tabel5[[#This Row],[Wins Rood]]</f>
        <v>2</v>
      </c>
      <c r="Y55" s="239">
        <f>Tabel12[[#This Row],[Aantal Games Groen]]-Tabel5[[#This Row],[Wins Groen]]</f>
        <v>3</v>
      </c>
      <c r="Z55" s="243">
        <f>Tabel12[[#This Row],[Aantal games Alg]]-Tabel5[[#This Row],[Wins Alg]]</f>
        <v>5</v>
      </c>
      <c r="AA55" s="238">
        <f>COUNTIF(Tabel3[Team Rood],Tabel12[[#This Row],[Team]])</f>
        <v>3</v>
      </c>
      <c r="AB55" s="239">
        <f>COUNTIF(Tabel3[Team Groen],Tabel12[[#This Row],[Team]])</f>
        <v>3</v>
      </c>
      <c r="AC55" s="223">
        <f>Tabel12[[#This Row],[Aantal Games Rood]]+Tabel12[[#This Row],[Aantal Games Groen]]</f>
        <v>6</v>
      </c>
    </row>
    <row r="56" spans="15:29" x14ac:dyDescent="0.25">
      <c r="O56" s="251" t="s">
        <v>157</v>
      </c>
      <c r="P56" s="233" t="s">
        <v>164</v>
      </c>
      <c r="Q56" s="234" t="str">
        <f t="shared" si="4"/>
        <v>Tobi*Karel*</v>
      </c>
      <c r="R56" s="235">
        <f>IF(Tabel12[[#This Row],[Aantal Games Rood]]=0,0,(Tabel12[[#This Row],[Wins Rood]])/Tabel12[[#This Row],[Aantal Games Rood]])</f>
        <v>0</v>
      </c>
      <c r="S56" s="236">
        <f>IF(Tabel12[[#This Row],[Aantal Games Groen]]=0,0,(Tabel12[[#This Row],[Wins Groen]])/Tabel12[[#This Row],[Aantal Games Groen]])</f>
        <v>1</v>
      </c>
      <c r="T56" s="237">
        <f>IF(Tabel12[[#This Row],[Aantal games Alg]]=0,0,(Tabel12[[#This Row],[Wins Alg]])/Tabel12[[#This Row],[Aantal games Alg]])</f>
        <v>0.5</v>
      </c>
      <c r="U56" s="238">
        <f>COUNTIF(Tabel3[Winaar rood],Tabel12[[#This Row],[Team]])</f>
        <v>0</v>
      </c>
      <c r="V56" s="239">
        <f>COUNTIF(Tabel3[Winnaar Groen],Tabel12[[#This Row],[Team]])</f>
        <v>1</v>
      </c>
      <c r="W56" s="223">
        <f>COUNTIF(Tabel3[Winnaars],Tabel12[[#This Row],[Team]])</f>
        <v>1</v>
      </c>
      <c r="X56" s="240">
        <f>Tabel12[[#This Row],[Aantal Games Rood]]-Tabel5[[#This Row],[Wins Rood]]</f>
        <v>1</v>
      </c>
      <c r="Y56" s="239">
        <f>Tabel12[[#This Row],[Aantal Games Groen]]-Tabel5[[#This Row],[Wins Groen]]</f>
        <v>1</v>
      </c>
      <c r="Z56" s="241">
        <f>Tabel12[[#This Row],[Aantal games Alg]]-Tabel5[[#This Row],[Wins Alg]]</f>
        <v>2</v>
      </c>
      <c r="AA56" s="238">
        <f>COUNTIF(Tabel3[Team Rood],Tabel12[[#This Row],[Team]])</f>
        <v>1</v>
      </c>
      <c r="AB56" s="239">
        <f>COUNTIF(Tabel3[Team Groen],Tabel12[[#This Row],[Team]])</f>
        <v>1</v>
      </c>
      <c r="AC56" s="223">
        <f>Tabel12[[#This Row],[Aantal Games Rood]]+Tabel12[[#This Row],[Aantal Games Groen]]</f>
        <v>2</v>
      </c>
    </row>
    <row r="57" spans="15:29" x14ac:dyDescent="0.25">
      <c r="O57" s="251" t="s">
        <v>161</v>
      </c>
      <c r="P57" s="233" t="s">
        <v>163</v>
      </c>
      <c r="Q57" s="234" t="str">
        <f t="shared" si="4"/>
        <v>Louis*Bert*</v>
      </c>
      <c r="R57" s="235">
        <f>IF(Tabel12[[#This Row],[Aantal Games Rood]]=0,0,(Tabel12[[#This Row],[Wins Rood]])/Tabel12[[#This Row],[Aantal Games Rood]])</f>
        <v>0.44444444444444442</v>
      </c>
      <c r="S57" s="236">
        <f>IF(Tabel12[[#This Row],[Aantal Games Groen]]=0,0,(Tabel12[[#This Row],[Wins Groen]])/Tabel12[[#This Row],[Aantal Games Groen]])</f>
        <v>0.5</v>
      </c>
      <c r="T57" s="242">
        <f>IF(Tabel12[[#This Row],[Aantal games Alg]]=0,0,(Tabel12[[#This Row],[Wins Alg]])/Tabel12[[#This Row],[Aantal games Alg]])</f>
        <v>0.48275862068965519</v>
      </c>
      <c r="U57" s="238">
        <f>COUNTIF(Tabel3[Winaar rood],Tabel12[[#This Row],[Team]])</f>
        <v>4</v>
      </c>
      <c r="V57" s="239">
        <f>COUNTIF(Tabel3[Winnaar Groen],Tabel12[[#This Row],[Team]])</f>
        <v>10</v>
      </c>
      <c r="W57" s="223">
        <f>COUNTIF(Tabel3[Winnaars],Tabel12[[#This Row],[Team]])</f>
        <v>14</v>
      </c>
      <c r="X57" s="240">
        <f>Tabel12[[#This Row],[Aantal Games Rood]]-Tabel5[[#This Row],[Wins Rood]]</f>
        <v>9</v>
      </c>
      <c r="Y57" s="239">
        <f>Tabel12[[#This Row],[Aantal Games Groen]]-Tabel5[[#This Row],[Wins Groen]]</f>
        <v>20</v>
      </c>
      <c r="Z57" s="243">
        <f>Tabel12[[#This Row],[Aantal games Alg]]-Tabel5[[#This Row],[Wins Alg]]</f>
        <v>29</v>
      </c>
      <c r="AA57" s="238">
        <f>COUNTIF(Tabel3[Team Rood],Tabel12[[#This Row],[Team]])</f>
        <v>9</v>
      </c>
      <c r="AB57" s="239">
        <f>COUNTIF(Tabel3[Team Groen],Tabel12[[#This Row],[Team]])</f>
        <v>20</v>
      </c>
      <c r="AC57" s="223">
        <f>Tabel12[[#This Row],[Aantal Games Rood]]+Tabel12[[#This Row],[Aantal Games Groen]]</f>
        <v>29</v>
      </c>
    </row>
    <row r="58" spans="15:29" x14ac:dyDescent="0.25">
      <c r="O58" s="251" t="s">
        <v>161</v>
      </c>
      <c r="P58" s="233" t="s">
        <v>164</v>
      </c>
      <c r="Q58" s="234" t="str">
        <f t="shared" si="4"/>
        <v>Louis*Karel*</v>
      </c>
      <c r="R58" s="235">
        <f>IF(Tabel12[[#This Row],[Aantal Games Rood]]=0,0,(Tabel12[[#This Row],[Wins Rood]])/Tabel12[[#This Row],[Aantal Games Rood]])</f>
        <v>0.5714285714285714</v>
      </c>
      <c r="S58" s="236">
        <f>IF(Tabel12[[#This Row],[Aantal Games Groen]]=0,0,(Tabel12[[#This Row],[Wins Groen]])/Tabel12[[#This Row],[Aantal Games Groen]])</f>
        <v>0.45</v>
      </c>
      <c r="T58" s="242">
        <f>IF(Tabel12[[#This Row],[Aantal games Alg]]=0,0,(Tabel12[[#This Row],[Wins Alg]])/Tabel12[[#This Row],[Aantal games Alg]])</f>
        <v>0.48148148148148145</v>
      </c>
      <c r="U58" s="238">
        <f>COUNTIF(Tabel3[Winaar rood],Tabel12[[#This Row],[Team]])</f>
        <v>4</v>
      </c>
      <c r="V58" s="239">
        <f>COUNTIF(Tabel3[Winnaar Groen],Tabel12[[#This Row],[Team]])</f>
        <v>9</v>
      </c>
      <c r="W58" s="223">
        <f>COUNTIF(Tabel3[Winnaars],Tabel12[[#This Row],[Team]])</f>
        <v>13</v>
      </c>
      <c r="X58" s="240">
        <f>Tabel12[[#This Row],[Aantal Games Rood]]-Tabel5[[#This Row],[Wins Rood]]</f>
        <v>4</v>
      </c>
      <c r="Y58" s="239">
        <f>Tabel12[[#This Row],[Aantal Games Groen]]-Tabel5[[#This Row],[Wins Groen]]</f>
        <v>19</v>
      </c>
      <c r="Z58" s="243">
        <f>Tabel12[[#This Row],[Aantal games Alg]]-Tabel5[[#This Row],[Wins Alg]]</f>
        <v>23</v>
      </c>
      <c r="AA58" s="238">
        <f>COUNTIF(Tabel3[Team Rood],Tabel12[[#This Row],[Team]])</f>
        <v>7</v>
      </c>
      <c r="AB58" s="239">
        <f>COUNTIF(Tabel3[Team Groen],Tabel12[[#This Row],[Team]])</f>
        <v>20</v>
      </c>
      <c r="AC58" s="223">
        <f>Tabel12[[#This Row],[Aantal Games Rood]]+Tabel12[[#This Row],[Aantal Games Groen]]</f>
        <v>27</v>
      </c>
    </row>
    <row r="59" spans="15:29" x14ac:dyDescent="0.25">
      <c r="O59" s="251" t="s">
        <v>160</v>
      </c>
      <c r="P59" s="233" t="s">
        <v>159</v>
      </c>
      <c r="Q59" s="234" t="str">
        <f t="shared" si="4"/>
        <v>Tiemen*Jonas*</v>
      </c>
      <c r="R59" s="235">
        <f>IF(Tabel12[[#This Row],[Aantal Games Rood]]=0,0,(Tabel12[[#This Row],[Wins Rood]])/Tabel12[[#This Row],[Aantal Games Rood]])</f>
        <v>0.6</v>
      </c>
      <c r="S59" s="236">
        <f>IF(Tabel12[[#This Row],[Aantal Games Groen]]=0,0,(Tabel12[[#This Row],[Wins Groen]])/Tabel12[[#This Row],[Aantal Games Groen]])</f>
        <v>0.4</v>
      </c>
      <c r="T59" s="237">
        <f>IF(Tabel12[[#This Row],[Aantal games Alg]]=0,0,(Tabel12[[#This Row],[Wins Alg]])/Tabel12[[#This Row],[Aantal games Alg]])</f>
        <v>0.46666666666666667</v>
      </c>
      <c r="U59" s="238">
        <f>COUNTIF(Tabel3[Winaar rood],Tabel12[[#This Row],[Team]])</f>
        <v>3</v>
      </c>
      <c r="V59" s="239">
        <f>COUNTIF(Tabel3[Winnaar Groen],Tabel12[[#This Row],[Team]])</f>
        <v>4</v>
      </c>
      <c r="W59" s="223">
        <f>COUNTIF(Tabel3[Winnaars],Tabel12[[#This Row],[Team]])</f>
        <v>7</v>
      </c>
      <c r="X59" s="240">
        <f>Tabel12[[#This Row],[Aantal Games Rood]]-Tabel5[[#This Row],[Wins Rood]]</f>
        <v>5</v>
      </c>
      <c r="Y59" s="239">
        <f>Tabel12[[#This Row],[Aantal Games Groen]]-Tabel5[[#This Row],[Wins Groen]]</f>
        <v>10</v>
      </c>
      <c r="Z59" s="241">
        <f>Tabel12[[#This Row],[Aantal games Alg]]-Tabel5[[#This Row],[Wins Alg]]</f>
        <v>15</v>
      </c>
      <c r="AA59" s="238">
        <f>COUNTIF(Tabel3[Team Rood],Tabel12[[#This Row],[Team]])</f>
        <v>5</v>
      </c>
      <c r="AB59" s="239">
        <f>COUNTIF(Tabel3[Team Groen],Tabel12[[#This Row],[Team]])</f>
        <v>10</v>
      </c>
      <c r="AC59" s="223">
        <f>Tabel12[[#This Row],[Aantal Games Rood]]+Tabel12[[#This Row],[Aantal Games Groen]]</f>
        <v>15</v>
      </c>
    </row>
    <row r="60" spans="15:29" x14ac:dyDescent="0.25">
      <c r="O60" s="251" t="s">
        <v>160</v>
      </c>
      <c r="P60" s="233" t="s">
        <v>163</v>
      </c>
      <c r="Q60" s="234" t="str">
        <f t="shared" si="4"/>
        <v>Tiemen*Bert*</v>
      </c>
      <c r="R60" s="235">
        <f>IF(Tabel12[[#This Row],[Aantal Games Rood]]=0,0,(Tabel12[[#This Row],[Wins Rood]])/Tabel12[[#This Row],[Aantal Games Rood]])</f>
        <v>0.6</v>
      </c>
      <c r="S60" s="236">
        <f>IF(Tabel12[[#This Row],[Aantal Games Groen]]=0,0,(Tabel12[[#This Row],[Wins Groen]])/Tabel12[[#This Row],[Aantal Games Groen]])</f>
        <v>0.33333333333333331</v>
      </c>
      <c r="T60" s="242">
        <f>IF(Tabel12[[#This Row],[Aantal games Alg]]=0,0,(Tabel12[[#This Row],[Wins Alg]])/Tabel12[[#This Row],[Aantal games Alg]])</f>
        <v>0.45454545454545453</v>
      </c>
      <c r="U60" s="238">
        <f>COUNTIF(Tabel3[Winaar rood],Tabel12[[#This Row],[Team]])</f>
        <v>3</v>
      </c>
      <c r="V60" s="239">
        <f>COUNTIF(Tabel3[Winnaar Groen],Tabel12[[#This Row],[Team]])</f>
        <v>2</v>
      </c>
      <c r="W60" s="223">
        <f>COUNTIF(Tabel3[Winnaars],Tabel12[[#This Row],[Team]])</f>
        <v>5</v>
      </c>
      <c r="X60" s="240">
        <f>Tabel12[[#This Row],[Aantal Games Rood]]-Tabel5[[#This Row],[Wins Rood]]</f>
        <v>5</v>
      </c>
      <c r="Y60" s="239">
        <f>Tabel12[[#This Row],[Aantal Games Groen]]-Tabel5[[#This Row],[Wins Groen]]</f>
        <v>6</v>
      </c>
      <c r="Z60" s="243">
        <f>Tabel12[[#This Row],[Aantal games Alg]]-Tabel5[[#This Row],[Wins Alg]]</f>
        <v>11</v>
      </c>
      <c r="AA60" s="238">
        <f>COUNTIF(Tabel3[Team Rood],Tabel12[[#This Row],[Team]])</f>
        <v>5</v>
      </c>
      <c r="AB60" s="239">
        <f>COUNTIF(Tabel3[Team Groen],Tabel12[[#This Row],[Team]])</f>
        <v>6</v>
      </c>
      <c r="AC60" s="223">
        <f>Tabel12[[#This Row],[Aantal Games Rood]]+Tabel12[[#This Row],[Aantal Games Groen]]</f>
        <v>11</v>
      </c>
    </row>
    <row r="61" spans="15:29" x14ac:dyDescent="0.25">
      <c r="O61" s="251" t="s">
        <v>160</v>
      </c>
      <c r="P61" s="233" t="s">
        <v>170</v>
      </c>
      <c r="Q61" s="234" t="str">
        <f t="shared" si="4"/>
        <v>Tiemen*Nico*</v>
      </c>
      <c r="R61" s="235">
        <f>IF(Tabel12[[#This Row],[Aantal Games Rood]]=0,0,(Tabel12[[#This Row],[Wins Rood]])/Tabel12[[#This Row],[Aantal Games Rood]])</f>
        <v>0.5</v>
      </c>
      <c r="S61" s="236">
        <f>IF(Tabel12[[#This Row],[Aantal Games Groen]]=0,0,(Tabel12[[#This Row],[Wins Groen]])/Tabel12[[#This Row],[Aantal Games Groen]])</f>
        <v>0.4</v>
      </c>
      <c r="T61" s="242">
        <f>IF(Tabel12[[#This Row],[Aantal games Alg]]=0,0,(Tabel12[[#This Row],[Wins Alg]])/Tabel12[[#This Row],[Aantal games Alg]])</f>
        <v>0.42857142857142855</v>
      </c>
      <c r="U61" s="238">
        <f>COUNTIF(Tabel3[Winaar rood],Tabel12[[#This Row],[Team]])</f>
        <v>1</v>
      </c>
      <c r="V61" s="239">
        <f>COUNTIF(Tabel3[Winnaar Groen],Tabel12[[#This Row],[Team]])</f>
        <v>2</v>
      </c>
      <c r="W61" s="223">
        <f>COUNTIF(Tabel3[Winnaars],Tabel12[[#This Row],[Team]])</f>
        <v>3</v>
      </c>
      <c r="X61" s="240">
        <f>Tabel12[[#This Row],[Aantal Games Rood]]-Tabel5[[#This Row],[Wins Rood]]</f>
        <v>2</v>
      </c>
      <c r="Y61" s="239">
        <f>Tabel12[[#This Row],[Aantal Games Groen]]-Tabel5[[#This Row],[Wins Groen]]</f>
        <v>5</v>
      </c>
      <c r="Z61" s="243">
        <f>Tabel12[[#This Row],[Aantal games Alg]]-Tabel5[[#This Row],[Wins Alg]]</f>
        <v>7</v>
      </c>
      <c r="AA61" s="238">
        <f>COUNTIF(Tabel3[Team Rood],Tabel12[[#This Row],[Team]])</f>
        <v>2</v>
      </c>
      <c r="AB61" s="239">
        <f>COUNTIF(Tabel3[Team Groen],Tabel12[[#This Row],[Team]])</f>
        <v>5</v>
      </c>
      <c r="AC61" s="223">
        <f>Tabel12[[#This Row],[Aantal Games Rood]]+Tabel12[[#This Row],[Aantal Games Groen]]</f>
        <v>7</v>
      </c>
    </row>
    <row r="62" spans="15:29" x14ac:dyDescent="0.25">
      <c r="O62" s="251" t="s">
        <v>164</v>
      </c>
      <c r="P62" s="233" t="s">
        <v>159</v>
      </c>
      <c r="Q62" s="234" t="str">
        <f t="shared" si="4"/>
        <v>Karel*Jonas*</v>
      </c>
      <c r="R62" s="235">
        <f>IF(Tabel12[[#This Row],[Aantal Games Rood]]=0,0,(Tabel12[[#This Row],[Wins Rood]])/Tabel12[[#This Row],[Aantal Games Rood]])</f>
        <v>0.2857142857142857</v>
      </c>
      <c r="S62" s="236">
        <f>IF(Tabel12[[#This Row],[Aantal Games Groen]]=0,0,(Tabel12[[#This Row],[Wins Groen]])/Tabel12[[#This Row],[Aantal Games Groen]])</f>
        <v>0.45</v>
      </c>
      <c r="T62" s="237">
        <f>IF(Tabel12[[#This Row],[Aantal games Alg]]=0,0,(Tabel12[[#This Row],[Wins Alg]])/Tabel12[[#This Row],[Aantal games Alg]])</f>
        <v>0.40740740740740738</v>
      </c>
      <c r="U62" s="238">
        <f>COUNTIF(Tabel3[Winaar rood],Tabel12[[#This Row],[Team]])</f>
        <v>2</v>
      </c>
      <c r="V62" s="239">
        <f>COUNTIF(Tabel3[Winnaar Groen],Tabel12[[#This Row],[Team]])</f>
        <v>9</v>
      </c>
      <c r="W62" s="223">
        <f>COUNTIF(Tabel3[Winnaars],Tabel12[[#This Row],[Team]])</f>
        <v>11</v>
      </c>
      <c r="X62" s="240">
        <f>Tabel12[[#This Row],[Aantal Games Rood]]-Tabel5[[#This Row],[Wins Rood]]</f>
        <v>7</v>
      </c>
      <c r="Y62" s="239">
        <f>Tabel12[[#This Row],[Aantal Games Groen]]-Tabel5[[#This Row],[Wins Groen]]</f>
        <v>20</v>
      </c>
      <c r="Z62" s="241">
        <f>Tabel12[[#This Row],[Aantal games Alg]]-Tabel5[[#This Row],[Wins Alg]]</f>
        <v>27</v>
      </c>
      <c r="AA62" s="238">
        <f>COUNTIF(Tabel3[Team Rood],Tabel12[[#This Row],[Team]])</f>
        <v>7</v>
      </c>
      <c r="AB62" s="239">
        <f>COUNTIF(Tabel3[Team Groen],Tabel12[[#This Row],[Team]])</f>
        <v>20</v>
      </c>
      <c r="AC62" s="223">
        <f>Tabel12[[#This Row],[Aantal Games Rood]]+Tabel12[[#This Row],[Aantal Games Groen]]</f>
        <v>27</v>
      </c>
    </row>
    <row r="63" spans="15:29" x14ac:dyDescent="0.25">
      <c r="O63" s="251" t="s">
        <v>159</v>
      </c>
      <c r="P63" s="233" t="s">
        <v>166</v>
      </c>
      <c r="Q63" s="234" t="str">
        <f t="shared" si="4"/>
        <v>Jonas*Stijn*</v>
      </c>
      <c r="R63" s="235">
        <f>IF(Tabel12[[#This Row],[Aantal Games Rood]]=0,0,(Tabel12[[#This Row],[Wins Rood]])/Tabel12[[#This Row],[Aantal Games Rood]])</f>
        <v>0.33333333333333331</v>
      </c>
      <c r="S63" s="236">
        <f>IF(Tabel12[[#This Row],[Aantal Games Groen]]=0,0,(Tabel12[[#This Row],[Wins Groen]])/Tabel12[[#This Row],[Aantal Games Groen]])</f>
        <v>0.5</v>
      </c>
      <c r="T63" s="237">
        <f>IF(Tabel12[[#This Row],[Aantal games Alg]]=0,0,(Tabel12[[#This Row],[Wins Alg]])/Tabel12[[#This Row],[Aantal games Alg]])</f>
        <v>0.4</v>
      </c>
      <c r="U63" s="238">
        <f>COUNTIF(Tabel3[Winaar rood],Tabel12[[#This Row],[Team]])</f>
        <v>1</v>
      </c>
      <c r="V63" s="239">
        <f>COUNTIF(Tabel3[Winnaar Groen],Tabel12[[#This Row],[Team]])</f>
        <v>1</v>
      </c>
      <c r="W63" s="223">
        <f>COUNTIF(Tabel3[Winnaars],Tabel12[[#This Row],[Team]])</f>
        <v>2</v>
      </c>
      <c r="X63" s="240">
        <f>Tabel12[[#This Row],[Aantal Games Rood]]-Tabel5[[#This Row],[Wins Rood]]</f>
        <v>3</v>
      </c>
      <c r="Y63" s="239">
        <f>Tabel12[[#This Row],[Aantal Games Groen]]-Tabel5[[#This Row],[Wins Groen]]</f>
        <v>2</v>
      </c>
      <c r="Z63" s="241">
        <f>Tabel12[[#This Row],[Aantal games Alg]]-Tabel5[[#This Row],[Wins Alg]]</f>
        <v>5</v>
      </c>
      <c r="AA63" s="238">
        <f>COUNTIF(Tabel3[Team Rood],Tabel12[[#This Row],[Team]])</f>
        <v>3</v>
      </c>
      <c r="AB63" s="239">
        <f>COUNTIF(Tabel3[Team Groen],Tabel12[[#This Row],[Team]])</f>
        <v>2</v>
      </c>
      <c r="AC63" s="223">
        <f>Tabel12[[#This Row],[Aantal Games Rood]]+Tabel12[[#This Row],[Aantal Games Groen]]</f>
        <v>5</v>
      </c>
    </row>
    <row r="64" spans="15:29" x14ac:dyDescent="0.25">
      <c r="O64" s="251" t="s">
        <v>161</v>
      </c>
      <c r="P64" s="233" t="s">
        <v>159</v>
      </c>
      <c r="Q64" s="234" t="str">
        <f t="shared" si="4"/>
        <v>Louis*Jonas*</v>
      </c>
      <c r="R64" s="235">
        <f>IF(Tabel12[[#This Row],[Aantal Games Rood]]=0,0,(Tabel12[[#This Row],[Wins Rood]])/Tabel12[[#This Row],[Aantal Games Rood]])</f>
        <v>0.46153846153846156</v>
      </c>
      <c r="S64" s="236">
        <f>IF(Tabel12[[#This Row],[Aantal Games Groen]]=0,0,(Tabel12[[#This Row],[Wins Groen]])/Tabel12[[#This Row],[Aantal Games Groen]])</f>
        <v>0.25</v>
      </c>
      <c r="T64" s="242">
        <f>IF(Tabel12[[#This Row],[Aantal games Alg]]=0,0,(Tabel12[[#This Row],[Wins Alg]])/Tabel12[[#This Row],[Aantal games Alg]])</f>
        <v>0.36</v>
      </c>
      <c r="U64" s="238">
        <f>COUNTIF(Tabel3[Winaar rood],Tabel12[[#This Row],[Team]])</f>
        <v>6</v>
      </c>
      <c r="V64" s="239">
        <f>COUNTIF(Tabel3[Winnaar Groen],Tabel12[[#This Row],[Team]])</f>
        <v>3</v>
      </c>
      <c r="W64" s="223">
        <f>COUNTIF(Tabel3[Winnaars],Tabel12[[#This Row],[Team]])</f>
        <v>9</v>
      </c>
      <c r="X64" s="240">
        <f>Tabel12[[#This Row],[Aantal Games Rood]]-Tabel5[[#This Row],[Wins Rood]]</f>
        <v>13</v>
      </c>
      <c r="Y64" s="239">
        <f>Tabel12[[#This Row],[Aantal Games Groen]]-Tabel5[[#This Row],[Wins Groen]]</f>
        <v>12</v>
      </c>
      <c r="Z64" s="243">
        <f>Tabel12[[#This Row],[Aantal games Alg]]-Tabel5[[#This Row],[Wins Alg]]</f>
        <v>25</v>
      </c>
      <c r="AA64" s="238">
        <f>COUNTIF(Tabel3[Team Rood],Tabel12[[#This Row],[Team]])</f>
        <v>13</v>
      </c>
      <c r="AB64" s="239">
        <f>COUNTIF(Tabel3[Team Groen],Tabel12[[#This Row],[Team]])</f>
        <v>12</v>
      </c>
      <c r="AC64" s="223">
        <f>Tabel12[[#This Row],[Aantal Games Rood]]+Tabel12[[#This Row],[Aantal Games Groen]]</f>
        <v>25</v>
      </c>
    </row>
    <row r="65" spans="15:29" x14ac:dyDescent="0.25">
      <c r="O65" s="251" t="s">
        <v>168</v>
      </c>
      <c r="P65" s="233" t="s">
        <v>164</v>
      </c>
      <c r="Q65" s="234" t="str">
        <f t="shared" si="4"/>
        <v>Coghe*Karel*</v>
      </c>
      <c r="R65" s="235">
        <f>IF(Tabel12[[#This Row],[Aantal Games Rood]]=0,0,(Tabel12[[#This Row],[Wins Rood]])/Tabel12[[#This Row],[Aantal Games Rood]])</f>
        <v>1</v>
      </c>
      <c r="S65" s="236">
        <f>IF(Tabel12[[#This Row],[Aantal Games Groen]]=0,0,(Tabel12[[#This Row],[Wins Groen]])/Tabel12[[#This Row],[Aantal Games Groen]])</f>
        <v>0</v>
      </c>
      <c r="T65" s="237">
        <f>IF(Tabel12[[#This Row],[Aantal games Alg]]=0,0,(Tabel12[[#This Row],[Wins Alg]])/Tabel12[[#This Row],[Aantal games Alg]])</f>
        <v>0.33333333333333331</v>
      </c>
      <c r="U65" s="238">
        <f>COUNTIF(Tabel3[Winaar rood],Tabel12[[#This Row],[Team]])</f>
        <v>1</v>
      </c>
      <c r="V65" s="239">
        <f>COUNTIF(Tabel3[Winnaar Groen],Tabel12[[#This Row],[Team]])</f>
        <v>0</v>
      </c>
      <c r="W65" s="223">
        <f>COUNTIF(Tabel3[Winnaars],Tabel12[[#This Row],[Team]])</f>
        <v>1</v>
      </c>
      <c r="X65" s="245">
        <f>Tabel12[[#This Row],[Aantal Games Rood]]-Tabel5[[#This Row],[Wins Rood]]</f>
        <v>1</v>
      </c>
      <c r="Y65" s="244">
        <f>Tabel12[[#This Row],[Aantal Games Groen]]-Tabel5[[#This Row],[Wins Groen]]</f>
        <v>2</v>
      </c>
      <c r="Z65" s="247">
        <f>Tabel12[[#This Row],[Aantal games Alg]]-Tabel5[[#This Row],[Wins Alg]]</f>
        <v>3</v>
      </c>
      <c r="AA65" s="238">
        <f>COUNTIF(Tabel3[Team Rood],Tabel12[[#This Row],[Team]])</f>
        <v>1</v>
      </c>
      <c r="AB65" s="239">
        <f>COUNTIF(Tabel3[Team Groen],Tabel12[[#This Row],[Team]])</f>
        <v>2</v>
      </c>
      <c r="AC65" s="223">
        <f>Tabel12[[#This Row],[Aantal Games Rood]]+Tabel12[[#This Row],[Aantal Games Groen]]</f>
        <v>3</v>
      </c>
    </row>
    <row r="66" spans="15:29" x14ac:dyDescent="0.25">
      <c r="O66" s="251" t="s">
        <v>164</v>
      </c>
      <c r="P66" s="233" t="s">
        <v>157</v>
      </c>
      <c r="Q66" s="234" t="str">
        <f t="shared" ref="Q66:Q97" si="5">O66&amp;P66</f>
        <v>Karel*Tobi*</v>
      </c>
      <c r="R66" s="235">
        <f>IF(Tabel12[[#This Row],[Aantal Games Rood]]=0,0,(Tabel12[[#This Row],[Wins Rood]])/Tabel12[[#This Row],[Aantal Games Rood]])</f>
        <v>0</v>
      </c>
      <c r="S66" s="236">
        <f>IF(Tabel12[[#This Row],[Aantal Games Groen]]=0,0,(Tabel12[[#This Row],[Wins Groen]])/Tabel12[[#This Row],[Aantal Games Groen]])</f>
        <v>0.5</v>
      </c>
      <c r="T66" s="237">
        <f>IF(Tabel12[[#This Row],[Aantal games Alg]]=0,0,(Tabel12[[#This Row],[Wins Alg]])/Tabel12[[#This Row],[Aantal games Alg]])</f>
        <v>0.33333333333333331</v>
      </c>
      <c r="U66" s="238">
        <f>COUNTIF(Tabel3[Winaar rood],Tabel12[[#This Row],[Team]])</f>
        <v>0</v>
      </c>
      <c r="V66" s="239">
        <f>COUNTIF(Tabel3[Winnaar Groen],Tabel12[[#This Row],[Team]])</f>
        <v>1</v>
      </c>
      <c r="W66" s="223">
        <f>COUNTIF(Tabel3[Winnaars],Tabel12[[#This Row],[Team]])</f>
        <v>1</v>
      </c>
      <c r="X66" s="240">
        <f>Tabel12[[#This Row],[Aantal Games Rood]]-Tabel5[[#This Row],[Wins Rood]]</f>
        <v>1</v>
      </c>
      <c r="Y66" s="239">
        <f>Tabel12[[#This Row],[Aantal Games Groen]]-Tabel5[[#This Row],[Wins Groen]]</f>
        <v>2</v>
      </c>
      <c r="Z66" s="241">
        <f>Tabel12[[#This Row],[Aantal games Alg]]-Tabel5[[#This Row],[Wins Alg]]</f>
        <v>3</v>
      </c>
      <c r="AA66" s="238">
        <f>COUNTIF(Tabel3[Team Rood],Tabel12[[#This Row],[Team]])</f>
        <v>1</v>
      </c>
      <c r="AB66" s="239">
        <f>COUNTIF(Tabel3[Team Groen],Tabel12[[#This Row],[Team]])</f>
        <v>2</v>
      </c>
      <c r="AC66" s="223">
        <f>Tabel12[[#This Row],[Aantal Games Rood]]+Tabel12[[#This Row],[Aantal Games Groen]]</f>
        <v>3</v>
      </c>
    </row>
    <row r="67" spans="15:29" x14ac:dyDescent="0.25">
      <c r="O67" s="251" t="s">
        <v>161</v>
      </c>
      <c r="P67" s="233" t="s">
        <v>162</v>
      </c>
      <c r="Q67" s="234" t="str">
        <f t="shared" si="5"/>
        <v>Louis*Matthijs*</v>
      </c>
      <c r="R67" s="235">
        <f>IF(Tabel12[[#This Row],[Aantal Games Rood]]=0,0,(Tabel12[[#This Row],[Wins Rood]])/Tabel12[[#This Row],[Aantal Games Rood]])</f>
        <v>0.36363636363636365</v>
      </c>
      <c r="S67" s="236">
        <f>IF(Tabel12[[#This Row],[Aantal Games Groen]]=0,0,(Tabel12[[#This Row],[Wins Groen]])/Tabel12[[#This Row],[Aantal Games Groen]])</f>
        <v>0.25</v>
      </c>
      <c r="T67" s="237">
        <f>IF(Tabel12[[#This Row],[Aantal games Alg]]=0,0,(Tabel12[[#This Row],[Wins Alg]])/Tabel12[[#This Row],[Aantal games Alg]])</f>
        <v>0.33333333333333331</v>
      </c>
      <c r="U67" s="238">
        <f>COUNTIF(Tabel3[Winaar rood],Tabel12[[#This Row],[Team]])</f>
        <v>4</v>
      </c>
      <c r="V67" s="239">
        <f>COUNTIF(Tabel3[Winnaar Groen],Tabel12[[#This Row],[Team]])</f>
        <v>1</v>
      </c>
      <c r="W67" s="223">
        <f>COUNTIF(Tabel3[Winnaars],Tabel12[[#This Row],[Team]])</f>
        <v>5</v>
      </c>
      <c r="X67" s="240">
        <f>Tabel12[[#This Row],[Aantal Games Rood]]-Tabel5[[#This Row],[Wins Rood]]</f>
        <v>11</v>
      </c>
      <c r="Y67" s="239">
        <f>Tabel12[[#This Row],[Aantal Games Groen]]-Tabel5[[#This Row],[Wins Groen]]</f>
        <v>4</v>
      </c>
      <c r="Z67" s="241">
        <f>Tabel12[[#This Row],[Aantal games Alg]]-Tabel5[[#This Row],[Wins Alg]]</f>
        <v>15</v>
      </c>
      <c r="AA67" s="238">
        <f>COUNTIF(Tabel3[Team Rood],Tabel12[[#This Row],[Team]])</f>
        <v>11</v>
      </c>
      <c r="AB67" s="239">
        <f>COUNTIF(Tabel3[Team Groen],Tabel12[[#This Row],[Team]])</f>
        <v>4</v>
      </c>
      <c r="AC67" s="223">
        <f>Tabel12[[#This Row],[Aantal Games Rood]]+Tabel12[[#This Row],[Aantal Games Groen]]</f>
        <v>15</v>
      </c>
    </row>
    <row r="68" spans="15:29" x14ac:dyDescent="0.25">
      <c r="O68" s="251" t="s">
        <v>170</v>
      </c>
      <c r="P68" s="233" t="s">
        <v>163</v>
      </c>
      <c r="Q68" s="234" t="str">
        <f t="shared" si="5"/>
        <v>Nico*Bert*</v>
      </c>
      <c r="R68" s="235">
        <f>IF(Tabel12[[#This Row],[Aantal Games Rood]]=0,0,(Tabel12[[#This Row],[Wins Rood]])/Tabel12[[#This Row],[Aantal Games Rood]])</f>
        <v>0.33333333333333331</v>
      </c>
      <c r="S68" s="236">
        <f>IF(Tabel12[[#This Row],[Aantal Games Groen]]=0,0,(Tabel12[[#This Row],[Wins Groen]])/Tabel12[[#This Row],[Aantal Games Groen]])</f>
        <v>0.33333333333333331</v>
      </c>
      <c r="T68" s="242">
        <f>IF(Tabel12[[#This Row],[Aantal games Alg]]=0,0,(Tabel12[[#This Row],[Wins Alg]])/Tabel12[[#This Row],[Aantal games Alg]])</f>
        <v>0.33333333333333331</v>
      </c>
      <c r="U68" s="238">
        <f>COUNTIF(Tabel3[Winaar rood],Tabel12[[#This Row],[Team]])</f>
        <v>1</v>
      </c>
      <c r="V68" s="239">
        <f>COUNTIF(Tabel3[Winnaar Groen],Tabel12[[#This Row],[Team]])</f>
        <v>1</v>
      </c>
      <c r="W68" s="223">
        <f>COUNTIF(Tabel3[Winnaars],Tabel12[[#This Row],[Team]])</f>
        <v>2</v>
      </c>
      <c r="X68" s="240">
        <f>Tabel12[[#This Row],[Aantal Games Rood]]-Tabel5[[#This Row],[Wins Rood]]</f>
        <v>3</v>
      </c>
      <c r="Y68" s="239">
        <f>Tabel12[[#This Row],[Aantal Games Groen]]-Tabel5[[#This Row],[Wins Groen]]</f>
        <v>3</v>
      </c>
      <c r="Z68" s="243">
        <f>Tabel12[[#This Row],[Aantal games Alg]]-Tabel5[[#This Row],[Wins Alg]]</f>
        <v>6</v>
      </c>
      <c r="AA68" s="238">
        <f>COUNTIF(Tabel3[Team Rood],Tabel12[[#This Row],[Team]])</f>
        <v>3</v>
      </c>
      <c r="AB68" s="239">
        <f>COUNTIF(Tabel3[Team Groen],Tabel12[[#This Row],[Team]])</f>
        <v>3</v>
      </c>
      <c r="AC68" s="223">
        <f>Tabel12[[#This Row],[Aantal Games Rood]]+Tabel12[[#This Row],[Aantal Games Groen]]</f>
        <v>6</v>
      </c>
    </row>
    <row r="69" spans="15:29" x14ac:dyDescent="0.25">
      <c r="O69" s="251" t="s">
        <v>160</v>
      </c>
      <c r="P69" s="233" t="s">
        <v>161</v>
      </c>
      <c r="Q69" s="234" t="str">
        <f t="shared" si="5"/>
        <v>Tiemen*Louis*</v>
      </c>
      <c r="R69" s="235">
        <f>IF(Tabel12[[#This Row],[Aantal Games Rood]]=0,0,(Tabel12[[#This Row],[Wins Rood]])/Tabel12[[#This Row],[Aantal Games Rood]])</f>
        <v>0</v>
      </c>
      <c r="S69" s="236">
        <f>IF(Tabel12[[#This Row],[Aantal Games Groen]]=0,0,(Tabel12[[#This Row],[Wins Groen]])/Tabel12[[#This Row],[Aantal Games Groen]])</f>
        <v>0.33333333333333331</v>
      </c>
      <c r="T69" s="237">
        <f>IF(Tabel12[[#This Row],[Aantal games Alg]]=0,0,(Tabel12[[#This Row],[Wins Alg]])/Tabel12[[#This Row],[Aantal games Alg]])</f>
        <v>0.33333333333333331</v>
      </c>
      <c r="U69" s="238">
        <f>COUNTIF(Tabel3[Winaar rood],Tabel12[[#This Row],[Team]])</f>
        <v>0</v>
      </c>
      <c r="V69" s="239">
        <f>COUNTIF(Tabel3[Winnaar Groen],Tabel12[[#This Row],[Team]])</f>
        <v>1</v>
      </c>
      <c r="W69" s="223">
        <f>COUNTIF(Tabel3[Winnaars],Tabel12[[#This Row],[Team]])</f>
        <v>1</v>
      </c>
      <c r="X69" s="240">
        <f>Tabel12[[#This Row],[Aantal Games Rood]]-Tabel5[[#This Row],[Wins Rood]]</f>
        <v>0</v>
      </c>
      <c r="Y69" s="239">
        <f>Tabel12[[#This Row],[Aantal Games Groen]]-Tabel5[[#This Row],[Wins Groen]]</f>
        <v>3</v>
      </c>
      <c r="Z69" s="241">
        <f>Tabel12[[#This Row],[Aantal games Alg]]-Tabel5[[#This Row],[Wins Alg]]</f>
        <v>3</v>
      </c>
      <c r="AA69" s="238">
        <f>COUNTIF(Tabel3[Team Rood],Tabel12[[#This Row],[Team]])</f>
        <v>0</v>
      </c>
      <c r="AB69" s="239">
        <f>COUNTIF(Tabel3[Team Groen],Tabel12[[#This Row],[Team]])</f>
        <v>3</v>
      </c>
      <c r="AC69" s="223">
        <f>Tabel12[[#This Row],[Aantal Games Rood]]+Tabel12[[#This Row],[Aantal Games Groen]]</f>
        <v>3</v>
      </c>
    </row>
    <row r="70" spans="15:29" x14ac:dyDescent="0.25">
      <c r="O70" s="251" t="s">
        <v>170</v>
      </c>
      <c r="P70" s="233" t="s">
        <v>169</v>
      </c>
      <c r="Q70" s="234" t="str">
        <f t="shared" si="5"/>
        <v>Nico*Stef*</v>
      </c>
      <c r="R70" s="235">
        <f>IF(Tabel12[[#This Row],[Aantal Games Rood]]=0,0,(Tabel12[[#This Row],[Wins Rood]])/Tabel12[[#This Row],[Aantal Games Rood]])</f>
        <v>0.35483870967741937</v>
      </c>
      <c r="S70" s="236">
        <f>IF(Tabel12[[#This Row],[Aantal Games Groen]]=0,0,(Tabel12[[#This Row],[Wins Groen]])/Tabel12[[#This Row],[Aantal Games Groen]])</f>
        <v>0.26666666666666666</v>
      </c>
      <c r="T70" s="242">
        <f>IF(Tabel12[[#This Row],[Aantal games Alg]]=0,0,(Tabel12[[#This Row],[Wins Alg]])/Tabel12[[#This Row],[Aantal games Alg]])</f>
        <v>0.32608695652173914</v>
      </c>
      <c r="U70" s="238">
        <f>COUNTIF(Tabel3[Winaar rood],Tabel12[[#This Row],[Team]])</f>
        <v>11</v>
      </c>
      <c r="V70" s="239">
        <f>COUNTIF(Tabel3[Winnaar Groen],Tabel12[[#This Row],[Team]])</f>
        <v>4</v>
      </c>
      <c r="W70" s="223">
        <f>COUNTIF(Tabel3[Winnaars],Tabel12[[#This Row],[Team]])</f>
        <v>15</v>
      </c>
      <c r="X70" s="240">
        <f>Tabel12[[#This Row],[Aantal Games Rood]]-Tabel5[[#This Row],[Wins Rood]]</f>
        <v>31</v>
      </c>
      <c r="Y70" s="239">
        <f>Tabel12[[#This Row],[Aantal Games Groen]]-Tabel5[[#This Row],[Wins Groen]]</f>
        <v>15</v>
      </c>
      <c r="Z70" s="243">
        <f>Tabel12[[#This Row],[Aantal games Alg]]-Tabel5[[#This Row],[Wins Alg]]</f>
        <v>46</v>
      </c>
      <c r="AA70" s="238">
        <f>COUNTIF(Tabel3[Team Rood],Tabel12[[#This Row],[Team]])</f>
        <v>31</v>
      </c>
      <c r="AB70" s="239">
        <f>COUNTIF(Tabel3[Team Groen],Tabel12[[#This Row],[Team]])</f>
        <v>15</v>
      </c>
      <c r="AC70" s="223">
        <f>Tabel12[[#This Row],[Aantal Games Rood]]+Tabel12[[#This Row],[Aantal Games Groen]]</f>
        <v>46</v>
      </c>
    </row>
    <row r="71" spans="15:29" x14ac:dyDescent="0.25">
      <c r="O71" s="251" t="s">
        <v>162</v>
      </c>
      <c r="P71" s="233" t="s">
        <v>159</v>
      </c>
      <c r="Q71" s="234" t="str">
        <f t="shared" si="5"/>
        <v>Matthijs*Jonas*</v>
      </c>
      <c r="R71" s="235">
        <f>IF(Tabel12[[#This Row],[Aantal Games Rood]]=0,0,(Tabel12[[#This Row],[Wins Rood]])/Tabel12[[#This Row],[Aantal Games Rood]])</f>
        <v>0.375</v>
      </c>
      <c r="S71" s="236">
        <f>IF(Tabel12[[#This Row],[Aantal Games Groen]]=0,0,(Tabel12[[#This Row],[Wins Groen]])/Tabel12[[#This Row],[Aantal Games Groen]])</f>
        <v>0.27272727272727271</v>
      </c>
      <c r="T71" s="242">
        <f>IF(Tabel12[[#This Row],[Aantal games Alg]]=0,0,(Tabel12[[#This Row],[Wins Alg]])/Tabel12[[#This Row],[Aantal games Alg]])</f>
        <v>0.31578947368421051</v>
      </c>
      <c r="U71" s="238">
        <f>COUNTIF(Tabel3[Winaar rood],Tabel12[[#This Row],[Team]])</f>
        <v>3</v>
      </c>
      <c r="V71" s="239">
        <f>COUNTIF(Tabel3[Winnaar Groen],Tabel12[[#This Row],[Team]])</f>
        <v>3</v>
      </c>
      <c r="W71" s="223">
        <f>COUNTIF(Tabel3[Winnaars],Tabel12[[#This Row],[Team]])</f>
        <v>6</v>
      </c>
      <c r="X71" s="240">
        <f>Tabel12[[#This Row],[Aantal Games Rood]]-Tabel5[[#This Row],[Wins Rood]]</f>
        <v>8</v>
      </c>
      <c r="Y71" s="239">
        <f>Tabel12[[#This Row],[Aantal Games Groen]]-Tabel5[[#This Row],[Wins Groen]]</f>
        <v>11</v>
      </c>
      <c r="Z71" s="243">
        <f>Tabel12[[#This Row],[Aantal games Alg]]-Tabel5[[#This Row],[Wins Alg]]</f>
        <v>19</v>
      </c>
      <c r="AA71" s="238">
        <f>COUNTIF(Tabel3[Team Rood],Tabel12[[#This Row],[Team]])</f>
        <v>8</v>
      </c>
      <c r="AB71" s="239">
        <f>COUNTIF(Tabel3[Team Groen],Tabel12[[#This Row],[Team]])</f>
        <v>11</v>
      </c>
      <c r="AC71" s="223">
        <f>Tabel12[[#This Row],[Aantal Games Rood]]+Tabel12[[#This Row],[Aantal Games Groen]]</f>
        <v>19</v>
      </c>
    </row>
    <row r="72" spans="15:29" x14ac:dyDescent="0.25">
      <c r="O72" s="251" t="s">
        <v>162</v>
      </c>
      <c r="P72" s="233" t="s">
        <v>161</v>
      </c>
      <c r="Q72" s="234" t="str">
        <f t="shared" si="5"/>
        <v>Matthijs*Louis*</v>
      </c>
      <c r="R72" s="235">
        <f>IF(Tabel12[[#This Row],[Aantal Games Rood]]=0,0,(Tabel12[[#This Row],[Wins Rood]])/Tabel12[[#This Row],[Aantal Games Rood]])</f>
        <v>0.25</v>
      </c>
      <c r="S72" s="236">
        <f>IF(Tabel12[[#This Row],[Aantal Games Groen]]=0,0,(Tabel12[[#This Row],[Wins Groen]])/Tabel12[[#This Row],[Aantal Games Groen]])</f>
        <v>0.33333333333333331</v>
      </c>
      <c r="T72" s="242">
        <f>IF(Tabel12[[#This Row],[Aantal games Alg]]=0,0,(Tabel12[[#This Row],[Wins Alg]])/Tabel12[[#This Row],[Aantal games Alg]])</f>
        <v>0.30769230769230771</v>
      </c>
      <c r="U72" s="238">
        <f>COUNTIF(Tabel3[Winaar rood],Tabel12[[#This Row],[Team]])</f>
        <v>1</v>
      </c>
      <c r="V72" s="239">
        <f>COUNTIF(Tabel3[Winnaar Groen],Tabel12[[#This Row],[Team]])</f>
        <v>3</v>
      </c>
      <c r="W72" s="223">
        <f>COUNTIF(Tabel3[Winnaars],Tabel12[[#This Row],[Team]])</f>
        <v>4</v>
      </c>
      <c r="X72" s="240">
        <f>Tabel12[[#This Row],[Aantal Games Rood]]-Tabel5[[#This Row],[Wins Rood]]</f>
        <v>4</v>
      </c>
      <c r="Y72" s="239">
        <f>Tabel12[[#This Row],[Aantal Games Groen]]-Tabel5[[#This Row],[Wins Groen]]</f>
        <v>9</v>
      </c>
      <c r="Z72" s="243">
        <f>Tabel12[[#This Row],[Aantal games Alg]]-Tabel5[[#This Row],[Wins Alg]]</f>
        <v>13</v>
      </c>
      <c r="AA72" s="238">
        <f>COUNTIF(Tabel3[Team Rood],Tabel12[[#This Row],[Team]])</f>
        <v>4</v>
      </c>
      <c r="AB72" s="239">
        <f>COUNTIF(Tabel3[Team Groen],Tabel12[[#This Row],[Team]])</f>
        <v>9</v>
      </c>
      <c r="AC72" s="223">
        <f>Tabel12[[#This Row],[Aantal Games Rood]]+Tabel12[[#This Row],[Aantal Games Groen]]</f>
        <v>13</v>
      </c>
    </row>
    <row r="73" spans="15:29" x14ac:dyDescent="0.25">
      <c r="O73" s="251" t="s">
        <v>162</v>
      </c>
      <c r="P73" s="233" t="s">
        <v>160</v>
      </c>
      <c r="Q73" s="234" t="str">
        <f t="shared" si="5"/>
        <v>Matthijs*Tiemen*</v>
      </c>
      <c r="R73" s="235">
        <f>IF(Tabel12[[#This Row],[Aantal Games Rood]]=0,0,(Tabel12[[#This Row],[Wins Rood]])/Tabel12[[#This Row],[Aantal Games Rood]])</f>
        <v>0.66666666666666663</v>
      </c>
      <c r="S73" s="236">
        <f>IF(Tabel12[[#This Row],[Aantal Games Groen]]=0,0,(Tabel12[[#This Row],[Wins Groen]])/Tabel12[[#This Row],[Aantal Games Groen]])</f>
        <v>0.13333333333333333</v>
      </c>
      <c r="T73" s="242">
        <f>IF(Tabel12[[#This Row],[Aantal games Alg]]=0,0,(Tabel12[[#This Row],[Wins Alg]])/Tabel12[[#This Row],[Aantal games Alg]])</f>
        <v>0.2857142857142857</v>
      </c>
      <c r="U73" s="238">
        <f>COUNTIF(Tabel3[Winaar rood],Tabel12[[#This Row],[Team]])</f>
        <v>4</v>
      </c>
      <c r="V73" s="239">
        <f>COUNTIF(Tabel3[Winnaar Groen],Tabel12[[#This Row],[Team]])</f>
        <v>2</v>
      </c>
      <c r="W73" s="223">
        <f>COUNTIF(Tabel3[Winnaars],Tabel12[[#This Row],[Team]])</f>
        <v>6</v>
      </c>
      <c r="X73" s="240">
        <f>Tabel12[[#This Row],[Aantal Games Rood]]-Tabel5[[#This Row],[Wins Rood]]</f>
        <v>6</v>
      </c>
      <c r="Y73" s="239">
        <f>Tabel12[[#This Row],[Aantal Games Groen]]-Tabel5[[#This Row],[Wins Groen]]</f>
        <v>15</v>
      </c>
      <c r="Z73" s="243">
        <f>Tabel12[[#This Row],[Aantal games Alg]]-Tabel5[[#This Row],[Wins Alg]]</f>
        <v>21</v>
      </c>
      <c r="AA73" s="238">
        <f>COUNTIF(Tabel3[Team Rood],Tabel12[[#This Row],[Team]])</f>
        <v>6</v>
      </c>
      <c r="AB73" s="239">
        <f>COUNTIF(Tabel3[Team Groen],Tabel12[[#This Row],[Team]])</f>
        <v>15</v>
      </c>
      <c r="AC73" s="223">
        <f>Tabel12[[#This Row],[Aantal Games Rood]]+Tabel12[[#This Row],[Aantal Games Groen]]</f>
        <v>21</v>
      </c>
    </row>
    <row r="74" spans="15:29" x14ac:dyDescent="0.25">
      <c r="O74" s="251" t="s">
        <v>164</v>
      </c>
      <c r="P74" s="233" t="s">
        <v>161</v>
      </c>
      <c r="Q74" s="234" t="str">
        <f t="shared" si="5"/>
        <v>Karel*Louis*</v>
      </c>
      <c r="R74" s="235">
        <f>IF(Tabel12[[#This Row],[Aantal Games Rood]]=0,0,(Tabel12[[#This Row],[Wins Rood]])/Tabel12[[#This Row],[Aantal Games Rood]])</f>
        <v>0.5</v>
      </c>
      <c r="S74" s="236">
        <f>IF(Tabel12[[#This Row],[Aantal Games Groen]]=0,0,(Tabel12[[#This Row],[Wins Groen]])/Tabel12[[#This Row],[Aantal Games Groen]])</f>
        <v>0.14285714285714285</v>
      </c>
      <c r="T74" s="237">
        <f>IF(Tabel12[[#This Row],[Aantal games Alg]]=0,0,(Tabel12[[#This Row],[Wins Alg]])/Tabel12[[#This Row],[Aantal games Alg]])</f>
        <v>0.27272727272727271</v>
      </c>
      <c r="U74" s="238">
        <f>COUNTIF(Tabel3[Winaar rood],Tabel12[[#This Row],[Team]])</f>
        <v>2</v>
      </c>
      <c r="V74" s="239">
        <f>COUNTIF(Tabel3[Winnaar Groen],Tabel12[[#This Row],[Team]])</f>
        <v>1</v>
      </c>
      <c r="W74" s="223">
        <f>COUNTIF(Tabel3[Winnaars],Tabel12[[#This Row],[Team]])</f>
        <v>3</v>
      </c>
      <c r="X74" s="240">
        <f>Tabel12[[#This Row],[Aantal Games Rood]]-Tabel5[[#This Row],[Wins Rood]]</f>
        <v>4</v>
      </c>
      <c r="Y74" s="239">
        <f>Tabel12[[#This Row],[Aantal Games Groen]]-Tabel5[[#This Row],[Wins Groen]]</f>
        <v>7</v>
      </c>
      <c r="Z74" s="241">
        <f>Tabel12[[#This Row],[Aantal games Alg]]-Tabel5[[#This Row],[Wins Alg]]</f>
        <v>11</v>
      </c>
      <c r="AA74" s="238">
        <f>COUNTIF(Tabel3[Team Rood],Tabel12[[#This Row],[Team]])</f>
        <v>4</v>
      </c>
      <c r="AB74" s="239">
        <f>COUNTIF(Tabel3[Team Groen],Tabel12[[#This Row],[Team]])</f>
        <v>7</v>
      </c>
      <c r="AC74" s="223">
        <f>Tabel12[[#This Row],[Aantal Games Rood]]+Tabel12[[#This Row],[Aantal Games Groen]]</f>
        <v>11</v>
      </c>
    </row>
    <row r="75" spans="15:29" x14ac:dyDescent="0.25">
      <c r="O75" s="251" t="s">
        <v>159</v>
      </c>
      <c r="P75" s="233" t="s">
        <v>162</v>
      </c>
      <c r="Q75" s="234" t="str">
        <f t="shared" si="5"/>
        <v>Jonas*Matthijs*</v>
      </c>
      <c r="R75" s="235">
        <f>IF(Tabel12[[#This Row],[Aantal Games Rood]]=0,0,(Tabel12[[#This Row],[Wins Rood]])/Tabel12[[#This Row],[Aantal Games Rood]])</f>
        <v>0.33333333333333331</v>
      </c>
      <c r="S75" s="236">
        <f>IF(Tabel12[[#This Row],[Aantal Games Groen]]=0,0,(Tabel12[[#This Row],[Wins Groen]])/Tabel12[[#This Row],[Aantal Games Groen]])</f>
        <v>0.18181818181818182</v>
      </c>
      <c r="T75" s="237">
        <f>IF(Tabel12[[#This Row],[Aantal games Alg]]=0,0,(Tabel12[[#This Row],[Wins Alg]])/Tabel12[[#This Row],[Aantal games Alg]])</f>
        <v>0.2608695652173913</v>
      </c>
      <c r="U75" s="238">
        <f>COUNTIF(Tabel3[Winaar rood],Tabel12[[#This Row],[Team]])</f>
        <v>4</v>
      </c>
      <c r="V75" s="239">
        <f>COUNTIF(Tabel3[Winnaar Groen],Tabel12[[#This Row],[Team]])</f>
        <v>2</v>
      </c>
      <c r="W75" s="223">
        <f>COUNTIF(Tabel3[Winnaars],Tabel12[[#This Row],[Team]])</f>
        <v>6</v>
      </c>
      <c r="X75" s="240">
        <f>Tabel12[[#This Row],[Aantal Games Rood]]-Tabel5[[#This Row],[Wins Rood]]</f>
        <v>10</v>
      </c>
      <c r="Y75" s="239">
        <f>Tabel12[[#This Row],[Aantal Games Groen]]-Tabel5[[#This Row],[Wins Groen]]</f>
        <v>11</v>
      </c>
      <c r="Z75" s="241">
        <f>Tabel12[[#This Row],[Aantal games Alg]]-Tabel5[[#This Row],[Wins Alg]]</f>
        <v>21</v>
      </c>
      <c r="AA75" s="238">
        <f>COUNTIF(Tabel3[Team Rood],Tabel12[[#This Row],[Team]])</f>
        <v>12</v>
      </c>
      <c r="AB75" s="239">
        <f>COUNTIF(Tabel3[Team Groen],Tabel12[[#This Row],[Team]])</f>
        <v>11</v>
      </c>
      <c r="AC75" s="223">
        <f>Tabel12[[#This Row],[Aantal Games Rood]]+Tabel12[[#This Row],[Aantal Games Groen]]</f>
        <v>23</v>
      </c>
    </row>
    <row r="76" spans="15:29" x14ac:dyDescent="0.25">
      <c r="O76" s="251" t="s">
        <v>159</v>
      </c>
      <c r="P76" s="233" t="s">
        <v>158</v>
      </c>
      <c r="Q76" s="234" t="str">
        <f t="shared" si="5"/>
        <v>Jonas*Arno*</v>
      </c>
      <c r="R76" s="235">
        <f>IF(Tabel12[[#This Row],[Aantal Games Rood]]=0,0,(Tabel12[[#This Row],[Wins Rood]])/Tabel12[[#This Row],[Aantal Games Rood]])</f>
        <v>0</v>
      </c>
      <c r="S76" s="236">
        <f>IF(Tabel12[[#This Row],[Aantal Games Groen]]=0,0,(Tabel12[[#This Row],[Wins Groen]])/Tabel12[[#This Row],[Aantal Games Groen]])</f>
        <v>0.5</v>
      </c>
      <c r="T76" s="237">
        <f>IF(Tabel12[[#This Row],[Aantal games Alg]]=0,0,(Tabel12[[#This Row],[Wins Alg]])/Tabel12[[#This Row],[Aantal games Alg]])</f>
        <v>0.25</v>
      </c>
      <c r="U76" s="238">
        <f>COUNTIF(Tabel3[Winaar rood],Tabel12[[#This Row],[Team]])</f>
        <v>0</v>
      </c>
      <c r="V76" s="239">
        <f>COUNTIF(Tabel3[Winnaar Groen],Tabel12[[#This Row],[Team]])</f>
        <v>1</v>
      </c>
      <c r="W76" s="223">
        <f>COUNTIF(Tabel3[Winnaars],Tabel12[[#This Row],[Team]])</f>
        <v>1</v>
      </c>
      <c r="X76" s="240">
        <f>Tabel12[[#This Row],[Aantal Games Rood]]-Tabel5[[#This Row],[Wins Rood]]</f>
        <v>2</v>
      </c>
      <c r="Y76" s="239">
        <f>Tabel12[[#This Row],[Aantal Games Groen]]-Tabel5[[#This Row],[Wins Groen]]</f>
        <v>2</v>
      </c>
      <c r="Z76" s="241">
        <f>Tabel12[[#This Row],[Aantal games Alg]]-Tabel5[[#This Row],[Wins Alg]]</f>
        <v>4</v>
      </c>
      <c r="AA76" s="238">
        <f>COUNTIF(Tabel3[Team Rood],Tabel12[[#This Row],[Team]])</f>
        <v>2</v>
      </c>
      <c r="AB76" s="239">
        <f>COUNTIF(Tabel3[Team Groen],Tabel12[[#This Row],[Team]])</f>
        <v>2</v>
      </c>
      <c r="AC76" s="223">
        <f>Tabel12[[#This Row],[Aantal Games Rood]]+Tabel12[[#This Row],[Aantal Games Groen]]</f>
        <v>4</v>
      </c>
    </row>
    <row r="77" spans="15:29" x14ac:dyDescent="0.25">
      <c r="O77" s="251" t="s">
        <v>170</v>
      </c>
      <c r="P77" s="233" t="s">
        <v>164</v>
      </c>
      <c r="Q77" s="234" t="str">
        <f t="shared" si="5"/>
        <v>Nico*Karel*</v>
      </c>
      <c r="R77" s="235">
        <f>IF(Tabel12[[#This Row],[Aantal Games Rood]]=0,0,(Tabel12[[#This Row],[Wins Rood]])/Tabel12[[#This Row],[Aantal Games Rood]])</f>
        <v>0.3</v>
      </c>
      <c r="S77" s="236">
        <f>IF(Tabel12[[#This Row],[Aantal Games Groen]]=0,0,(Tabel12[[#This Row],[Wins Groen]])/Tabel12[[#This Row],[Aantal Games Groen]])</f>
        <v>0.16666666666666666</v>
      </c>
      <c r="T77" s="237">
        <f>IF(Tabel12[[#This Row],[Aantal games Alg]]=0,0,(Tabel12[[#This Row],[Wins Alg]])/Tabel12[[#This Row],[Aantal games Alg]])</f>
        <v>0.25</v>
      </c>
      <c r="U77" s="238">
        <f>COUNTIF(Tabel3[Winaar rood],Tabel12[[#This Row],[Team]])</f>
        <v>3</v>
      </c>
      <c r="V77" s="239">
        <f>COUNTIF(Tabel3[Winnaar Groen],Tabel12[[#This Row],[Team]])</f>
        <v>1</v>
      </c>
      <c r="W77" s="223">
        <f>COUNTIF(Tabel3[Winnaars],Tabel12[[#This Row],[Team]])</f>
        <v>4</v>
      </c>
      <c r="X77" s="240">
        <f>Tabel12[[#This Row],[Aantal Games Rood]]-Tabel5[[#This Row],[Wins Rood]]</f>
        <v>8</v>
      </c>
      <c r="Y77" s="239">
        <f>Tabel12[[#This Row],[Aantal Games Groen]]-Tabel5[[#This Row],[Wins Groen]]</f>
        <v>5</v>
      </c>
      <c r="Z77" s="241">
        <f>Tabel12[[#This Row],[Aantal games Alg]]-Tabel5[[#This Row],[Wins Alg]]</f>
        <v>13</v>
      </c>
      <c r="AA77" s="238">
        <f>COUNTIF(Tabel3[Team Rood],Tabel12[[#This Row],[Team]])</f>
        <v>10</v>
      </c>
      <c r="AB77" s="239">
        <f>COUNTIF(Tabel3[Team Groen],Tabel12[[#This Row],[Team]])</f>
        <v>6</v>
      </c>
      <c r="AC77" s="223">
        <f>Tabel12[[#This Row],[Aantal Games Rood]]+Tabel12[[#This Row],[Aantal Games Groen]]</f>
        <v>16</v>
      </c>
    </row>
    <row r="78" spans="15:29" x14ac:dyDescent="0.25">
      <c r="O78" s="251" t="s">
        <v>164</v>
      </c>
      <c r="P78" s="233" t="s">
        <v>162</v>
      </c>
      <c r="Q78" s="234" t="str">
        <f t="shared" si="5"/>
        <v>Karel*Matthijs*</v>
      </c>
      <c r="R78" s="235">
        <f>IF(Tabel12[[#This Row],[Aantal Games Rood]]=0,0,(Tabel12[[#This Row],[Wins Rood]])/Tabel12[[#This Row],[Aantal Games Rood]])</f>
        <v>0.33333333333333331</v>
      </c>
      <c r="S78" s="236">
        <f>IF(Tabel12[[#This Row],[Aantal Games Groen]]=0,0,(Tabel12[[#This Row],[Wins Groen]])/Tabel12[[#This Row],[Aantal Games Groen]])</f>
        <v>0.1</v>
      </c>
      <c r="T78" s="237">
        <f>IF(Tabel12[[#This Row],[Aantal games Alg]]=0,0,(Tabel12[[#This Row],[Wins Alg]])/Tabel12[[#This Row],[Aantal games Alg]])</f>
        <v>0.21052631578947367</v>
      </c>
      <c r="U78" s="238">
        <f>COUNTIF(Tabel3[Winaar rood],Tabel12[[#This Row],[Team]])</f>
        <v>3</v>
      </c>
      <c r="V78" s="239">
        <f>COUNTIF(Tabel3[Winnaar Groen],Tabel12[[#This Row],[Team]])</f>
        <v>1</v>
      </c>
      <c r="W78" s="223">
        <f>COUNTIF(Tabel3[Winnaars],Tabel12[[#This Row],[Team]])</f>
        <v>4</v>
      </c>
      <c r="X78" s="240">
        <f>Tabel12[[#This Row],[Aantal Games Rood]]-Tabel5[[#This Row],[Wins Rood]]</f>
        <v>6</v>
      </c>
      <c r="Y78" s="239">
        <f>Tabel12[[#This Row],[Aantal Games Groen]]-Tabel5[[#This Row],[Wins Groen]]</f>
        <v>6</v>
      </c>
      <c r="Z78" s="241">
        <f>Tabel12[[#This Row],[Aantal games Alg]]-Tabel5[[#This Row],[Wins Alg]]</f>
        <v>12</v>
      </c>
      <c r="AA78" s="238">
        <f>COUNTIF(Tabel3[Team Rood],Tabel12[[#This Row],[Team]])</f>
        <v>9</v>
      </c>
      <c r="AB78" s="239">
        <f>COUNTIF(Tabel3[Team Groen],Tabel12[[#This Row],[Team]])</f>
        <v>10</v>
      </c>
      <c r="AC78" s="223">
        <f>Tabel12[[#This Row],[Aantal Games Rood]]+Tabel12[[#This Row],[Aantal Games Groen]]</f>
        <v>19</v>
      </c>
    </row>
    <row r="79" spans="15:29" x14ac:dyDescent="0.25">
      <c r="O79" s="251" t="s">
        <v>161</v>
      </c>
      <c r="P79" s="233" t="s">
        <v>170</v>
      </c>
      <c r="Q79" s="234" t="str">
        <f t="shared" si="5"/>
        <v>Louis*Nico*</v>
      </c>
      <c r="R79" s="235">
        <f>IF(Tabel12[[#This Row],[Aantal Games Rood]]=0,0,(Tabel12[[#This Row],[Wins Rood]])/Tabel12[[#This Row],[Aantal Games Rood]])</f>
        <v>0.33333333333333331</v>
      </c>
      <c r="S79" s="236">
        <f>IF(Tabel12[[#This Row],[Aantal Games Groen]]=0,0,(Tabel12[[#This Row],[Wins Groen]])/Tabel12[[#This Row],[Aantal Games Groen]])</f>
        <v>0.14285714285714285</v>
      </c>
      <c r="T79" s="242">
        <f>IF(Tabel12[[#This Row],[Aantal games Alg]]=0,0,(Tabel12[[#This Row],[Wins Alg]])/Tabel12[[#This Row],[Aantal games Alg]])</f>
        <v>0.2</v>
      </c>
      <c r="U79" s="238">
        <f>COUNTIF(Tabel3[Winaar rood],Tabel12[[#This Row],[Team]])</f>
        <v>1</v>
      </c>
      <c r="V79" s="239">
        <f>COUNTIF(Tabel3[Winnaar Groen],Tabel12[[#This Row],[Team]])</f>
        <v>1</v>
      </c>
      <c r="W79" s="223">
        <f>COUNTIF(Tabel3[Winnaars],Tabel12[[#This Row],[Team]])</f>
        <v>2</v>
      </c>
      <c r="X79" s="240">
        <f>Tabel12[[#This Row],[Aantal Games Rood]]-Tabel5[[#This Row],[Wins Rood]]</f>
        <v>3</v>
      </c>
      <c r="Y79" s="239">
        <f>Tabel12[[#This Row],[Aantal Games Groen]]-Tabel5[[#This Row],[Wins Groen]]</f>
        <v>7</v>
      </c>
      <c r="Z79" s="243">
        <f>Tabel12[[#This Row],[Aantal games Alg]]-Tabel5[[#This Row],[Wins Alg]]</f>
        <v>10</v>
      </c>
      <c r="AA79" s="238">
        <f>COUNTIF(Tabel3[Team Rood],Tabel12[[#This Row],[Team]])</f>
        <v>3</v>
      </c>
      <c r="AB79" s="239">
        <f>COUNTIF(Tabel3[Team Groen],Tabel12[[#This Row],[Team]])</f>
        <v>7</v>
      </c>
      <c r="AC79" s="223">
        <f>Tabel12[[#This Row],[Aantal Games Rood]]+Tabel12[[#This Row],[Aantal Games Groen]]</f>
        <v>10</v>
      </c>
    </row>
    <row r="80" spans="15:29" x14ac:dyDescent="0.25">
      <c r="O80" s="251" t="s">
        <v>170</v>
      </c>
      <c r="P80" s="233" t="s">
        <v>160</v>
      </c>
      <c r="Q80" s="234" t="str">
        <f t="shared" si="5"/>
        <v>Nico*Tiemen*</v>
      </c>
      <c r="R80" s="235">
        <f>IF(Tabel12[[#This Row],[Aantal Games Rood]]=0,0,(Tabel12[[#This Row],[Wins Rood]])/Tabel12[[#This Row],[Aantal Games Rood]])</f>
        <v>0.33333333333333331</v>
      </c>
      <c r="S80" s="236">
        <f>IF(Tabel12[[#This Row],[Aantal Games Groen]]=0,0,(Tabel12[[#This Row],[Wins Groen]])/Tabel12[[#This Row],[Aantal Games Groen]])</f>
        <v>0</v>
      </c>
      <c r="T80" s="237">
        <f>IF(Tabel12[[#This Row],[Aantal games Alg]]=0,0,(Tabel12[[#This Row],[Wins Alg]])/Tabel12[[#This Row],[Aantal games Alg]])</f>
        <v>0.16666666666666666</v>
      </c>
      <c r="U80" s="238">
        <f>COUNTIF(Tabel3[Winaar rood],Tabel12[[#This Row],[Team]])</f>
        <v>1</v>
      </c>
      <c r="V80" s="239">
        <f>COUNTIF(Tabel3[Winnaar Groen],Tabel12[[#This Row],[Team]])</f>
        <v>0</v>
      </c>
      <c r="W80" s="223">
        <f>COUNTIF(Tabel3[Winnaars],Tabel12[[#This Row],[Team]])</f>
        <v>1</v>
      </c>
      <c r="X80" s="240">
        <f>Tabel12[[#This Row],[Aantal Games Rood]]-Tabel5[[#This Row],[Wins Rood]]</f>
        <v>3</v>
      </c>
      <c r="Y80" s="239">
        <f>Tabel12[[#This Row],[Aantal Games Groen]]-Tabel5[[#This Row],[Wins Groen]]</f>
        <v>3</v>
      </c>
      <c r="Z80" s="241">
        <f>Tabel12[[#This Row],[Aantal games Alg]]-Tabel5[[#This Row],[Wins Alg]]</f>
        <v>6</v>
      </c>
      <c r="AA80" s="238">
        <f>COUNTIF(Tabel3[Team Rood],Tabel12[[#This Row],[Team]])</f>
        <v>3</v>
      </c>
      <c r="AB80" s="239">
        <f>COUNTIF(Tabel3[Team Groen],Tabel12[[#This Row],[Team]])</f>
        <v>3</v>
      </c>
      <c r="AC80" s="223">
        <f>Tabel12[[#This Row],[Aantal Games Rood]]+Tabel12[[#This Row],[Aantal Games Groen]]</f>
        <v>6</v>
      </c>
    </row>
    <row r="81" spans="15:29" x14ac:dyDescent="0.25">
      <c r="O81" s="251" t="s">
        <v>166</v>
      </c>
      <c r="P81" s="233" t="s">
        <v>164</v>
      </c>
      <c r="Q81" s="234" t="str">
        <f t="shared" si="5"/>
        <v>Stijn*Karel*</v>
      </c>
      <c r="R81" s="235">
        <f>IF(Tabel12[[#This Row],[Aantal Games Rood]]=0,0,(Tabel12[[#This Row],[Wins Rood]])/Tabel12[[#This Row],[Aantal Games Rood]])</f>
        <v>0.33333333333333331</v>
      </c>
      <c r="S81" s="236">
        <f>IF(Tabel12[[#This Row],[Aantal Games Groen]]=0,0,(Tabel12[[#This Row],[Wins Groen]])/Tabel12[[#This Row],[Aantal Games Groen]])</f>
        <v>0</v>
      </c>
      <c r="T81" s="237">
        <f>IF(Tabel12[[#This Row],[Aantal games Alg]]=0,0,(Tabel12[[#This Row],[Wins Alg]])/Tabel12[[#This Row],[Aantal games Alg]])</f>
        <v>0.16666666666666666</v>
      </c>
      <c r="U81" s="238">
        <f>COUNTIF(Tabel3[Winaar rood],Tabel12[[#This Row],[Team]])</f>
        <v>1</v>
      </c>
      <c r="V81" s="239">
        <f>COUNTIF(Tabel3[Winnaar Groen],Tabel12[[#This Row],[Team]])</f>
        <v>0</v>
      </c>
      <c r="W81" s="223">
        <f>COUNTIF(Tabel3[Winnaars],Tabel12[[#This Row],[Team]])</f>
        <v>1</v>
      </c>
      <c r="X81" s="240">
        <f>Tabel12[[#This Row],[Aantal Games Rood]]-Tabel5[[#This Row],[Wins Rood]]</f>
        <v>3</v>
      </c>
      <c r="Y81" s="239">
        <f>Tabel12[[#This Row],[Aantal Games Groen]]-Tabel5[[#This Row],[Wins Groen]]</f>
        <v>3</v>
      </c>
      <c r="Z81" s="241">
        <f>Tabel12[[#This Row],[Aantal games Alg]]-Tabel5[[#This Row],[Wins Alg]]</f>
        <v>6</v>
      </c>
      <c r="AA81" s="238">
        <f>COUNTIF(Tabel3[Team Rood],Tabel12[[#This Row],[Team]])</f>
        <v>3</v>
      </c>
      <c r="AB81" s="239">
        <f>COUNTIF(Tabel3[Team Groen],Tabel12[[#This Row],[Team]])</f>
        <v>3</v>
      </c>
      <c r="AC81" s="223">
        <f>Tabel12[[#This Row],[Aantal Games Rood]]+Tabel12[[#This Row],[Aantal Games Groen]]</f>
        <v>6</v>
      </c>
    </row>
    <row r="82" spans="15:29" x14ac:dyDescent="0.25">
      <c r="O82" s="251" t="s">
        <v>164</v>
      </c>
      <c r="P82" s="233" t="s">
        <v>166</v>
      </c>
      <c r="Q82" s="234" t="str">
        <f t="shared" si="5"/>
        <v>Karel*Stijn*</v>
      </c>
      <c r="R82" s="235">
        <f>IF(Tabel12[[#This Row],[Aantal Games Rood]]=0,0,(Tabel12[[#This Row],[Wins Rood]])/Tabel12[[#This Row],[Aantal Games Rood]])</f>
        <v>0.25</v>
      </c>
      <c r="S82" s="236">
        <f>IF(Tabel12[[#This Row],[Aantal Games Groen]]=0,0,(Tabel12[[#This Row],[Wins Groen]])/Tabel12[[#This Row],[Aantal Games Groen]])</f>
        <v>0</v>
      </c>
      <c r="T82" s="242">
        <f>IF(Tabel12[[#This Row],[Aantal games Alg]]=0,0,(Tabel12[[#This Row],[Wins Alg]])/Tabel12[[#This Row],[Aantal games Alg]])</f>
        <v>0.14285714285714285</v>
      </c>
      <c r="U82" s="238">
        <f>COUNTIF(Tabel3[Winaar rood],Tabel12[[#This Row],[Team]])</f>
        <v>1</v>
      </c>
      <c r="V82" s="239">
        <f>COUNTIF(Tabel3[Winnaar Groen],Tabel12[[#This Row],[Team]])</f>
        <v>0</v>
      </c>
      <c r="W82" s="223">
        <f>COUNTIF(Tabel3[Winnaars],Tabel12[[#This Row],[Team]])</f>
        <v>1</v>
      </c>
      <c r="X82" s="240">
        <f>Tabel12[[#This Row],[Aantal Games Rood]]-Tabel5[[#This Row],[Wins Rood]]</f>
        <v>0</v>
      </c>
      <c r="Y82" s="239">
        <f>Tabel12[[#This Row],[Aantal Games Groen]]-Tabel5[[#This Row],[Wins Groen]]</f>
        <v>1</v>
      </c>
      <c r="Z82" s="243">
        <f>Tabel12[[#This Row],[Aantal games Alg]]-Tabel5[[#This Row],[Wins Alg]]</f>
        <v>1</v>
      </c>
      <c r="AA82" s="238">
        <f>COUNTIF(Tabel3[Team Rood],Tabel12[[#This Row],[Team]])</f>
        <v>4</v>
      </c>
      <c r="AB82" s="239">
        <f>COUNTIF(Tabel3[Team Groen],Tabel12[[#This Row],[Team]])</f>
        <v>3</v>
      </c>
      <c r="AC82" s="223">
        <f>Tabel12[[#This Row],[Aantal Games Rood]]+Tabel12[[#This Row],[Aantal Games Groen]]</f>
        <v>7</v>
      </c>
    </row>
    <row r="83" spans="15:29" x14ac:dyDescent="0.25">
      <c r="O83" s="251" t="s">
        <v>164</v>
      </c>
      <c r="P83" s="233" t="s">
        <v>170</v>
      </c>
      <c r="Q83" s="234" t="str">
        <f t="shared" si="5"/>
        <v>Karel*Nico*</v>
      </c>
      <c r="R83" s="235">
        <f>IF(Tabel12[[#This Row],[Aantal Games Rood]]=0,0,(Tabel12[[#This Row],[Wins Rood]])/Tabel12[[#This Row],[Aantal Games Rood]])</f>
        <v>0.125</v>
      </c>
      <c r="S83" s="236">
        <f>IF(Tabel12[[#This Row],[Aantal Games Groen]]=0,0,(Tabel12[[#This Row],[Wins Groen]])/Tabel12[[#This Row],[Aantal Games Groen]])</f>
        <v>0.14285714285714285</v>
      </c>
      <c r="T83" s="237">
        <f>IF(Tabel12[[#This Row],[Aantal games Alg]]=0,0,(Tabel12[[#This Row],[Wins Alg]])/Tabel12[[#This Row],[Aantal games Alg]])</f>
        <v>0.13333333333333333</v>
      </c>
      <c r="U83" s="238">
        <f>COUNTIF(Tabel3[Winaar rood],Tabel12[[#This Row],[Team]])</f>
        <v>1</v>
      </c>
      <c r="V83" s="239">
        <f>COUNTIF(Tabel3[Winnaar Groen],Tabel12[[#This Row],[Team]])</f>
        <v>1</v>
      </c>
      <c r="W83" s="223">
        <f>COUNTIF(Tabel3[Winnaars],Tabel12[[#This Row],[Team]])</f>
        <v>2</v>
      </c>
      <c r="X83" s="240">
        <f>Tabel12[[#This Row],[Aantal Games Rood]]-Tabel5[[#This Row],[Wins Rood]]</f>
        <v>8</v>
      </c>
      <c r="Y83" s="239">
        <f>Tabel12[[#This Row],[Aantal Games Groen]]-Tabel5[[#This Row],[Wins Groen]]</f>
        <v>7</v>
      </c>
      <c r="Z83" s="241">
        <f>Tabel12[[#This Row],[Aantal games Alg]]-Tabel5[[#This Row],[Wins Alg]]</f>
        <v>15</v>
      </c>
      <c r="AA83" s="238">
        <f>COUNTIF(Tabel3[Team Rood],Tabel12[[#This Row],[Team]])</f>
        <v>8</v>
      </c>
      <c r="AB83" s="239">
        <f>COUNTIF(Tabel3[Team Groen],Tabel12[[#This Row],[Team]])</f>
        <v>7</v>
      </c>
      <c r="AC83" s="223">
        <f>Tabel12[[#This Row],[Aantal Games Rood]]+Tabel12[[#This Row],[Aantal Games Groen]]</f>
        <v>15</v>
      </c>
    </row>
    <row r="84" spans="15:29" x14ac:dyDescent="0.25">
      <c r="O84" s="251" t="s">
        <v>170</v>
      </c>
      <c r="P84" s="233" t="s">
        <v>159</v>
      </c>
      <c r="Q84" s="234" t="str">
        <f t="shared" si="5"/>
        <v>Nico*Jonas*</v>
      </c>
      <c r="R84" s="235">
        <f>IF(Tabel12[[#This Row],[Aantal Games Rood]]=0,0,(Tabel12[[#This Row],[Wins Rood]])/Tabel12[[#This Row],[Aantal Games Rood]])</f>
        <v>0</v>
      </c>
      <c r="S84" s="236">
        <f>IF(Tabel12[[#This Row],[Aantal Games Groen]]=0,0,(Tabel12[[#This Row],[Wins Groen]])/Tabel12[[#This Row],[Aantal Games Groen]])</f>
        <v>0.2</v>
      </c>
      <c r="T84" s="242">
        <f>IF(Tabel12[[#This Row],[Aantal games Alg]]=0,0,(Tabel12[[#This Row],[Wins Alg]])/Tabel12[[#This Row],[Aantal games Alg]])</f>
        <v>0.13333333333333333</v>
      </c>
      <c r="U84" s="238">
        <f>COUNTIF(Tabel3[Winaar rood],Tabel12[[#This Row],[Team]])</f>
        <v>0</v>
      </c>
      <c r="V84" s="239">
        <f>COUNTIF(Tabel3[Winnaar Groen],Tabel12[[#This Row],[Team]])</f>
        <v>2</v>
      </c>
      <c r="W84" s="223">
        <f>COUNTIF(Tabel3[Winnaars],Tabel12[[#This Row],[Team]])</f>
        <v>2</v>
      </c>
      <c r="X84" s="240">
        <f>Tabel12[[#This Row],[Aantal Games Rood]]-Tabel5[[#This Row],[Wins Rood]]</f>
        <v>5</v>
      </c>
      <c r="Y84" s="239">
        <f>Tabel12[[#This Row],[Aantal Games Groen]]-Tabel5[[#This Row],[Wins Groen]]</f>
        <v>10</v>
      </c>
      <c r="Z84" s="243">
        <f>Tabel12[[#This Row],[Aantal games Alg]]-Tabel5[[#This Row],[Wins Alg]]</f>
        <v>15</v>
      </c>
      <c r="AA84" s="238">
        <f>COUNTIF(Tabel3[Team Rood],Tabel12[[#This Row],[Team]])</f>
        <v>5</v>
      </c>
      <c r="AB84" s="239">
        <f>COUNTIF(Tabel3[Team Groen],Tabel12[[#This Row],[Team]])</f>
        <v>10</v>
      </c>
      <c r="AC84" s="223">
        <f>Tabel12[[#This Row],[Aantal Games Rood]]+Tabel12[[#This Row],[Aantal Games Groen]]</f>
        <v>15</v>
      </c>
    </row>
    <row r="85" spans="15:29" x14ac:dyDescent="0.25">
      <c r="O85" s="251" t="s">
        <v>169</v>
      </c>
      <c r="P85" s="233" t="s">
        <v>170</v>
      </c>
      <c r="Q85" s="234" t="str">
        <f t="shared" si="5"/>
        <v>Stef*Nico*</v>
      </c>
      <c r="R85" s="235">
        <f>IF(Tabel12[[#This Row],[Aantal Games Rood]]=0,0,(Tabel12[[#This Row],[Wins Rood]])/Tabel12[[#This Row],[Aantal Games Rood]])</f>
        <v>0.1</v>
      </c>
      <c r="S85" s="236">
        <f>IF(Tabel12[[#This Row],[Aantal Games Groen]]=0,0,(Tabel12[[#This Row],[Wins Groen]])/Tabel12[[#This Row],[Aantal Games Groen]])</f>
        <v>0.2</v>
      </c>
      <c r="T85" s="237">
        <f>IF(Tabel12[[#This Row],[Aantal games Alg]]=0,0,(Tabel12[[#This Row],[Wins Alg]])/Tabel12[[#This Row],[Aantal games Alg]])</f>
        <v>0.13333333333333333</v>
      </c>
      <c r="U85" s="238">
        <f>COUNTIF(Tabel3[Winaar rood],Tabel12[[#This Row],[Team]])</f>
        <v>1</v>
      </c>
      <c r="V85" s="239">
        <f>COUNTIF(Tabel3[Winnaar Groen],Tabel12[[#This Row],[Team]])</f>
        <v>1</v>
      </c>
      <c r="W85" s="223">
        <f>COUNTIF(Tabel3[Winnaars],Tabel12[[#This Row],[Team]])</f>
        <v>2</v>
      </c>
      <c r="X85" s="240">
        <f>Tabel12[[#This Row],[Aantal Games Rood]]-Tabel5[[#This Row],[Wins Rood]]</f>
        <v>10</v>
      </c>
      <c r="Y85" s="239">
        <f>Tabel12[[#This Row],[Aantal Games Groen]]-Tabel5[[#This Row],[Wins Groen]]</f>
        <v>5</v>
      </c>
      <c r="Z85" s="241">
        <f>Tabel12[[#This Row],[Aantal games Alg]]-Tabel5[[#This Row],[Wins Alg]]</f>
        <v>15</v>
      </c>
      <c r="AA85" s="238">
        <f>COUNTIF(Tabel3[Team Rood],Tabel12[[#This Row],[Team]])</f>
        <v>10</v>
      </c>
      <c r="AB85" s="239">
        <f>COUNTIF(Tabel3[Team Groen],Tabel12[[#This Row],[Team]])</f>
        <v>5</v>
      </c>
      <c r="AC85" s="223">
        <f>Tabel12[[#This Row],[Aantal Games Rood]]+Tabel12[[#This Row],[Aantal Games Groen]]</f>
        <v>15</v>
      </c>
    </row>
    <row r="86" spans="15:29" x14ac:dyDescent="0.25">
      <c r="O86" s="251" t="s">
        <v>160</v>
      </c>
      <c r="P86" s="233" t="s">
        <v>162</v>
      </c>
      <c r="Q86" s="234" t="str">
        <f t="shared" si="5"/>
        <v>Tiemen*Matthijs*</v>
      </c>
      <c r="R86" s="235">
        <f>IF(Tabel12[[#This Row],[Aantal Games Rood]]=0,0,(Tabel12[[#This Row],[Wins Rood]])/Tabel12[[#This Row],[Aantal Games Rood]])</f>
        <v>0</v>
      </c>
      <c r="S86" s="236">
        <f>IF(Tabel12[[#This Row],[Aantal Games Groen]]=0,0,(Tabel12[[#This Row],[Wins Groen]])/Tabel12[[#This Row],[Aantal Games Groen]])</f>
        <v>0.2</v>
      </c>
      <c r="T86" s="242">
        <f>IF(Tabel12[[#This Row],[Aantal games Alg]]=0,0,(Tabel12[[#This Row],[Wins Alg]])/Tabel12[[#This Row],[Aantal games Alg]])</f>
        <v>0.1111111111111111</v>
      </c>
      <c r="U86" s="238">
        <f>COUNTIF(Tabel3[Winaar rood],Tabel12[[#This Row],[Team]])</f>
        <v>0</v>
      </c>
      <c r="V86" s="239">
        <f>COUNTIF(Tabel3[Winnaar Groen],Tabel12[[#This Row],[Team]])</f>
        <v>1</v>
      </c>
      <c r="W86" s="223">
        <f>COUNTIF(Tabel3[Winnaars],Tabel12[[#This Row],[Team]])</f>
        <v>1</v>
      </c>
      <c r="X86" s="240">
        <f>Tabel12[[#This Row],[Aantal Games Rood]]-Tabel5[[#This Row],[Wins Rood]]</f>
        <v>4</v>
      </c>
      <c r="Y86" s="239">
        <f>Tabel12[[#This Row],[Aantal Games Groen]]-Tabel5[[#This Row],[Wins Groen]]</f>
        <v>4</v>
      </c>
      <c r="Z86" s="243">
        <f>Tabel12[[#This Row],[Aantal games Alg]]-Tabel5[[#This Row],[Wins Alg]]</f>
        <v>8</v>
      </c>
      <c r="AA86" s="238">
        <f>COUNTIF(Tabel3[Team Rood],Tabel12[[#This Row],[Team]])</f>
        <v>4</v>
      </c>
      <c r="AB86" s="239">
        <f>COUNTIF(Tabel3[Team Groen],Tabel12[[#This Row],[Team]])</f>
        <v>5</v>
      </c>
      <c r="AC86" s="223">
        <f>Tabel12[[#This Row],[Aantal Games Rood]]+Tabel12[[#This Row],[Aantal Games Groen]]</f>
        <v>9</v>
      </c>
    </row>
    <row r="87" spans="15:29" x14ac:dyDescent="0.25">
      <c r="O87" s="251" t="s">
        <v>159</v>
      </c>
      <c r="P87" s="233" t="s">
        <v>170</v>
      </c>
      <c r="Q87" s="234" t="str">
        <f t="shared" si="5"/>
        <v>Jonas*Nico*</v>
      </c>
      <c r="R87" s="235">
        <f>IF(Tabel12[[#This Row],[Aantal Games Rood]]=0,0,(Tabel12[[#This Row],[Wins Rood]])/Tabel12[[#This Row],[Aantal Games Rood]])</f>
        <v>7.1428571428571425E-2</v>
      </c>
      <c r="S87" s="236">
        <f>IF(Tabel12[[#This Row],[Aantal Games Groen]]=0,0,(Tabel12[[#This Row],[Wins Groen]])/Tabel12[[#This Row],[Aantal Games Groen]])</f>
        <v>9.0909090909090912E-2</v>
      </c>
      <c r="T87" s="237">
        <f>IF(Tabel12[[#This Row],[Aantal games Alg]]=0,0,(Tabel12[[#This Row],[Wins Alg]])/Tabel12[[#This Row],[Aantal games Alg]])</f>
        <v>0.08</v>
      </c>
      <c r="U87" s="238">
        <f>COUNTIF(Tabel3[Winaar rood],Tabel12[[#This Row],[Team]])</f>
        <v>1</v>
      </c>
      <c r="V87" s="239">
        <f>COUNTIF(Tabel3[Winnaar Groen],Tabel12[[#This Row],[Team]])</f>
        <v>1</v>
      </c>
      <c r="W87" s="223">
        <f>COUNTIF(Tabel3[Winnaars],Tabel12[[#This Row],[Team]])</f>
        <v>2</v>
      </c>
      <c r="X87" s="240">
        <f>Tabel12[[#This Row],[Aantal Games Rood]]-Tabel5[[#This Row],[Wins Rood]]</f>
        <v>13</v>
      </c>
      <c r="Y87" s="239">
        <f>Tabel12[[#This Row],[Aantal Games Groen]]-Tabel5[[#This Row],[Wins Groen]]</f>
        <v>11</v>
      </c>
      <c r="Z87" s="241">
        <f>Tabel12[[#This Row],[Aantal games Alg]]-Tabel5[[#This Row],[Wins Alg]]</f>
        <v>24</v>
      </c>
      <c r="AA87" s="238">
        <f>COUNTIF(Tabel3[Team Rood],Tabel12[[#This Row],[Team]])</f>
        <v>14</v>
      </c>
      <c r="AB87" s="239">
        <f>COUNTIF(Tabel3[Team Groen],Tabel12[[#This Row],[Team]])</f>
        <v>11</v>
      </c>
      <c r="AC87" s="223">
        <f>Tabel12[[#This Row],[Aantal Games Rood]]+Tabel12[[#This Row],[Aantal Games Groen]]</f>
        <v>25</v>
      </c>
    </row>
    <row r="88" spans="15:29" x14ac:dyDescent="0.25">
      <c r="O88" s="251" t="s">
        <v>158</v>
      </c>
      <c r="P88" s="233" t="s">
        <v>163</v>
      </c>
      <c r="Q88" s="234" t="str">
        <f t="shared" si="5"/>
        <v>Arno*Bert*</v>
      </c>
      <c r="R88" s="235">
        <f>IF(Tabel12[[#This Row],[Aantal Games Rood]]=0,0,(Tabel12[[#This Row],[Wins Rood]])/Tabel12[[#This Row],[Aantal Games Rood]])</f>
        <v>0</v>
      </c>
      <c r="S88" s="236">
        <f>IF(Tabel12[[#This Row],[Aantal Games Groen]]=0,0,(Tabel12[[#This Row],[Wins Groen]])/Tabel12[[#This Row],[Aantal Games Groen]])</f>
        <v>0</v>
      </c>
      <c r="T88" s="237">
        <f>IF(Tabel12[[#This Row],[Aantal games Alg]]=0,0,(Tabel12[[#This Row],[Wins Alg]])/Tabel12[[#This Row],[Aantal games Alg]])</f>
        <v>0</v>
      </c>
      <c r="U88" s="238">
        <f>COUNTIF(Tabel3[Winaar rood],Tabel12[[#This Row],[Team]])</f>
        <v>0</v>
      </c>
      <c r="V88" s="239">
        <f>COUNTIF(Tabel3[Winnaar Groen],Tabel12[[#This Row],[Team]])</f>
        <v>0</v>
      </c>
      <c r="W88" s="223">
        <f>COUNTIF(Tabel3[Winnaars],Tabel12[[#This Row],[Team]])</f>
        <v>0</v>
      </c>
      <c r="X88" s="240">
        <f>Tabel12[[#This Row],[Aantal Games Rood]]-Tabel5[[#This Row],[Wins Rood]]</f>
        <v>0</v>
      </c>
      <c r="Y88" s="239">
        <f>Tabel12[[#This Row],[Aantal Games Groen]]-Tabel5[[#This Row],[Wins Groen]]</f>
        <v>0</v>
      </c>
      <c r="Z88" s="241">
        <f>Tabel12[[#This Row],[Aantal games Alg]]-Tabel5[[#This Row],[Wins Alg]]</f>
        <v>0</v>
      </c>
      <c r="AA88" s="238">
        <f>COUNTIF(Tabel3[Team Rood],Tabel12[[#This Row],[Team]])</f>
        <v>0</v>
      </c>
      <c r="AB88" s="239">
        <f>COUNTIF(Tabel3[Team Groen],Tabel12[[#This Row],[Team]])</f>
        <v>0</v>
      </c>
      <c r="AC88" s="223">
        <f>Tabel12[[#This Row],[Aantal Games Rood]]+Tabel12[[#This Row],[Aantal Games Groen]]</f>
        <v>0</v>
      </c>
    </row>
    <row r="89" spans="15:29" x14ac:dyDescent="0.25">
      <c r="O89" s="251" t="s">
        <v>158</v>
      </c>
      <c r="P89" s="233" t="s">
        <v>168</v>
      </c>
      <c r="Q89" s="234" t="str">
        <f t="shared" si="5"/>
        <v>Arno*Coghe*</v>
      </c>
      <c r="R89" s="235">
        <f>IF(Tabel12[[#This Row],[Aantal Games Rood]]=0,0,(Tabel12[[#This Row],[Wins Rood]])/Tabel12[[#This Row],[Aantal Games Rood]])</f>
        <v>0</v>
      </c>
      <c r="S89" s="236">
        <f>IF(Tabel12[[#This Row],[Aantal Games Groen]]=0,0,(Tabel12[[#This Row],[Wins Groen]])/Tabel12[[#This Row],[Aantal Games Groen]])</f>
        <v>0</v>
      </c>
      <c r="T89" s="242">
        <f>IF(Tabel12[[#This Row],[Aantal games Alg]]=0,0,(Tabel12[[#This Row],[Wins Alg]])/Tabel12[[#This Row],[Aantal games Alg]])</f>
        <v>0</v>
      </c>
      <c r="U89" s="238">
        <f>COUNTIF(Tabel3[Winaar rood],Tabel12[[#This Row],[Team]])</f>
        <v>0</v>
      </c>
      <c r="V89" s="239">
        <f>COUNTIF(Tabel3[Winnaar Groen],Tabel12[[#This Row],[Team]])</f>
        <v>0</v>
      </c>
      <c r="W89" s="223">
        <f>COUNTIF(Tabel3[Winnaars],Tabel12[[#This Row],[Team]])</f>
        <v>0</v>
      </c>
      <c r="X89" s="245">
        <f>Tabel12[[#This Row],[Aantal Games Rood]]-Tabel5[[#This Row],[Wins Rood]]</f>
        <v>0</v>
      </c>
      <c r="Y89" s="244">
        <f>Tabel12[[#This Row],[Aantal Games Groen]]-Tabel5[[#This Row],[Wins Groen]]</f>
        <v>-1</v>
      </c>
      <c r="Z89" s="246">
        <f>Tabel12[[#This Row],[Aantal games Alg]]-Tabel5[[#This Row],[Wins Alg]]</f>
        <v>-1</v>
      </c>
      <c r="AA89" s="238">
        <f>COUNTIF(Tabel3[Team Rood],Tabel12[[#This Row],[Team]])</f>
        <v>0</v>
      </c>
      <c r="AB89" s="239">
        <f>COUNTIF(Tabel3[Team Groen],Tabel12[[#This Row],[Team]])</f>
        <v>0</v>
      </c>
      <c r="AC89" s="223">
        <f>Tabel12[[#This Row],[Aantal Games Rood]]+Tabel12[[#This Row],[Aantal Games Groen]]</f>
        <v>0</v>
      </c>
    </row>
    <row r="90" spans="15:29" x14ac:dyDescent="0.25">
      <c r="O90" s="251" t="s">
        <v>158</v>
      </c>
      <c r="P90" s="233" t="s">
        <v>67</v>
      </c>
      <c r="Q90" s="234" t="str">
        <f t="shared" si="5"/>
        <v>Arno*Lawrence</v>
      </c>
      <c r="R90" s="235">
        <f>IF(Tabel12[[#This Row],[Aantal Games Rood]]=0,0,(Tabel12[[#This Row],[Wins Rood]])/Tabel12[[#This Row],[Aantal Games Rood]])</f>
        <v>0</v>
      </c>
      <c r="S90" s="236">
        <f>IF(Tabel12[[#This Row],[Aantal Games Groen]]=0,0,(Tabel12[[#This Row],[Wins Groen]])/Tabel12[[#This Row],[Aantal Games Groen]])</f>
        <v>0</v>
      </c>
      <c r="T90" s="237">
        <f>IF(Tabel12[[#This Row],[Aantal games Alg]]=0,0,(Tabel12[[#This Row],[Wins Alg]])/Tabel12[[#This Row],[Aantal games Alg]])</f>
        <v>0</v>
      </c>
      <c r="U90" s="238">
        <f>COUNTIF(Tabel3[Winaar rood],Tabel12[[#This Row],[Team]])</f>
        <v>0</v>
      </c>
      <c r="V90" s="239">
        <f>COUNTIF(Tabel3[Winnaar Groen],Tabel12[[#This Row],[Team]])</f>
        <v>0</v>
      </c>
      <c r="W90" s="223">
        <f>COUNTIF(Tabel3[Winnaars],Tabel12[[#This Row],[Team]])</f>
        <v>0</v>
      </c>
      <c r="X90" s="240">
        <f>Tabel12[[#This Row],[Aantal Games Rood]]-Tabel5[[#This Row],[Wins Rood]]</f>
        <v>0</v>
      </c>
      <c r="Y90" s="239">
        <f>Tabel12[[#This Row],[Aantal Games Groen]]-Tabel5[[#This Row],[Wins Groen]]</f>
        <v>-2</v>
      </c>
      <c r="Z90" s="241">
        <f>Tabel12[[#This Row],[Aantal games Alg]]-Tabel5[[#This Row],[Wins Alg]]</f>
        <v>-2</v>
      </c>
      <c r="AA90" s="238">
        <f>COUNTIF(Tabel3[Team Rood],Tabel12[[#This Row],[Team]])</f>
        <v>0</v>
      </c>
      <c r="AB90" s="239">
        <f>COUNTIF(Tabel3[Team Groen],Tabel12[[#This Row],[Team]])</f>
        <v>0</v>
      </c>
      <c r="AC90" s="223">
        <f>Tabel12[[#This Row],[Aantal Games Rood]]+Tabel12[[#This Row],[Aantal Games Groen]]</f>
        <v>0</v>
      </c>
    </row>
    <row r="91" spans="15:29" x14ac:dyDescent="0.25">
      <c r="O91" s="251" t="s">
        <v>158</v>
      </c>
      <c r="P91" s="233" t="s">
        <v>161</v>
      </c>
      <c r="Q91" s="234" t="str">
        <f t="shared" si="5"/>
        <v>Arno*Louis*</v>
      </c>
      <c r="R91" s="235">
        <f>IF(Tabel12[[#This Row],[Aantal Games Rood]]=0,0,(Tabel12[[#This Row],[Wins Rood]])/Tabel12[[#This Row],[Aantal Games Rood]])</f>
        <v>0</v>
      </c>
      <c r="S91" s="236">
        <f>IF(Tabel12[[#This Row],[Aantal Games Groen]]=0,0,(Tabel12[[#This Row],[Wins Groen]])/Tabel12[[#This Row],[Aantal Games Groen]])</f>
        <v>0</v>
      </c>
      <c r="T91" s="242">
        <f>IF(Tabel12[[#This Row],[Aantal games Alg]]=0,0,(Tabel12[[#This Row],[Wins Alg]])/Tabel12[[#This Row],[Aantal games Alg]])</f>
        <v>0</v>
      </c>
      <c r="U91" s="238">
        <f>COUNTIF(Tabel3[Winaar rood],Tabel12[[#This Row],[Team]])</f>
        <v>0</v>
      </c>
      <c r="V91" s="239">
        <f>COUNTIF(Tabel3[Winnaar Groen],Tabel12[[#This Row],[Team]])</f>
        <v>0</v>
      </c>
      <c r="W91" s="223">
        <f>COUNTIF(Tabel3[Winnaars],Tabel12[[#This Row],[Team]])</f>
        <v>0</v>
      </c>
      <c r="X91" s="240">
        <f>Tabel12[[#This Row],[Aantal Games Rood]]-Tabel5[[#This Row],[Wins Rood]]</f>
        <v>0</v>
      </c>
      <c r="Y91" s="239">
        <f>Tabel12[[#This Row],[Aantal Games Groen]]-Tabel5[[#This Row],[Wins Groen]]</f>
        <v>0</v>
      </c>
      <c r="Z91" s="243">
        <f>Tabel12[[#This Row],[Aantal games Alg]]-Tabel5[[#This Row],[Wins Alg]]</f>
        <v>0</v>
      </c>
      <c r="AA91" s="238">
        <f>COUNTIF(Tabel3[Team Rood],Tabel12[[#This Row],[Team]])</f>
        <v>0</v>
      </c>
      <c r="AB91" s="239">
        <f>COUNTIF(Tabel3[Team Groen],Tabel12[[#This Row],[Team]])</f>
        <v>0</v>
      </c>
      <c r="AC91" s="223">
        <f>Tabel12[[#This Row],[Aantal Games Rood]]+Tabel12[[#This Row],[Aantal Games Groen]]</f>
        <v>0</v>
      </c>
    </row>
    <row r="92" spans="15:29" x14ac:dyDescent="0.25">
      <c r="O92" s="251" t="s">
        <v>158</v>
      </c>
      <c r="P92" s="233" t="s">
        <v>162</v>
      </c>
      <c r="Q92" s="234" t="str">
        <f t="shared" si="5"/>
        <v>Arno*Matthijs*</v>
      </c>
      <c r="R92" s="235">
        <f>IF(Tabel12[[#This Row],[Aantal Games Rood]]=0,0,(Tabel12[[#This Row],[Wins Rood]])/Tabel12[[#This Row],[Aantal Games Rood]])</f>
        <v>0</v>
      </c>
      <c r="S92" s="236">
        <f>IF(Tabel12[[#This Row],[Aantal Games Groen]]=0,0,(Tabel12[[#This Row],[Wins Groen]])/Tabel12[[#This Row],[Aantal Games Groen]])</f>
        <v>0</v>
      </c>
      <c r="T92" s="237">
        <f>IF(Tabel12[[#This Row],[Aantal games Alg]]=0,0,(Tabel12[[#This Row],[Wins Alg]])/Tabel12[[#This Row],[Aantal games Alg]])</f>
        <v>0</v>
      </c>
      <c r="U92" s="238">
        <f>COUNTIF(Tabel3[Winaar rood],Tabel12[[#This Row],[Team]])</f>
        <v>0</v>
      </c>
      <c r="V92" s="239">
        <f>COUNTIF(Tabel3[Winnaar Groen],Tabel12[[#This Row],[Team]])</f>
        <v>0</v>
      </c>
      <c r="W92" s="223">
        <f>COUNTIF(Tabel3[Winnaars],Tabel12[[#This Row],[Team]])</f>
        <v>0</v>
      </c>
      <c r="X92" s="240">
        <f>Tabel12[[#This Row],[Aantal Games Rood]]-Tabel5[[#This Row],[Wins Rood]]</f>
        <v>1</v>
      </c>
      <c r="Y92" s="239">
        <f>Tabel12[[#This Row],[Aantal Games Groen]]-Tabel5[[#This Row],[Wins Groen]]</f>
        <v>-1</v>
      </c>
      <c r="Z92" s="241">
        <f>Tabel12[[#This Row],[Aantal games Alg]]-Tabel5[[#This Row],[Wins Alg]]</f>
        <v>0</v>
      </c>
      <c r="AA92" s="238">
        <f>COUNTIF(Tabel3[Team Rood],Tabel12[[#This Row],[Team]])</f>
        <v>1</v>
      </c>
      <c r="AB92" s="239">
        <f>COUNTIF(Tabel3[Team Groen],Tabel12[[#This Row],[Team]])</f>
        <v>0</v>
      </c>
      <c r="AC92" s="223">
        <f>Tabel12[[#This Row],[Aantal Games Rood]]+Tabel12[[#This Row],[Aantal Games Groen]]</f>
        <v>1</v>
      </c>
    </row>
    <row r="93" spans="15:29" x14ac:dyDescent="0.25">
      <c r="O93" s="251" t="s">
        <v>158</v>
      </c>
      <c r="P93" s="233" t="s">
        <v>170</v>
      </c>
      <c r="Q93" s="234" t="str">
        <f t="shared" si="5"/>
        <v>Arno*Nico*</v>
      </c>
      <c r="R93" s="235">
        <f>IF(Tabel12[[#This Row],[Aantal Games Rood]]=0,0,(Tabel12[[#This Row],[Wins Rood]])/Tabel12[[#This Row],[Aantal Games Rood]])</f>
        <v>0</v>
      </c>
      <c r="S93" s="236">
        <f>IF(Tabel12[[#This Row],[Aantal Games Groen]]=0,0,(Tabel12[[#This Row],[Wins Groen]])/Tabel12[[#This Row],[Aantal Games Groen]])</f>
        <v>0</v>
      </c>
      <c r="T93" s="242">
        <f>IF(Tabel12[[#This Row],[Aantal games Alg]]=0,0,(Tabel12[[#This Row],[Wins Alg]])/Tabel12[[#This Row],[Aantal games Alg]])</f>
        <v>0</v>
      </c>
      <c r="U93" s="238">
        <f>COUNTIF(Tabel3[Winaar rood],Tabel12[[#This Row],[Team]])</f>
        <v>0</v>
      </c>
      <c r="V93" s="239">
        <f>COUNTIF(Tabel3[Winnaar Groen],Tabel12[[#This Row],[Team]])</f>
        <v>0</v>
      </c>
      <c r="W93" s="223">
        <f>COUNTIF(Tabel3[Winnaars],Tabel12[[#This Row],[Team]])</f>
        <v>0</v>
      </c>
      <c r="X93" s="240">
        <f>Tabel12[[#This Row],[Aantal Games Rood]]-Tabel5[[#This Row],[Wins Rood]]</f>
        <v>0</v>
      </c>
      <c r="Y93" s="239">
        <f>Tabel12[[#This Row],[Aantal Games Groen]]-Tabel5[[#This Row],[Wins Groen]]</f>
        <v>1</v>
      </c>
      <c r="Z93" s="243">
        <f>Tabel12[[#This Row],[Aantal games Alg]]-Tabel5[[#This Row],[Wins Alg]]</f>
        <v>1</v>
      </c>
      <c r="AA93" s="238">
        <f>COUNTIF(Tabel3[Team Rood],Tabel12[[#This Row],[Team]])</f>
        <v>0</v>
      </c>
      <c r="AB93" s="239">
        <f>COUNTIF(Tabel3[Team Groen],Tabel12[[#This Row],[Team]])</f>
        <v>1</v>
      </c>
      <c r="AC93" s="223">
        <f>Tabel12[[#This Row],[Aantal Games Rood]]+Tabel12[[#This Row],[Aantal Games Groen]]</f>
        <v>1</v>
      </c>
    </row>
    <row r="94" spans="15:29" x14ac:dyDescent="0.25">
      <c r="O94" s="251" t="s">
        <v>158</v>
      </c>
      <c r="P94" s="233" t="s">
        <v>166</v>
      </c>
      <c r="Q94" s="234" t="str">
        <f t="shared" si="5"/>
        <v>Arno*Stijn*</v>
      </c>
      <c r="R94" s="235">
        <f>IF(Tabel12[[#This Row],[Aantal Games Rood]]=0,0,(Tabel12[[#This Row],[Wins Rood]])/Tabel12[[#This Row],[Aantal Games Rood]])</f>
        <v>0</v>
      </c>
      <c r="S94" s="236">
        <f>IF(Tabel12[[#This Row],[Aantal Games Groen]]=0,0,(Tabel12[[#This Row],[Wins Groen]])/Tabel12[[#This Row],[Aantal Games Groen]])</f>
        <v>0</v>
      </c>
      <c r="T94" s="242">
        <f>IF(Tabel12[[#This Row],[Aantal games Alg]]=0,0,(Tabel12[[#This Row],[Wins Alg]])/Tabel12[[#This Row],[Aantal games Alg]])</f>
        <v>0</v>
      </c>
      <c r="U94" s="238">
        <f>COUNTIF(Tabel3[Winaar rood],Tabel12[[#This Row],[Team]])</f>
        <v>0</v>
      </c>
      <c r="V94" s="239">
        <f>COUNTIF(Tabel3[Winnaar Groen],Tabel12[[#This Row],[Team]])</f>
        <v>0</v>
      </c>
      <c r="W94" s="223">
        <f>COUNTIF(Tabel3[Winnaars],Tabel12[[#This Row],[Team]])</f>
        <v>0</v>
      </c>
      <c r="X94" s="240">
        <f>Tabel12[[#This Row],[Aantal Games Rood]]-Tabel5[[#This Row],[Wins Rood]]</f>
        <v>-3</v>
      </c>
      <c r="Y94" s="239">
        <f>Tabel12[[#This Row],[Aantal Games Groen]]-Tabel5[[#This Row],[Wins Groen]]</f>
        <v>-2</v>
      </c>
      <c r="Z94" s="243">
        <f>Tabel12[[#This Row],[Aantal games Alg]]-Tabel5[[#This Row],[Wins Alg]]</f>
        <v>-5</v>
      </c>
      <c r="AA94" s="238">
        <f>COUNTIF(Tabel3[Team Rood],Tabel12[[#This Row],[Team]])</f>
        <v>0</v>
      </c>
      <c r="AB94" s="239">
        <f>COUNTIF(Tabel3[Team Groen],Tabel12[[#This Row],[Team]])</f>
        <v>0</v>
      </c>
      <c r="AC94" s="223">
        <f>Tabel12[[#This Row],[Aantal Games Rood]]+Tabel12[[#This Row],[Aantal Games Groen]]</f>
        <v>0</v>
      </c>
    </row>
    <row r="95" spans="15:29" x14ac:dyDescent="0.25">
      <c r="O95" s="251" t="s">
        <v>158</v>
      </c>
      <c r="P95" s="233" t="s">
        <v>157</v>
      </c>
      <c r="Q95" s="234" t="str">
        <f t="shared" si="5"/>
        <v>Arno*Tobi*</v>
      </c>
      <c r="R95" s="235">
        <f>IF(Tabel12[[#This Row],[Aantal Games Rood]]=0,0,(Tabel12[[#This Row],[Wins Rood]])/Tabel12[[#This Row],[Aantal Games Rood]])</f>
        <v>0</v>
      </c>
      <c r="S95" s="236">
        <f>IF(Tabel12[[#This Row],[Aantal Games Groen]]=0,0,(Tabel12[[#This Row],[Wins Groen]])/Tabel12[[#This Row],[Aantal Games Groen]])</f>
        <v>0</v>
      </c>
      <c r="T95" s="242">
        <f>IF(Tabel12[[#This Row],[Aantal games Alg]]=0,0,(Tabel12[[#This Row],[Wins Alg]])/Tabel12[[#This Row],[Aantal games Alg]])</f>
        <v>0</v>
      </c>
      <c r="U95" s="238">
        <f>COUNTIF(Tabel3[Winaar rood],Tabel12[[#This Row],[Team]])</f>
        <v>0</v>
      </c>
      <c r="V95" s="239">
        <f>COUNTIF(Tabel3[Winnaar Groen],Tabel12[[#This Row],[Team]])</f>
        <v>0</v>
      </c>
      <c r="W95" s="223">
        <f>COUNTIF(Tabel3[Winnaars],Tabel12[[#This Row],[Team]])</f>
        <v>0</v>
      </c>
      <c r="X95" s="240">
        <f>Tabel12[[#This Row],[Aantal Games Rood]]-Tabel5[[#This Row],[Wins Rood]]</f>
        <v>0</v>
      </c>
      <c r="Y95" s="239">
        <f>Tabel12[[#This Row],[Aantal Games Groen]]-Tabel5[[#This Row],[Wins Groen]]</f>
        <v>0</v>
      </c>
      <c r="Z95" s="243">
        <f>Tabel12[[#This Row],[Aantal games Alg]]-Tabel5[[#This Row],[Wins Alg]]</f>
        <v>0</v>
      </c>
      <c r="AA95" s="238">
        <f>COUNTIF(Tabel3[Team Rood],Tabel12[[#This Row],[Team]])</f>
        <v>0</v>
      </c>
      <c r="AB95" s="239">
        <f>COUNTIF(Tabel3[Team Groen],Tabel12[[#This Row],[Team]])</f>
        <v>0</v>
      </c>
      <c r="AC95" s="223">
        <f>Tabel12[[#This Row],[Aantal Games Rood]]+Tabel12[[#This Row],[Aantal Games Groen]]</f>
        <v>0</v>
      </c>
    </row>
    <row r="96" spans="15:29" x14ac:dyDescent="0.25">
      <c r="O96" s="251" t="s">
        <v>163</v>
      </c>
      <c r="P96" s="233" t="s">
        <v>158</v>
      </c>
      <c r="Q96" s="234" t="str">
        <f t="shared" si="5"/>
        <v>Bert*Arno*</v>
      </c>
      <c r="R96" s="235">
        <f>IF(Tabel12[[#This Row],[Aantal Games Rood]]=0,0,(Tabel12[[#This Row],[Wins Rood]])/Tabel12[[#This Row],[Aantal Games Rood]])</f>
        <v>0</v>
      </c>
      <c r="S96" s="236">
        <f>IF(Tabel12[[#This Row],[Aantal Games Groen]]=0,0,(Tabel12[[#This Row],[Wins Groen]])/Tabel12[[#This Row],[Aantal Games Groen]])</f>
        <v>0</v>
      </c>
      <c r="T96" s="237">
        <f>IF(Tabel12[[#This Row],[Aantal games Alg]]=0,0,(Tabel12[[#This Row],[Wins Alg]])/Tabel12[[#This Row],[Aantal games Alg]])</f>
        <v>0</v>
      </c>
      <c r="U96" s="238">
        <f>COUNTIF(Tabel3[Winaar rood],Tabel12[[#This Row],[Team]])</f>
        <v>0</v>
      </c>
      <c r="V96" s="239">
        <f>COUNTIF(Tabel3[Winnaar Groen],Tabel12[[#This Row],[Team]])</f>
        <v>0</v>
      </c>
      <c r="W96" s="223">
        <f>COUNTIF(Tabel3[Winnaars],Tabel12[[#This Row],[Team]])</f>
        <v>0</v>
      </c>
      <c r="X96" s="240">
        <f>Tabel12[[#This Row],[Aantal Games Rood]]-Tabel5[[#This Row],[Wins Rood]]</f>
        <v>0</v>
      </c>
      <c r="Y96" s="239">
        <f>Tabel12[[#This Row],[Aantal Games Groen]]-Tabel5[[#This Row],[Wins Groen]]</f>
        <v>0</v>
      </c>
      <c r="Z96" s="241">
        <f>Tabel12[[#This Row],[Aantal games Alg]]-Tabel5[[#This Row],[Wins Alg]]</f>
        <v>0</v>
      </c>
      <c r="AA96" s="238">
        <f>COUNTIF(Tabel3[Team Rood],Tabel12[[#This Row],[Team]])</f>
        <v>0</v>
      </c>
      <c r="AB96" s="239">
        <f>COUNTIF(Tabel3[Team Groen],Tabel12[[#This Row],[Team]])</f>
        <v>0</v>
      </c>
      <c r="AC96" s="223">
        <f>Tabel12[[#This Row],[Aantal Games Rood]]+Tabel12[[#This Row],[Aantal Games Groen]]</f>
        <v>0</v>
      </c>
    </row>
    <row r="97" spans="15:29" x14ac:dyDescent="0.25">
      <c r="O97" s="251" t="s">
        <v>163</v>
      </c>
      <c r="P97" s="233" t="s">
        <v>168</v>
      </c>
      <c r="Q97" s="234" t="str">
        <f t="shared" si="5"/>
        <v>Bert*Coghe*</v>
      </c>
      <c r="R97" s="235">
        <f>IF(Tabel12[[#This Row],[Aantal Games Rood]]=0,0,(Tabel12[[#This Row],[Wins Rood]])/Tabel12[[#This Row],[Aantal Games Rood]])</f>
        <v>0</v>
      </c>
      <c r="S97" s="236">
        <f>IF(Tabel12[[#This Row],[Aantal Games Groen]]=0,0,(Tabel12[[#This Row],[Wins Groen]])/Tabel12[[#This Row],[Aantal Games Groen]])</f>
        <v>0</v>
      </c>
      <c r="T97" s="242">
        <f>IF(Tabel12[[#This Row],[Aantal games Alg]]=0,0,(Tabel12[[#This Row],[Wins Alg]])/Tabel12[[#This Row],[Aantal games Alg]])</f>
        <v>0</v>
      </c>
      <c r="U97" s="238">
        <f>COUNTIF(Tabel3[Winaar rood],Tabel12[[#This Row],[Team]])</f>
        <v>0</v>
      </c>
      <c r="V97" s="239">
        <f>COUNTIF(Tabel3[Winnaar Groen],Tabel12[[#This Row],[Team]])</f>
        <v>0</v>
      </c>
      <c r="W97" s="223">
        <f>COUNTIF(Tabel3[Winnaars],Tabel12[[#This Row],[Team]])</f>
        <v>0</v>
      </c>
      <c r="X97" s="245">
        <f>Tabel12[[#This Row],[Aantal Games Rood]]-Tabel5[[#This Row],[Wins Rood]]</f>
        <v>0</v>
      </c>
      <c r="Y97" s="244">
        <f>Tabel12[[#This Row],[Aantal Games Groen]]-Tabel5[[#This Row],[Wins Groen]]</f>
        <v>0</v>
      </c>
      <c r="Z97" s="246">
        <f>Tabel12[[#This Row],[Aantal games Alg]]-Tabel5[[#This Row],[Wins Alg]]</f>
        <v>0</v>
      </c>
      <c r="AA97" s="238">
        <f>COUNTIF(Tabel3[Team Rood],Tabel12[[#This Row],[Team]])</f>
        <v>0</v>
      </c>
      <c r="AB97" s="239">
        <f>COUNTIF(Tabel3[Team Groen],Tabel12[[#This Row],[Team]])</f>
        <v>0</v>
      </c>
      <c r="AC97" s="223">
        <f>Tabel12[[#This Row],[Aantal Games Rood]]+Tabel12[[#This Row],[Aantal Games Groen]]</f>
        <v>0</v>
      </c>
    </row>
    <row r="98" spans="15:29" x14ac:dyDescent="0.25">
      <c r="O98" s="251" t="s">
        <v>163</v>
      </c>
      <c r="P98" s="233" t="s">
        <v>67</v>
      </c>
      <c r="Q98" s="234" t="str">
        <f t="shared" ref="Q98:Q129" si="6">O98&amp;P98</f>
        <v>Bert*Lawrence</v>
      </c>
      <c r="R98" s="235">
        <f>IF(Tabel12[[#This Row],[Aantal Games Rood]]=0,0,(Tabel12[[#This Row],[Wins Rood]])/Tabel12[[#This Row],[Aantal Games Rood]])</f>
        <v>0</v>
      </c>
      <c r="S98" s="236">
        <f>IF(Tabel12[[#This Row],[Aantal Games Groen]]=0,0,(Tabel12[[#This Row],[Wins Groen]])/Tabel12[[#This Row],[Aantal Games Groen]])</f>
        <v>0</v>
      </c>
      <c r="T98" s="237">
        <f>IF(Tabel12[[#This Row],[Aantal games Alg]]=0,0,(Tabel12[[#This Row],[Wins Alg]])/Tabel12[[#This Row],[Aantal games Alg]])</f>
        <v>0</v>
      </c>
      <c r="U98" s="238">
        <f>COUNTIF(Tabel3[Winaar rood],Tabel12[[#This Row],[Team]])</f>
        <v>0</v>
      </c>
      <c r="V98" s="239">
        <f>COUNTIF(Tabel3[Winnaar Groen],Tabel12[[#This Row],[Team]])</f>
        <v>0</v>
      </c>
      <c r="W98" s="223">
        <f>COUNTIF(Tabel3[Winnaars],Tabel12[[#This Row],[Team]])</f>
        <v>0</v>
      </c>
      <c r="X98" s="240">
        <f>Tabel12[[#This Row],[Aantal Games Rood]]-Tabel5[[#This Row],[Wins Rood]]</f>
        <v>0</v>
      </c>
      <c r="Y98" s="239">
        <f>Tabel12[[#This Row],[Aantal Games Groen]]-Tabel5[[#This Row],[Wins Groen]]</f>
        <v>0</v>
      </c>
      <c r="Z98" s="241">
        <f>Tabel12[[#This Row],[Aantal games Alg]]-Tabel5[[#This Row],[Wins Alg]]</f>
        <v>0</v>
      </c>
      <c r="AA98" s="238">
        <f>COUNTIF(Tabel3[Team Rood],Tabel12[[#This Row],[Team]])</f>
        <v>0</v>
      </c>
      <c r="AB98" s="239">
        <f>COUNTIF(Tabel3[Team Groen],Tabel12[[#This Row],[Team]])</f>
        <v>0</v>
      </c>
      <c r="AC98" s="223">
        <f>Tabel12[[#This Row],[Aantal Games Rood]]+Tabel12[[#This Row],[Aantal Games Groen]]</f>
        <v>0</v>
      </c>
    </row>
    <row r="99" spans="15:29" x14ac:dyDescent="0.25">
      <c r="O99" s="251" t="s">
        <v>163</v>
      </c>
      <c r="P99" s="233" t="s">
        <v>161</v>
      </c>
      <c r="Q99" s="234" t="str">
        <f t="shared" si="6"/>
        <v>Bert*Louis*</v>
      </c>
      <c r="R99" s="235">
        <f>IF(Tabel12[[#This Row],[Aantal Games Rood]]=0,0,(Tabel12[[#This Row],[Wins Rood]])/Tabel12[[#This Row],[Aantal Games Rood]])</f>
        <v>0</v>
      </c>
      <c r="S99" s="236">
        <f>IF(Tabel12[[#This Row],[Aantal Games Groen]]=0,0,(Tabel12[[#This Row],[Wins Groen]])/Tabel12[[#This Row],[Aantal Games Groen]])</f>
        <v>0</v>
      </c>
      <c r="T99" s="237">
        <f>IF(Tabel12[[#This Row],[Aantal games Alg]]=0,0,(Tabel12[[#This Row],[Wins Alg]])/Tabel12[[#This Row],[Aantal games Alg]])</f>
        <v>0</v>
      </c>
      <c r="U99" s="238">
        <f>COUNTIF(Tabel3[Winaar rood],Tabel12[[#This Row],[Team]])</f>
        <v>0</v>
      </c>
      <c r="V99" s="239">
        <f>COUNTIF(Tabel3[Winnaar Groen],Tabel12[[#This Row],[Team]])</f>
        <v>0</v>
      </c>
      <c r="W99" s="223">
        <f>COUNTIF(Tabel3[Winnaars],Tabel12[[#This Row],[Team]])</f>
        <v>0</v>
      </c>
      <c r="X99" s="240">
        <f>Tabel12[[#This Row],[Aantal Games Rood]]-Tabel5[[#This Row],[Wins Rood]]</f>
        <v>0</v>
      </c>
      <c r="Y99" s="239">
        <f>Tabel12[[#This Row],[Aantal Games Groen]]-Tabel5[[#This Row],[Wins Groen]]</f>
        <v>4</v>
      </c>
      <c r="Z99" s="241">
        <f>Tabel12[[#This Row],[Aantal games Alg]]-Tabel5[[#This Row],[Wins Alg]]</f>
        <v>4</v>
      </c>
      <c r="AA99" s="238">
        <f>COUNTIF(Tabel3[Team Rood],Tabel12[[#This Row],[Team]])</f>
        <v>0</v>
      </c>
      <c r="AB99" s="239">
        <f>COUNTIF(Tabel3[Team Groen],Tabel12[[#This Row],[Team]])</f>
        <v>4</v>
      </c>
      <c r="AC99" s="223">
        <f>Tabel12[[#This Row],[Aantal Games Rood]]+Tabel12[[#This Row],[Aantal Games Groen]]</f>
        <v>4</v>
      </c>
    </row>
    <row r="100" spans="15:29" x14ac:dyDescent="0.25">
      <c r="O100" s="251" t="s">
        <v>163</v>
      </c>
      <c r="P100" s="233" t="s">
        <v>170</v>
      </c>
      <c r="Q100" s="234" t="str">
        <f t="shared" si="6"/>
        <v>Bert*Nico*</v>
      </c>
      <c r="R100" s="235">
        <f>IF(Tabel12[[#This Row],[Aantal Games Rood]]=0,0,(Tabel12[[#This Row],[Wins Rood]])/Tabel12[[#This Row],[Aantal Games Rood]])</f>
        <v>0</v>
      </c>
      <c r="S100" s="236">
        <f>IF(Tabel12[[#This Row],[Aantal Games Groen]]=0,0,(Tabel12[[#This Row],[Wins Groen]])/Tabel12[[#This Row],[Aantal Games Groen]])</f>
        <v>0</v>
      </c>
      <c r="T100" s="237">
        <f>IF(Tabel12[[#This Row],[Aantal games Alg]]=0,0,(Tabel12[[#This Row],[Wins Alg]])/Tabel12[[#This Row],[Aantal games Alg]])</f>
        <v>0</v>
      </c>
      <c r="U100" s="238">
        <f>COUNTIF(Tabel3[Winaar rood],Tabel12[[#This Row],[Team]])</f>
        <v>0</v>
      </c>
      <c r="V100" s="239">
        <f>COUNTIF(Tabel3[Winnaar Groen],Tabel12[[#This Row],[Team]])</f>
        <v>0</v>
      </c>
      <c r="W100" s="223">
        <f>COUNTIF(Tabel3[Winnaars],Tabel12[[#This Row],[Team]])</f>
        <v>0</v>
      </c>
      <c r="X100" s="240">
        <f>Tabel12[[#This Row],[Aantal Games Rood]]-Tabel5[[#This Row],[Wins Rood]]</f>
        <v>0</v>
      </c>
      <c r="Y100" s="239">
        <f>Tabel12[[#This Row],[Aantal Games Groen]]-Tabel5[[#This Row],[Wins Groen]]</f>
        <v>1</v>
      </c>
      <c r="Z100" s="241">
        <f>Tabel12[[#This Row],[Aantal games Alg]]-Tabel5[[#This Row],[Wins Alg]]</f>
        <v>1</v>
      </c>
      <c r="AA100" s="238">
        <f>COUNTIF(Tabel3[Team Rood],Tabel12[[#This Row],[Team]])</f>
        <v>0</v>
      </c>
      <c r="AB100" s="239">
        <f>COUNTIF(Tabel3[Team Groen],Tabel12[[#This Row],[Team]])</f>
        <v>1</v>
      </c>
      <c r="AC100" s="223">
        <f>Tabel12[[#This Row],[Aantal Games Rood]]+Tabel12[[#This Row],[Aantal Games Groen]]</f>
        <v>1</v>
      </c>
    </row>
    <row r="101" spans="15:29" x14ac:dyDescent="0.25">
      <c r="O101" s="251" t="s">
        <v>163</v>
      </c>
      <c r="P101" s="233" t="s">
        <v>166</v>
      </c>
      <c r="Q101" s="234" t="str">
        <f t="shared" si="6"/>
        <v>Bert*Stijn*</v>
      </c>
      <c r="R101" s="235">
        <f>IF(Tabel12[[#This Row],[Aantal Games Rood]]=0,0,(Tabel12[[#This Row],[Wins Rood]])/Tabel12[[#This Row],[Aantal Games Rood]])</f>
        <v>0</v>
      </c>
      <c r="S101" s="236">
        <f>IF(Tabel12[[#This Row],[Aantal Games Groen]]=0,0,(Tabel12[[#This Row],[Wins Groen]])/Tabel12[[#This Row],[Aantal Games Groen]])</f>
        <v>0</v>
      </c>
      <c r="T101" s="242">
        <f>IF(Tabel12[[#This Row],[Aantal games Alg]]=0,0,(Tabel12[[#This Row],[Wins Alg]])/Tabel12[[#This Row],[Aantal games Alg]])</f>
        <v>0</v>
      </c>
      <c r="U101" s="238">
        <f>COUNTIF(Tabel3[Winaar rood],Tabel12[[#This Row],[Team]])</f>
        <v>0</v>
      </c>
      <c r="V101" s="239">
        <f>COUNTIF(Tabel3[Winnaar Groen],Tabel12[[#This Row],[Team]])</f>
        <v>0</v>
      </c>
      <c r="W101" s="223">
        <f>COUNTIF(Tabel3[Winnaars],Tabel12[[#This Row],[Team]])</f>
        <v>0</v>
      </c>
      <c r="X101" s="240">
        <f>Tabel12[[#This Row],[Aantal Games Rood]]-Tabel5[[#This Row],[Wins Rood]]</f>
        <v>-1</v>
      </c>
      <c r="Y101" s="239">
        <f>Tabel12[[#This Row],[Aantal Games Groen]]-Tabel5[[#This Row],[Wins Groen]]</f>
        <v>0</v>
      </c>
      <c r="Z101" s="243">
        <f>Tabel12[[#This Row],[Aantal games Alg]]-Tabel5[[#This Row],[Wins Alg]]</f>
        <v>-1</v>
      </c>
      <c r="AA101" s="238">
        <f>COUNTIF(Tabel3[Team Rood],Tabel12[[#This Row],[Team]])</f>
        <v>0</v>
      </c>
      <c r="AB101" s="239">
        <f>COUNTIF(Tabel3[Team Groen],Tabel12[[#This Row],[Team]])</f>
        <v>0</v>
      </c>
      <c r="AC101" s="223">
        <f>Tabel12[[#This Row],[Aantal Games Rood]]+Tabel12[[#This Row],[Aantal Games Groen]]</f>
        <v>0</v>
      </c>
    </row>
    <row r="102" spans="15:29" x14ac:dyDescent="0.25">
      <c r="O102" s="251" t="s">
        <v>163</v>
      </c>
      <c r="P102" s="233" t="s">
        <v>157</v>
      </c>
      <c r="Q102" s="234" t="str">
        <f t="shared" si="6"/>
        <v>Bert*Tobi*</v>
      </c>
      <c r="R102" s="235">
        <f>IF(Tabel12[[#This Row],[Aantal Games Rood]]=0,0,(Tabel12[[#This Row],[Wins Rood]])/Tabel12[[#This Row],[Aantal Games Rood]])</f>
        <v>0</v>
      </c>
      <c r="S102" s="236">
        <f>IF(Tabel12[[#This Row],[Aantal Games Groen]]=0,0,(Tabel12[[#This Row],[Wins Groen]])/Tabel12[[#This Row],[Aantal Games Groen]])</f>
        <v>0</v>
      </c>
      <c r="T102" s="242">
        <f>IF(Tabel12[[#This Row],[Aantal games Alg]]=0,0,(Tabel12[[#This Row],[Wins Alg]])/Tabel12[[#This Row],[Aantal games Alg]])</f>
        <v>0</v>
      </c>
      <c r="U102" s="238">
        <f>COUNTIF(Tabel3[Winaar rood],Tabel12[[#This Row],[Team]])</f>
        <v>0</v>
      </c>
      <c r="V102" s="239">
        <f>COUNTIF(Tabel3[Winnaar Groen],Tabel12[[#This Row],[Team]])</f>
        <v>0</v>
      </c>
      <c r="W102" s="223">
        <f>COUNTIF(Tabel3[Winnaars],Tabel12[[#This Row],[Team]])</f>
        <v>0</v>
      </c>
      <c r="X102" s="240">
        <f>Tabel12[[#This Row],[Aantal Games Rood]]-Tabel5[[#This Row],[Wins Rood]]</f>
        <v>0</v>
      </c>
      <c r="Y102" s="239">
        <f>Tabel12[[#This Row],[Aantal Games Groen]]-Tabel5[[#This Row],[Wins Groen]]</f>
        <v>0</v>
      </c>
      <c r="Z102" s="243">
        <f>Tabel12[[#This Row],[Aantal games Alg]]-Tabel5[[#This Row],[Wins Alg]]</f>
        <v>0</v>
      </c>
      <c r="AA102" s="238">
        <f>COUNTIF(Tabel3[Team Rood],Tabel12[[#This Row],[Team]])</f>
        <v>0</v>
      </c>
      <c r="AB102" s="239">
        <f>COUNTIF(Tabel3[Team Groen],Tabel12[[#This Row],[Team]])</f>
        <v>0</v>
      </c>
      <c r="AC102" s="223">
        <f>Tabel12[[#This Row],[Aantal Games Rood]]+Tabel12[[#This Row],[Aantal Games Groen]]</f>
        <v>0</v>
      </c>
    </row>
    <row r="103" spans="15:29" x14ac:dyDescent="0.25">
      <c r="O103" s="251" t="s">
        <v>168</v>
      </c>
      <c r="P103" s="233" t="s">
        <v>158</v>
      </c>
      <c r="Q103" s="234" t="str">
        <f t="shared" si="6"/>
        <v>Coghe*Arno*</v>
      </c>
      <c r="R103" s="235">
        <f>IF(Tabel12[[#This Row],[Aantal Games Rood]]=0,0,(Tabel12[[#This Row],[Wins Rood]])/Tabel12[[#This Row],[Aantal Games Rood]])</f>
        <v>0</v>
      </c>
      <c r="S103" s="236">
        <f>IF(Tabel12[[#This Row],[Aantal Games Groen]]=0,0,(Tabel12[[#This Row],[Wins Groen]])/Tabel12[[#This Row],[Aantal Games Groen]])</f>
        <v>0</v>
      </c>
      <c r="T103" s="242">
        <f>IF(Tabel12[[#This Row],[Aantal games Alg]]=0,0,(Tabel12[[#This Row],[Wins Alg]])/Tabel12[[#This Row],[Aantal games Alg]])</f>
        <v>0</v>
      </c>
      <c r="U103" s="238">
        <f>COUNTIF(Tabel3[Winaar rood],Tabel12[[#This Row],[Team]])</f>
        <v>0</v>
      </c>
      <c r="V103" s="239">
        <f>COUNTIF(Tabel3[Winnaar Groen],Tabel12[[#This Row],[Team]])</f>
        <v>0</v>
      </c>
      <c r="W103" s="223">
        <f>COUNTIF(Tabel3[Winnaars],Tabel12[[#This Row],[Team]])</f>
        <v>0</v>
      </c>
      <c r="X103" s="245">
        <f>Tabel12[[#This Row],[Aantal Games Rood]]-Tabel5[[#This Row],[Wins Rood]]</f>
        <v>0</v>
      </c>
      <c r="Y103" s="244">
        <f>Tabel12[[#This Row],[Aantal Games Groen]]-Tabel5[[#This Row],[Wins Groen]]</f>
        <v>0</v>
      </c>
      <c r="Z103" s="246">
        <f>Tabel12[[#This Row],[Aantal games Alg]]-Tabel5[[#This Row],[Wins Alg]]</f>
        <v>0</v>
      </c>
      <c r="AA103" s="238">
        <f>COUNTIF(Tabel3[Team Rood],Tabel12[[#This Row],[Team]])</f>
        <v>0</v>
      </c>
      <c r="AB103" s="239">
        <f>COUNTIF(Tabel3[Team Groen],Tabel12[[#This Row],[Team]])</f>
        <v>0</v>
      </c>
      <c r="AC103" s="223">
        <f>Tabel12[[#This Row],[Aantal Games Rood]]+Tabel12[[#This Row],[Aantal Games Groen]]</f>
        <v>0</v>
      </c>
    </row>
    <row r="104" spans="15:29" x14ac:dyDescent="0.25">
      <c r="O104" s="251" t="s">
        <v>168</v>
      </c>
      <c r="P104" s="233" t="s">
        <v>67</v>
      </c>
      <c r="Q104" s="234" t="str">
        <f t="shared" si="6"/>
        <v>Coghe*Lawrence</v>
      </c>
      <c r="R104" s="235">
        <f>IF(Tabel12[[#This Row],[Aantal Games Rood]]=0,0,(Tabel12[[#This Row],[Wins Rood]])/Tabel12[[#This Row],[Aantal Games Rood]])</f>
        <v>0</v>
      </c>
      <c r="S104" s="236">
        <f>IF(Tabel12[[#This Row],[Aantal Games Groen]]=0,0,(Tabel12[[#This Row],[Wins Groen]])/Tabel12[[#This Row],[Aantal Games Groen]])</f>
        <v>0</v>
      </c>
      <c r="T104" s="242">
        <f>IF(Tabel12[[#This Row],[Aantal games Alg]]=0,0,(Tabel12[[#This Row],[Wins Alg]])/Tabel12[[#This Row],[Aantal games Alg]])</f>
        <v>0</v>
      </c>
      <c r="U104" s="238">
        <f>COUNTIF(Tabel3[Winaar rood],Tabel12[[#This Row],[Team]])</f>
        <v>0</v>
      </c>
      <c r="V104" s="239">
        <f>COUNTIF(Tabel3[Winnaar Groen],Tabel12[[#This Row],[Team]])</f>
        <v>0</v>
      </c>
      <c r="W104" s="223">
        <f>COUNTIF(Tabel3[Winnaars],Tabel12[[#This Row],[Team]])</f>
        <v>0</v>
      </c>
      <c r="X104" s="245">
        <f>Tabel12[[#This Row],[Aantal Games Rood]]-Tabel5[[#This Row],[Wins Rood]]</f>
        <v>0</v>
      </c>
      <c r="Y104" s="244">
        <f>Tabel12[[#This Row],[Aantal Games Groen]]-Tabel5[[#This Row],[Wins Groen]]</f>
        <v>0</v>
      </c>
      <c r="Z104" s="246">
        <f>Tabel12[[#This Row],[Aantal games Alg]]-Tabel5[[#This Row],[Wins Alg]]</f>
        <v>0</v>
      </c>
      <c r="AA104" s="238">
        <f>COUNTIF(Tabel3[Team Rood],Tabel12[[#This Row],[Team]])</f>
        <v>0</v>
      </c>
      <c r="AB104" s="239">
        <f>COUNTIF(Tabel3[Team Groen],Tabel12[[#This Row],[Team]])</f>
        <v>0</v>
      </c>
      <c r="AC104" s="223">
        <f>Tabel12[[#This Row],[Aantal Games Rood]]+Tabel12[[#This Row],[Aantal Games Groen]]</f>
        <v>0</v>
      </c>
    </row>
    <row r="105" spans="15:29" x14ac:dyDescent="0.25">
      <c r="O105" s="251" t="s">
        <v>168</v>
      </c>
      <c r="P105" s="233" t="s">
        <v>161</v>
      </c>
      <c r="Q105" s="234" t="str">
        <f t="shared" si="6"/>
        <v>Coghe*Louis*</v>
      </c>
      <c r="R105" s="235">
        <f>IF(Tabel12[[#This Row],[Aantal Games Rood]]=0,0,(Tabel12[[#This Row],[Wins Rood]])/Tabel12[[#This Row],[Aantal Games Rood]])</f>
        <v>0</v>
      </c>
      <c r="S105" s="236">
        <f>IF(Tabel12[[#This Row],[Aantal Games Groen]]=0,0,(Tabel12[[#This Row],[Wins Groen]])/Tabel12[[#This Row],[Aantal Games Groen]])</f>
        <v>0</v>
      </c>
      <c r="T105" s="242">
        <f>IF(Tabel12[[#This Row],[Aantal games Alg]]=0,0,(Tabel12[[#This Row],[Wins Alg]])/Tabel12[[#This Row],[Aantal games Alg]])</f>
        <v>0</v>
      </c>
      <c r="U105" s="238">
        <f>COUNTIF(Tabel3[Winaar rood],Tabel12[[#This Row],[Team]])</f>
        <v>0</v>
      </c>
      <c r="V105" s="239">
        <f>COUNTIF(Tabel3[Winnaar Groen],Tabel12[[#This Row],[Team]])</f>
        <v>0</v>
      </c>
      <c r="W105" s="223">
        <f>COUNTIF(Tabel3[Winnaars],Tabel12[[#This Row],[Team]])</f>
        <v>0</v>
      </c>
      <c r="X105" s="245">
        <f>Tabel12[[#This Row],[Aantal Games Rood]]-Tabel5[[#This Row],[Wins Rood]]</f>
        <v>0</v>
      </c>
      <c r="Y105" s="244">
        <f>Tabel12[[#This Row],[Aantal Games Groen]]-Tabel5[[#This Row],[Wins Groen]]</f>
        <v>2</v>
      </c>
      <c r="Z105" s="246">
        <f>Tabel12[[#This Row],[Aantal games Alg]]-Tabel5[[#This Row],[Wins Alg]]</f>
        <v>2</v>
      </c>
      <c r="AA105" s="238">
        <f>COUNTIF(Tabel3[Team Rood],Tabel12[[#This Row],[Team]])</f>
        <v>0</v>
      </c>
      <c r="AB105" s="239">
        <f>COUNTIF(Tabel3[Team Groen],Tabel12[[#This Row],[Team]])</f>
        <v>2</v>
      </c>
      <c r="AC105" s="223">
        <f>Tabel12[[#This Row],[Aantal Games Rood]]+Tabel12[[#This Row],[Aantal Games Groen]]</f>
        <v>2</v>
      </c>
    </row>
    <row r="106" spans="15:29" x14ac:dyDescent="0.25">
      <c r="O106" s="251" t="s">
        <v>168</v>
      </c>
      <c r="P106" s="233" t="s">
        <v>170</v>
      </c>
      <c r="Q106" s="234" t="str">
        <f t="shared" si="6"/>
        <v>Coghe*Nico*</v>
      </c>
      <c r="R106" s="235">
        <f>IF(Tabel12[[#This Row],[Aantal Games Rood]]=0,0,(Tabel12[[#This Row],[Wins Rood]])/Tabel12[[#This Row],[Aantal Games Rood]])</f>
        <v>0</v>
      </c>
      <c r="S106" s="236">
        <f>IF(Tabel12[[#This Row],[Aantal Games Groen]]=0,0,(Tabel12[[#This Row],[Wins Groen]])/Tabel12[[#This Row],[Aantal Games Groen]])</f>
        <v>0</v>
      </c>
      <c r="T106" s="237">
        <f>IF(Tabel12[[#This Row],[Aantal games Alg]]=0,0,(Tabel12[[#This Row],[Wins Alg]])/Tabel12[[#This Row],[Aantal games Alg]])</f>
        <v>0</v>
      </c>
      <c r="U106" s="238">
        <f>COUNTIF(Tabel3[Winaar rood],Tabel12[[#This Row],[Team]])</f>
        <v>0</v>
      </c>
      <c r="V106" s="239">
        <f>COUNTIF(Tabel3[Winnaar Groen],Tabel12[[#This Row],[Team]])</f>
        <v>0</v>
      </c>
      <c r="W106" s="223">
        <f>COUNTIF(Tabel3[Winnaars],Tabel12[[#This Row],[Team]])</f>
        <v>0</v>
      </c>
      <c r="X106" s="245">
        <f>Tabel12[[#This Row],[Aantal Games Rood]]-Tabel5[[#This Row],[Wins Rood]]</f>
        <v>-2</v>
      </c>
      <c r="Y106" s="244">
        <f>Tabel12[[#This Row],[Aantal Games Groen]]-Tabel5[[#This Row],[Wins Groen]]</f>
        <v>0</v>
      </c>
      <c r="Z106" s="247">
        <f>Tabel12[[#This Row],[Aantal games Alg]]-Tabel5[[#This Row],[Wins Alg]]</f>
        <v>-2</v>
      </c>
      <c r="AA106" s="238">
        <f>COUNTIF(Tabel3[Team Rood],Tabel12[[#This Row],[Team]])</f>
        <v>0</v>
      </c>
      <c r="AB106" s="239">
        <f>COUNTIF(Tabel3[Team Groen],Tabel12[[#This Row],[Team]])</f>
        <v>0</v>
      </c>
      <c r="AC106" s="223">
        <f>Tabel12[[#This Row],[Aantal Games Rood]]+Tabel12[[#This Row],[Aantal Games Groen]]</f>
        <v>0</v>
      </c>
    </row>
    <row r="107" spans="15:29" x14ac:dyDescent="0.25">
      <c r="O107" s="251" t="s">
        <v>168</v>
      </c>
      <c r="P107" s="233" t="s">
        <v>166</v>
      </c>
      <c r="Q107" s="234" t="str">
        <f t="shared" si="6"/>
        <v>Coghe*Stijn*</v>
      </c>
      <c r="R107" s="235">
        <f>IF(Tabel12[[#This Row],[Aantal Games Rood]]=0,0,(Tabel12[[#This Row],[Wins Rood]])/Tabel12[[#This Row],[Aantal Games Rood]])</f>
        <v>0</v>
      </c>
      <c r="S107" s="236">
        <f>IF(Tabel12[[#This Row],[Aantal Games Groen]]=0,0,(Tabel12[[#This Row],[Wins Groen]])/Tabel12[[#This Row],[Aantal Games Groen]])</f>
        <v>0</v>
      </c>
      <c r="T107" s="237">
        <f>IF(Tabel12[[#This Row],[Aantal games Alg]]=0,0,(Tabel12[[#This Row],[Wins Alg]])/Tabel12[[#This Row],[Aantal games Alg]])</f>
        <v>0</v>
      </c>
      <c r="U107" s="238">
        <f>COUNTIF(Tabel3[Winaar rood],Tabel12[[#This Row],[Team]])</f>
        <v>0</v>
      </c>
      <c r="V107" s="239">
        <f>COUNTIF(Tabel3[Winnaar Groen],Tabel12[[#This Row],[Team]])</f>
        <v>0</v>
      </c>
      <c r="W107" s="223">
        <f>COUNTIF(Tabel3[Winnaars],Tabel12[[#This Row],[Team]])</f>
        <v>0</v>
      </c>
      <c r="X107" s="245">
        <f>Tabel12[[#This Row],[Aantal Games Rood]]-Tabel5[[#This Row],[Wins Rood]]</f>
        <v>0</v>
      </c>
      <c r="Y107" s="244">
        <f>Tabel12[[#This Row],[Aantal Games Groen]]-Tabel5[[#This Row],[Wins Groen]]</f>
        <v>0</v>
      </c>
      <c r="Z107" s="247">
        <f>Tabel12[[#This Row],[Aantal games Alg]]-Tabel5[[#This Row],[Wins Alg]]</f>
        <v>0</v>
      </c>
      <c r="AA107" s="238">
        <f>COUNTIF(Tabel3[Team Rood],Tabel12[[#This Row],[Team]])</f>
        <v>0</v>
      </c>
      <c r="AB107" s="239">
        <f>COUNTIF(Tabel3[Team Groen],Tabel12[[#This Row],[Team]])</f>
        <v>0</v>
      </c>
      <c r="AC107" s="223">
        <f>Tabel12[[#This Row],[Aantal Games Rood]]+Tabel12[[#This Row],[Aantal Games Groen]]</f>
        <v>0</v>
      </c>
    </row>
    <row r="108" spans="15:29" x14ac:dyDescent="0.25">
      <c r="O108" s="251" t="s">
        <v>168</v>
      </c>
      <c r="P108" s="233" t="s">
        <v>157</v>
      </c>
      <c r="Q108" s="234" t="str">
        <f t="shared" si="6"/>
        <v>Coghe*Tobi*</v>
      </c>
      <c r="R108" s="235">
        <f>IF(Tabel12[[#This Row],[Aantal Games Rood]]=0,0,(Tabel12[[#This Row],[Wins Rood]])/Tabel12[[#This Row],[Aantal Games Rood]])</f>
        <v>0</v>
      </c>
      <c r="S108" s="236">
        <f>IF(Tabel12[[#This Row],[Aantal Games Groen]]=0,0,(Tabel12[[#This Row],[Wins Groen]])/Tabel12[[#This Row],[Aantal Games Groen]])</f>
        <v>0</v>
      </c>
      <c r="T108" s="237">
        <f>IF(Tabel12[[#This Row],[Aantal games Alg]]=0,0,(Tabel12[[#This Row],[Wins Alg]])/Tabel12[[#This Row],[Aantal games Alg]])</f>
        <v>0</v>
      </c>
      <c r="U108" s="238">
        <f>COUNTIF(Tabel3[Winaar rood],Tabel12[[#This Row],[Team]])</f>
        <v>0</v>
      </c>
      <c r="V108" s="239">
        <f>COUNTIF(Tabel3[Winnaar Groen],Tabel12[[#This Row],[Team]])</f>
        <v>0</v>
      </c>
      <c r="W108" s="223">
        <f>COUNTIF(Tabel3[Winnaars],Tabel12[[#This Row],[Team]])</f>
        <v>0</v>
      </c>
      <c r="X108" s="245">
        <f>Tabel12[[#This Row],[Aantal Games Rood]]-Tabel5[[#This Row],[Wins Rood]]</f>
        <v>0</v>
      </c>
      <c r="Y108" s="244">
        <f>Tabel12[[#This Row],[Aantal Games Groen]]-Tabel5[[#This Row],[Wins Groen]]</f>
        <v>0</v>
      </c>
      <c r="Z108" s="247">
        <f>Tabel12[[#This Row],[Aantal games Alg]]-Tabel5[[#This Row],[Wins Alg]]</f>
        <v>0</v>
      </c>
      <c r="AA108" s="238">
        <f>COUNTIF(Tabel3[Team Rood],Tabel12[[#This Row],[Team]])</f>
        <v>0</v>
      </c>
      <c r="AB108" s="239">
        <f>COUNTIF(Tabel3[Team Groen],Tabel12[[#This Row],[Team]])</f>
        <v>0</v>
      </c>
      <c r="AC108" s="223">
        <f>Tabel12[[#This Row],[Aantal Games Rood]]+Tabel12[[#This Row],[Aantal Games Groen]]</f>
        <v>0</v>
      </c>
    </row>
    <row r="109" spans="15:29" x14ac:dyDescent="0.25">
      <c r="O109" s="251" t="s">
        <v>159</v>
      </c>
      <c r="P109" s="233" t="s">
        <v>168</v>
      </c>
      <c r="Q109" s="234" t="str">
        <f t="shared" si="6"/>
        <v>Jonas*Coghe*</v>
      </c>
      <c r="R109" s="235">
        <f>IF(Tabel12[[#This Row],[Aantal Games Rood]]=0,0,(Tabel12[[#This Row],[Wins Rood]])/Tabel12[[#This Row],[Aantal Games Rood]])</f>
        <v>0</v>
      </c>
      <c r="S109" s="236">
        <f>IF(Tabel12[[#This Row],[Aantal Games Groen]]=0,0,(Tabel12[[#This Row],[Wins Groen]])/Tabel12[[#This Row],[Aantal Games Groen]])</f>
        <v>0</v>
      </c>
      <c r="T109" s="242">
        <f>IF(Tabel12[[#This Row],[Aantal games Alg]]=0,0,(Tabel12[[#This Row],[Wins Alg]])/Tabel12[[#This Row],[Aantal games Alg]])</f>
        <v>0</v>
      </c>
      <c r="U109" s="238">
        <f>COUNTIF(Tabel3[Winaar rood],Tabel12[[#This Row],[Team]])</f>
        <v>0</v>
      </c>
      <c r="V109" s="239">
        <f>COUNTIF(Tabel3[Winnaar Groen],Tabel12[[#This Row],[Team]])</f>
        <v>0</v>
      </c>
      <c r="W109" s="223">
        <f>COUNTIF(Tabel3[Winnaars],Tabel12[[#This Row],[Team]])</f>
        <v>0</v>
      </c>
      <c r="X109" s="245">
        <f>Tabel12[[#This Row],[Aantal Games Rood]]-Tabel5[[#This Row],[Wins Rood]]</f>
        <v>0</v>
      </c>
      <c r="Y109" s="244">
        <f>Tabel12[[#This Row],[Aantal Games Groen]]-Tabel5[[#This Row],[Wins Groen]]</f>
        <v>1</v>
      </c>
      <c r="Z109" s="246">
        <f>Tabel12[[#This Row],[Aantal games Alg]]-Tabel5[[#This Row],[Wins Alg]]</f>
        <v>1</v>
      </c>
      <c r="AA109" s="238">
        <f>COUNTIF(Tabel3[Team Rood],Tabel12[[#This Row],[Team]])</f>
        <v>0</v>
      </c>
      <c r="AB109" s="239">
        <f>COUNTIF(Tabel3[Team Groen],Tabel12[[#This Row],[Team]])</f>
        <v>1</v>
      </c>
      <c r="AC109" s="223">
        <f>Tabel12[[#This Row],[Aantal Games Rood]]+Tabel12[[#This Row],[Aantal Games Groen]]</f>
        <v>1</v>
      </c>
    </row>
    <row r="110" spans="15:29" x14ac:dyDescent="0.25">
      <c r="O110" s="251" t="s">
        <v>164</v>
      </c>
      <c r="P110" s="233" t="s">
        <v>168</v>
      </c>
      <c r="Q110" s="234" t="str">
        <f t="shared" si="6"/>
        <v>Karel*Coghe*</v>
      </c>
      <c r="R110" s="235">
        <f>IF(Tabel12[[#This Row],[Aantal Games Rood]]=0,0,(Tabel12[[#This Row],[Wins Rood]])/Tabel12[[#This Row],[Aantal Games Rood]])</f>
        <v>0</v>
      </c>
      <c r="S110" s="236">
        <f>IF(Tabel12[[#This Row],[Aantal Games Groen]]=0,0,(Tabel12[[#This Row],[Wins Groen]])/Tabel12[[#This Row],[Aantal Games Groen]])</f>
        <v>0</v>
      </c>
      <c r="T110" s="237">
        <f>IF(Tabel12[[#This Row],[Aantal games Alg]]=0,0,(Tabel12[[#This Row],[Wins Alg]])/Tabel12[[#This Row],[Aantal games Alg]])</f>
        <v>0</v>
      </c>
      <c r="U110" s="238">
        <f>COUNTIF(Tabel3[Winaar rood],Tabel12[[#This Row],[Team]])</f>
        <v>0</v>
      </c>
      <c r="V110" s="239">
        <f>COUNTIF(Tabel3[Winnaar Groen],Tabel12[[#This Row],[Team]])</f>
        <v>0</v>
      </c>
      <c r="W110" s="223">
        <f>COUNTIF(Tabel3[Winnaars],Tabel12[[#This Row],[Team]])</f>
        <v>0</v>
      </c>
      <c r="X110" s="245">
        <f>Tabel12[[#This Row],[Aantal Games Rood]]-Tabel5[[#This Row],[Wins Rood]]</f>
        <v>-1</v>
      </c>
      <c r="Y110" s="244">
        <f>Tabel12[[#This Row],[Aantal Games Groen]]-Tabel5[[#This Row],[Wins Groen]]</f>
        <v>0</v>
      </c>
      <c r="Z110" s="247">
        <f>Tabel12[[#This Row],[Aantal games Alg]]-Tabel5[[#This Row],[Wins Alg]]</f>
        <v>-1</v>
      </c>
      <c r="AA110" s="238">
        <f>COUNTIF(Tabel3[Team Rood],Tabel12[[#This Row],[Team]])</f>
        <v>0</v>
      </c>
      <c r="AB110" s="239">
        <f>COUNTIF(Tabel3[Team Groen],Tabel12[[#This Row],[Team]])</f>
        <v>0</v>
      </c>
      <c r="AC110" s="223">
        <f>Tabel12[[#This Row],[Aantal Games Rood]]+Tabel12[[#This Row],[Aantal Games Groen]]</f>
        <v>0</v>
      </c>
    </row>
    <row r="111" spans="15:29" x14ac:dyDescent="0.25">
      <c r="O111" s="251" t="s">
        <v>164</v>
      </c>
      <c r="P111" s="232" t="s">
        <v>67</v>
      </c>
      <c r="Q111" s="234" t="str">
        <f t="shared" si="6"/>
        <v>Karel*Lawrence</v>
      </c>
      <c r="R111" s="235">
        <f>IF(Tabel12[[#This Row],[Aantal Games Rood]]=0,0,(Tabel12[[#This Row],[Wins Rood]])/Tabel12[[#This Row],[Aantal Games Rood]])</f>
        <v>0</v>
      </c>
      <c r="S111" s="236">
        <f>IF(Tabel12[[#This Row],[Aantal Games Groen]]=0,0,(Tabel12[[#This Row],[Wins Groen]])/Tabel12[[#This Row],[Aantal Games Groen]])</f>
        <v>0</v>
      </c>
      <c r="T111" s="242">
        <f>IF(Tabel12[[#This Row],[Aantal games Alg]]=0,0,(Tabel12[[#This Row],[Wins Alg]])/Tabel12[[#This Row],[Aantal games Alg]])</f>
        <v>0</v>
      </c>
      <c r="U111" s="238">
        <f>COUNTIF(Tabel3[Winaar rood],Tabel12[[#This Row],[Team]])</f>
        <v>0</v>
      </c>
      <c r="V111" s="239">
        <f>COUNTIF(Tabel3[Winnaar Groen],Tabel12[[#This Row],[Team]])</f>
        <v>0</v>
      </c>
      <c r="W111" s="223">
        <f>COUNTIF(Tabel3[Winnaars],Tabel12[[#This Row],[Team]])</f>
        <v>0</v>
      </c>
      <c r="X111" s="240">
        <f>Tabel12[[#This Row],[Aantal Games Rood]]-Tabel5[[#This Row],[Wins Rood]]</f>
        <v>-6</v>
      </c>
      <c r="Y111" s="239">
        <f>Tabel12[[#This Row],[Aantal Games Groen]]-Tabel5[[#This Row],[Wins Groen]]</f>
        <v>0</v>
      </c>
      <c r="Z111" s="243">
        <f>Tabel12[[#This Row],[Aantal games Alg]]-Tabel5[[#This Row],[Wins Alg]]</f>
        <v>-6</v>
      </c>
      <c r="AA111" s="238">
        <f>COUNTIF(Tabel3[Team Rood],Tabel12[[#This Row],[Team]])</f>
        <v>0</v>
      </c>
      <c r="AB111" s="239">
        <f>COUNTIF(Tabel3[Team Groen],Tabel12[[#This Row],[Team]])</f>
        <v>0</v>
      </c>
      <c r="AC111" s="223">
        <f>Tabel12[[#This Row],[Aantal Games Rood]]+Tabel12[[#This Row],[Aantal Games Groen]]</f>
        <v>0</v>
      </c>
    </row>
    <row r="112" spans="15:29" x14ac:dyDescent="0.25">
      <c r="O112" s="251" t="s">
        <v>67</v>
      </c>
      <c r="P112" s="232" t="s">
        <v>158</v>
      </c>
      <c r="Q112" s="234" t="str">
        <f t="shared" si="6"/>
        <v>LawrenceArno*</v>
      </c>
      <c r="R112" s="235">
        <f>IF(Tabel12[[#This Row],[Aantal Games Rood]]=0,0,(Tabel12[[#This Row],[Wins Rood]])/Tabel12[[#This Row],[Aantal Games Rood]])</f>
        <v>0</v>
      </c>
      <c r="S112" s="236">
        <f>IF(Tabel12[[#This Row],[Aantal Games Groen]]=0,0,(Tabel12[[#This Row],[Wins Groen]])/Tabel12[[#This Row],[Aantal Games Groen]])</f>
        <v>0</v>
      </c>
      <c r="T112" s="237">
        <f>IF(Tabel12[[#This Row],[Aantal games Alg]]=0,0,(Tabel12[[#This Row],[Wins Alg]])/Tabel12[[#This Row],[Aantal games Alg]])</f>
        <v>0</v>
      </c>
      <c r="U112" s="238">
        <f>COUNTIF(Tabel3[Winaar rood],Tabel12[[#This Row],[Team]])</f>
        <v>0</v>
      </c>
      <c r="V112" s="239">
        <f>COUNTIF(Tabel3[Winnaar Groen],Tabel12[[#This Row],[Team]])</f>
        <v>0</v>
      </c>
      <c r="W112" s="223">
        <f>COUNTIF(Tabel3[Winnaars],Tabel12[[#This Row],[Team]])</f>
        <v>0</v>
      </c>
      <c r="X112" s="240">
        <f>Tabel12[[#This Row],[Aantal Games Rood]]-Tabel5[[#This Row],[Wins Rood]]</f>
        <v>0</v>
      </c>
      <c r="Y112" s="239">
        <f>Tabel12[[#This Row],[Aantal Games Groen]]-Tabel5[[#This Row],[Wins Groen]]</f>
        <v>0</v>
      </c>
      <c r="Z112" s="241">
        <f>Tabel12[[#This Row],[Aantal games Alg]]-Tabel5[[#This Row],[Wins Alg]]</f>
        <v>0</v>
      </c>
      <c r="AA112" s="238">
        <f>COUNTIF(Tabel3[Team Rood],Tabel12[[#This Row],[Team]])</f>
        <v>0</v>
      </c>
      <c r="AB112" s="239">
        <f>COUNTIF(Tabel3[Team Groen],Tabel12[[#This Row],[Team]])</f>
        <v>0</v>
      </c>
      <c r="AC112" s="223">
        <f>Tabel12[[#This Row],[Aantal Games Rood]]+Tabel12[[#This Row],[Aantal Games Groen]]</f>
        <v>0</v>
      </c>
    </row>
    <row r="113" spans="15:29" x14ac:dyDescent="0.25">
      <c r="O113" s="251" t="s">
        <v>67</v>
      </c>
      <c r="P113" s="232" t="s">
        <v>163</v>
      </c>
      <c r="Q113" s="234" t="str">
        <f t="shared" si="6"/>
        <v>LawrenceBert*</v>
      </c>
      <c r="R113" s="235">
        <f>IF(Tabel12[[#This Row],[Aantal Games Rood]]=0,0,(Tabel12[[#This Row],[Wins Rood]])/Tabel12[[#This Row],[Aantal Games Rood]])</f>
        <v>0</v>
      </c>
      <c r="S113" s="236">
        <f>IF(Tabel12[[#This Row],[Aantal Games Groen]]=0,0,(Tabel12[[#This Row],[Wins Groen]])/Tabel12[[#This Row],[Aantal Games Groen]])</f>
        <v>0</v>
      </c>
      <c r="T113" s="237">
        <f>IF(Tabel12[[#This Row],[Aantal games Alg]]=0,0,(Tabel12[[#This Row],[Wins Alg]])/Tabel12[[#This Row],[Aantal games Alg]])</f>
        <v>0</v>
      </c>
      <c r="U113" s="238">
        <f>COUNTIF(Tabel3[Winaar rood],Tabel12[[#This Row],[Team]])</f>
        <v>0</v>
      </c>
      <c r="V113" s="239">
        <f>COUNTIF(Tabel3[Winnaar Groen],Tabel12[[#This Row],[Team]])</f>
        <v>0</v>
      </c>
      <c r="W113" s="223">
        <f>COUNTIF(Tabel3[Winnaars],Tabel12[[#This Row],[Team]])</f>
        <v>0</v>
      </c>
      <c r="X113" s="240">
        <f>Tabel12[[#This Row],[Aantal Games Rood]]-Tabel5[[#This Row],[Wins Rood]]</f>
        <v>-5</v>
      </c>
      <c r="Y113" s="239">
        <f>Tabel12[[#This Row],[Aantal Games Groen]]-Tabel5[[#This Row],[Wins Groen]]</f>
        <v>0</v>
      </c>
      <c r="Z113" s="241">
        <f>Tabel12[[#This Row],[Aantal games Alg]]-Tabel5[[#This Row],[Wins Alg]]</f>
        <v>-5</v>
      </c>
      <c r="AA113" s="238">
        <f>COUNTIF(Tabel3[Team Rood],Tabel12[[#This Row],[Team]])</f>
        <v>0</v>
      </c>
      <c r="AB113" s="239">
        <f>COUNTIF(Tabel3[Team Groen],Tabel12[[#This Row],[Team]])</f>
        <v>0</v>
      </c>
      <c r="AC113" s="223">
        <f>Tabel12[[#This Row],[Aantal Games Rood]]+Tabel12[[#This Row],[Aantal Games Groen]]</f>
        <v>0</v>
      </c>
    </row>
    <row r="114" spans="15:29" x14ac:dyDescent="0.25">
      <c r="O114" s="251" t="s">
        <v>67</v>
      </c>
      <c r="P114" s="232" t="s">
        <v>168</v>
      </c>
      <c r="Q114" s="234" t="str">
        <f t="shared" si="6"/>
        <v>LawrenceCoghe*</v>
      </c>
      <c r="R114" s="235">
        <f>IF(Tabel12[[#This Row],[Aantal Games Rood]]=0,0,(Tabel12[[#This Row],[Wins Rood]])/Tabel12[[#This Row],[Aantal Games Rood]])</f>
        <v>0</v>
      </c>
      <c r="S114" s="236">
        <f>IF(Tabel12[[#This Row],[Aantal Games Groen]]=0,0,(Tabel12[[#This Row],[Wins Groen]])/Tabel12[[#This Row],[Aantal Games Groen]])</f>
        <v>0</v>
      </c>
      <c r="T114" s="242">
        <f>IF(Tabel12[[#This Row],[Aantal games Alg]]=0,0,(Tabel12[[#This Row],[Wins Alg]])/Tabel12[[#This Row],[Aantal games Alg]])</f>
        <v>0</v>
      </c>
      <c r="U114" s="238">
        <f>COUNTIF(Tabel3[Winaar rood],Tabel12[[#This Row],[Team]])</f>
        <v>0</v>
      </c>
      <c r="V114" s="239">
        <f>COUNTIF(Tabel3[Winnaar Groen],Tabel12[[#This Row],[Team]])</f>
        <v>0</v>
      </c>
      <c r="W114" s="223">
        <f>COUNTIF(Tabel3[Winnaars],Tabel12[[#This Row],[Team]])</f>
        <v>0</v>
      </c>
      <c r="X114" s="245">
        <f>Tabel12[[#This Row],[Aantal Games Rood]]-Tabel5[[#This Row],[Wins Rood]]</f>
        <v>-5</v>
      </c>
      <c r="Y114" s="244">
        <f>Tabel12[[#This Row],[Aantal Games Groen]]-Tabel5[[#This Row],[Wins Groen]]</f>
        <v>-3</v>
      </c>
      <c r="Z114" s="246">
        <f>Tabel12[[#This Row],[Aantal games Alg]]-Tabel5[[#This Row],[Wins Alg]]</f>
        <v>-8</v>
      </c>
      <c r="AA114" s="238">
        <f>COUNTIF(Tabel3[Team Rood],Tabel12[[#This Row],[Team]])</f>
        <v>0</v>
      </c>
      <c r="AB114" s="239">
        <f>COUNTIF(Tabel3[Team Groen],Tabel12[[#This Row],[Team]])</f>
        <v>0</v>
      </c>
      <c r="AC114" s="223">
        <f>Tabel12[[#This Row],[Aantal Games Rood]]+Tabel12[[#This Row],[Aantal Games Groen]]</f>
        <v>0</v>
      </c>
    </row>
    <row r="115" spans="15:29" x14ac:dyDescent="0.25">
      <c r="O115" s="251" t="s">
        <v>67</v>
      </c>
      <c r="P115" s="232" t="s">
        <v>159</v>
      </c>
      <c r="Q115" s="234" t="str">
        <f t="shared" si="6"/>
        <v>LawrenceJonas*</v>
      </c>
      <c r="R115" s="235">
        <f>IF(Tabel12[[#This Row],[Aantal Games Rood]]=0,0,(Tabel12[[#This Row],[Wins Rood]])/Tabel12[[#This Row],[Aantal Games Rood]])</f>
        <v>0</v>
      </c>
      <c r="S115" s="236">
        <f>IF(Tabel12[[#This Row],[Aantal Games Groen]]=0,0,(Tabel12[[#This Row],[Wins Groen]])/Tabel12[[#This Row],[Aantal Games Groen]])</f>
        <v>0</v>
      </c>
      <c r="T115" s="237">
        <f>IF(Tabel12[[#This Row],[Aantal games Alg]]=0,0,(Tabel12[[#This Row],[Wins Alg]])/Tabel12[[#This Row],[Aantal games Alg]])</f>
        <v>0</v>
      </c>
      <c r="U115" s="238">
        <f>COUNTIF(Tabel3[Winaar rood],Tabel12[[#This Row],[Team]])</f>
        <v>0</v>
      </c>
      <c r="V115" s="239">
        <f>COUNTIF(Tabel3[Winnaar Groen],Tabel12[[#This Row],[Team]])</f>
        <v>0</v>
      </c>
      <c r="W115" s="223">
        <f>COUNTIF(Tabel3[Winnaars],Tabel12[[#This Row],[Team]])</f>
        <v>0</v>
      </c>
      <c r="X115" s="240">
        <f>Tabel12[[#This Row],[Aantal Games Rood]]-Tabel5[[#This Row],[Wins Rood]]</f>
        <v>0</v>
      </c>
      <c r="Y115" s="239">
        <f>Tabel12[[#This Row],[Aantal Games Groen]]-Tabel5[[#This Row],[Wins Groen]]</f>
        <v>0</v>
      </c>
      <c r="Z115" s="241">
        <f>Tabel12[[#This Row],[Aantal games Alg]]-Tabel5[[#This Row],[Wins Alg]]</f>
        <v>0</v>
      </c>
      <c r="AA115" s="238">
        <f>COUNTIF(Tabel3[Team Rood],Tabel12[[#This Row],[Team]])</f>
        <v>0</v>
      </c>
      <c r="AB115" s="239">
        <f>COUNTIF(Tabel3[Team Groen],Tabel12[[#This Row],[Team]])</f>
        <v>0</v>
      </c>
      <c r="AC115" s="223">
        <f>Tabel12[[#This Row],[Aantal Games Rood]]+Tabel12[[#This Row],[Aantal Games Groen]]</f>
        <v>0</v>
      </c>
    </row>
    <row r="116" spans="15:29" x14ac:dyDescent="0.25">
      <c r="O116" s="251" t="s">
        <v>67</v>
      </c>
      <c r="P116" s="232" t="s">
        <v>164</v>
      </c>
      <c r="Q116" s="234" t="str">
        <f t="shared" si="6"/>
        <v>LawrenceKarel*</v>
      </c>
      <c r="R116" s="235">
        <f>IF(Tabel12[[#This Row],[Aantal Games Rood]]=0,0,(Tabel12[[#This Row],[Wins Rood]])/Tabel12[[#This Row],[Aantal Games Rood]])</f>
        <v>0</v>
      </c>
      <c r="S116" s="236">
        <f>IF(Tabel12[[#This Row],[Aantal Games Groen]]=0,0,(Tabel12[[#This Row],[Wins Groen]])/Tabel12[[#This Row],[Aantal Games Groen]])</f>
        <v>0</v>
      </c>
      <c r="T116" s="242">
        <f>IF(Tabel12[[#This Row],[Aantal games Alg]]=0,0,(Tabel12[[#This Row],[Wins Alg]])/Tabel12[[#This Row],[Aantal games Alg]])</f>
        <v>0</v>
      </c>
      <c r="U116" s="238">
        <f>COUNTIF(Tabel3[Winaar rood],Tabel12[[#This Row],[Team]])</f>
        <v>0</v>
      </c>
      <c r="V116" s="239">
        <f>COUNTIF(Tabel3[Winnaar Groen],Tabel12[[#This Row],[Team]])</f>
        <v>0</v>
      </c>
      <c r="W116" s="223">
        <f>COUNTIF(Tabel3[Winnaars],Tabel12[[#This Row],[Team]])</f>
        <v>0</v>
      </c>
      <c r="X116" s="240">
        <f>Tabel12[[#This Row],[Aantal Games Rood]]-Tabel5[[#This Row],[Wins Rood]]</f>
        <v>-1</v>
      </c>
      <c r="Y116" s="239">
        <f>Tabel12[[#This Row],[Aantal Games Groen]]-Tabel5[[#This Row],[Wins Groen]]</f>
        <v>0</v>
      </c>
      <c r="Z116" s="243">
        <f>Tabel12[[#This Row],[Aantal games Alg]]-Tabel5[[#This Row],[Wins Alg]]</f>
        <v>-1</v>
      </c>
      <c r="AA116" s="238">
        <f>COUNTIF(Tabel3[Team Rood],Tabel12[[#This Row],[Team]])</f>
        <v>0</v>
      </c>
      <c r="AB116" s="239">
        <f>COUNTIF(Tabel3[Team Groen],Tabel12[[#This Row],[Team]])</f>
        <v>0</v>
      </c>
      <c r="AC116" s="223">
        <f>Tabel12[[#This Row],[Aantal Games Rood]]+Tabel12[[#This Row],[Aantal Games Groen]]</f>
        <v>0</v>
      </c>
    </row>
    <row r="117" spans="15:29" x14ac:dyDescent="0.25">
      <c r="O117" s="251" t="s">
        <v>67</v>
      </c>
      <c r="P117" s="232" t="s">
        <v>161</v>
      </c>
      <c r="Q117" s="234" t="str">
        <f t="shared" si="6"/>
        <v>LawrenceLouis*</v>
      </c>
      <c r="R117" s="235">
        <f>IF(Tabel12[[#This Row],[Aantal Games Rood]]=0,0,(Tabel12[[#This Row],[Wins Rood]])/Tabel12[[#This Row],[Aantal Games Rood]])</f>
        <v>0</v>
      </c>
      <c r="S117" s="236">
        <f>IF(Tabel12[[#This Row],[Aantal Games Groen]]=0,0,(Tabel12[[#This Row],[Wins Groen]])/Tabel12[[#This Row],[Aantal Games Groen]])</f>
        <v>0</v>
      </c>
      <c r="T117" s="242">
        <f>IF(Tabel12[[#This Row],[Aantal games Alg]]=0,0,(Tabel12[[#This Row],[Wins Alg]])/Tabel12[[#This Row],[Aantal games Alg]])</f>
        <v>0</v>
      </c>
      <c r="U117" s="238">
        <f>COUNTIF(Tabel3[Winaar rood],Tabel12[[#This Row],[Team]])</f>
        <v>0</v>
      </c>
      <c r="V117" s="239">
        <f>COUNTIF(Tabel3[Winnaar Groen],Tabel12[[#This Row],[Team]])</f>
        <v>0</v>
      </c>
      <c r="W117" s="223">
        <f>COUNTIF(Tabel3[Winnaars],Tabel12[[#This Row],[Team]])</f>
        <v>0</v>
      </c>
      <c r="X117" s="240">
        <f>Tabel12[[#This Row],[Aantal Games Rood]]-Tabel5[[#This Row],[Wins Rood]]</f>
        <v>-1</v>
      </c>
      <c r="Y117" s="239">
        <f>Tabel12[[#This Row],[Aantal Games Groen]]-Tabel5[[#This Row],[Wins Groen]]</f>
        <v>-1</v>
      </c>
      <c r="Z117" s="243">
        <f>Tabel12[[#This Row],[Aantal games Alg]]-Tabel5[[#This Row],[Wins Alg]]</f>
        <v>-2</v>
      </c>
      <c r="AA117" s="238">
        <f>COUNTIF(Tabel3[Team Rood],Tabel12[[#This Row],[Team]])</f>
        <v>0</v>
      </c>
      <c r="AB117" s="239">
        <f>COUNTIF(Tabel3[Team Groen],Tabel12[[#This Row],[Team]])</f>
        <v>0</v>
      </c>
      <c r="AC117" s="223">
        <f>Tabel12[[#This Row],[Aantal Games Rood]]+Tabel12[[#This Row],[Aantal Games Groen]]</f>
        <v>0</v>
      </c>
    </row>
    <row r="118" spans="15:29" x14ac:dyDescent="0.25">
      <c r="O118" s="251" t="s">
        <v>67</v>
      </c>
      <c r="P118" s="232" t="s">
        <v>162</v>
      </c>
      <c r="Q118" s="234" t="str">
        <f t="shared" si="6"/>
        <v>LawrenceMatthijs*</v>
      </c>
      <c r="R118" s="235">
        <f>IF(Tabel12[[#This Row],[Aantal Games Rood]]=0,0,(Tabel12[[#This Row],[Wins Rood]])/Tabel12[[#This Row],[Aantal Games Rood]])</f>
        <v>0</v>
      </c>
      <c r="S118" s="236">
        <f>IF(Tabel12[[#This Row],[Aantal Games Groen]]=0,0,(Tabel12[[#This Row],[Wins Groen]])/Tabel12[[#This Row],[Aantal Games Groen]])</f>
        <v>0</v>
      </c>
      <c r="T118" s="237">
        <f>IF(Tabel12[[#This Row],[Aantal games Alg]]=0,0,(Tabel12[[#This Row],[Wins Alg]])/Tabel12[[#This Row],[Aantal games Alg]])</f>
        <v>0</v>
      </c>
      <c r="U118" s="238">
        <f>COUNTIF(Tabel3[Winaar rood],Tabel12[[#This Row],[Team]])</f>
        <v>0</v>
      </c>
      <c r="V118" s="239">
        <f>COUNTIF(Tabel3[Winnaar Groen],Tabel12[[#This Row],[Team]])</f>
        <v>0</v>
      </c>
      <c r="W118" s="223">
        <f>COUNTIF(Tabel3[Winnaars],Tabel12[[#This Row],[Team]])</f>
        <v>0</v>
      </c>
      <c r="X118" s="240">
        <f>Tabel12[[#This Row],[Aantal Games Rood]]-Tabel5[[#This Row],[Wins Rood]]</f>
        <v>0</v>
      </c>
      <c r="Y118" s="239">
        <f>Tabel12[[#This Row],[Aantal Games Groen]]-Tabel5[[#This Row],[Wins Groen]]</f>
        <v>0</v>
      </c>
      <c r="Z118" s="241">
        <f>Tabel12[[#This Row],[Aantal games Alg]]-Tabel5[[#This Row],[Wins Alg]]</f>
        <v>0</v>
      </c>
      <c r="AA118" s="238">
        <f>COUNTIF(Tabel3[Team Rood],Tabel12[[#This Row],[Team]])</f>
        <v>0</v>
      </c>
      <c r="AB118" s="239">
        <f>COUNTIF(Tabel3[Team Groen],Tabel12[[#This Row],[Team]])</f>
        <v>0</v>
      </c>
      <c r="AC118" s="223">
        <f>Tabel12[[#This Row],[Aantal Games Rood]]+Tabel12[[#This Row],[Aantal Games Groen]]</f>
        <v>0</v>
      </c>
    </row>
    <row r="119" spans="15:29" x14ac:dyDescent="0.25">
      <c r="O119" s="251" t="s">
        <v>67</v>
      </c>
      <c r="P119" s="232" t="s">
        <v>170</v>
      </c>
      <c r="Q119" s="234" t="str">
        <f t="shared" si="6"/>
        <v>LawrenceNico*</v>
      </c>
      <c r="R119" s="235">
        <f>IF(Tabel12[[#This Row],[Aantal Games Rood]]=0,0,(Tabel12[[#This Row],[Wins Rood]])/Tabel12[[#This Row],[Aantal Games Rood]])</f>
        <v>0</v>
      </c>
      <c r="S119" s="236">
        <f>IF(Tabel12[[#This Row],[Aantal Games Groen]]=0,0,(Tabel12[[#This Row],[Wins Groen]])/Tabel12[[#This Row],[Aantal Games Groen]])</f>
        <v>0</v>
      </c>
      <c r="T119" s="242">
        <f>IF(Tabel12[[#This Row],[Aantal games Alg]]=0,0,(Tabel12[[#This Row],[Wins Alg]])/Tabel12[[#This Row],[Aantal games Alg]])</f>
        <v>0</v>
      </c>
      <c r="U119" s="238">
        <f>COUNTIF(Tabel3[Winaar rood],Tabel12[[#This Row],[Team]])</f>
        <v>0</v>
      </c>
      <c r="V119" s="239">
        <f>COUNTIF(Tabel3[Winnaar Groen],Tabel12[[#This Row],[Team]])</f>
        <v>0</v>
      </c>
      <c r="W119" s="223">
        <f>COUNTIF(Tabel3[Winnaars],Tabel12[[#This Row],[Team]])</f>
        <v>0</v>
      </c>
      <c r="X119" s="240">
        <f>Tabel12[[#This Row],[Aantal Games Rood]]-Tabel5[[#This Row],[Wins Rood]]</f>
        <v>0</v>
      </c>
      <c r="Y119" s="239">
        <f>Tabel12[[#This Row],[Aantal Games Groen]]-Tabel5[[#This Row],[Wins Groen]]</f>
        <v>0</v>
      </c>
      <c r="Z119" s="243">
        <f>Tabel12[[#This Row],[Aantal games Alg]]-Tabel5[[#This Row],[Wins Alg]]</f>
        <v>0</v>
      </c>
      <c r="AA119" s="238">
        <f>COUNTIF(Tabel3[Team Rood],Tabel12[[#This Row],[Team]])</f>
        <v>0</v>
      </c>
      <c r="AB119" s="239">
        <f>COUNTIF(Tabel3[Team Groen],Tabel12[[#This Row],[Team]])</f>
        <v>0</v>
      </c>
      <c r="AC119" s="223">
        <f>Tabel12[[#This Row],[Aantal Games Rood]]+Tabel12[[#This Row],[Aantal Games Groen]]</f>
        <v>0</v>
      </c>
    </row>
    <row r="120" spans="15:29" x14ac:dyDescent="0.25">
      <c r="O120" s="251" t="s">
        <v>67</v>
      </c>
      <c r="P120" s="232" t="s">
        <v>169</v>
      </c>
      <c r="Q120" s="234" t="str">
        <f t="shared" si="6"/>
        <v>LawrenceStef*</v>
      </c>
      <c r="R120" s="235">
        <f>IF(Tabel12[[#This Row],[Aantal Games Rood]]=0,0,(Tabel12[[#This Row],[Wins Rood]])/Tabel12[[#This Row],[Aantal Games Rood]])</f>
        <v>0</v>
      </c>
      <c r="S120" s="236">
        <f>IF(Tabel12[[#This Row],[Aantal Games Groen]]=0,0,(Tabel12[[#This Row],[Wins Groen]])/Tabel12[[#This Row],[Aantal Games Groen]])</f>
        <v>0</v>
      </c>
      <c r="T120" s="242">
        <f>IF(Tabel12[[#This Row],[Aantal games Alg]]=0,0,(Tabel12[[#This Row],[Wins Alg]])/Tabel12[[#This Row],[Aantal games Alg]])</f>
        <v>0</v>
      </c>
      <c r="U120" s="238">
        <f>COUNTIF(Tabel3[Winaar rood],Tabel12[[#This Row],[Team]])</f>
        <v>0</v>
      </c>
      <c r="V120" s="239">
        <f>COUNTIF(Tabel3[Winnaar Groen],Tabel12[[#This Row],[Team]])</f>
        <v>0</v>
      </c>
      <c r="W120" s="223">
        <f>COUNTIF(Tabel3[Winnaars],Tabel12[[#This Row],[Team]])</f>
        <v>0</v>
      </c>
      <c r="X120" s="240">
        <f>Tabel12[[#This Row],[Aantal Games Rood]]-Tabel5[[#This Row],[Wins Rood]]</f>
        <v>0</v>
      </c>
      <c r="Y120" s="239">
        <f>Tabel12[[#This Row],[Aantal Games Groen]]-Tabel5[[#This Row],[Wins Groen]]</f>
        <v>0</v>
      </c>
      <c r="Z120" s="243">
        <f>Tabel12[[#This Row],[Aantal games Alg]]-Tabel5[[#This Row],[Wins Alg]]</f>
        <v>0</v>
      </c>
      <c r="AA120" s="238">
        <f>COUNTIF(Tabel3[Team Rood],Tabel12[[#This Row],[Team]])</f>
        <v>1</v>
      </c>
      <c r="AB120" s="239">
        <f>COUNTIF(Tabel3[Team Groen],Tabel12[[#This Row],[Team]])</f>
        <v>1</v>
      </c>
      <c r="AC120" s="223">
        <f>Tabel12[[#This Row],[Aantal Games Rood]]+Tabel12[[#This Row],[Aantal Games Groen]]</f>
        <v>2</v>
      </c>
    </row>
    <row r="121" spans="15:29" x14ac:dyDescent="0.25">
      <c r="O121" s="251" t="s">
        <v>67</v>
      </c>
      <c r="P121" s="232" t="s">
        <v>166</v>
      </c>
      <c r="Q121" s="234" t="str">
        <f t="shared" si="6"/>
        <v>LawrenceStijn*</v>
      </c>
      <c r="R121" s="235">
        <f>IF(Tabel12[[#This Row],[Aantal Games Rood]]=0,0,(Tabel12[[#This Row],[Wins Rood]])/Tabel12[[#This Row],[Aantal Games Rood]])</f>
        <v>0</v>
      </c>
      <c r="S121" s="236">
        <f>IF(Tabel12[[#This Row],[Aantal Games Groen]]=0,0,(Tabel12[[#This Row],[Wins Groen]])/Tabel12[[#This Row],[Aantal Games Groen]])</f>
        <v>0</v>
      </c>
      <c r="T121" s="242">
        <f>IF(Tabel12[[#This Row],[Aantal games Alg]]=0,0,(Tabel12[[#This Row],[Wins Alg]])/Tabel12[[#This Row],[Aantal games Alg]])</f>
        <v>0</v>
      </c>
      <c r="U121" s="238">
        <f>COUNTIF(Tabel3[Winaar rood],Tabel12[[#This Row],[Team]])</f>
        <v>0</v>
      </c>
      <c r="V121" s="239">
        <f>COUNTIF(Tabel3[Winnaar Groen],Tabel12[[#This Row],[Team]])</f>
        <v>0</v>
      </c>
      <c r="W121" s="223">
        <f>COUNTIF(Tabel3[Winnaars],Tabel12[[#This Row],[Team]])</f>
        <v>0</v>
      </c>
      <c r="X121" s="240">
        <f>Tabel12[[#This Row],[Aantal Games Rood]]-Tabel5[[#This Row],[Wins Rood]]</f>
        <v>0</v>
      </c>
      <c r="Y121" s="239">
        <f>Tabel12[[#This Row],[Aantal Games Groen]]-Tabel5[[#This Row],[Wins Groen]]</f>
        <v>0</v>
      </c>
      <c r="Z121" s="243">
        <f>Tabel12[[#This Row],[Aantal games Alg]]-Tabel5[[#This Row],[Wins Alg]]</f>
        <v>0</v>
      </c>
      <c r="AA121" s="238">
        <f>COUNTIF(Tabel3[Team Rood],Tabel12[[#This Row],[Team]])</f>
        <v>0</v>
      </c>
      <c r="AB121" s="239">
        <f>COUNTIF(Tabel3[Team Groen],Tabel12[[#This Row],[Team]])</f>
        <v>0</v>
      </c>
      <c r="AC121" s="223">
        <f>Tabel12[[#This Row],[Aantal Games Rood]]+Tabel12[[#This Row],[Aantal Games Groen]]</f>
        <v>0</v>
      </c>
    </row>
    <row r="122" spans="15:29" x14ac:dyDescent="0.25">
      <c r="O122" s="251" t="s">
        <v>67</v>
      </c>
      <c r="P122" s="232" t="s">
        <v>160</v>
      </c>
      <c r="Q122" s="234" t="str">
        <f t="shared" si="6"/>
        <v>LawrenceTiemen*</v>
      </c>
      <c r="R122" s="235">
        <f>IF(Tabel12[[#This Row],[Aantal Games Rood]]=0,0,(Tabel12[[#This Row],[Wins Rood]])/Tabel12[[#This Row],[Aantal Games Rood]])</f>
        <v>0</v>
      </c>
      <c r="S122" s="236">
        <f>IF(Tabel12[[#This Row],[Aantal Games Groen]]=0,0,(Tabel12[[#This Row],[Wins Groen]])/Tabel12[[#This Row],[Aantal Games Groen]])</f>
        <v>0</v>
      </c>
      <c r="T122" s="237">
        <f>IF(Tabel12[[#This Row],[Aantal games Alg]]=0,0,(Tabel12[[#This Row],[Wins Alg]])/Tabel12[[#This Row],[Aantal games Alg]])</f>
        <v>0</v>
      </c>
      <c r="U122" s="238">
        <f>COUNTIF(Tabel3[Winaar rood],Tabel12[[#This Row],[Team]])</f>
        <v>0</v>
      </c>
      <c r="V122" s="239">
        <f>COUNTIF(Tabel3[Winnaar Groen],Tabel12[[#This Row],[Team]])</f>
        <v>0</v>
      </c>
      <c r="W122" s="223">
        <f>COUNTIF(Tabel3[Winnaars],Tabel12[[#This Row],[Team]])</f>
        <v>0</v>
      </c>
      <c r="X122" s="240">
        <f>Tabel12[[#This Row],[Aantal Games Rood]]-Tabel5[[#This Row],[Wins Rood]]</f>
        <v>0</v>
      </c>
      <c r="Y122" s="239">
        <f>Tabel12[[#This Row],[Aantal Games Groen]]-Tabel5[[#This Row],[Wins Groen]]</f>
        <v>0</v>
      </c>
      <c r="Z122" s="241">
        <f>Tabel12[[#This Row],[Aantal games Alg]]-Tabel5[[#This Row],[Wins Alg]]</f>
        <v>0</v>
      </c>
      <c r="AA122" s="238">
        <f>COUNTIF(Tabel3[Team Rood],Tabel12[[#This Row],[Team]])</f>
        <v>0</v>
      </c>
      <c r="AB122" s="239">
        <f>COUNTIF(Tabel3[Team Groen],Tabel12[[#This Row],[Team]])</f>
        <v>0</v>
      </c>
      <c r="AC122" s="223">
        <f>Tabel12[[#This Row],[Aantal Games Rood]]+Tabel12[[#This Row],[Aantal Games Groen]]</f>
        <v>0</v>
      </c>
    </row>
    <row r="123" spans="15:29" x14ac:dyDescent="0.25">
      <c r="O123" s="251" t="s">
        <v>67</v>
      </c>
      <c r="P123" s="232" t="s">
        <v>157</v>
      </c>
      <c r="Q123" s="234" t="str">
        <f t="shared" si="6"/>
        <v>LawrenceTobi*</v>
      </c>
      <c r="R123" s="235">
        <f>IF(Tabel12[[#This Row],[Aantal Games Rood]]=0,0,(Tabel12[[#This Row],[Wins Rood]])/Tabel12[[#This Row],[Aantal Games Rood]])</f>
        <v>0</v>
      </c>
      <c r="S123" s="236">
        <f>IF(Tabel12[[#This Row],[Aantal Games Groen]]=0,0,(Tabel12[[#This Row],[Wins Groen]])/Tabel12[[#This Row],[Aantal Games Groen]])</f>
        <v>0</v>
      </c>
      <c r="T123" s="237">
        <f>IF(Tabel12[[#This Row],[Aantal games Alg]]=0,0,(Tabel12[[#This Row],[Wins Alg]])/Tabel12[[#This Row],[Aantal games Alg]])</f>
        <v>0</v>
      </c>
      <c r="U123" s="238">
        <f>COUNTIF(Tabel3[Winaar rood],Tabel12[[#This Row],[Team]])</f>
        <v>0</v>
      </c>
      <c r="V123" s="239">
        <f>COUNTIF(Tabel3[Winnaar Groen],Tabel12[[#This Row],[Team]])</f>
        <v>0</v>
      </c>
      <c r="W123" s="223">
        <f>COUNTIF(Tabel3[Winnaars],Tabel12[[#This Row],[Team]])</f>
        <v>0</v>
      </c>
      <c r="X123" s="240">
        <f>Tabel12[[#This Row],[Aantal Games Rood]]-Tabel5[[#This Row],[Wins Rood]]</f>
        <v>0</v>
      </c>
      <c r="Y123" s="239">
        <f>Tabel12[[#This Row],[Aantal Games Groen]]-Tabel5[[#This Row],[Wins Groen]]</f>
        <v>0</v>
      </c>
      <c r="Z123" s="241">
        <f>Tabel12[[#This Row],[Aantal games Alg]]-Tabel5[[#This Row],[Wins Alg]]</f>
        <v>0</v>
      </c>
      <c r="AA123" s="238">
        <f>COUNTIF(Tabel3[Team Rood],Tabel12[[#This Row],[Team]])</f>
        <v>0</v>
      </c>
      <c r="AB123" s="239">
        <f>COUNTIF(Tabel3[Team Groen],Tabel12[[#This Row],[Team]])</f>
        <v>0</v>
      </c>
      <c r="AC123" s="223">
        <f>Tabel12[[#This Row],[Aantal Games Rood]]+Tabel12[[#This Row],[Aantal Games Groen]]</f>
        <v>0</v>
      </c>
    </row>
    <row r="124" spans="15:29" x14ac:dyDescent="0.25">
      <c r="O124" s="251" t="s">
        <v>161</v>
      </c>
      <c r="P124" s="232" t="s">
        <v>168</v>
      </c>
      <c r="Q124" s="234" t="str">
        <f t="shared" si="6"/>
        <v>Louis*Coghe*</v>
      </c>
      <c r="R124" s="235">
        <f>IF(Tabel12[[#This Row],[Aantal Games Rood]]=0,0,(Tabel12[[#This Row],[Wins Rood]])/Tabel12[[#This Row],[Aantal Games Rood]])</f>
        <v>0</v>
      </c>
      <c r="S124" s="236">
        <f>IF(Tabel12[[#This Row],[Aantal Games Groen]]=0,0,(Tabel12[[#This Row],[Wins Groen]])/Tabel12[[#This Row],[Aantal Games Groen]])</f>
        <v>0</v>
      </c>
      <c r="T124" s="237">
        <f>IF(Tabel12[[#This Row],[Aantal games Alg]]=0,0,(Tabel12[[#This Row],[Wins Alg]])/Tabel12[[#This Row],[Aantal games Alg]])</f>
        <v>0</v>
      </c>
      <c r="U124" s="238">
        <f>COUNTIF(Tabel3[Winaar rood],Tabel12[[#This Row],[Team]])</f>
        <v>0</v>
      </c>
      <c r="V124" s="239">
        <f>COUNTIF(Tabel3[Winnaar Groen],Tabel12[[#This Row],[Team]])</f>
        <v>0</v>
      </c>
      <c r="W124" s="223">
        <f>COUNTIF(Tabel3[Winnaars],Tabel12[[#This Row],[Team]])</f>
        <v>0</v>
      </c>
      <c r="X124" s="245">
        <f>Tabel12[[#This Row],[Aantal Games Rood]]-Tabel5[[#This Row],[Wins Rood]]</f>
        <v>0</v>
      </c>
      <c r="Y124" s="244">
        <f>Tabel12[[#This Row],[Aantal Games Groen]]-Tabel5[[#This Row],[Wins Groen]]</f>
        <v>0</v>
      </c>
      <c r="Z124" s="247">
        <f>Tabel12[[#This Row],[Aantal games Alg]]-Tabel5[[#This Row],[Wins Alg]]</f>
        <v>0</v>
      </c>
      <c r="AA124" s="238">
        <f>COUNTIF(Tabel3[Team Rood],Tabel12[[#This Row],[Team]])</f>
        <v>0</v>
      </c>
      <c r="AB124" s="239">
        <f>COUNTIF(Tabel3[Team Groen],Tabel12[[#This Row],[Team]])</f>
        <v>0</v>
      </c>
      <c r="AC124" s="223">
        <f>Tabel12[[#This Row],[Aantal Games Rood]]+Tabel12[[#This Row],[Aantal Games Groen]]</f>
        <v>0</v>
      </c>
    </row>
    <row r="125" spans="15:29" x14ac:dyDescent="0.25">
      <c r="O125" s="251" t="s">
        <v>161</v>
      </c>
      <c r="P125" s="232" t="s">
        <v>166</v>
      </c>
      <c r="Q125" s="234" t="str">
        <f t="shared" si="6"/>
        <v>Louis*Stijn*</v>
      </c>
      <c r="R125" s="235">
        <f>IF(Tabel12[[#This Row],[Aantal Games Rood]]=0,0,(Tabel12[[#This Row],[Wins Rood]])/Tabel12[[#This Row],[Aantal Games Rood]])</f>
        <v>0</v>
      </c>
      <c r="S125" s="236">
        <f>IF(Tabel12[[#This Row],[Aantal Games Groen]]=0,0,(Tabel12[[#This Row],[Wins Groen]])/Tabel12[[#This Row],[Aantal Games Groen]])</f>
        <v>0</v>
      </c>
      <c r="T125" s="242">
        <f>IF(Tabel12[[#This Row],[Aantal games Alg]]=0,0,(Tabel12[[#This Row],[Wins Alg]])/Tabel12[[#This Row],[Aantal games Alg]])</f>
        <v>0</v>
      </c>
      <c r="U125" s="238">
        <f>COUNTIF(Tabel3[Winaar rood],Tabel12[[#This Row],[Team]])</f>
        <v>0</v>
      </c>
      <c r="V125" s="239">
        <f>COUNTIF(Tabel3[Winnaar Groen],Tabel12[[#This Row],[Team]])</f>
        <v>0</v>
      </c>
      <c r="W125" s="223">
        <f>COUNTIF(Tabel3[Winnaars],Tabel12[[#This Row],[Team]])</f>
        <v>0</v>
      </c>
      <c r="X125" s="240">
        <f>Tabel12[[#This Row],[Aantal Games Rood]]-Tabel5[[#This Row],[Wins Rood]]</f>
        <v>1</v>
      </c>
      <c r="Y125" s="239">
        <f>Tabel12[[#This Row],[Aantal Games Groen]]-Tabel5[[#This Row],[Wins Groen]]</f>
        <v>3</v>
      </c>
      <c r="Z125" s="243">
        <f>Tabel12[[#This Row],[Aantal games Alg]]-Tabel5[[#This Row],[Wins Alg]]</f>
        <v>4</v>
      </c>
      <c r="AA125" s="238">
        <f>COUNTIF(Tabel3[Team Rood],Tabel12[[#This Row],[Team]])</f>
        <v>1</v>
      </c>
      <c r="AB125" s="239">
        <f>COUNTIF(Tabel3[Team Groen],Tabel12[[#This Row],[Team]])</f>
        <v>3</v>
      </c>
      <c r="AC125" s="223">
        <f>Tabel12[[#This Row],[Aantal Games Rood]]+Tabel12[[#This Row],[Aantal Games Groen]]</f>
        <v>4</v>
      </c>
    </row>
    <row r="126" spans="15:29" x14ac:dyDescent="0.25">
      <c r="O126" s="251" t="s">
        <v>161</v>
      </c>
      <c r="P126" s="232" t="s">
        <v>157</v>
      </c>
      <c r="Q126" s="234" t="str">
        <f t="shared" si="6"/>
        <v>Louis*Tobi*</v>
      </c>
      <c r="R126" s="235">
        <f>IF(Tabel12[[#This Row],[Aantal Games Rood]]=0,0,(Tabel12[[#This Row],[Wins Rood]])/Tabel12[[#This Row],[Aantal Games Rood]])</f>
        <v>0</v>
      </c>
      <c r="S126" s="236">
        <f>IF(Tabel12[[#This Row],[Aantal Games Groen]]=0,0,(Tabel12[[#This Row],[Wins Groen]])/Tabel12[[#This Row],[Aantal Games Groen]])</f>
        <v>0</v>
      </c>
      <c r="T126" s="237">
        <f>IF(Tabel12[[#This Row],[Aantal games Alg]]=0,0,(Tabel12[[#This Row],[Wins Alg]])/Tabel12[[#This Row],[Aantal games Alg]])</f>
        <v>0</v>
      </c>
      <c r="U126" s="238">
        <f>COUNTIF(Tabel3[Winaar rood],Tabel12[[#This Row],[Team]])</f>
        <v>0</v>
      </c>
      <c r="V126" s="239">
        <f>COUNTIF(Tabel3[Winnaar Groen],Tabel12[[#This Row],[Team]])</f>
        <v>0</v>
      </c>
      <c r="W126" s="223">
        <f>COUNTIF(Tabel3[Winnaars],Tabel12[[#This Row],[Team]])</f>
        <v>0</v>
      </c>
      <c r="X126" s="240">
        <f>Tabel12[[#This Row],[Aantal Games Rood]]-Tabel5[[#This Row],[Wins Rood]]</f>
        <v>0</v>
      </c>
      <c r="Y126" s="239">
        <f>Tabel12[[#This Row],[Aantal Games Groen]]-Tabel5[[#This Row],[Wins Groen]]</f>
        <v>0</v>
      </c>
      <c r="Z126" s="241">
        <f>Tabel12[[#This Row],[Aantal games Alg]]-Tabel5[[#This Row],[Wins Alg]]</f>
        <v>0</v>
      </c>
      <c r="AA126" s="238">
        <f>COUNTIF(Tabel3[Team Rood],Tabel12[[#This Row],[Team]])</f>
        <v>0</v>
      </c>
      <c r="AB126" s="239">
        <f>COUNTIF(Tabel3[Team Groen],Tabel12[[#This Row],[Team]])</f>
        <v>0</v>
      </c>
      <c r="AC126" s="223">
        <f>Tabel12[[#This Row],[Aantal Games Rood]]+Tabel12[[#This Row],[Aantal Games Groen]]</f>
        <v>0</v>
      </c>
    </row>
    <row r="127" spans="15:29" x14ac:dyDescent="0.25">
      <c r="O127" s="251" t="s">
        <v>162</v>
      </c>
      <c r="P127" s="232" t="s">
        <v>168</v>
      </c>
      <c r="Q127" s="234" t="str">
        <f t="shared" si="6"/>
        <v>Matthijs*Coghe*</v>
      </c>
      <c r="R127" s="235">
        <f>IF(Tabel12[[#This Row],[Aantal Games Rood]]=0,0,(Tabel12[[#This Row],[Wins Rood]])/Tabel12[[#This Row],[Aantal Games Rood]])</f>
        <v>0</v>
      </c>
      <c r="S127" s="236">
        <f>IF(Tabel12[[#This Row],[Aantal Games Groen]]=0,0,(Tabel12[[#This Row],[Wins Groen]])/Tabel12[[#This Row],[Aantal Games Groen]])</f>
        <v>0</v>
      </c>
      <c r="T127" s="237">
        <f>IF(Tabel12[[#This Row],[Aantal games Alg]]=0,0,(Tabel12[[#This Row],[Wins Alg]])/Tabel12[[#This Row],[Aantal games Alg]])</f>
        <v>0</v>
      </c>
      <c r="U127" s="238">
        <f>COUNTIF(Tabel3[Winaar rood],Tabel12[[#This Row],[Team]])</f>
        <v>0</v>
      </c>
      <c r="V127" s="239">
        <f>COUNTIF(Tabel3[Winnaar Groen],Tabel12[[#This Row],[Team]])</f>
        <v>0</v>
      </c>
      <c r="W127" s="223">
        <f>COUNTIF(Tabel3[Winnaars],Tabel12[[#This Row],[Team]])</f>
        <v>0</v>
      </c>
      <c r="X127" s="245">
        <f>Tabel12[[#This Row],[Aantal Games Rood]]-Tabel5[[#This Row],[Wins Rood]]</f>
        <v>0</v>
      </c>
      <c r="Y127" s="244">
        <f>Tabel12[[#This Row],[Aantal Games Groen]]-Tabel5[[#This Row],[Wins Groen]]</f>
        <v>0</v>
      </c>
      <c r="Z127" s="247">
        <f>Tabel12[[#This Row],[Aantal games Alg]]-Tabel5[[#This Row],[Wins Alg]]</f>
        <v>0</v>
      </c>
      <c r="AA127" s="238">
        <f>COUNTIF(Tabel3[Team Rood],Tabel12[[#This Row],[Team]])</f>
        <v>0</v>
      </c>
      <c r="AB127" s="239">
        <f>COUNTIF(Tabel3[Team Groen],Tabel12[[#This Row],[Team]])</f>
        <v>0</v>
      </c>
      <c r="AC127" s="223">
        <f>Tabel12[[#This Row],[Aantal Games Rood]]+Tabel12[[#This Row],[Aantal Games Groen]]</f>
        <v>0</v>
      </c>
    </row>
    <row r="128" spans="15:29" x14ac:dyDescent="0.25">
      <c r="O128" s="251" t="s">
        <v>162</v>
      </c>
      <c r="P128" s="232" t="s">
        <v>67</v>
      </c>
      <c r="Q128" s="234" t="str">
        <f t="shared" si="6"/>
        <v>Matthijs*Lawrence</v>
      </c>
      <c r="R128" s="235">
        <f>IF(Tabel12[[#This Row],[Aantal Games Rood]]=0,0,(Tabel12[[#This Row],[Wins Rood]])/Tabel12[[#This Row],[Aantal Games Rood]])</f>
        <v>0</v>
      </c>
      <c r="S128" s="236">
        <f>IF(Tabel12[[#This Row],[Aantal Games Groen]]=0,0,(Tabel12[[#This Row],[Wins Groen]])/Tabel12[[#This Row],[Aantal Games Groen]])</f>
        <v>0</v>
      </c>
      <c r="T128" s="242">
        <f>IF(Tabel12[[#This Row],[Aantal games Alg]]=0,0,(Tabel12[[#This Row],[Wins Alg]])/Tabel12[[#This Row],[Aantal games Alg]])</f>
        <v>0</v>
      </c>
      <c r="U128" s="238">
        <f>COUNTIF(Tabel3[Winaar rood],Tabel12[[#This Row],[Team]])</f>
        <v>0</v>
      </c>
      <c r="V128" s="239">
        <f>COUNTIF(Tabel3[Winnaar Groen],Tabel12[[#This Row],[Team]])</f>
        <v>0</v>
      </c>
      <c r="W128" s="223">
        <f>COUNTIF(Tabel3[Winnaars],Tabel12[[#This Row],[Team]])</f>
        <v>0</v>
      </c>
      <c r="X128" s="240">
        <f>Tabel12[[#This Row],[Aantal Games Rood]]-Tabel5[[#This Row],[Wins Rood]]</f>
        <v>1</v>
      </c>
      <c r="Y128" s="239">
        <f>Tabel12[[#This Row],[Aantal Games Groen]]-Tabel5[[#This Row],[Wins Groen]]</f>
        <v>1</v>
      </c>
      <c r="Z128" s="243">
        <f>Tabel12[[#This Row],[Aantal games Alg]]-Tabel5[[#This Row],[Wins Alg]]</f>
        <v>2</v>
      </c>
      <c r="AA128" s="238">
        <f>COUNTIF(Tabel3[Team Rood],Tabel12[[#This Row],[Team]])</f>
        <v>1</v>
      </c>
      <c r="AB128" s="239">
        <f>COUNTIF(Tabel3[Team Groen],Tabel12[[#This Row],[Team]])</f>
        <v>1</v>
      </c>
      <c r="AC128" s="223">
        <f>Tabel12[[#This Row],[Aantal Games Rood]]+Tabel12[[#This Row],[Aantal Games Groen]]</f>
        <v>2</v>
      </c>
    </row>
    <row r="129" spans="15:29" x14ac:dyDescent="0.25">
      <c r="O129" s="251" t="s">
        <v>162</v>
      </c>
      <c r="P129" s="232" t="s">
        <v>170</v>
      </c>
      <c r="Q129" s="234" t="str">
        <f t="shared" si="6"/>
        <v>Matthijs*Nico*</v>
      </c>
      <c r="R129" s="235">
        <f>IF(Tabel12[[#This Row],[Aantal Games Rood]]=0,0,(Tabel12[[#This Row],[Wins Rood]])/Tabel12[[#This Row],[Aantal Games Rood]])</f>
        <v>0</v>
      </c>
      <c r="S129" s="236">
        <f>IF(Tabel12[[#This Row],[Aantal Games Groen]]=0,0,(Tabel12[[#This Row],[Wins Groen]])/Tabel12[[#This Row],[Aantal Games Groen]])</f>
        <v>0</v>
      </c>
      <c r="T129" s="237">
        <f>IF(Tabel12[[#This Row],[Aantal games Alg]]=0,0,(Tabel12[[#This Row],[Wins Alg]])/Tabel12[[#This Row],[Aantal games Alg]])</f>
        <v>0</v>
      </c>
      <c r="U129" s="238">
        <f>COUNTIF(Tabel3[Winaar rood],Tabel12[[#This Row],[Team]])</f>
        <v>0</v>
      </c>
      <c r="V129" s="239">
        <f>COUNTIF(Tabel3[Winnaar Groen],Tabel12[[#This Row],[Team]])</f>
        <v>0</v>
      </c>
      <c r="W129" s="223">
        <f>COUNTIF(Tabel3[Winnaars],Tabel12[[#This Row],[Team]])</f>
        <v>0</v>
      </c>
      <c r="X129" s="240">
        <f>Tabel12[[#This Row],[Aantal Games Rood]]-Tabel5[[#This Row],[Wins Rood]]</f>
        <v>7</v>
      </c>
      <c r="Y129" s="239">
        <f>Tabel12[[#This Row],[Aantal Games Groen]]-Tabel5[[#This Row],[Wins Groen]]</f>
        <v>3</v>
      </c>
      <c r="Z129" s="241">
        <f>Tabel12[[#This Row],[Aantal games Alg]]-Tabel5[[#This Row],[Wins Alg]]</f>
        <v>10</v>
      </c>
      <c r="AA129" s="238">
        <f>COUNTIF(Tabel3[Team Rood],Tabel12[[#This Row],[Team]])</f>
        <v>7</v>
      </c>
      <c r="AB129" s="239">
        <f>COUNTIF(Tabel3[Team Groen],Tabel12[[#This Row],[Team]])</f>
        <v>3</v>
      </c>
      <c r="AC129" s="223">
        <f>Tabel12[[#This Row],[Aantal Games Rood]]+Tabel12[[#This Row],[Aantal Games Groen]]</f>
        <v>10</v>
      </c>
    </row>
    <row r="130" spans="15:29" x14ac:dyDescent="0.25">
      <c r="O130" s="251" t="s">
        <v>162</v>
      </c>
      <c r="P130" s="232" t="s">
        <v>166</v>
      </c>
      <c r="Q130" s="234" t="str">
        <f t="shared" ref="Q130:Q157" si="7">O130&amp;P130</f>
        <v>Matthijs*Stijn*</v>
      </c>
      <c r="R130" s="235">
        <f>IF(Tabel12[[#This Row],[Aantal Games Rood]]=0,0,(Tabel12[[#This Row],[Wins Rood]])/Tabel12[[#This Row],[Aantal Games Rood]])</f>
        <v>0</v>
      </c>
      <c r="S130" s="236">
        <f>IF(Tabel12[[#This Row],[Aantal Games Groen]]=0,0,(Tabel12[[#This Row],[Wins Groen]])/Tabel12[[#This Row],[Aantal Games Groen]])</f>
        <v>0</v>
      </c>
      <c r="T130" s="237">
        <f>IF(Tabel12[[#This Row],[Aantal games Alg]]=0,0,(Tabel12[[#This Row],[Wins Alg]])/Tabel12[[#This Row],[Aantal games Alg]])</f>
        <v>0</v>
      </c>
      <c r="U130" s="238">
        <f>COUNTIF(Tabel3[Winaar rood],Tabel12[[#This Row],[Team]])</f>
        <v>0</v>
      </c>
      <c r="V130" s="239">
        <f>COUNTIF(Tabel3[Winnaar Groen],Tabel12[[#This Row],[Team]])</f>
        <v>0</v>
      </c>
      <c r="W130" s="223">
        <f>COUNTIF(Tabel3[Winnaars],Tabel12[[#This Row],[Team]])</f>
        <v>0</v>
      </c>
      <c r="X130" s="240">
        <f>Tabel12[[#This Row],[Aantal Games Rood]]-Tabel5[[#This Row],[Wins Rood]]</f>
        <v>2</v>
      </c>
      <c r="Y130" s="239">
        <f>Tabel12[[#This Row],[Aantal Games Groen]]-Tabel5[[#This Row],[Wins Groen]]</f>
        <v>1</v>
      </c>
      <c r="Z130" s="241">
        <f>Tabel12[[#This Row],[Aantal games Alg]]-Tabel5[[#This Row],[Wins Alg]]</f>
        <v>3</v>
      </c>
      <c r="AA130" s="238">
        <f>COUNTIF(Tabel3[Team Rood],Tabel12[[#This Row],[Team]])</f>
        <v>2</v>
      </c>
      <c r="AB130" s="239">
        <f>COUNTIF(Tabel3[Team Groen],Tabel12[[#This Row],[Team]])</f>
        <v>1</v>
      </c>
      <c r="AC130" s="223">
        <f>Tabel12[[#This Row],[Aantal Games Rood]]+Tabel12[[#This Row],[Aantal Games Groen]]</f>
        <v>3</v>
      </c>
    </row>
    <row r="131" spans="15:29" x14ac:dyDescent="0.25">
      <c r="O131" s="251" t="s">
        <v>170</v>
      </c>
      <c r="P131" s="232" t="s">
        <v>168</v>
      </c>
      <c r="Q131" s="234" t="str">
        <f t="shared" si="7"/>
        <v>Nico*Coghe*</v>
      </c>
      <c r="R131" s="235">
        <f>IF(Tabel12[[#This Row],[Aantal Games Rood]]=0,0,(Tabel12[[#This Row],[Wins Rood]])/Tabel12[[#This Row],[Aantal Games Rood]])</f>
        <v>0</v>
      </c>
      <c r="S131" s="236">
        <f>IF(Tabel12[[#This Row],[Aantal Games Groen]]=0,0,(Tabel12[[#This Row],[Wins Groen]])/Tabel12[[#This Row],[Aantal Games Groen]])</f>
        <v>0</v>
      </c>
      <c r="T131" s="242">
        <f>IF(Tabel12[[#This Row],[Aantal games Alg]]=0,0,(Tabel12[[#This Row],[Wins Alg]])/Tabel12[[#This Row],[Aantal games Alg]])</f>
        <v>0</v>
      </c>
      <c r="U131" s="238">
        <f>COUNTIF(Tabel3[Winaar rood],Tabel12[[#This Row],[Team]])</f>
        <v>0</v>
      </c>
      <c r="V131" s="239">
        <f>COUNTIF(Tabel3[Winnaar Groen],Tabel12[[#This Row],[Team]])</f>
        <v>0</v>
      </c>
      <c r="W131" s="223">
        <f>COUNTIF(Tabel3[Winnaars],Tabel12[[#This Row],[Team]])</f>
        <v>0</v>
      </c>
      <c r="X131" s="245">
        <f>Tabel12[[#This Row],[Aantal Games Rood]]-Tabel5[[#This Row],[Wins Rood]]</f>
        <v>0</v>
      </c>
      <c r="Y131" s="244">
        <f>Tabel12[[#This Row],[Aantal Games Groen]]-Tabel5[[#This Row],[Wins Groen]]</f>
        <v>1</v>
      </c>
      <c r="Z131" s="246">
        <f>Tabel12[[#This Row],[Aantal games Alg]]-Tabel5[[#This Row],[Wins Alg]]</f>
        <v>1</v>
      </c>
      <c r="AA131" s="238">
        <f>COUNTIF(Tabel3[Team Rood],Tabel12[[#This Row],[Team]])</f>
        <v>0</v>
      </c>
      <c r="AB131" s="239">
        <f>COUNTIF(Tabel3[Team Groen],Tabel12[[#This Row],[Team]])</f>
        <v>1</v>
      </c>
      <c r="AC131" s="223">
        <f>Tabel12[[#This Row],[Aantal Games Rood]]+Tabel12[[#This Row],[Aantal Games Groen]]</f>
        <v>1</v>
      </c>
    </row>
    <row r="132" spans="15:29" x14ac:dyDescent="0.25">
      <c r="O132" s="251" t="s">
        <v>170</v>
      </c>
      <c r="P132" s="232" t="s">
        <v>67</v>
      </c>
      <c r="Q132" s="234" t="str">
        <f t="shared" si="7"/>
        <v>Nico*Lawrence</v>
      </c>
      <c r="R132" s="235">
        <f>IF(Tabel12[[#This Row],[Aantal Games Rood]]=0,0,(Tabel12[[#This Row],[Wins Rood]])/Tabel12[[#This Row],[Aantal Games Rood]])</f>
        <v>0</v>
      </c>
      <c r="S132" s="236">
        <f>IF(Tabel12[[#This Row],[Aantal Games Groen]]=0,0,(Tabel12[[#This Row],[Wins Groen]])/Tabel12[[#This Row],[Aantal Games Groen]])</f>
        <v>0</v>
      </c>
      <c r="T132" s="237">
        <f>IF(Tabel12[[#This Row],[Aantal games Alg]]=0,0,(Tabel12[[#This Row],[Wins Alg]])/Tabel12[[#This Row],[Aantal games Alg]])</f>
        <v>0</v>
      </c>
      <c r="U132" s="238">
        <f>COUNTIF(Tabel3[Winaar rood],Tabel12[[#This Row],[Team]])</f>
        <v>0</v>
      </c>
      <c r="V132" s="239">
        <f>COUNTIF(Tabel3[Winnaar Groen],Tabel12[[#This Row],[Team]])</f>
        <v>0</v>
      </c>
      <c r="W132" s="223">
        <f>COUNTIF(Tabel3[Winnaars],Tabel12[[#This Row],[Team]])</f>
        <v>0</v>
      </c>
      <c r="X132" s="240">
        <f>Tabel12[[#This Row],[Aantal Games Rood]]-Tabel5[[#This Row],[Wins Rood]]</f>
        <v>0</v>
      </c>
      <c r="Y132" s="239">
        <f>Tabel12[[#This Row],[Aantal Games Groen]]-Tabel5[[#This Row],[Wins Groen]]</f>
        <v>0</v>
      </c>
      <c r="Z132" s="241">
        <f>Tabel12[[#This Row],[Aantal games Alg]]-Tabel5[[#This Row],[Wins Alg]]</f>
        <v>0</v>
      </c>
      <c r="AA132" s="238">
        <f>COUNTIF(Tabel3[Team Rood],Tabel12[[#This Row],[Team]])</f>
        <v>0</v>
      </c>
      <c r="AB132" s="239">
        <f>COUNTIF(Tabel3[Team Groen],Tabel12[[#This Row],[Team]])</f>
        <v>0</v>
      </c>
      <c r="AC132" s="223">
        <f>Tabel12[[#This Row],[Aantal Games Rood]]+Tabel12[[#This Row],[Aantal Games Groen]]</f>
        <v>0</v>
      </c>
    </row>
    <row r="133" spans="15:29" x14ac:dyDescent="0.25">
      <c r="O133" s="251" t="s">
        <v>170</v>
      </c>
      <c r="P133" s="232" t="s">
        <v>161</v>
      </c>
      <c r="Q133" s="234" t="str">
        <f t="shared" si="7"/>
        <v>Nico*Louis*</v>
      </c>
      <c r="R133" s="235">
        <f>IF(Tabel12[[#This Row],[Aantal Games Rood]]=0,0,(Tabel12[[#This Row],[Wins Rood]])/Tabel12[[#This Row],[Aantal Games Rood]])</f>
        <v>0</v>
      </c>
      <c r="S133" s="236">
        <f>IF(Tabel12[[#This Row],[Aantal Games Groen]]=0,0,(Tabel12[[#This Row],[Wins Groen]])/Tabel12[[#This Row],[Aantal Games Groen]])</f>
        <v>0</v>
      </c>
      <c r="T133" s="242">
        <f>IF(Tabel12[[#This Row],[Aantal games Alg]]=0,0,(Tabel12[[#This Row],[Wins Alg]])/Tabel12[[#This Row],[Aantal games Alg]])</f>
        <v>0</v>
      </c>
      <c r="U133" s="238">
        <f>COUNTIF(Tabel3[Winaar rood],Tabel12[[#This Row],[Team]])</f>
        <v>0</v>
      </c>
      <c r="V133" s="239">
        <f>COUNTIF(Tabel3[Winnaar Groen],Tabel12[[#This Row],[Team]])</f>
        <v>0</v>
      </c>
      <c r="W133" s="223">
        <f>COUNTIF(Tabel3[Winnaars],Tabel12[[#This Row],[Team]])</f>
        <v>0</v>
      </c>
      <c r="X133" s="240">
        <f>Tabel12[[#This Row],[Aantal Games Rood]]-Tabel5[[#This Row],[Wins Rood]]</f>
        <v>8</v>
      </c>
      <c r="Y133" s="239">
        <f>Tabel12[[#This Row],[Aantal Games Groen]]-Tabel5[[#This Row],[Wins Groen]]</f>
        <v>12</v>
      </c>
      <c r="Z133" s="243">
        <f>Tabel12[[#This Row],[Aantal games Alg]]-Tabel5[[#This Row],[Wins Alg]]</f>
        <v>20</v>
      </c>
      <c r="AA133" s="238">
        <f>COUNTIF(Tabel3[Team Rood],Tabel12[[#This Row],[Team]])</f>
        <v>8</v>
      </c>
      <c r="AB133" s="239">
        <f>COUNTIF(Tabel3[Team Groen],Tabel12[[#This Row],[Team]])</f>
        <v>12</v>
      </c>
      <c r="AC133" s="223">
        <f>Tabel12[[#This Row],[Aantal Games Rood]]+Tabel12[[#This Row],[Aantal Games Groen]]</f>
        <v>20</v>
      </c>
    </row>
    <row r="134" spans="15:29" x14ac:dyDescent="0.25">
      <c r="O134" s="250" t="s">
        <v>170</v>
      </c>
      <c r="P134" s="232" t="s">
        <v>162</v>
      </c>
      <c r="Q134" s="234" t="str">
        <f t="shared" si="7"/>
        <v>Nico*Matthijs*</v>
      </c>
      <c r="R134" s="235">
        <f>IF(Tabel12[[#This Row],[Aantal Games Rood]]=0,0,(Tabel12[[#This Row],[Wins Rood]])/Tabel12[[#This Row],[Aantal Games Rood]])</f>
        <v>0</v>
      </c>
      <c r="S134" s="236">
        <f>IF(Tabel12[[#This Row],[Aantal Games Groen]]=0,0,(Tabel12[[#This Row],[Wins Groen]])/Tabel12[[#This Row],[Aantal Games Groen]])</f>
        <v>0</v>
      </c>
      <c r="T134" s="263">
        <f>IF(Tabel12[[#This Row],[Aantal games Alg]]=0,0,(Tabel12[[#This Row],[Wins Alg]])/Tabel12[[#This Row],[Aantal games Alg]])</f>
        <v>0</v>
      </c>
      <c r="U134" s="238">
        <f>COUNTIF(Tabel3[Winaar rood],Tabel12[[#This Row],[Team]])</f>
        <v>0</v>
      </c>
      <c r="V134" s="239">
        <f>COUNTIF(Tabel3[Winnaar Groen],Tabel12[[#This Row],[Team]])</f>
        <v>0</v>
      </c>
      <c r="W134" s="223">
        <f>COUNTIF(Tabel3[Winnaars],Tabel12[[#This Row],[Team]])</f>
        <v>0</v>
      </c>
      <c r="X134" s="238">
        <f>Tabel12[[#This Row],[Aantal Games Rood]]-Tabel5[[#This Row],[Wins Rood]]</f>
        <v>9</v>
      </c>
      <c r="Y134" s="239">
        <f>Tabel12[[#This Row],[Aantal Games Groen]]-Tabel5[[#This Row],[Wins Groen]]</f>
        <v>1</v>
      </c>
      <c r="Z134" s="225">
        <f>Tabel12[[#This Row],[Aantal games Alg]]-Tabel5[[#This Row],[Wins Alg]]</f>
        <v>10</v>
      </c>
      <c r="AA134" s="238">
        <f>COUNTIF(Tabel3[Team Rood],Tabel12[[#This Row],[Team]])</f>
        <v>9</v>
      </c>
      <c r="AB134" s="239">
        <f>COUNTIF(Tabel3[Team Groen],Tabel12[[#This Row],[Team]])</f>
        <v>1</v>
      </c>
      <c r="AC134" s="223">
        <f>Tabel12[[#This Row],[Aantal Games Rood]]+Tabel12[[#This Row],[Aantal Games Groen]]</f>
        <v>10</v>
      </c>
    </row>
    <row r="135" spans="15:29" x14ac:dyDescent="0.25">
      <c r="O135" s="250" t="s">
        <v>170</v>
      </c>
      <c r="P135" s="232" t="s">
        <v>166</v>
      </c>
      <c r="Q135" s="234" t="str">
        <f t="shared" si="7"/>
        <v>Nico*Stijn*</v>
      </c>
      <c r="R135" s="235">
        <f>IF(Tabel12[[#This Row],[Aantal Games Rood]]=0,0,(Tabel12[[#This Row],[Wins Rood]])/Tabel12[[#This Row],[Aantal Games Rood]])</f>
        <v>0</v>
      </c>
      <c r="S135" s="236">
        <f>IF(Tabel12[[#This Row],[Aantal Games Groen]]=0,0,(Tabel12[[#This Row],[Wins Groen]])/Tabel12[[#This Row],[Aantal Games Groen]])</f>
        <v>0</v>
      </c>
      <c r="T135" s="242">
        <f>IF(Tabel12[[#This Row],[Aantal games Alg]]=0,0,(Tabel12[[#This Row],[Wins Alg]])/Tabel12[[#This Row],[Aantal games Alg]])</f>
        <v>0</v>
      </c>
      <c r="U135" s="238">
        <f>COUNTIF(Tabel3[Winaar rood],Tabel12[[#This Row],[Team]])</f>
        <v>0</v>
      </c>
      <c r="V135" s="239">
        <f>COUNTIF(Tabel3[Winnaar Groen],Tabel12[[#This Row],[Team]])</f>
        <v>0</v>
      </c>
      <c r="W135" s="223">
        <f>COUNTIF(Tabel3[Winnaars],Tabel12[[#This Row],[Team]])</f>
        <v>0</v>
      </c>
      <c r="X135" s="240">
        <f>Tabel12[[#This Row],[Aantal Games Rood]]-Tabel5[[#This Row],[Wins Rood]]</f>
        <v>0</v>
      </c>
      <c r="Y135" s="239">
        <f>Tabel12[[#This Row],[Aantal Games Groen]]-Tabel5[[#This Row],[Wins Groen]]</f>
        <v>-3</v>
      </c>
      <c r="Z135" s="243">
        <f>Tabel12[[#This Row],[Aantal games Alg]]-Tabel5[[#This Row],[Wins Alg]]</f>
        <v>-3</v>
      </c>
      <c r="AA135" s="238">
        <f>COUNTIF(Tabel3[Team Rood],Tabel12[[#This Row],[Team]])</f>
        <v>0</v>
      </c>
      <c r="AB135" s="239">
        <f>COUNTIF(Tabel3[Team Groen],Tabel12[[#This Row],[Team]])</f>
        <v>0</v>
      </c>
      <c r="AC135" s="223">
        <f>Tabel12[[#This Row],[Aantal Games Rood]]+Tabel12[[#This Row],[Aantal Games Groen]]</f>
        <v>0</v>
      </c>
    </row>
    <row r="136" spans="15:29" x14ac:dyDescent="0.25">
      <c r="O136" s="250" t="s">
        <v>170</v>
      </c>
      <c r="P136" s="232" t="s">
        <v>157</v>
      </c>
      <c r="Q136" s="234" t="str">
        <f t="shared" si="7"/>
        <v>Nico*Tobi*</v>
      </c>
      <c r="R136" s="235">
        <f>IF(Tabel12[[#This Row],[Aantal Games Rood]]=0,0,(Tabel12[[#This Row],[Wins Rood]])/Tabel12[[#This Row],[Aantal Games Rood]])</f>
        <v>0</v>
      </c>
      <c r="S136" s="236">
        <f>IF(Tabel12[[#This Row],[Aantal Games Groen]]=0,0,(Tabel12[[#This Row],[Wins Groen]])/Tabel12[[#This Row],[Aantal Games Groen]])</f>
        <v>0</v>
      </c>
      <c r="T136" s="242">
        <f>IF(Tabel12[[#This Row],[Aantal games Alg]]=0,0,(Tabel12[[#This Row],[Wins Alg]])/Tabel12[[#This Row],[Aantal games Alg]])</f>
        <v>0</v>
      </c>
      <c r="U136" s="238">
        <f>COUNTIF(Tabel3[Winaar rood],Tabel12[[#This Row],[Team]])</f>
        <v>0</v>
      </c>
      <c r="V136" s="239">
        <f>COUNTIF(Tabel3[Winnaar Groen],Tabel12[[#This Row],[Team]])</f>
        <v>0</v>
      </c>
      <c r="W136" s="223">
        <f>COUNTIF(Tabel3[Winnaars],Tabel12[[#This Row],[Team]])</f>
        <v>0</v>
      </c>
      <c r="X136" s="240">
        <f>Tabel12[[#This Row],[Aantal Games Rood]]-Tabel5[[#This Row],[Wins Rood]]</f>
        <v>0</v>
      </c>
      <c r="Y136" s="239">
        <f>Tabel12[[#This Row],[Aantal Games Groen]]-Tabel5[[#This Row],[Wins Groen]]</f>
        <v>1</v>
      </c>
      <c r="Z136" s="243">
        <f>Tabel12[[#This Row],[Aantal games Alg]]-Tabel5[[#This Row],[Wins Alg]]</f>
        <v>1</v>
      </c>
      <c r="AA136" s="238">
        <f>COUNTIF(Tabel3[Team Rood],Tabel12[[#This Row],[Team]])</f>
        <v>0</v>
      </c>
      <c r="AB136" s="239">
        <f>COUNTIF(Tabel3[Team Groen],Tabel12[[#This Row],[Team]])</f>
        <v>1</v>
      </c>
      <c r="AC136" s="223">
        <f>Tabel12[[#This Row],[Aantal Games Rood]]+Tabel12[[#This Row],[Aantal Games Groen]]</f>
        <v>1</v>
      </c>
    </row>
    <row r="137" spans="15:29" x14ac:dyDescent="0.25">
      <c r="O137" s="250" t="s">
        <v>169</v>
      </c>
      <c r="P137" s="232" t="s">
        <v>168</v>
      </c>
      <c r="Q137" s="234" t="str">
        <f t="shared" si="7"/>
        <v>Stef*Coghe*</v>
      </c>
      <c r="R137" s="235">
        <f>IF(Tabel12[[#This Row],[Aantal Games Rood]]=0,0,(Tabel12[[#This Row],[Wins Rood]])/Tabel12[[#This Row],[Aantal Games Rood]])</f>
        <v>0</v>
      </c>
      <c r="S137" s="236">
        <f>IF(Tabel12[[#This Row],[Aantal Games Groen]]=0,0,(Tabel12[[#This Row],[Wins Groen]])/Tabel12[[#This Row],[Aantal Games Groen]])</f>
        <v>0</v>
      </c>
      <c r="T137" s="237">
        <f>IF(Tabel12[[#This Row],[Aantal games Alg]]=0,0,(Tabel12[[#This Row],[Wins Alg]])/Tabel12[[#This Row],[Aantal games Alg]])</f>
        <v>0</v>
      </c>
      <c r="U137" s="238">
        <f>COUNTIF(Tabel3[Winaar rood],Tabel12[[#This Row],[Team]])</f>
        <v>0</v>
      </c>
      <c r="V137" s="239">
        <f>COUNTIF(Tabel3[Winnaar Groen],Tabel12[[#This Row],[Team]])</f>
        <v>0</v>
      </c>
      <c r="W137" s="223">
        <f>COUNTIF(Tabel3[Winnaars],Tabel12[[#This Row],[Team]])</f>
        <v>0</v>
      </c>
      <c r="X137" s="245">
        <f>Tabel12[[#This Row],[Aantal Games Rood]]-Tabel5[[#This Row],[Wins Rood]]</f>
        <v>0</v>
      </c>
      <c r="Y137" s="244">
        <f>Tabel12[[#This Row],[Aantal Games Groen]]-Tabel5[[#This Row],[Wins Groen]]</f>
        <v>-1</v>
      </c>
      <c r="Z137" s="247">
        <f>Tabel12[[#This Row],[Aantal games Alg]]-Tabel5[[#This Row],[Wins Alg]]</f>
        <v>-1</v>
      </c>
      <c r="AA137" s="238">
        <f>COUNTIF(Tabel3[Team Rood],Tabel12[[#This Row],[Team]])</f>
        <v>0</v>
      </c>
      <c r="AB137" s="239">
        <f>COUNTIF(Tabel3[Team Groen],Tabel12[[#This Row],[Team]])</f>
        <v>0</v>
      </c>
      <c r="AC137" s="223">
        <f>Tabel12[[#This Row],[Aantal Games Rood]]+Tabel12[[#This Row],[Aantal Games Groen]]</f>
        <v>0</v>
      </c>
    </row>
    <row r="138" spans="15:29" x14ac:dyDescent="0.25">
      <c r="O138" s="250" t="s">
        <v>169</v>
      </c>
      <c r="P138" s="232" t="s">
        <v>166</v>
      </c>
      <c r="Q138" s="234" t="str">
        <f t="shared" si="7"/>
        <v>Stef*Stijn*</v>
      </c>
      <c r="R138" s="235">
        <f>IF(Tabel12[[#This Row],[Aantal Games Rood]]=0,0,(Tabel12[[#This Row],[Wins Rood]])/Tabel12[[#This Row],[Aantal Games Rood]])</f>
        <v>0</v>
      </c>
      <c r="S138" s="236">
        <f>IF(Tabel12[[#This Row],[Aantal Games Groen]]=0,0,(Tabel12[[#This Row],[Wins Groen]])/Tabel12[[#This Row],[Aantal Games Groen]])</f>
        <v>0</v>
      </c>
      <c r="T138" s="242">
        <f>IF(Tabel12[[#This Row],[Aantal games Alg]]=0,0,(Tabel12[[#This Row],[Wins Alg]])/Tabel12[[#This Row],[Aantal games Alg]])</f>
        <v>0</v>
      </c>
      <c r="U138" s="238">
        <f>COUNTIF(Tabel3[Winaar rood],Tabel12[[#This Row],[Team]])</f>
        <v>0</v>
      </c>
      <c r="V138" s="239">
        <f>COUNTIF(Tabel3[Winnaar Groen],Tabel12[[#This Row],[Team]])</f>
        <v>0</v>
      </c>
      <c r="W138" s="223">
        <f>COUNTIF(Tabel3[Winnaars],Tabel12[[#This Row],[Team]])</f>
        <v>0</v>
      </c>
      <c r="X138" s="240">
        <f>Tabel12[[#This Row],[Aantal Games Rood]]-Tabel5[[#This Row],[Wins Rood]]</f>
        <v>3</v>
      </c>
      <c r="Y138" s="239">
        <f>Tabel12[[#This Row],[Aantal Games Groen]]-Tabel5[[#This Row],[Wins Groen]]</f>
        <v>0</v>
      </c>
      <c r="Z138" s="243">
        <f>Tabel12[[#This Row],[Aantal games Alg]]-Tabel5[[#This Row],[Wins Alg]]</f>
        <v>3</v>
      </c>
      <c r="AA138" s="238">
        <f>COUNTIF(Tabel3[Team Rood],Tabel12[[#This Row],[Team]])</f>
        <v>3</v>
      </c>
      <c r="AB138" s="239">
        <f>COUNTIF(Tabel3[Team Groen],Tabel12[[#This Row],[Team]])</f>
        <v>0</v>
      </c>
      <c r="AC138" s="223">
        <f>Tabel12[[#This Row],[Aantal Games Rood]]+Tabel12[[#This Row],[Aantal Games Groen]]</f>
        <v>3</v>
      </c>
    </row>
    <row r="139" spans="15:29" x14ac:dyDescent="0.25">
      <c r="O139" s="250" t="s">
        <v>166</v>
      </c>
      <c r="P139" s="232" t="s">
        <v>158</v>
      </c>
      <c r="Q139" s="234" t="str">
        <f t="shared" si="7"/>
        <v>Stijn*Arno*</v>
      </c>
      <c r="R139" s="235">
        <f>IF(Tabel12[[#This Row],[Aantal Games Rood]]=0,0,(Tabel12[[#This Row],[Wins Rood]])/Tabel12[[#This Row],[Aantal Games Rood]])</f>
        <v>0</v>
      </c>
      <c r="S139" s="236">
        <f>IF(Tabel12[[#This Row],[Aantal Games Groen]]=0,0,(Tabel12[[#This Row],[Wins Groen]])/Tabel12[[#This Row],[Aantal Games Groen]])</f>
        <v>0</v>
      </c>
      <c r="T139" s="242">
        <f>IF(Tabel12[[#This Row],[Aantal games Alg]]=0,0,(Tabel12[[#This Row],[Wins Alg]])/Tabel12[[#This Row],[Aantal games Alg]])</f>
        <v>0</v>
      </c>
      <c r="U139" s="238">
        <f>COUNTIF(Tabel3[Winaar rood],Tabel12[[#This Row],[Team]])</f>
        <v>0</v>
      </c>
      <c r="V139" s="239">
        <f>COUNTIF(Tabel3[Winnaar Groen],Tabel12[[#This Row],[Team]])</f>
        <v>0</v>
      </c>
      <c r="W139" s="223">
        <f>COUNTIF(Tabel3[Winnaars],Tabel12[[#This Row],[Team]])</f>
        <v>0</v>
      </c>
      <c r="X139" s="240">
        <f>Tabel12[[#This Row],[Aantal Games Rood]]-Tabel5[[#This Row],[Wins Rood]]</f>
        <v>0</v>
      </c>
      <c r="Y139" s="239">
        <f>Tabel12[[#This Row],[Aantal Games Groen]]-Tabel5[[#This Row],[Wins Groen]]</f>
        <v>0</v>
      </c>
      <c r="Z139" s="243">
        <f>Tabel12[[#This Row],[Aantal games Alg]]-Tabel5[[#This Row],[Wins Alg]]</f>
        <v>0</v>
      </c>
      <c r="AA139" s="238">
        <f>COUNTIF(Tabel3[Team Rood],Tabel12[[#This Row],[Team]])</f>
        <v>0</v>
      </c>
      <c r="AB139" s="239">
        <f>COUNTIF(Tabel3[Team Groen],Tabel12[[#This Row],[Team]])</f>
        <v>0</v>
      </c>
      <c r="AC139" s="223">
        <f>Tabel12[[#This Row],[Aantal Games Rood]]+Tabel12[[#This Row],[Aantal Games Groen]]</f>
        <v>0</v>
      </c>
    </row>
    <row r="140" spans="15:29" x14ac:dyDescent="0.25">
      <c r="O140" s="250" t="s">
        <v>166</v>
      </c>
      <c r="P140" s="232" t="s">
        <v>168</v>
      </c>
      <c r="Q140" s="234" t="str">
        <f t="shared" si="7"/>
        <v>Stijn*Coghe*</v>
      </c>
      <c r="R140" s="235">
        <f>IF(Tabel12[[#This Row],[Aantal Games Rood]]=0,0,(Tabel12[[#This Row],[Wins Rood]])/Tabel12[[#This Row],[Aantal Games Rood]])</f>
        <v>0</v>
      </c>
      <c r="S140" s="236">
        <f>IF(Tabel12[[#This Row],[Aantal Games Groen]]=0,0,(Tabel12[[#This Row],[Wins Groen]])/Tabel12[[#This Row],[Aantal Games Groen]])</f>
        <v>0</v>
      </c>
      <c r="T140" s="237">
        <f>IF(Tabel12[[#This Row],[Aantal games Alg]]=0,0,(Tabel12[[#This Row],[Wins Alg]])/Tabel12[[#This Row],[Aantal games Alg]])</f>
        <v>0</v>
      </c>
      <c r="U140" s="238">
        <f>COUNTIF(Tabel3[Winaar rood],Tabel12[[#This Row],[Team]])</f>
        <v>0</v>
      </c>
      <c r="V140" s="239">
        <f>COUNTIF(Tabel3[Winnaar Groen],Tabel12[[#This Row],[Team]])</f>
        <v>0</v>
      </c>
      <c r="W140" s="223">
        <f>COUNTIF(Tabel3[Winnaars],Tabel12[[#This Row],[Team]])</f>
        <v>0</v>
      </c>
      <c r="X140" s="245">
        <f>Tabel12[[#This Row],[Aantal Games Rood]]-Tabel5[[#This Row],[Wins Rood]]</f>
        <v>0</v>
      </c>
      <c r="Y140" s="244">
        <f>Tabel12[[#This Row],[Aantal Games Groen]]-Tabel5[[#This Row],[Wins Groen]]</f>
        <v>0</v>
      </c>
      <c r="Z140" s="247">
        <f>Tabel12[[#This Row],[Aantal games Alg]]-Tabel5[[#This Row],[Wins Alg]]</f>
        <v>0</v>
      </c>
      <c r="AA140" s="238">
        <f>COUNTIF(Tabel3[Team Rood],Tabel12[[#This Row],[Team]])</f>
        <v>0</v>
      </c>
      <c r="AB140" s="239">
        <f>COUNTIF(Tabel3[Team Groen],Tabel12[[#This Row],[Team]])</f>
        <v>0</v>
      </c>
      <c r="AC140" s="223">
        <f>Tabel12[[#This Row],[Aantal Games Rood]]+Tabel12[[#This Row],[Aantal Games Groen]]</f>
        <v>0</v>
      </c>
    </row>
    <row r="141" spans="15:29" x14ac:dyDescent="0.25">
      <c r="O141" s="250" t="s">
        <v>166</v>
      </c>
      <c r="P141" s="232" t="s">
        <v>159</v>
      </c>
      <c r="Q141" s="234" t="str">
        <f t="shared" si="7"/>
        <v>Stijn*Jonas*</v>
      </c>
      <c r="R141" s="235">
        <f>IF(Tabel12[[#This Row],[Aantal Games Rood]]=0,0,(Tabel12[[#This Row],[Wins Rood]])/Tabel12[[#This Row],[Aantal Games Rood]])</f>
        <v>0</v>
      </c>
      <c r="S141" s="236">
        <f>IF(Tabel12[[#This Row],[Aantal Games Groen]]=0,0,(Tabel12[[#This Row],[Wins Groen]])/Tabel12[[#This Row],[Aantal Games Groen]])</f>
        <v>0</v>
      </c>
      <c r="T141" s="237">
        <f>IF(Tabel12[[#This Row],[Aantal games Alg]]=0,0,(Tabel12[[#This Row],[Wins Alg]])/Tabel12[[#This Row],[Aantal games Alg]])</f>
        <v>0</v>
      </c>
      <c r="U141" s="238">
        <f>COUNTIF(Tabel3[Winaar rood],Tabel12[[#This Row],[Team]])</f>
        <v>0</v>
      </c>
      <c r="V141" s="239">
        <f>COUNTIF(Tabel3[Winnaar Groen],Tabel12[[#This Row],[Team]])</f>
        <v>0</v>
      </c>
      <c r="W141" s="223">
        <f>COUNTIF(Tabel3[Winnaars],Tabel12[[#This Row],[Team]])</f>
        <v>0</v>
      </c>
      <c r="X141" s="240">
        <f>Tabel12[[#This Row],[Aantal Games Rood]]-Tabel5[[#This Row],[Wins Rood]]</f>
        <v>0</v>
      </c>
      <c r="Y141" s="239">
        <f>Tabel12[[#This Row],[Aantal Games Groen]]-Tabel5[[#This Row],[Wins Groen]]</f>
        <v>1</v>
      </c>
      <c r="Z141" s="241">
        <f>Tabel12[[#This Row],[Aantal games Alg]]-Tabel5[[#This Row],[Wins Alg]]</f>
        <v>1</v>
      </c>
      <c r="AA141" s="238">
        <f>COUNTIF(Tabel3[Team Rood],Tabel12[[#This Row],[Team]])</f>
        <v>0</v>
      </c>
      <c r="AB141" s="239">
        <f>COUNTIF(Tabel3[Team Groen],Tabel12[[#This Row],[Team]])</f>
        <v>1</v>
      </c>
      <c r="AC141" s="223">
        <f>Tabel12[[#This Row],[Aantal Games Rood]]+Tabel12[[#This Row],[Aantal Games Groen]]</f>
        <v>1</v>
      </c>
    </row>
    <row r="142" spans="15:29" x14ac:dyDescent="0.25">
      <c r="O142" s="250" t="s">
        <v>166</v>
      </c>
      <c r="P142" s="232" t="s">
        <v>67</v>
      </c>
      <c r="Q142" s="234" t="str">
        <f t="shared" si="7"/>
        <v>Stijn*Lawrence</v>
      </c>
      <c r="R142" s="235">
        <f>IF(Tabel12[[#This Row],[Aantal Games Rood]]=0,0,(Tabel12[[#This Row],[Wins Rood]])/Tabel12[[#This Row],[Aantal Games Rood]])</f>
        <v>0</v>
      </c>
      <c r="S142" s="236">
        <f>IF(Tabel12[[#This Row],[Aantal Games Groen]]=0,0,(Tabel12[[#This Row],[Wins Groen]])/Tabel12[[#This Row],[Aantal Games Groen]])</f>
        <v>0</v>
      </c>
      <c r="T142" s="242">
        <f>IF(Tabel12[[#This Row],[Aantal games Alg]]=0,0,(Tabel12[[#This Row],[Wins Alg]])/Tabel12[[#This Row],[Aantal games Alg]])</f>
        <v>0</v>
      </c>
      <c r="U142" s="238">
        <f>COUNTIF(Tabel3[Winaar rood],Tabel12[[#This Row],[Team]])</f>
        <v>0</v>
      </c>
      <c r="V142" s="239">
        <f>COUNTIF(Tabel3[Winnaar Groen],Tabel12[[#This Row],[Team]])</f>
        <v>0</v>
      </c>
      <c r="W142" s="223">
        <f>COUNTIF(Tabel3[Winnaars],Tabel12[[#This Row],[Team]])</f>
        <v>0</v>
      </c>
      <c r="X142" s="240">
        <f>Tabel12[[#This Row],[Aantal Games Rood]]-Tabel5[[#This Row],[Wins Rood]]</f>
        <v>0</v>
      </c>
      <c r="Y142" s="239">
        <f>Tabel12[[#This Row],[Aantal Games Groen]]-Tabel5[[#This Row],[Wins Groen]]</f>
        <v>0</v>
      </c>
      <c r="Z142" s="243">
        <f>Tabel12[[#This Row],[Aantal games Alg]]-Tabel5[[#This Row],[Wins Alg]]</f>
        <v>0</v>
      </c>
      <c r="AA142" s="238">
        <f>COUNTIF(Tabel3[Team Rood],Tabel12[[#This Row],[Team]])</f>
        <v>0</v>
      </c>
      <c r="AB142" s="239">
        <f>COUNTIF(Tabel3[Team Groen],Tabel12[[#This Row],[Team]])</f>
        <v>0</v>
      </c>
      <c r="AC142" s="223">
        <f>Tabel12[[#This Row],[Aantal Games Rood]]+Tabel12[[#This Row],[Aantal Games Groen]]</f>
        <v>0</v>
      </c>
    </row>
    <row r="143" spans="15:29" x14ac:dyDescent="0.25">
      <c r="O143" s="250" t="s">
        <v>166</v>
      </c>
      <c r="P143" s="232" t="s">
        <v>161</v>
      </c>
      <c r="Q143" s="234" t="str">
        <f t="shared" si="7"/>
        <v>Stijn*Louis*</v>
      </c>
      <c r="R143" s="235">
        <f>IF(Tabel12[[#This Row],[Aantal Games Rood]]=0,0,(Tabel12[[#This Row],[Wins Rood]])/Tabel12[[#This Row],[Aantal Games Rood]])</f>
        <v>0</v>
      </c>
      <c r="S143" s="236">
        <f>IF(Tabel12[[#This Row],[Aantal Games Groen]]=0,0,(Tabel12[[#This Row],[Wins Groen]])/Tabel12[[#This Row],[Aantal Games Groen]])</f>
        <v>0</v>
      </c>
      <c r="T143" s="242">
        <f>IF(Tabel12[[#This Row],[Aantal games Alg]]=0,0,(Tabel12[[#This Row],[Wins Alg]])/Tabel12[[#This Row],[Aantal games Alg]])</f>
        <v>0</v>
      </c>
      <c r="U143" s="238">
        <f>COUNTIF(Tabel3[Winaar rood],Tabel12[[#This Row],[Team]])</f>
        <v>0</v>
      </c>
      <c r="V143" s="239">
        <f>COUNTIF(Tabel3[Winnaar Groen],Tabel12[[#This Row],[Team]])</f>
        <v>0</v>
      </c>
      <c r="W143" s="223">
        <f>COUNTIF(Tabel3[Winnaars],Tabel12[[#This Row],[Team]])</f>
        <v>0</v>
      </c>
      <c r="X143" s="240">
        <f>Tabel12[[#This Row],[Aantal Games Rood]]-Tabel5[[#This Row],[Wins Rood]]</f>
        <v>2</v>
      </c>
      <c r="Y143" s="239">
        <f>Tabel12[[#This Row],[Aantal Games Groen]]-Tabel5[[#This Row],[Wins Groen]]</f>
        <v>2</v>
      </c>
      <c r="Z143" s="243">
        <f>Tabel12[[#This Row],[Aantal games Alg]]-Tabel5[[#This Row],[Wins Alg]]</f>
        <v>4</v>
      </c>
      <c r="AA143" s="238">
        <f>COUNTIF(Tabel3[Team Rood],Tabel12[[#This Row],[Team]])</f>
        <v>3</v>
      </c>
      <c r="AB143" s="239">
        <f>COUNTIF(Tabel3[Team Groen],Tabel12[[#This Row],[Team]])</f>
        <v>4</v>
      </c>
      <c r="AC143" s="223">
        <f>Tabel12[[#This Row],[Aantal Games Rood]]+Tabel12[[#This Row],[Aantal Games Groen]]</f>
        <v>7</v>
      </c>
    </row>
    <row r="144" spans="15:29" x14ac:dyDescent="0.25">
      <c r="O144" s="250" t="s">
        <v>166</v>
      </c>
      <c r="P144" s="249" t="s">
        <v>162</v>
      </c>
      <c r="Q144" s="234" t="str">
        <f t="shared" si="7"/>
        <v>Stijn*Matthijs*</v>
      </c>
      <c r="R144" s="235">
        <f>IF(Tabel12[[#This Row],[Aantal Games Rood]]=0,0,(Tabel12[[#This Row],[Wins Rood]])/Tabel12[[#This Row],[Aantal Games Rood]])</f>
        <v>0</v>
      </c>
      <c r="S144" s="236">
        <f>IF(Tabel12[[#This Row],[Aantal Games Groen]]=0,0,(Tabel12[[#This Row],[Wins Groen]])/Tabel12[[#This Row],[Aantal Games Groen]])</f>
        <v>0</v>
      </c>
      <c r="T144" s="237">
        <f>IF(Tabel12[[#This Row],[Aantal games Alg]]=0,0,(Tabel12[[#This Row],[Wins Alg]])/Tabel12[[#This Row],[Aantal games Alg]])</f>
        <v>0</v>
      </c>
      <c r="U144" s="238">
        <f>COUNTIF(Tabel3[Winaar rood],Tabel12[[#This Row],[Team]])</f>
        <v>0</v>
      </c>
      <c r="V144" s="239">
        <f>COUNTIF(Tabel3[Winnaar Groen],Tabel12[[#This Row],[Team]])</f>
        <v>0</v>
      </c>
      <c r="W144" s="223">
        <f>COUNTIF(Tabel3[Winnaars],Tabel12[[#This Row],[Team]])</f>
        <v>0</v>
      </c>
      <c r="X144" s="240">
        <f>Tabel12[[#This Row],[Aantal Games Rood]]-Tabel5[[#This Row],[Wins Rood]]</f>
        <v>0</v>
      </c>
      <c r="Y144" s="239">
        <f>Tabel12[[#This Row],[Aantal Games Groen]]-Tabel5[[#This Row],[Wins Groen]]</f>
        <v>2</v>
      </c>
      <c r="Z144" s="241">
        <f>Tabel12[[#This Row],[Aantal games Alg]]-Tabel5[[#This Row],[Wins Alg]]</f>
        <v>2</v>
      </c>
      <c r="AA144" s="238">
        <f>COUNTIF(Tabel3[Team Rood],Tabel12[[#This Row],[Team]])</f>
        <v>0</v>
      </c>
      <c r="AB144" s="239">
        <f>COUNTIF(Tabel3[Team Groen],Tabel12[[#This Row],[Team]])</f>
        <v>2</v>
      </c>
      <c r="AC144" s="223">
        <f>Tabel12[[#This Row],[Aantal Games Rood]]+Tabel12[[#This Row],[Aantal Games Groen]]</f>
        <v>2</v>
      </c>
    </row>
    <row r="145" spans="15:29" x14ac:dyDescent="0.25">
      <c r="O145" s="250" t="s">
        <v>166</v>
      </c>
      <c r="P145" s="249" t="s">
        <v>170</v>
      </c>
      <c r="Q145" s="234" t="str">
        <f t="shared" si="7"/>
        <v>Stijn*Nico*</v>
      </c>
      <c r="R145" s="235">
        <f>IF(Tabel12[[#This Row],[Aantal Games Rood]]=0,0,(Tabel12[[#This Row],[Wins Rood]])/Tabel12[[#This Row],[Aantal Games Rood]])</f>
        <v>0</v>
      </c>
      <c r="S145" s="236">
        <f>IF(Tabel12[[#This Row],[Aantal Games Groen]]=0,0,(Tabel12[[#This Row],[Wins Groen]])/Tabel12[[#This Row],[Aantal Games Groen]])</f>
        <v>0</v>
      </c>
      <c r="T145" s="237">
        <f>IF(Tabel12[[#This Row],[Aantal games Alg]]=0,0,(Tabel12[[#This Row],[Wins Alg]])/Tabel12[[#This Row],[Aantal games Alg]])</f>
        <v>0</v>
      </c>
      <c r="U145" s="238">
        <f>COUNTIF(Tabel3[Winaar rood],Tabel12[[#This Row],[Team]])</f>
        <v>0</v>
      </c>
      <c r="V145" s="239">
        <f>COUNTIF(Tabel3[Winnaar Groen],Tabel12[[#This Row],[Team]])</f>
        <v>0</v>
      </c>
      <c r="W145" s="223">
        <f>COUNTIF(Tabel3[Winnaars],Tabel12[[#This Row],[Team]])</f>
        <v>0</v>
      </c>
      <c r="X145" s="240">
        <f>Tabel12[[#This Row],[Aantal Games Rood]]-Tabel5[[#This Row],[Wins Rood]]</f>
        <v>0</v>
      </c>
      <c r="Y145" s="239">
        <f>Tabel12[[#This Row],[Aantal Games Groen]]-Tabel5[[#This Row],[Wins Groen]]</f>
        <v>2</v>
      </c>
      <c r="Z145" s="241">
        <f>Tabel12[[#This Row],[Aantal games Alg]]-Tabel5[[#This Row],[Wins Alg]]</f>
        <v>2</v>
      </c>
      <c r="AA145" s="238">
        <f>COUNTIF(Tabel3[Team Rood],Tabel12[[#This Row],[Team]])</f>
        <v>0</v>
      </c>
      <c r="AB145" s="239">
        <f>COUNTIF(Tabel3[Team Groen],Tabel12[[#This Row],[Team]])</f>
        <v>2</v>
      </c>
      <c r="AC145" s="223">
        <f>Tabel12[[#This Row],[Aantal Games Rood]]+Tabel12[[#This Row],[Aantal Games Groen]]</f>
        <v>2</v>
      </c>
    </row>
    <row r="146" spans="15:29" x14ac:dyDescent="0.25">
      <c r="O146" s="251" t="s">
        <v>166</v>
      </c>
      <c r="P146" s="250" t="s">
        <v>160</v>
      </c>
      <c r="Q146" s="234" t="str">
        <f t="shared" si="7"/>
        <v>Stijn*Tiemen*</v>
      </c>
      <c r="R146" s="235">
        <f>IF(Tabel12[[#This Row],[Aantal Games Rood]]=0,0,(Tabel12[[#This Row],[Wins Rood]])/Tabel12[[#This Row],[Aantal Games Rood]])</f>
        <v>0</v>
      </c>
      <c r="S146" s="236">
        <f>IF(Tabel12[[#This Row],[Aantal Games Groen]]=0,0,(Tabel12[[#This Row],[Wins Groen]])/Tabel12[[#This Row],[Aantal Games Groen]])</f>
        <v>0</v>
      </c>
      <c r="T146" s="237">
        <f>IF(Tabel12[[#This Row],[Aantal games Alg]]=0,0,(Tabel12[[#This Row],[Wins Alg]])/Tabel12[[#This Row],[Aantal games Alg]])</f>
        <v>0</v>
      </c>
      <c r="U146" s="238">
        <f>COUNTIF(Tabel3[Winaar rood],Tabel12[[#This Row],[Team]])</f>
        <v>0</v>
      </c>
      <c r="V146" s="239">
        <f>COUNTIF(Tabel3[Winnaar Groen],Tabel12[[#This Row],[Team]])</f>
        <v>0</v>
      </c>
      <c r="W146" s="223">
        <f>COUNTIF(Tabel3[Winnaars],Tabel12[[#This Row],[Team]])</f>
        <v>0</v>
      </c>
      <c r="X146" s="240">
        <f>Tabel12[[#This Row],[Aantal Games Rood]]-Tabel5[[#This Row],[Wins Rood]]</f>
        <v>0</v>
      </c>
      <c r="Y146" s="239">
        <f>Tabel12[[#This Row],[Aantal Games Groen]]-Tabel5[[#This Row],[Wins Groen]]</f>
        <v>1</v>
      </c>
      <c r="Z146" s="241">
        <f>Tabel12[[#This Row],[Aantal games Alg]]-Tabel5[[#This Row],[Wins Alg]]</f>
        <v>1</v>
      </c>
      <c r="AA146" s="238">
        <f>COUNTIF(Tabel3[Team Rood],Tabel12[[#This Row],[Team]])</f>
        <v>0</v>
      </c>
      <c r="AB146" s="239">
        <f>COUNTIF(Tabel3[Team Groen],Tabel12[[#This Row],[Team]])</f>
        <v>1</v>
      </c>
      <c r="AC146" s="223">
        <f>Tabel12[[#This Row],[Aantal Games Rood]]+Tabel12[[#This Row],[Aantal Games Groen]]</f>
        <v>1</v>
      </c>
    </row>
    <row r="147" spans="15:29" x14ac:dyDescent="0.25">
      <c r="O147" s="251" t="s">
        <v>160</v>
      </c>
      <c r="P147" s="250" t="s">
        <v>168</v>
      </c>
      <c r="Q147" s="234" t="str">
        <f t="shared" si="7"/>
        <v>Tiemen*Coghe*</v>
      </c>
      <c r="R147" s="235">
        <f>IF(Tabel12[[#This Row],[Aantal Games Rood]]=0,0,(Tabel12[[#This Row],[Wins Rood]])/Tabel12[[#This Row],[Aantal Games Rood]])</f>
        <v>0</v>
      </c>
      <c r="S147" s="236">
        <f>IF(Tabel12[[#This Row],[Aantal Games Groen]]=0,0,(Tabel12[[#This Row],[Wins Groen]])/Tabel12[[#This Row],[Aantal Games Groen]])</f>
        <v>0</v>
      </c>
      <c r="T147" s="242">
        <f>IF(Tabel12[[#This Row],[Aantal games Alg]]=0,0,(Tabel12[[#This Row],[Wins Alg]])/Tabel12[[#This Row],[Aantal games Alg]])</f>
        <v>0</v>
      </c>
      <c r="U147" s="238">
        <f>COUNTIF(Tabel3[Winaar rood],Tabel12[[#This Row],[Team]])</f>
        <v>0</v>
      </c>
      <c r="V147" s="239">
        <f>COUNTIF(Tabel3[Winnaar Groen],Tabel12[[#This Row],[Team]])</f>
        <v>0</v>
      </c>
      <c r="W147" s="223">
        <f>COUNTIF(Tabel3[Winnaars],Tabel12[[#This Row],[Team]])</f>
        <v>0</v>
      </c>
      <c r="X147" s="245">
        <f>Tabel12[[#This Row],[Aantal Games Rood]]-Tabel5[[#This Row],[Wins Rood]]</f>
        <v>0</v>
      </c>
      <c r="Y147" s="244">
        <f>Tabel12[[#This Row],[Aantal Games Groen]]-Tabel5[[#This Row],[Wins Groen]]</f>
        <v>0</v>
      </c>
      <c r="Z147" s="246">
        <f>Tabel12[[#This Row],[Aantal games Alg]]-Tabel5[[#This Row],[Wins Alg]]</f>
        <v>0</v>
      </c>
      <c r="AA147" s="238">
        <f>COUNTIF(Tabel3[Team Rood],Tabel12[[#This Row],[Team]])</f>
        <v>0</v>
      </c>
      <c r="AB147" s="239">
        <f>COUNTIF(Tabel3[Team Groen],Tabel12[[#This Row],[Team]])</f>
        <v>0</v>
      </c>
      <c r="AC147" s="223">
        <f>Tabel12[[#This Row],[Aantal Games Rood]]+Tabel12[[#This Row],[Aantal Games Groen]]</f>
        <v>0</v>
      </c>
    </row>
    <row r="148" spans="15:29" x14ac:dyDescent="0.25">
      <c r="O148" s="251" t="s">
        <v>160</v>
      </c>
      <c r="P148" s="250" t="s">
        <v>166</v>
      </c>
      <c r="Q148" s="234" t="str">
        <f t="shared" si="7"/>
        <v>Tiemen*Stijn*</v>
      </c>
      <c r="R148" s="235">
        <f>IF(Tabel12[[#This Row],[Aantal Games Rood]]=0,0,(Tabel12[[#This Row],[Wins Rood]])/Tabel12[[#This Row],[Aantal Games Rood]])</f>
        <v>0</v>
      </c>
      <c r="S148" s="236">
        <f>IF(Tabel12[[#This Row],[Aantal Games Groen]]=0,0,(Tabel12[[#This Row],[Wins Groen]])/Tabel12[[#This Row],[Aantal Games Groen]])</f>
        <v>0</v>
      </c>
      <c r="T148" s="242">
        <f>IF(Tabel12[[#This Row],[Aantal games Alg]]=0,0,(Tabel12[[#This Row],[Wins Alg]])/Tabel12[[#This Row],[Aantal games Alg]])</f>
        <v>0</v>
      </c>
      <c r="U148" s="238">
        <f>COUNTIF(Tabel3[Winaar rood],Tabel12[[#This Row],[Team]])</f>
        <v>0</v>
      </c>
      <c r="V148" s="239">
        <f>COUNTIF(Tabel3[Winnaar Groen],Tabel12[[#This Row],[Team]])</f>
        <v>0</v>
      </c>
      <c r="W148" s="223">
        <f>COUNTIF(Tabel3[Winnaars],Tabel12[[#This Row],[Team]])</f>
        <v>0</v>
      </c>
      <c r="X148" s="240">
        <f>Tabel12[[#This Row],[Aantal Games Rood]]-Tabel5[[#This Row],[Wins Rood]]</f>
        <v>0</v>
      </c>
      <c r="Y148" s="239">
        <f>Tabel12[[#This Row],[Aantal Games Groen]]-Tabel5[[#This Row],[Wins Groen]]</f>
        <v>2</v>
      </c>
      <c r="Z148" s="243">
        <f>Tabel12[[#This Row],[Aantal games Alg]]-Tabel5[[#This Row],[Wins Alg]]</f>
        <v>2</v>
      </c>
      <c r="AA148" s="238">
        <f>COUNTIF(Tabel3[Team Rood],Tabel12[[#This Row],[Team]])</f>
        <v>0</v>
      </c>
      <c r="AB148" s="239">
        <f>COUNTIF(Tabel3[Team Groen],Tabel12[[#This Row],[Team]])</f>
        <v>2</v>
      </c>
      <c r="AC148" s="223">
        <f>Tabel12[[#This Row],[Aantal Games Rood]]+Tabel12[[#This Row],[Aantal Games Groen]]</f>
        <v>2</v>
      </c>
    </row>
    <row r="149" spans="15:29" x14ac:dyDescent="0.25">
      <c r="O149" s="251" t="s">
        <v>157</v>
      </c>
      <c r="P149" s="250" t="s">
        <v>158</v>
      </c>
      <c r="Q149" s="234" t="str">
        <f t="shared" si="7"/>
        <v>Tobi*Arno*</v>
      </c>
      <c r="R149" s="235">
        <f>IF(Tabel12[[#This Row],[Aantal Games Rood]]=0,0,(Tabel12[[#This Row],[Wins Rood]])/Tabel12[[#This Row],[Aantal Games Rood]])</f>
        <v>0</v>
      </c>
      <c r="S149" s="236">
        <f>IF(Tabel12[[#This Row],[Aantal Games Groen]]=0,0,(Tabel12[[#This Row],[Wins Groen]])/Tabel12[[#This Row],[Aantal Games Groen]])</f>
        <v>0</v>
      </c>
      <c r="T149" s="242">
        <f>IF(Tabel12[[#This Row],[Aantal games Alg]]=0,0,(Tabel12[[#This Row],[Wins Alg]])/Tabel12[[#This Row],[Aantal games Alg]])</f>
        <v>0</v>
      </c>
      <c r="U149" s="238">
        <f>COUNTIF(Tabel3[Winaar rood],Tabel12[[#This Row],[Team]])</f>
        <v>0</v>
      </c>
      <c r="V149" s="239">
        <f>COUNTIF(Tabel3[Winnaar Groen],Tabel12[[#This Row],[Team]])</f>
        <v>0</v>
      </c>
      <c r="W149" s="223">
        <f>COUNTIF(Tabel3[Winnaars],Tabel12[[#This Row],[Team]])</f>
        <v>0</v>
      </c>
      <c r="X149" s="240">
        <f>Tabel12[[#This Row],[Aantal Games Rood]]-Tabel5[[#This Row],[Wins Rood]]</f>
        <v>0</v>
      </c>
      <c r="Y149" s="239">
        <f>Tabel12[[#This Row],[Aantal Games Groen]]-Tabel5[[#This Row],[Wins Groen]]</f>
        <v>0</v>
      </c>
      <c r="Z149" s="243">
        <f>Tabel12[[#This Row],[Aantal games Alg]]-Tabel5[[#This Row],[Wins Alg]]</f>
        <v>0</v>
      </c>
      <c r="AA149" s="238">
        <f>COUNTIF(Tabel3[Team Rood],Tabel12[[#This Row],[Team]])</f>
        <v>0</v>
      </c>
      <c r="AB149" s="239">
        <f>COUNTIF(Tabel3[Team Groen],Tabel12[[#This Row],[Team]])</f>
        <v>0</v>
      </c>
      <c r="AC149" s="223">
        <f>Tabel12[[#This Row],[Aantal Games Rood]]+Tabel12[[#This Row],[Aantal Games Groen]]</f>
        <v>0</v>
      </c>
    </row>
    <row r="150" spans="15:29" x14ac:dyDescent="0.25">
      <c r="O150" s="251" t="s">
        <v>157</v>
      </c>
      <c r="P150" s="250" t="s">
        <v>168</v>
      </c>
      <c r="Q150" s="234" t="str">
        <f t="shared" si="7"/>
        <v>Tobi*Coghe*</v>
      </c>
      <c r="R150" s="235">
        <f>IF(Tabel12[[#This Row],[Aantal Games Rood]]=0,0,(Tabel12[[#This Row],[Wins Rood]])/Tabel12[[#This Row],[Aantal Games Rood]])</f>
        <v>0</v>
      </c>
      <c r="S150" s="236">
        <f>IF(Tabel12[[#This Row],[Aantal Games Groen]]=0,0,(Tabel12[[#This Row],[Wins Groen]])/Tabel12[[#This Row],[Aantal Games Groen]])</f>
        <v>0</v>
      </c>
      <c r="T150" s="237">
        <f>IF(Tabel12[[#This Row],[Aantal games Alg]]=0,0,(Tabel12[[#This Row],[Wins Alg]])/Tabel12[[#This Row],[Aantal games Alg]])</f>
        <v>0</v>
      </c>
      <c r="U150" s="238">
        <f>COUNTIF(Tabel3[Winaar rood],Tabel12[[#This Row],[Team]])</f>
        <v>0</v>
      </c>
      <c r="V150" s="239">
        <f>COUNTIF(Tabel3[Winnaar Groen],Tabel12[[#This Row],[Team]])</f>
        <v>0</v>
      </c>
      <c r="W150" s="223">
        <f>COUNTIF(Tabel3[Winnaars],Tabel12[[#This Row],[Team]])</f>
        <v>0</v>
      </c>
      <c r="X150" s="245">
        <f>Tabel12[[#This Row],[Aantal Games Rood]]-Tabel5[[#This Row],[Wins Rood]]</f>
        <v>0</v>
      </c>
      <c r="Y150" s="244">
        <f>Tabel12[[#This Row],[Aantal Games Groen]]-Tabel5[[#This Row],[Wins Groen]]</f>
        <v>0</v>
      </c>
      <c r="Z150" s="247">
        <f>Tabel12[[#This Row],[Aantal games Alg]]-Tabel5[[#This Row],[Wins Alg]]</f>
        <v>0</v>
      </c>
      <c r="AA150" s="238">
        <f>COUNTIF(Tabel3[Team Rood],Tabel12[[#This Row],[Team]])</f>
        <v>0</v>
      </c>
      <c r="AB150" s="239">
        <f>COUNTIF(Tabel3[Team Groen],Tabel12[[#This Row],[Team]])</f>
        <v>0</v>
      </c>
      <c r="AC150" s="223">
        <f>Tabel12[[#This Row],[Aantal Games Rood]]+Tabel12[[#This Row],[Aantal Games Groen]]</f>
        <v>0</v>
      </c>
    </row>
    <row r="151" spans="15:29" x14ac:dyDescent="0.25">
      <c r="O151" s="251" t="s">
        <v>157</v>
      </c>
      <c r="P151" s="250" t="s">
        <v>159</v>
      </c>
      <c r="Q151" s="234" t="str">
        <f t="shared" si="7"/>
        <v>Tobi*Jonas*</v>
      </c>
      <c r="R151" s="235">
        <f>IF(Tabel12[[#This Row],[Aantal Games Rood]]=0,0,(Tabel12[[#This Row],[Wins Rood]])/Tabel12[[#This Row],[Aantal Games Rood]])</f>
        <v>0</v>
      </c>
      <c r="S151" s="236">
        <f>IF(Tabel12[[#This Row],[Aantal Games Groen]]=0,0,(Tabel12[[#This Row],[Wins Groen]])/Tabel12[[#This Row],[Aantal Games Groen]])</f>
        <v>0</v>
      </c>
      <c r="T151" s="242">
        <f>IF(Tabel12[[#This Row],[Aantal games Alg]]=0,0,(Tabel12[[#This Row],[Wins Alg]])/Tabel12[[#This Row],[Aantal games Alg]])</f>
        <v>0</v>
      </c>
      <c r="U151" s="238">
        <f>COUNTIF(Tabel3[Winaar rood],Tabel12[[#This Row],[Team]])</f>
        <v>0</v>
      </c>
      <c r="V151" s="239">
        <f>COUNTIF(Tabel3[Winnaar Groen],Tabel12[[#This Row],[Team]])</f>
        <v>0</v>
      </c>
      <c r="W151" s="223">
        <f>COUNTIF(Tabel3[Winnaars],Tabel12[[#This Row],[Team]])</f>
        <v>0</v>
      </c>
      <c r="X151" s="240">
        <f>Tabel12[[#This Row],[Aantal Games Rood]]-Tabel5[[#This Row],[Wins Rood]]</f>
        <v>1</v>
      </c>
      <c r="Y151" s="239">
        <f>Tabel12[[#This Row],[Aantal Games Groen]]-Tabel5[[#This Row],[Wins Groen]]</f>
        <v>0</v>
      </c>
      <c r="Z151" s="243">
        <f>Tabel12[[#This Row],[Aantal games Alg]]-Tabel5[[#This Row],[Wins Alg]]</f>
        <v>1</v>
      </c>
      <c r="AA151" s="238">
        <f>COUNTIF(Tabel3[Team Rood],Tabel12[[#This Row],[Team]])</f>
        <v>1</v>
      </c>
      <c r="AB151" s="239">
        <f>COUNTIF(Tabel3[Team Groen],Tabel12[[#This Row],[Team]])</f>
        <v>0</v>
      </c>
      <c r="AC151" s="223">
        <f>Tabel12[[#This Row],[Aantal Games Rood]]+Tabel12[[#This Row],[Aantal Games Groen]]</f>
        <v>1</v>
      </c>
    </row>
    <row r="152" spans="15:29" x14ac:dyDescent="0.25">
      <c r="O152" s="251" t="s">
        <v>157</v>
      </c>
      <c r="P152" s="250" t="s">
        <v>67</v>
      </c>
      <c r="Q152" s="234" t="str">
        <f t="shared" si="7"/>
        <v>Tobi*Lawrence</v>
      </c>
      <c r="R152" s="235">
        <f>IF(Tabel12[[#This Row],[Aantal Games Rood]]=0,0,(Tabel12[[#This Row],[Wins Rood]])/Tabel12[[#This Row],[Aantal Games Rood]])</f>
        <v>0</v>
      </c>
      <c r="S152" s="236">
        <f>IF(Tabel12[[#This Row],[Aantal Games Groen]]=0,0,(Tabel12[[#This Row],[Wins Groen]])/Tabel12[[#This Row],[Aantal Games Groen]])</f>
        <v>0</v>
      </c>
      <c r="T152" s="242">
        <f>IF(Tabel12[[#This Row],[Aantal games Alg]]=0,0,(Tabel12[[#This Row],[Wins Alg]])/Tabel12[[#This Row],[Aantal games Alg]])</f>
        <v>0</v>
      </c>
      <c r="U152" s="238">
        <f>COUNTIF(Tabel3[Winaar rood],Tabel12[[#This Row],[Team]])</f>
        <v>0</v>
      </c>
      <c r="V152" s="239">
        <f>COUNTIF(Tabel3[Winnaar Groen],Tabel12[[#This Row],[Team]])</f>
        <v>0</v>
      </c>
      <c r="W152" s="223">
        <f>COUNTIF(Tabel3[Winnaars],Tabel12[[#This Row],[Team]])</f>
        <v>0</v>
      </c>
      <c r="X152" s="240">
        <f>Tabel12[[#This Row],[Aantal Games Rood]]-Tabel5[[#This Row],[Wins Rood]]</f>
        <v>0</v>
      </c>
      <c r="Y152" s="239">
        <f>Tabel12[[#This Row],[Aantal Games Groen]]-Tabel5[[#This Row],[Wins Groen]]</f>
        <v>0</v>
      </c>
      <c r="Z152" s="243">
        <f>Tabel12[[#This Row],[Aantal games Alg]]-Tabel5[[#This Row],[Wins Alg]]</f>
        <v>0</v>
      </c>
      <c r="AA152" s="238">
        <f>COUNTIF(Tabel3[Team Rood],Tabel12[[#This Row],[Team]])</f>
        <v>0</v>
      </c>
      <c r="AB152" s="239">
        <f>COUNTIF(Tabel3[Team Groen],Tabel12[[#This Row],[Team]])</f>
        <v>0</v>
      </c>
      <c r="AC152" s="223">
        <f>Tabel12[[#This Row],[Aantal Games Rood]]+Tabel12[[#This Row],[Aantal Games Groen]]</f>
        <v>0</v>
      </c>
    </row>
    <row r="153" spans="15:29" x14ac:dyDescent="0.25">
      <c r="O153" s="251" t="s">
        <v>157</v>
      </c>
      <c r="P153" s="250" t="s">
        <v>161</v>
      </c>
      <c r="Q153" s="234" t="str">
        <f t="shared" si="7"/>
        <v>Tobi*Louis*</v>
      </c>
      <c r="R153" s="235">
        <f>IF(Tabel12[[#This Row],[Aantal Games Rood]]=0,0,(Tabel12[[#This Row],[Wins Rood]])/Tabel12[[#This Row],[Aantal Games Rood]])</f>
        <v>0</v>
      </c>
      <c r="S153" s="236">
        <f>IF(Tabel12[[#This Row],[Aantal Games Groen]]=0,0,(Tabel12[[#This Row],[Wins Groen]])/Tabel12[[#This Row],[Aantal Games Groen]])</f>
        <v>0</v>
      </c>
      <c r="T153" s="237">
        <f>IF(Tabel12[[#This Row],[Aantal games Alg]]=0,0,(Tabel12[[#This Row],[Wins Alg]])/Tabel12[[#This Row],[Aantal games Alg]])</f>
        <v>0</v>
      </c>
      <c r="U153" s="238">
        <f>COUNTIF(Tabel3[Winaar rood],Tabel12[[#This Row],[Team]])</f>
        <v>0</v>
      </c>
      <c r="V153" s="239">
        <f>COUNTIF(Tabel3[Winnaar Groen],Tabel12[[#This Row],[Team]])</f>
        <v>0</v>
      </c>
      <c r="W153" s="223">
        <f>COUNTIF(Tabel3[Winnaars],Tabel12[[#This Row],[Team]])</f>
        <v>0</v>
      </c>
      <c r="X153" s="240">
        <f>Tabel12[[#This Row],[Aantal Games Rood]]-Tabel5[[#This Row],[Wins Rood]]</f>
        <v>0</v>
      </c>
      <c r="Y153" s="239">
        <f>Tabel12[[#This Row],[Aantal Games Groen]]-Tabel5[[#This Row],[Wins Groen]]</f>
        <v>0</v>
      </c>
      <c r="Z153" s="241">
        <f>Tabel12[[#This Row],[Aantal games Alg]]-Tabel5[[#This Row],[Wins Alg]]</f>
        <v>0</v>
      </c>
      <c r="AA153" s="238">
        <f>COUNTIF(Tabel3[Team Rood],Tabel12[[#This Row],[Team]])</f>
        <v>0</v>
      </c>
      <c r="AB153" s="239">
        <f>COUNTIF(Tabel3[Team Groen],Tabel12[[#This Row],[Team]])</f>
        <v>0</v>
      </c>
      <c r="AC153" s="223">
        <f>Tabel12[[#This Row],[Aantal Games Rood]]+Tabel12[[#This Row],[Aantal Games Groen]]</f>
        <v>0</v>
      </c>
    </row>
    <row r="154" spans="15:29" x14ac:dyDescent="0.25">
      <c r="O154" s="251" t="s">
        <v>157</v>
      </c>
      <c r="P154" s="250" t="s">
        <v>162</v>
      </c>
      <c r="Q154" s="234" t="str">
        <f t="shared" si="7"/>
        <v>Tobi*Matthijs*</v>
      </c>
      <c r="R154" s="235">
        <f>IF(Tabel12[[#This Row],[Aantal Games Rood]]=0,0,(Tabel12[[#This Row],[Wins Rood]])/Tabel12[[#This Row],[Aantal Games Rood]])</f>
        <v>0</v>
      </c>
      <c r="S154" s="236">
        <f>IF(Tabel12[[#This Row],[Aantal Games Groen]]=0,0,(Tabel12[[#This Row],[Wins Groen]])/Tabel12[[#This Row],[Aantal Games Groen]])</f>
        <v>0</v>
      </c>
      <c r="T154" s="237">
        <f>IF(Tabel12[[#This Row],[Aantal games Alg]]=0,0,(Tabel12[[#This Row],[Wins Alg]])/Tabel12[[#This Row],[Aantal games Alg]])</f>
        <v>0</v>
      </c>
      <c r="U154" s="238">
        <f>COUNTIF(Tabel3[Winaar rood],Tabel12[[#This Row],[Team]])</f>
        <v>0</v>
      </c>
      <c r="V154" s="239">
        <f>COUNTIF(Tabel3[Winnaar Groen],Tabel12[[#This Row],[Team]])</f>
        <v>0</v>
      </c>
      <c r="W154" s="223">
        <f>COUNTIF(Tabel3[Winnaars],Tabel12[[#This Row],[Team]])</f>
        <v>0</v>
      </c>
      <c r="X154" s="240">
        <f>Tabel12[[#This Row],[Aantal Games Rood]]-Tabel5[[#This Row],[Wins Rood]]</f>
        <v>0</v>
      </c>
      <c r="Y154" s="239">
        <f>Tabel12[[#This Row],[Aantal Games Groen]]-Tabel5[[#This Row],[Wins Groen]]</f>
        <v>0</v>
      </c>
      <c r="Z154" s="241">
        <f>Tabel12[[#This Row],[Aantal games Alg]]-Tabel5[[#This Row],[Wins Alg]]</f>
        <v>0</v>
      </c>
      <c r="AA154" s="238">
        <f>COUNTIF(Tabel3[Team Rood],Tabel12[[#This Row],[Team]])</f>
        <v>0</v>
      </c>
      <c r="AB154" s="239">
        <f>COUNTIF(Tabel3[Team Groen],Tabel12[[#This Row],[Team]])</f>
        <v>0</v>
      </c>
      <c r="AC154" s="223">
        <f>Tabel12[[#This Row],[Aantal Games Rood]]+Tabel12[[#This Row],[Aantal Games Groen]]</f>
        <v>0</v>
      </c>
    </row>
    <row r="155" spans="15:29" x14ac:dyDescent="0.25">
      <c r="O155" s="251" t="s">
        <v>157</v>
      </c>
      <c r="P155" s="250" t="s">
        <v>170</v>
      </c>
      <c r="Q155" s="234" t="str">
        <f t="shared" si="7"/>
        <v>Tobi*Nico*</v>
      </c>
      <c r="R155" s="235">
        <f>IF(Tabel12[[#This Row],[Aantal Games Rood]]=0,0,(Tabel12[[#This Row],[Wins Rood]])/Tabel12[[#This Row],[Aantal Games Rood]])</f>
        <v>0</v>
      </c>
      <c r="S155" s="236">
        <f>IF(Tabel12[[#This Row],[Aantal Games Groen]]=0,0,(Tabel12[[#This Row],[Wins Groen]])/Tabel12[[#This Row],[Aantal Games Groen]])</f>
        <v>0</v>
      </c>
      <c r="T155" s="242">
        <f>IF(Tabel12[[#This Row],[Aantal games Alg]]=0,0,(Tabel12[[#This Row],[Wins Alg]])/Tabel12[[#This Row],[Aantal games Alg]])</f>
        <v>0</v>
      </c>
      <c r="U155" s="238">
        <f>COUNTIF(Tabel3[Winaar rood],Tabel12[[#This Row],[Team]])</f>
        <v>0</v>
      </c>
      <c r="V155" s="239">
        <f>COUNTIF(Tabel3[Winnaar Groen],Tabel12[[#This Row],[Team]])</f>
        <v>0</v>
      </c>
      <c r="W155" s="223">
        <f>COUNTIF(Tabel3[Winnaars],Tabel12[[#This Row],[Team]])</f>
        <v>0</v>
      </c>
      <c r="X155" s="240">
        <f>Tabel12[[#This Row],[Aantal Games Rood]]-Tabel5[[#This Row],[Wins Rood]]</f>
        <v>1</v>
      </c>
      <c r="Y155" s="239">
        <f>Tabel12[[#This Row],[Aantal Games Groen]]-Tabel5[[#This Row],[Wins Groen]]</f>
        <v>0</v>
      </c>
      <c r="Z155" s="243">
        <f>Tabel12[[#This Row],[Aantal games Alg]]-Tabel5[[#This Row],[Wins Alg]]</f>
        <v>1</v>
      </c>
      <c r="AA155" s="238">
        <f>COUNTIF(Tabel3[Team Rood],Tabel12[[#This Row],[Team]])</f>
        <v>1</v>
      </c>
      <c r="AB155" s="239">
        <f>COUNTIF(Tabel3[Team Groen],Tabel12[[#This Row],[Team]])</f>
        <v>0</v>
      </c>
      <c r="AC155" s="223">
        <f>Tabel12[[#This Row],[Aantal Games Rood]]+Tabel12[[#This Row],[Aantal Games Groen]]</f>
        <v>1</v>
      </c>
    </row>
    <row r="156" spans="15:29" x14ac:dyDescent="0.25">
      <c r="O156" s="251" t="s">
        <v>157</v>
      </c>
      <c r="P156" s="250" t="s">
        <v>166</v>
      </c>
      <c r="Q156" s="234" t="str">
        <f t="shared" si="7"/>
        <v>Tobi*Stijn*</v>
      </c>
      <c r="R156" s="235">
        <f>IF(Tabel12[[#This Row],[Aantal Games Rood]]=0,0,(Tabel12[[#This Row],[Wins Rood]])/Tabel12[[#This Row],[Aantal Games Rood]])</f>
        <v>0</v>
      </c>
      <c r="S156" s="236">
        <f>IF(Tabel12[[#This Row],[Aantal Games Groen]]=0,0,(Tabel12[[#This Row],[Wins Groen]])/Tabel12[[#This Row],[Aantal Games Groen]])</f>
        <v>0</v>
      </c>
      <c r="T156" s="237">
        <f>IF(Tabel12[[#This Row],[Aantal games Alg]]=0,0,(Tabel12[[#This Row],[Wins Alg]])/Tabel12[[#This Row],[Aantal games Alg]])</f>
        <v>0</v>
      </c>
      <c r="U156" s="238">
        <f>COUNTIF(Tabel3[Winaar rood],Tabel12[[#This Row],[Team]])</f>
        <v>0</v>
      </c>
      <c r="V156" s="239">
        <f>COUNTIF(Tabel3[Winnaar Groen],Tabel12[[#This Row],[Team]])</f>
        <v>0</v>
      </c>
      <c r="W156" s="223">
        <f>COUNTIF(Tabel3[Winnaars],Tabel12[[#This Row],[Team]])</f>
        <v>0</v>
      </c>
      <c r="X156" s="240">
        <f>Tabel12[[#This Row],[Aantal Games Rood]]-Tabel5[[#This Row],[Wins Rood]]</f>
        <v>1</v>
      </c>
      <c r="Y156" s="239">
        <f>Tabel12[[#This Row],[Aantal Games Groen]]-Tabel5[[#This Row],[Wins Groen]]</f>
        <v>0</v>
      </c>
      <c r="Z156" s="241">
        <f>Tabel12[[#This Row],[Aantal games Alg]]-Tabel5[[#This Row],[Wins Alg]]</f>
        <v>1</v>
      </c>
      <c r="AA156" s="238">
        <f>COUNTIF(Tabel3[Team Rood],Tabel12[[#This Row],[Team]])</f>
        <v>1</v>
      </c>
      <c r="AB156" s="239">
        <f>COUNTIF(Tabel3[Team Groen],Tabel12[[#This Row],[Team]])</f>
        <v>0</v>
      </c>
      <c r="AC156" s="223">
        <f>Tabel12[[#This Row],[Aantal Games Rood]]+Tabel12[[#This Row],[Aantal Games Groen]]</f>
        <v>1</v>
      </c>
    </row>
    <row r="157" spans="15:29" x14ac:dyDescent="0.25">
      <c r="O157" s="258" t="s">
        <v>157</v>
      </c>
      <c r="P157" s="258" t="s">
        <v>160</v>
      </c>
      <c r="Q157" s="259" t="str">
        <f t="shared" si="7"/>
        <v>Tobi*Tiemen*</v>
      </c>
      <c r="R157" s="260">
        <f>IF(Tabel12[[#This Row],[Aantal Games Rood]]=0,0,(Tabel12[[#This Row],[Wins Rood]])/Tabel12[[#This Row],[Aantal Games Rood]])</f>
        <v>0</v>
      </c>
      <c r="S157" s="261">
        <f>IF(Tabel12[[#This Row],[Aantal Games Groen]]=0,0,(Tabel12[[#This Row],[Wins Groen]])/Tabel12[[#This Row],[Aantal Games Groen]])</f>
        <v>0</v>
      </c>
      <c r="T157" s="262">
        <f>IF(Tabel12[[#This Row],[Aantal games Alg]]=0,0,(Tabel12[[#This Row],[Wins Alg]])/Tabel12[[#This Row],[Aantal games Alg]])</f>
        <v>0</v>
      </c>
      <c r="U157" s="238">
        <f>COUNTIF(Tabel3[Winaar rood],Tabel12[[#This Row],[Team]])</f>
        <v>0</v>
      </c>
      <c r="V157" s="239">
        <f>COUNTIF(Tabel3[Winnaar Groen],Tabel12[[#This Row],[Team]])</f>
        <v>0</v>
      </c>
      <c r="W157" s="223">
        <f>COUNTIF(Tabel3[Winnaars],Tabel12[[#This Row],[Team]])</f>
        <v>0</v>
      </c>
      <c r="X157" s="309">
        <f>Tabel12[[#This Row],[Aantal Games Rood]]-Tabel5[[#This Row],[Wins Rood]]</f>
        <v>0</v>
      </c>
      <c r="Y157" s="310">
        <f>Tabel12[[#This Row],[Aantal Games Groen]]-Tabel5[[#This Row],[Wins Groen]]</f>
        <v>1</v>
      </c>
      <c r="Z157" s="311">
        <f>Tabel12[[#This Row],[Aantal games Alg]]-Tabel5[[#This Row],[Wins Alg]]</f>
        <v>1</v>
      </c>
      <c r="AA157" s="238">
        <f>COUNTIF(Tabel3[Team Rood],Tabel12[[#This Row],[Team]])</f>
        <v>0</v>
      </c>
      <c r="AB157" s="239">
        <f>COUNTIF(Tabel3[Team Groen],Tabel12[[#This Row],[Team]])</f>
        <v>1</v>
      </c>
      <c r="AC157" s="223">
        <f>Tabel12[[#This Row],[Aantal Games Rood]]+Tabel12[[#This Row],[Aantal Games Groen]]</f>
        <v>1</v>
      </c>
    </row>
  </sheetData>
  <phoneticPr fontId="14" type="noConversion"/>
  <conditionalFormatting sqref="I2:I13">
    <cfRule type="dataBar" priority="4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{E13E34E8-33C0-4A1A-8B6D-D94EBEA9C9F4}</x14:id>
        </ext>
      </extLst>
    </cfRule>
  </conditionalFormatting>
  <conditionalFormatting sqref="L2:L14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{3F766393-8792-4468-A243-3BD2F4BA3D30}</x14:id>
        </ext>
      </extLst>
    </cfRule>
  </conditionalFormatting>
  <conditionalFormatting sqref="M2:M14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{2FC9E588-4850-45F5-A4BD-FA80566AA3B3}</x14:id>
        </ext>
      </extLst>
    </cfRule>
  </conditionalFormatting>
  <conditionalFormatting sqref="I2:I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{79851357-7F9E-4864-BAF7-3DE0BD649337}</x14:id>
        </ext>
      </extLst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13E34E8-33C0-4A1A-8B6D-D94EBEA9C9F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I2:I13</xm:sqref>
        </x14:conditionalFormatting>
        <x14:conditionalFormatting xmlns:xm="http://schemas.microsoft.com/office/excel/2006/main">
          <x14:cfRule type="dataBar" id="{3F766393-8792-4468-A243-3BD2F4BA3D3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L2:L14</xm:sqref>
        </x14:conditionalFormatting>
        <x14:conditionalFormatting xmlns:xm="http://schemas.microsoft.com/office/excel/2006/main">
          <x14:cfRule type="dataBar" id="{2FC9E588-4850-45F5-A4BD-FA80566AA3B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M2:M14</xm:sqref>
        </x14:conditionalFormatting>
        <x14:conditionalFormatting xmlns:xm="http://schemas.microsoft.com/office/excel/2006/main">
          <x14:cfRule type="dataBar" id="{79851357-7F9E-4864-BAF7-3DE0BD6493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I2:I14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J343"/>
  <sheetViews>
    <sheetView topLeftCell="A238" workbookViewId="0">
      <selection activeCell="E260" sqref="E260"/>
    </sheetView>
  </sheetViews>
  <sheetFormatPr defaultRowHeight="15" x14ac:dyDescent="0.25"/>
  <cols>
    <col min="1" max="1" width="11" customWidth="1"/>
    <col min="2" max="2" width="19" customWidth="1"/>
    <col min="3" max="3" width="15.140625" bestFit="1" customWidth="1"/>
    <col min="4" max="4" width="20" customWidth="1"/>
    <col min="5" max="5" width="15.140625" customWidth="1"/>
    <col min="6" max="6" width="13" customWidth="1"/>
    <col min="7" max="7" width="14" customWidth="1"/>
    <col min="8" max="8" width="15.42578125" customWidth="1"/>
    <col min="9" max="10" width="12.140625" customWidth="1"/>
  </cols>
  <sheetData>
    <row r="1" spans="1:10" x14ac:dyDescent="0.25">
      <c r="A1" s="8" t="s">
        <v>24</v>
      </c>
      <c r="B1" s="9" t="s">
        <v>25</v>
      </c>
      <c r="C1" s="9" t="s">
        <v>26</v>
      </c>
      <c r="D1" s="10" t="s">
        <v>27</v>
      </c>
      <c r="E1" s="10" t="s">
        <v>1</v>
      </c>
      <c r="F1" s="11" t="s">
        <v>28</v>
      </c>
      <c r="G1" s="12" t="s">
        <v>29</v>
      </c>
      <c r="H1" s="13" t="s">
        <v>30</v>
      </c>
      <c r="I1" s="13" t="s">
        <v>31</v>
      </c>
      <c r="J1" s="13" t="s">
        <v>32</v>
      </c>
    </row>
    <row r="2" spans="1:10" x14ac:dyDescent="0.25">
      <c r="A2" s="14">
        <v>1</v>
      </c>
      <c r="B2" s="15" t="s">
        <v>6</v>
      </c>
      <c r="C2" s="16" t="s">
        <v>7</v>
      </c>
      <c r="D2" s="17" t="s">
        <v>0</v>
      </c>
      <c r="E2" s="18" t="s">
        <v>3</v>
      </c>
      <c r="F2" s="1">
        <v>6</v>
      </c>
      <c r="G2" s="2">
        <v>11</v>
      </c>
      <c r="H2" s="3" t="str">
        <f t="shared" ref="H2:H65" si="0">IF(F2&gt;G2,"ROOD",IF(F2=G2,"","GROEN"))</f>
        <v>GROEN</v>
      </c>
      <c r="I2" s="3" t="str">
        <f t="shared" ref="I2:I65" si="1">IF(F2&gt;G2,B2,IF(F2=0,"",D2))</f>
        <v>Jonas</v>
      </c>
      <c r="J2" s="4" t="str">
        <f t="shared" ref="J2:J65" si="2">IF(F2&gt;G2,C2,IF(F2=0,"",E2))</f>
        <v>Karel</v>
      </c>
    </row>
    <row r="3" spans="1:10" x14ac:dyDescent="0.25">
      <c r="A3" s="14">
        <v>2</v>
      </c>
      <c r="B3" s="15" t="s">
        <v>8</v>
      </c>
      <c r="C3" s="16" t="s">
        <v>6</v>
      </c>
      <c r="D3" s="17" t="s">
        <v>0</v>
      </c>
      <c r="E3" s="18" t="s">
        <v>7</v>
      </c>
      <c r="F3" s="1">
        <v>7</v>
      </c>
      <c r="G3" s="2">
        <v>11</v>
      </c>
      <c r="H3" s="3" t="str">
        <f t="shared" si="0"/>
        <v>GROEN</v>
      </c>
      <c r="I3" s="3" t="str">
        <f t="shared" si="1"/>
        <v>Jonas</v>
      </c>
      <c r="J3" s="4" t="str">
        <f t="shared" si="2"/>
        <v>Tiemen</v>
      </c>
    </row>
    <row r="4" spans="1:10" x14ac:dyDescent="0.25">
      <c r="A4" s="14">
        <v>3</v>
      </c>
      <c r="B4" s="15" t="s">
        <v>0</v>
      </c>
      <c r="C4" s="16" t="s">
        <v>3</v>
      </c>
      <c r="D4" s="17" t="s">
        <v>8</v>
      </c>
      <c r="E4" s="18" t="s">
        <v>7</v>
      </c>
      <c r="F4" s="1">
        <v>9</v>
      </c>
      <c r="G4" s="2">
        <v>11</v>
      </c>
      <c r="H4" s="3" t="str">
        <f t="shared" si="0"/>
        <v>GROEN</v>
      </c>
      <c r="I4" s="3" t="str">
        <f t="shared" si="1"/>
        <v>Louis</v>
      </c>
      <c r="J4" s="4" t="str">
        <f t="shared" si="2"/>
        <v>Tiemen</v>
      </c>
    </row>
    <row r="5" spans="1:10" x14ac:dyDescent="0.25">
      <c r="A5" s="14">
        <v>4</v>
      </c>
      <c r="B5" s="15" t="s">
        <v>0</v>
      </c>
      <c r="C5" s="16" t="s">
        <v>7</v>
      </c>
      <c r="D5" s="17" t="s">
        <v>9</v>
      </c>
      <c r="E5" s="18" t="s">
        <v>6</v>
      </c>
      <c r="F5" s="1">
        <v>6</v>
      </c>
      <c r="G5" s="2">
        <v>11</v>
      </c>
      <c r="H5" s="3" t="str">
        <f t="shared" si="0"/>
        <v>GROEN</v>
      </c>
      <c r="I5" s="3" t="str">
        <f t="shared" si="1"/>
        <v>Stan</v>
      </c>
      <c r="J5" s="4" t="str">
        <f t="shared" si="2"/>
        <v>Stef D</v>
      </c>
    </row>
    <row r="6" spans="1:10" x14ac:dyDescent="0.25">
      <c r="A6" s="14">
        <v>5</v>
      </c>
      <c r="B6" s="15" t="s">
        <v>10</v>
      </c>
      <c r="C6" s="16" t="s">
        <v>6</v>
      </c>
      <c r="D6" s="17" t="s">
        <v>8</v>
      </c>
      <c r="E6" s="18" t="s">
        <v>3</v>
      </c>
      <c r="F6" s="1">
        <v>5</v>
      </c>
      <c r="G6" s="2">
        <v>11</v>
      </c>
      <c r="H6" s="3" t="str">
        <f t="shared" si="0"/>
        <v>GROEN</v>
      </c>
      <c r="I6" s="3" t="str">
        <f t="shared" si="1"/>
        <v>Louis</v>
      </c>
      <c r="J6" s="4" t="str">
        <f t="shared" si="2"/>
        <v>Karel</v>
      </c>
    </row>
    <row r="7" spans="1:10" x14ac:dyDescent="0.25">
      <c r="A7" s="14">
        <v>6</v>
      </c>
      <c r="B7" s="15" t="s">
        <v>3</v>
      </c>
      <c r="C7" s="16" t="s">
        <v>6</v>
      </c>
      <c r="D7" s="17" t="s">
        <v>0</v>
      </c>
      <c r="E7" s="18" t="s">
        <v>7</v>
      </c>
      <c r="F7" s="1">
        <v>11</v>
      </c>
      <c r="G7" s="2">
        <v>13</v>
      </c>
      <c r="H7" s="3" t="str">
        <f t="shared" si="0"/>
        <v>GROEN</v>
      </c>
      <c r="I7" s="3" t="str">
        <f t="shared" si="1"/>
        <v>Jonas</v>
      </c>
      <c r="J7" s="4" t="str">
        <f t="shared" si="2"/>
        <v>Tiemen</v>
      </c>
    </row>
    <row r="8" spans="1:10" x14ac:dyDescent="0.25">
      <c r="A8" s="14">
        <v>7</v>
      </c>
      <c r="B8" s="15" t="s">
        <v>8</v>
      </c>
      <c r="C8" s="16" t="s">
        <v>3</v>
      </c>
      <c r="D8" s="17" t="s">
        <v>0</v>
      </c>
      <c r="E8" s="18" t="s">
        <v>7</v>
      </c>
      <c r="F8" s="1">
        <v>5</v>
      </c>
      <c r="G8" s="2">
        <v>11</v>
      </c>
      <c r="H8" s="3" t="str">
        <f t="shared" si="0"/>
        <v>GROEN</v>
      </c>
      <c r="I8" s="3" t="str">
        <f t="shared" si="1"/>
        <v>Jonas</v>
      </c>
      <c r="J8" s="4" t="str">
        <f t="shared" si="2"/>
        <v>Tiemen</v>
      </c>
    </row>
    <row r="9" spans="1:10" x14ac:dyDescent="0.25">
      <c r="A9" s="14">
        <v>8</v>
      </c>
      <c r="B9" s="15" t="s">
        <v>3</v>
      </c>
      <c r="C9" s="16" t="s">
        <v>6</v>
      </c>
      <c r="D9" s="17" t="s">
        <v>10</v>
      </c>
      <c r="E9" s="18" t="s">
        <v>9</v>
      </c>
      <c r="F9" s="1">
        <v>11</v>
      </c>
      <c r="G9" s="2">
        <v>9</v>
      </c>
      <c r="H9" s="3" t="str">
        <f t="shared" si="0"/>
        <v>ROOD</v>
      </c>
      <c r="I9" s="3" t="str">
        <f t="shared" si="1"/>
        <v>Karel</v>
      </c>
      <c r="J9" s="4" t="str">
        <f t="shared" si="2"/>
        <v>Stef D</v>
      </c>
    </row>
    <row r="10" spans="1:10" x14ac:dyDescent="0.25">
      <c r="A10" s="14">
        <v>9</v>
      </c>
      <c r="B10" s="15" t="s">
        <v>0</v>
      </c>
      <c r="C10" s="16" t="s">
        <v>6</v>
      </c>
      <c r="D10" s="17" t="s">
        <v>8</v>
      </c>
      <c r="E10" s="18" t="s">
        <v>7</v>
      </c>
      <c r="F10" s="1">
        <v>11</v>
      </c>
      <c r="G10" s="2">
        <v>5</v>
      </c>
      <c r="H10" s="3" t="str">
        <f t="shared" si="0"/>
        <v>ROOD</v>
      </c>
      <c r="I10" s="3" t="str">
        <f t="shared" si="1"/>
        <v>Jonas</v>
      </c>
      <c r="J10" s="4" t="str">
        <f t="shared" si="2"/>
        <v>Stef D</v>
      </c>
    </row>
    <row r="11" spans="1:10" x14ac:dyDescent="0.25">
      <c r="A11" s="14">
        <v>10</v>
      </c>
      <c r="B11" s="15" t="s">
        <v>11</v>
      </c>
      <c r="C11" s="16" t="s">
        <v>3</v>
      </c>
      <c r="D11" s="17" t="s">
        <v>8</v>
      </c>
      <c r="E11" s="18" t="s">
        <v>7</v>
      </c>
      <c r="F11" s="1">
        <v>7</v>
      </c>
      <c r="G11" s="2">
        <v>11</v>
      </c>
      <c r="H11" s="3" t="str">
        <f t="shared" si="0"/>
        <v>GROEN</v>
      </c>
      <c r="I11" s="3" t="str">
        <f t="shared" si="1"/>
        <v>Louis</v>
      </c>
      <c r="J11" s="4" t="str">
        <f t="shared" si="2"/>
        <v>Tiemen</v>
      </c>
    </row>
    <row r="12" spans="1:10" x14ac:dyDescent="0.25">
      <c r="A12" s="14">
        <v>11</v>
      </c>
      <c r="B12" s="15" t="s">
        <v>6</v>
      </c>
      <c r="C12" s="16" t="s">
        <v>0</v>
      </c>
      <c r="D12" s="17" t="s">
        <v>3</v>
      </c>
      <c r="E12" s="18" t="s">
        <v>8</v>
      </c>
      <c r="F12" s="1">
        <v>11</v>
      </c>
      <c r="G12" s="2">
        <v>7</v>
      </c>
      <c r="H12" s="3" t="str">
        <f t="shared" si="0"/>
        <v>ROOD</v>
      </c>
      <c r="I12" s="3" t="str">
        <f t="shared" si="1"/>
        <v>Stef D</v>
      </c>
      <c r="J12" s="4" t="str">
        <f t="shared" si="2"/>
        <v>Jonas</v>
      </c>
    </row>
    <row r="13" spans="1:10" x14ac:dyDescent="0.25">
      <c r="A13" s="14">
        <v>12</v>
      </c>
      <c r="B13" s="15" t="s">
        <v>3</v>
      </c>
      <c r="C13" s="16" t="s">
        <v>7</v>
      </c>
      <c r="D13" s="17" t="s">
        <v>0</v>
      </c>
      <c r="E13" s="18" t="s">
        <v>11</v>
      </c>
      <c r="F13" s="1">
        <v>11</v>
      </c>
      <c r="G13" s="2">
        <v>9</v>
      </c>
      <c r="H13" s="3" t="str">
        <f t="shared" si="0"/>
        <v>ROOD</v>
      </c>
      <c r="I13" s="3" t="str">
        <f t="shared" si="1"/>
        <v>Karel</v>
      </c>
      <c r="J13" s="4" t="str">
        <f t="shared" si="2"/>
        <v>Tiemen</v>
      </c>
    </row>
    <row r="14" spans="1:10" x14ac:dyDescent="0.25">
      <c r="A14" s="14">
        <v>13</v>
      </c>
      <c r="B14" s="15" t="s">
        <v>11</v>
      </c>
      <c r="C14" s="16" t="s">
        <v>3</v>
      </c>
      <c r="D14" s="17" t="s">
        <v>6</v>
      </c>
      <c r="E14" s="18" t="s">
        <v>8</v>
      </c>
      <c r="F14" s="1">
        <v>3</v>
      </c>
      <c r="G14" s="2">
        <v>11</v>
      </c>
      <c r="H14" s="3" t="str">
        <f t="shared" si="0"/>
        <v>GROEN</v>
      </c>
      <c r="I14" s="3" t="str">
        <f t="shared" si="1"/>
        <v>Stef D</v>
      </c>
      <c r="J14" s="4" t="str">
        <f t="shared" si="2"/>
        <v>Louis</v>
      </c>
    </row>
    <row r="15" spans="1:10" x14ac:dyDescent="0.25">
      <c r="A15" s="14">
        <v>14</v>
      </c>
      <c r="B15" s="15" t="s">
        <v>8</v>
      </c>
      <c r="C15" s="16" t="s">
        <v>11</v>
      </c>
      <c r="D15" s="17" t="s">
        <v>6</v>
      </c>
      <c r="E15" s="18" t="s">
        <v>7</v>
      </c>
      <c r="F15" s="1">
        <v>12</v>
      </c>
      <c r="G15" s="2">
        <v>10</v>
      </c>
      <c r="H15" s="3" t="str">
        <f t="shared" si="0"/>
        <v>ROOD</v>
      </c>
      <c r="I15" s="3" t="str">
        <f t="shared" si="1"/>
        <v>Louis</v>
      </c>
      <c r="J15" s="4" t="str">
        <f t="shared" si="2"/>
        <v>Matthijs</v>
      </c>
    </row>
    <row r="16" spans="1:10" x14ac:dyDescent="0.25">
      <c r="A16" s="14">
        <v>15</v>
      </c>
      <c r="B16" s="15" t="s">
        <v>0</v>
      </c>
      <c r="C16" s="16" t="s">
        <v>7</v>
      </c>
      <c r="D16" s="17" t="s">
        <v>3</v>
      </c>
      <c r="E16" s="18" t="s">
        <v>6</v>
      </c>
      <c r="F16" s="1">
        <v>9</v>
      </c>
      <c r="G16" s="2">
        <v>11</v>
      </c>
      <c r="H16" s="3" t="str">
        <f t="shared" si="0"/>
        <v>GROEN</v>
      </c>
      <c r="I16" s="3" t="str">
        <f t="shared" si="1"/>
        <v>Karel</v>
      </c>
      <c r="J16" s="4" t="str">
        <f t="shared" si="2"/>
        <v>Stef D</v>
      </c>
    </row>
    <row r="17" spans="1:10" x14ac:dyDescent="0.25">
      <c r="A17" s="14">
        <v>16</v>
      </c>
      <c r="B17" s="15" t="s">
        <v>6</v>
      </c>
      <c r="C17" s="16" t="s">
        <v>8</v>
      </c>
      <c r="D17" s="17" t="s">
        <v>0</v>
      </c>
      <c r="E17" s="18" t="s">
        <v>11</v>
      </c>
      <c r="F17" s="1">
        <v>11</v>
      </c>
      <c r="G17" s="2">
        <v>9</v>
      </c>
      <c r="H17" s="3" t="str">
        <f t="shared" si="0"/>
        <v>ROOD</v>
      </c>
      <c r="I17" s="3" t="str">
        <f t="shared" si="1"/>
        <v>Stef D</v>
      </c>
      <c r="J17" s="4" t="str">
        <f t="shared" si="2"/>
        <v>Louis</v>
      </c>
    </row>
    <row r="18" spans="1:10" x14ac:dyDescent="0.25">
      <c r="A18" s="14">
        <v>17</v>
      </c>
      <c r="B18" s="15" t="s">
        <v>8</v>
      </c>
      <c r="C18" s="16" t="s">
        <v>3</v>
      </c>
      <c r="D18" s="17" t="s">
        <v>11</v>
      </c>
      <c r="E18" s="18" t="s">
        <v>6</v>
      </c>
      <c r="F18" s="1">
        <v>5</v>
      </c>
      <c r="G18" s="2">
        <v>11</v>
      </c>
      <c r="H18" s="3" t="str">
        <f t="shared" si="0"/>
        <v>GROEN</v>
      </c>
      <c r="I18" s="3" t="str">
        <f t="shared" si="1"/>
        <v>Matthijs</v>
      </c>
      <c r="J18" s="4" t="str">
        <f t="shared" si="2"/>
        <v>Stef D</v>
      </c>
    </row>
    <row r="19" spans="1:10" x14ac:dyDescent="0.25">
      <c r="A19" s="14">
        <v>18</v>
      </c>
      <c r="B19" s="15" t="s">
        <v>6</v>
      </c>
      <c r="C19" s="16" t="s">
        <v>11</v>
      </c>
      <c r="D19" s="17" t="s">
        <v>3</v>
      </c>
      <c r="E19" s="18" t="s">
        <v>7</v>
      </c>
      <c r="F19" s="1">
        <v>9</v>
      </c>
      <c r="G19" s="2">
        <v>11</v>
      </c>
      <c r="H19" s="3" t="str">
        <f t="shared" si="0"/>
        <v>GROEN</v>
      </c>
      <c r="I19" s="3" t="str">
        <f t="shared" si="1"/>
        <v>Karel</v>
      </c>
      <c r="J19" s="4" t="str">
        <f t="shared" si="2"/>
        <v>Tiemen</v>
      </c>
    </row>
    <row r="20" spans="1:10" x14ac:dyDescent="0.25">
      <c r="A20" s="14">
        <v>19</v>
      </c>
      <c r="B20" s="15" t="s">
        <v>3</v>
      </c>
      <c r="C20" s="16" t="s">
        <v>6</v>
      </c>
      <c r="D20" s="17" t="s">
        <v>11</v>
      </c>
      <c r="E20" s="18" t="s">
        <v>7</v>
      </c>
      <c r="F20" s="1">
        <v>11</v>
      </c>
      <c r="G20" s="2">
        <v>6</v>
      </c>
      <c r="H20" s="3" t="str">
        <f t="shared" si="0"/>
        <v>ROOD</v>
      </c>
      <c r="I20" s="3" t="str">
        <f t="shared" si="1"/>
        <v>Karel</v>
      </c>
      <c r="J20" s="4" t="str">
        <f t="shared" si="2"/>
        <v>Stef D</v>
      </c>
    </row>
    <row r="21" spans="1:10" x14ac:dyDescent="0.25">
      <c r="A21" s="14">
        <v>20</v>
      </c>
      <c r="B21" s="15" t="s">
        <v>11</v>
      </c>
      <c r="C21" s="16" t="s">
        <v>3</v>
      </c>
      <c r="D21" s="17" t="s">
        <v>6</v>
      </c>
      <c r="E21" s="18" t="s">
        <v>7</v>
      </c>
      <c r="F21" s="1">
        <v>13</v>
      </c>
      <c r="G21" s="2">
        <v>11</v>
      </c>
      <c r="H21" s="3" t="str">
        <f t="shared" si="0"/>
        <v>ROOD</v>
      </c>
      <c r="I21" s="3" t="str">
        <f t="shared" si="1"/>
        <v>Matthijs</v>
      </c>
      <c r="J21" s="4" t="str">
        <f t="shared" si="2"/>
        <v>Karel</v>
      </c>
    </row>
    <row r="22" spans="1:10" x14ac:dyDescent="0.25">
      <c r="A22" s="14">
        <v>21</v>
      </c>
      <c r="B22" s="15" t="s">
        <v>3</v>
      </c>
      <c r="C22" s="16" t="s">
        <v>6</v>
      </c>
      <c r="D22" s="17" t="s">
        <v>7</v>
      </c>
      <c r="E22" s="18" t="s">
        <v>11</v>
      </c>
      <c r="F22" s="1">
        <v>11</v>
      </c>
      <c r="G22" s="2">
        <v>4</v>
      </c>
      <c r="H22" s="3" t="str">
        <f t="shared" si="0"/>
        <v>ROOD</v>
      </c>
      <c r="I22" s="3" t="str">
        <f t="shared" si="1"/>
        <v>Karel</v>
      </c>
      <c r="J22" s="4" t="str">
        <f t="shared" si="2"/>
        <v>Stef D</v>
      </c>
    </row>
    <row r="23" spans="1:10" x14ac:dyDescent="0.25">
      <c r="A23" s="14">
        <v>22</v>
      </c>
      <c r="B23" s="15" t="s">
        <v>11</v>
      </c>
      <c r="C23" s="16" t="s">
        <v>6</v>
      </c>
      <c r="D23" s="17" t="s">
        <v>3</v>
      </c>
      <c r="E23" s="18" t="s">
        <v>7</v>
      </c>
      <c r="F23" s="1">
        <v>8</v>
      </c>
      <c r="G23" s="2">
        <v>11</v>
      </c>
      <c r="H23" s="3" t="str">
        <f t="shared" si="0"/>
        <v>GROEN</v>
      </c>
      <c r="I23" s="3" t="str">
        <f t="shared" si="1"/>
        <v>Karel</v>
      </c>
      <c r="J23" s="4" t="str">
        <f t="shared" si="2"/>
        <v>Tiemen</v>
      </c>
    </row>
    <row r="24" spans="1:10" x14ac:dyDescent="0.25">
      <c r="A24" s="14">
        <v>23</v>
      </c>
      <c r="B24" s="15" t="s">
        <v>3</v>
      </c>
      <c r="C24" s="16" t="s">
        <v>11</v>
      </c>
      <c r="D24" s="17" t="s">
        <v>7</v>
      </c>
      <c r="E24" s="18" t="s">
        <v>6</v>
      </c>
      <c r="F24" s="1">
        <v>7</v>
      </c>
      <c r="G24" s="2">
        <v>11</v>
      </c>
      <c r="H24" s="3" t="str">
        <f t="shared" si="0"/>
        <v>GROEN</v>
      </c>
      <c r="I24" s="3" t="str">
        <f t="shared" si="1"/>
        <v>Tiemen</v>
      </c>
      <c r="J24" s="4" t="str">
        <f t="shared" si="2"/>
        <v>Stef D</v>
      </c>
    </row>
    <row r="25" spans="1:10" x14ac:dyDescent="0.25">
      <c r="A25" s="14">
        <v>24</v>
      </c>
      <c r="B25" s="15" t="s">
        <v>11</v>
      </c>
      <c r="C25" s="16" t="s">
        <v>7</v>
      </c>
      <c r="D25" s="17" t="s">
        <v>6</v>
      </c>
      <c r="E25" s="18" t="s">
        <v>3</v>
      </c>
      <c r="F25" s="1">
        <v>11</v>
      </c>
      <c r="G25" s="2">
        <v>13</v>
      </c>
      <c r="H25" s="3" t="str">
        <f t="shared" si="0"/>
        <v>GROEN</v>
      </c>
      <c r="I25" s="3" t="str">
        <f t="shared" si="1"/>
        <v>Stef D</v>
      </c>
      <c r="J25" s="4" t="str">
        <f t="shared" si="2"/>
        <v>Karel</v>
      </c>
    </row>
    <row r="26" spans="1:10" x14ac:dyDescent="0.25">
      <c r="A26" s="14">
        <v>25</v>
      </c>
      <c r="B26" s="15" t="s">
        <v>6</v>
      </c>
      <c r="C26" s="16" t="s">
        <v>3</v>
      </c>
      <c r="D26" s="17" t="s">
        <v>11</v>
      </c>
      <c r="E26" s="18" t="s">
        <v>0</v>
      </c>
      <c r="F26" s="1">
        <v>11</v>
      </c>
      <c r="G26" s="2">
        <v>8</v>
      </c>
      <c r="H26" s="3" t="str">
        <f t="shared" si="0"/>
        <v>ROOD</v>
      </c>
      <c r="I26" s="3" t="str">
        <f t="shared" si="1"/>
        <v>Stef D</v>
      </c>
      <c r="J26" s="4" t="str">
        <f t="shared" si="2"/>
        <v>Karel</v>
      </c>
    </row>
    <row r="27" spans="1:10" x14ac:dyDescent="0.25">
      <c r="A27" s="14">
        <v>26</v>
      </c>
      <c r="B27" s="15" t="s">
        <v>3</v>
      </c>
      <c r="C27" s="16" t="s">
        <v>11</v>
      </c>
      <c r="D27" s="17" t="s">
        <v>0</v>
      </c>
      <c r="E27" s="18" t="s">
        <v>6</v>
      </c>
      <c r="F27" s="1">
        <v>8</v>
      </c>
      <c r="G27" s="2">
        <v>11</v>
      </c>
      <c r="H27" s="3" t="str">
        <f t="shared" si="0"/>
        <v>GROEN</v>
      </c>
      <c r="I27" s="3" t="str">
        <f t="shared" si="1"/>
        <v>Jonas</v>
      </c>
      <c r="J27" s="4" t="str">
        <f t="shared" si="2"/>
        <v>Stef D</v>
      </c>
    </row>
    <row r="28" spans="1:10" x14ac:dyDescent="0.25">
      <c r="A28" s="14">
        <v>27</v>
      </c>
      <c r="B28" s="15" t="s">
        <v>11</v>
      </c>
      <c r="C28" s="16" t="s">
        <v>6</v>
      </c>
      <c r="D28" s="17" t="s">
        <v>0</v>
      </c>
      <c r="E28" s="18" t="s">
        <v>3</v>
      </c>
      <c r="F28" s="1">
        <v>11</v>
      </c>
      <c r="G28" s="2">
        <v>8</v>
      </c>
      <c r="H28" s="3" t="str">
        <f t="shared" si="0"/>
        <v>ROOD</v>
      </c>
      <c r="I28" s="3" t="str">
        <f t="shared" si="1"/>
        <v>Matthijs</v>
      </c>
      <c r="J28" s="4" t="str">
        <f t="shared" si="2"/>
        <v>Stef D</v>
      </c>
    </row>
    <row r="29" spans="1:10" x14ac:dyDescent="0.25">
      <c r="A29" s="14">
        <v>28</v>
      </c>
      <c r="B29" s="15" t="s">
        <v>3</v>
      </c>
      <c r="C29" s="16" t="s">
        <v>6</v>
      </c>
      <c r="D29" s="17" t="s">
        <v>0</v>
      </c>
      <c r="E29" s="18" t="s">
        <v>11</v>
      </c>
      <c r="F29" s="1">
        <v>11</v>
      </c>
      <c r="G29" s="2">
        <v>4</v>
      </c>
      <c r="H29" s="3" t="str">
        <f t="shared" si="0"/>
        <v>ROOD</v>
      </c>
      <c r="I29" s="3" t="str">
        <f t="shared" si="1"/>
        <v>Karel</v>
      </c>
      <c r="J29" s="4" t="str">
        <f t="shared" si="2"/>
        <v>Stef D</v>
      </c>
    </row>
    <row r="30" spans="1:10" x14ac:dyDescent="0.25">
      <c r="A30" s="14">
        <v>29</v>
      </c>
      <c r="B30" s="15" t="s">
        <v>11</v>
      </c>
      <c r="C30" s="16" t="s">
        <v>3</v>
      </c>
      <c r="D30" s="17" t="s">
        <v>6</v>
      </c>
      <c r="E30" s="18" t="s">
        <v>0</v>
      </c>
      <c r="F30" s="1">
        <v>12</v>
      </c>
      <c r="G30" s="2">
        <v>10</v>
      </c>
      <c r="H30" s="3" t="str">
        <f t="shared" si="0"/>
        <v>ROOD</v>
      </c>
      <c r="I30" s="3" t="str">
        <f t="shared" si="1"/>
        <v>Matthijs</v>
      </c>
      <c r="J30" s="4" t="str">
        <f t="shared" si="2"/>
        <v>Karel</v>
      </c>
    </row>
    <row r="31" spans="1:10" x14ac:dyDescent="0.25">
      <c r="A31" s="14">
        <v>30</v>
      </c>
      <c r="B31" s="15" t="s">
        <v>6</v>
      </c>
      <c r="C31" s="16" t="s">
        <v>11</v>
      </c>
      <c r="D31" s="17" t="s">
        <v>3</v>
      </c>
      <c r="E31" s="18" t="s">
        <v>0</v>
      </c>
      <c r="F31" s="1">
        <v>11</v>
      </c>
      <c r="G31" s="2">
        <v>8</v>
      </c>
      <c r="H31" s="3" t="str">
        <f t="shared" si="0"/>
        <v>ROOD</v>
      </c>
      <c r="I31" s="3" t="str">
        <f t="shared" si="1"/>
        <v>Stef D</v>
      </c>
      <c r="J31" s="4" t="str">
        <f t="shared" si="2"/>
        <v>Matthijs</v>
      </c>
    </row>
    <row r="32" spans="1:10" x14ac:dyDescent="0.25">
      <c r="A32" s="14">
        <v>31</v>
      </c>
      <c r="B32" s="15" t="s">
        <v>0</v>
      </c>
      <c r="C32" s="16" t="s">
        <v>6</v>
      </c>
      <c r="D32" s="17" t="s">
        <v>8</v>
      </c>
      <c r="E32" s="18" t="s">
        <v>12</v>
      </c>
      <c r="F32" s="1">
        <v>11</v>
      </c>
      <c r="G32" s="2">
        <v>5</v>
      </c>
      <c r="H32" s="3" t="str">
        <f t="shared" si="0"/>
        <v>ROOD</v>
      </c>
      <c r="I32" s="3" t="str">
        <f t="shared" si="1"/>
        <v>Jonas</v>
      </c>
      <c r="J32" s="4" t="str">
        <f t="shared" si="2"/>
        <v>Stef D</v>
      </c>
    </row>
    <row r="33" spans="1:10" x14ac:dyDescent="0.25">
      <c r="A33" s="14">
        <v>32</v>
      </c>
      <c r="B33" s="15" t="s">
        <v>0</v>
      </c>
      <c r="C33" s="16" t="s">
        <v>12</v>
      </c>
      <c r="D33" s="17" t="s">
        <v>8</v>
      </c>
      <c r="E33" s="18" t="s">
        <v>6</v>
      </c>
      <c r="F33" s="1">
        <v>4</v>
      </c>
      <c r="G33" s="2">
        <v>11</v>
      </c>
      <c r="H33" s="3" t="str">
        <f t="shared" si="0"/>
        <v>GROEN</v>
      </c>
      <c r="I33" s="3" t="str">
        <f t="shared" si="1"/>
        <v>Louis</v>
      </c>
      <c r="J33" s="4" t="str">
        <f t="shared" si="2"/>
        <v>Stef D</v>
      </c>
    </row>
    <row r="34" spans="1:10" x14ac:dyDescent="0.25">
      <c r="A34" s="14">
        <v>33</v>
      </c>
      <c r="B34" s="15" t="s">
        <v>8</v>
      </c>
      <c r="C34" s="16" t="s">
        <v>0</v>
      </c>
      <c r="D34" s="17" t="s">
        <v>6</v>
      </c>
      <c r="E34" s="18" t="s">
        <v>12</v>
      </c>
      <c r="F34" s="1">
        <v>7</v>
      </c>
      <c r="G34" s="2">
        <v>11</v>
      </c>
      <c r="H34" s="3" t="str">
        <f t="shared" si="0"/>
        <v>GROEN</v>
      </c>
      <c r="I34" s="3" t="str">
        <f t="shared" si="1"/>
        <v>Stef D</v>
      </c>
      <c r="J34" s="4" t="str">
        <f t="shared" si="2"/>
        <v>Alexander</v>
      </c>
    </row>
    <row r="35" spans="1:10" x14ac:dyDescent="0.25">
      <c r="A35" s="14">
        <v>34</v>
      </c>
      <c r="B35" s="15" t="s">
        <v>12</v>
      </c>
      <c r="C35" s="16" t="s">
        <v>8</v>
      </c>
      <c r="D35" s="17" t="s">
        <v>3</v>
      </c>
      <c r="E35" s="18" t="s">
        <v>6</v>
      </c>
      <c r="F35" s="1">
        <v>3</v>
      </c>
      <c r="G35" s="2">
        <v>11</v>
      </c>
      <c r="H35" s="3" t="str">
        <f t="shared" si="0"/>
        <v>GROEN</v>
      </c>
      <c r="I35" s="3" t="str">
        <f t="shared" si="1"/>
        <v>Karel</v>
      </c>
      <c r="J35" s="4" t="str">
        <f t="shared" si="2"/>
        <v>Stef D</v>
      </c>
    </row>
    <row r="36" spans="1:10" x14ac:dyDescent="0.25">
      <c r="A36" s="14">
        <v>35</v>
      </c>
      <c r="B36" s="15" t="s">
        <v>0</v>
      </c>
      <c r="C36" s="16" t="s">
        <v>8</v>
      </c>
      <c r="D36" s="17" t="s">
        <v>3</v>
      </c>
      <c r="E36" s="18" t="s">
        <v>12</v>
      </c>
      <c r="F36" s="1">
        <v>11</v>
      </c>
      <c r="G36" s="2">
        <v>7</v>
      </c>
      <c r="H36" s="3" t="str">
        <f t="shared" si="0"/>
        <v>ROOD</v>
      </c>
      <c r="I36" s="3" t="str">
        <f t="shared" si="1"/>
        <v>Jonas</v>
      </c>
      <c r="J36" s="4" t="str">
        <f t="shared" si="2"/>
        <v>Louis</v>
      </c>
    </row>
    <row r="37" spans="1:10" x14ac:dyDescent="0.25">
      <c r="A37" s="14">
        <v>36</v>
      </c>
      <c r="B37" s="15" t="s">
        <v>0</v>
      </c>
      <c r="C37" s="16" t="s">
        <v>3</v>
      </c>
      <c r="D37" s="17" t="s">
        <v>6</v>
      </c>
      <c r="E37" s="18" t="s">
        <v>8</v>
      </c>
      <c r="F37" s="1">
        <v>11</v>
      </c>
      <c r="G37" s="2">
        <v>7</v>
      </c>
      <c r="H37" s="3" t="str">
        <f t="shared" si="0"/>
        <v>ROOD</v>
      </c>
      <c r="I37" s="3" t="str">
        <f t="shared" si="1"/>
        <v>Jonas</v>
      </c>
      <c r="J37" s="4" t="str">
        <f t="shared" si="2"/>
        <v>Karel</v>
      </c>
    </row>
    <row r="38" spans="1:10" x14ac:dyDescent="0.25">
      <c r="A38" s="14">
        <v>37</v>
      </c>
      <c r="B38" s="15" t="s">
        <v>3</v>
      </c>
      <c r="C38" s="16" t="s">
        <v>12</v>
      </c>
      <c r="D38" s="17" t="s">
        <v>0</v>
      </c>
      <c r="E38" s="18" t="s">
        <v>6</v>
      </c>
      <c r="F38" s="1">
        <v>3</v>
      </c>
      <c r="G38" s="2">
        <v>11</v>
      </c>
      <c r="H38" s="3" t="str">
        <f t="shared" si="0"/>
        <v>GROEN</v>
      </c>
      <c r="I38" s="3" t="str">
        <f t="shared" si="1"/>
        <v>Jonas</v>
      </c>
      <c r="J38" s="4" t="str">
        <f t="shared" si="2"/>
        <v>Stef D</v>
      </c>
    </row>
    <row r="39" spans="1:10" x14ac:dyDescent="0.25">
      <c r="A39" s="14">
        <v>38</v>
      </c>
      <c r="B39" s="15" t="s">
        <v>8</v>
      </c>
      <c r="C39" s="16" t="s">
        <v>0</v>
      </c>
      <c r="D39" s="17" t="s">
        <v>12</v>
      </c>
      <c r="E39" s="18" t="s">
        <v>6</v>
      </c>
      <c r="F39" s="1">
        <v>11</v>
      </c>
      <c r="G39" s="2">
        <v>7</v>
      </c>
      <c r="H39" s="3" t="str">
        <f t="shared" si="0"/>
        <v>ROOD</v>
      </c>
      <c r="I39" s="3" t="str">
        <f t="shared" si="1"/>
        <v>Louis</v>
      </c>
      <c r="J39" s="4" t="str">
        <f t="shared" si="2"/>
        <v>Jonas</v>
      </c>
    </row>
    <row r="40" spans="1:10" x14ac:dyDescent="0.25">
      <c r="A40" s="14">
        <v>39</v>
      </c>
      <c r="B40" s="15" t="s">
        <v>3</v>
      </c>
      <c r="C40" s="16" t="s">
        <v>6</v>
      </c>
      <c r="D40" s="17" t="s">
        <v>8</v>
      </c>
      <c r="E40" s="18" t="s">
        <v>12</v>
      </c>
      <c r="F40" s="1">
        <v>11</v>
      </c>
      <c r="G40" s="2">
        <v>6</v>
      </c>
      <c r="H40" s="3" t="str">
        <f t="shared" si="0"/>
        <v>ROOD</v>
      </c>
      <c r="I40" s="3" t="str">
        <f t="shared" si="1"/>
        <v>Karel</v>
      </c>
      <c r="J40" s="4" t="str">
        <f t="shared" si="2"/>
        <v>Stef D</v>
      </c>
    </row>
    <row r="41" spans="1:10" x14ac:dyDescent="0.25">
      <c r="A41" s="14">
        <v>40</v>
      </c>
      <c r="B41" s="15" t="s">
        <v>0</v>
      </c>
      <c r="C41" s="16" t="s">
        <v>8</v>
      </c>
      <c r="D41" s="17" t="s">
        <v>3</v>
      </c>
      <c r="E41" s="18" t="s">
        <v>12</v>
      </c>
      <c r="F41" s="1">
        <v>7</v>
      </c>
      <c r="G41" s="2">
        <v>11</v>
      </c>
      <c r="H41" s="3" t="str">
        <f t="shared" si="0"/>
        <v>GROEN</v>
      </c>
      <c r="I41" s="3" t="str">
        <f t="shared" si="1"/>
        <v>Karel</v>
      </c>
      <c r="J41" s="4" t="str">
        <f t="shared" si="2"/>
        <v>Alexander</v>
      </c>
    </row>
    <row r="42" spans="1:10" x14ac:dyDescent="0.25">
      <c r="A42" s="14">
        <v>42</v>
      </c>
      <c r="B42" s="15" t="s">
        <v>6</v>
      </c>
      <c r="C42" s="16" t="s">
        <v>3</v>
      </c>
      <c r="D42" s="17" t="s">
        <v>0</v>
      </c>
      <c r="E42" s="18" t="s">
        <v>12</v>
      </c>
      <c r="F42" s="1">
        <v>11</v>
      </c>
      <c r="G42" s="2">
        <v>3</v>
      </c>
      <c r="H42" s="3" t="str">
        <f t="shared" si="0"/>
        <v>ROOD</v>
      </c>
      <c r="I42" s="3" t="str">
        <f t="shared" si="1"/>
        <v>Stef D</v>
      </c>
      <c r="J42" s="4" t="str">
        <f t="shared" si="2"/>
        <v>Karel</v>
      </c>
    </row>
    <row r="43" spans="1:10" x14ac:dyDescent="0.25">
      <c r="A43" s="14">
        <v>43</v>
      </c>
      <c r="B43" s="15" t="s">
        <v>8</v>
      </c>
      <c r="C43" s="16" t="s">
        <v>6</v>
      </c>
      <c r="D43" s="17" t="s">
        <v>3</v>
      </c>
      <c r="E43" s="18" t="s">
        <v>7</v>
      </c>
      <c r="F43" s="1">
        <v>11</v>
      </c>
      <c r="G43" s="2">
        <v>9</v>
      </c>
      <c r="H43" s="3" t="str">
        <f t="shared" si="0"/>
        <v>ROOD</v>
      </c>
      <c r="I43" s="3" t="str">
        <f t="shared" si="1"/>
        <v>Louis</v>
      </c>
      <c r="J43" s="4" t="str">
        <f t="shared" si="2"/>
        <v>Stef D</v>
      </c>
    </row>
    <row r="44" spans="1:10" x14ac:dyDescent="0.25">
      <c r="A44" s="14">
        <v>44</v>
      </c>
      <c r="B44" s="15" t="s">
        <v>8</v>
      </c>
      <c r="C44" s="16" t="s">
        <v>7</v>
      </c>
      <c r="D44" s="17" t="s">
        <v>3</v>
      </c>
      <c r="E44" s="18" t="s">
        <v>6</v>
      </c>
      <c r="F44" s="1">
        <v>5</v>
      </c>
      <c r="G44" s="2">
        <v>11</v>
      </c>
      <c r="H44" s="3" t="str">
        <f t="shared" si="0"/>
        <v>GROEN</v>
      </c>
      <c r="I44" s="3" t="str">
        <f t="shared" si="1"/>
        <v>Karel</v>
      </c>
      <c r="J44" s="4" t="str">
        <f t="shared" si="2"/>
        <v>Stef D</v>
      </c>
    </row>
    <row r="45" spans="1:10" x14ac:dyDescent="0.25">
      <c r="A45" s="14">
        <v>45</v>
      </c>
      <c r="B45" s="15" t="s">
        <v>6</v>
      </c>
      <c r="C45" s="16" t="s">
        <v>7</v>
      </c>
      <c r="D45" s="17" t="s">
        <v>8</v>
      </c>
      <c r="E45" s="18" t="s">
        <v>3</v>
      </c>
      <c r="F45" s="1">
        <v>11</v>
      </c>
      <c r="G45" s="2">
        <v>9</v>
      </c>
      <c r="H45" s="3" t="str">
        <f t="shared" si="0"/>
        <v>ROOD</v>
      </c>
      <c r="I45" s="3" t="str">
        <f t="shared" si="1"/>
        <v>Stef D</v>
      </c>
      <c r="J45" s="4" t="str">
        <f t="shared" si="2"/>
        <v>Tiemen</v>
      </c>
    </row>
    <row r="46" spans="1:10" x14ac:dyDescent="0.25">
      <c r="A46" s="14">
        <v>46</v>
      </c>
      <c r="B46" s="15" t="s">
        <v>3</v>
      </c>
      <c r="C46" s="16" t="s">
        <v>7</v>
      </c>
      <c r="D46" s="17" t="s">
        <v>8</v>
      </c>
      <c r="E46" s="18" t="s">
        <v>13</v>
      </c>
      <c r="F46" s="1">
        <v>11</v>
      </c>
      <c r="G46" s="2">
        <v>8</v>
      </c>
      <c r="H46" s="3" t="str">
        <f t="shared" si="0"/>
        <v>ROOD</v>
      </c>
      <c r="I46" s="3" t="str">
        <f t="shared" si="1"/>
        <v>Karel</v>
      </c>
      <c r="J46" s="4" t="str">
        <f t="shared" si="2"/>
        <v>Tiemen</v>
      </c>
    </row>
    <row r="47" spans="1:10" x14ac:dyDescent="0.25">
      <c r="A47" s="14">
        <v>47</v>
      </c>
      <c r="B47" s="15" t="s">
        <v>8</v>
      </c>
      <c r="C47" s="16" t="s">
        <v>6</v>
      </c>
      <c r="D47" s="17" t="s">
        <v>3</v>
      </c>
      <c r="E47" s="18" t="s">
        <v>13</v>
      </c>
      <c r="F47" s="1">
        <v>8</v>
      </c>
      <c r="G47" s="2">
        <v>11</v>
      </c>
      <c r="H47" s="3" t="str">
        <f t="shared" si="0"/>
        <v>GROEN</v>
      </c>
      <c r="I47" s="3" t="str">
        <f t="shared" si="1"/>
        <v>Karel</v>
      </c>
      <c r="J47" s="4" t="str">
        <f t="shared" si="2"/>
        <v>Bert</v>
      </c>
    </row>
    <row r="48" spans="1:10" x14ac:dyDescent="0.25">
      <c r="A48" s="14">
        <v>48</v>
      </c>
      <c r="B48" s="15" t="s">
        <v>3</v>
      </c>
      <c r="C48" s="16" t="s">
        <v>6</v>
      </c>
      <c r="D48" s="17" t="s">
        <v>8</v>
      </c>
      <c r="E48" s="18" t="s">
        <v>7</v>
      </c>
      <c r="F48" s="1">
        <v>11</v>
      </c>
      <c r="G48" s="2">
        <v>6</v>
      </c>
      <c r="H48" s="3" t="str">
        <f t="shared" si="0"/>
        <v>ROOD</v>
      </c>
      <c r="I48" s="3" t="str">
        <f t="shared" si="1"/>
        <v>Karel</v>
      </c>
      <c r="J48" s="4" t="str">
        <f t="shared" si="2"/>
        <v>Stef D</v>
      </c>
    </row>
    <row r="49" spans="1:10" x14ac:dyDescent="0.25">
      <c r="A49" s="14">
        <v>49</v>
      </c>
      <c r="B49" s="15" t="s">
        <v>6</v>
      </c>
      <c r="C49" s="16" t="s">
        <v>13</v>
      </c>
      <c r="D49" s="17" t="s">
        <v>7</v>
      </c>
      <c r="E49" s="18" t="s">
        <v>3</v>
      </c>
      <c r="F49" s="1">
        <v>11</v>
      </c>
      <c r="G49" s="2">
        <v>3</v>
      </c>
      <c r="H49" s="3" t="str">
        <f t="shared" si="0"/>
        <v>ROOD</v>
      </c>
      <c r="I49" s="3" t="str">
        <f t="shared" si="1"/>
        <v>Stef D</v>
      </c>
      <c r="J49" s="4" t="str">
        <f t="shared" si="2"/>
        <v>Bert</v>
      </c>
    </row>
    <row r="50" spans="1:10" x14ac:dyDescent="0.25">
      <c r="A50" s="14">
        <v>50</v>
      </c>
      <c r="B50" s="15" t="s">
        <v>3</v>
      </c>
      <c r="C50" s="16" t="s">
        <v>8</v>
      </c>
      <c r="D50" s="17" t="s">
        <v>13</v>
      </c>
      <c r="E50" s="18" t="s">
        <v>7</v>
      </c>
      <c r="F50" s="1">
        <v>11</v>
      </c>
      <c r="G50" s="2">
        <v>9</v>
      </c>
      <c r="H50" s="3" t="str">
        <f t="shared" si="0"/>
        <v>ROOD</v>
      </c>
      <c r="I50" s="3" t="str">
        <f t="shared" si="1"/>
        <v>Karel</v>
      </c>
      <c r="J50" s="4" t="str">
        <f t="shared" si="2"/>
        <v>Louis</v>
      </c>
    </row>
    <row r="51" spans="1:10" x14ac:dyDescent="0.25">
      <c r="A51" s="14">
        <v>51</v>
      </c>
      <c r="B51" s="15" t="s">
        <v>6</v>
      </c>
      <c r="C51" s="16" t="s">
        <v>13</v>
      </c>
      <c r="D51" s="17" t="s">
        <v>3</v>
      </c>
      <c r="E51" s="18" t="s">
        <v>8</v>
      </c>
      <c r="F51" s="1">
        <v>11</v>
      </c>
      <c r="G51" s="2">
        <v>7</v>
      </c>
      <c r="H51" s="3" t="str">
        <f t="shared" si="0"/>
        <v>ROOD</v>
      </c>
      <c r="I51" s="3" t="str">
        <f t="shared" si="1"/>
        <v>Stef D</v>
      </c>
      <c r="J51" s="4" t="str">
        <f t="shared" si="2"/>
        <v>Bert</v>
      </c>
    </row>
    <row r="52" spans="1:10" x14ac:dyDescent="0.25">
      <c r="A52" s="14">
        <v>52</v>
      </c>
      <c r="B52" s="15" t="s">
        <v>6</v>
      </c>
      <c r="C52" s="16" t="s">
        <v>13</v>
      </c>
      <c r="D52" s="17" t="s">
        <v>0</v>
      </c>
      <c r="E52" s="18" t="s">
        <v>8</v>
      </c>
      <c r="F52" s="1">
        <v>12</v>
      </c>
      <c r="G52" s="2">
        <v>10</v>
      </c>
      <c r="H52" s="3" t="str">
        <f t="shared" si="0"/>
        <v>ROOD</v>
      </c>
      <c r="I52" s="3" t="str">
        <f t="shared" si="1"/>
        <v>Stef D</v>
      </c>
      <c r="J52" s="4" t="str">
        <f t="shared" si="2"/>
        <v>Bert</v>
      </c>
    </row>
    <row r="53" spans="1:10" x14ac:dyDescent="0.25">
      <c r="A53" s="14">
        <v>53</v>
      </c>
      <c r="B53" s="15" t="s">
        <v>8</v>
      </c>
      <c r="C53" s="16" t="s">
        <v>6</v>
      </c>
      <c r="D53" s="17" t="s">
        <v>0</v>
      </c>
      <c r="E53" s="18" t="s">
        <v>13</v>
      </c>
      <c r="F53" s="1">
        <v>11</v>
      </c>
      <c r="G53" s="2">
        <v>3</v>
      </c>
      <c r="H53" s="3" t="str">
        <f t="shared" si="0"/>
        <v>ROOD</v>
      </c>
      <c r="I53" s="3" t="str">
        <f t="shared" si="1"/>
        <v>Louis</v>
      </c>
      <c r="J53" s="4" t="str">
        <f t="shared" si="2"/>
        <v>Stef D</v>
      </c>
    </row>
    <row r="54" spans="1:10" x14ac:dyDescent="0.25">
      <c r="A54" s="14">
        <v>54</v>
      </c>
      <c r="B54" s="15" t="s">
        <v>8</v>
      </c>
      <c r="C54" s="16" t="s">
        <v>13</v>
      </c>
      <c r="D54" s="17" t="s">
        <v>0</v>
      </c>
      <c r="E54" s="18" t="s">
        <v>6</v>
      </c>
      <c r="F54" s="1">
        <v>15</v>
      </c>
      <c r="G54" s="2">
        <v>17</v>
      </c>
      <c r="H54" s="3" t="str">
        <f t="shared" si="0"/>
        <v>GROEN</v>
      </c>
      <c r="I54" s="3" t="str">
        <f t="shared" si="1"/>
        <v>Jonas</v>
      </c>
      <c r="J54" s="4" t="str">
        <f t="shared" si="2"/>
        <v>Stef D</v>
      </c>
    </row>
    <row r="55" spans="1:10" x14ac:dyDescent="0.25">
      <c r="A55" s="14">
        <v>55</v>
      </c>
      <c r="B55" s="15" t="s">
        <v>13</v>
      </c>
      <c r="C55" s="16" t="s">
        <v>6</v>
      </c>
      <c r="D55" s="17" t="s">
        <v>8</v>
      </c>
      <c r="E55" s="18" t="s">
        <v>0</v>
      </c>
      <c r="F55" s="1">
        <v>11</v>
      </c>
      <c r="G55" s="2">
        <v>8</v>
      </c>
      <c r="H55" s="3" t="str">
        <f t="shared" si="0"/>
        <v>ROOD</v>
      </c>
      <c r="I55" s="3" t="str">
        <f t="shared" si="1"/>
        <v>Bert</v>
      </c>
      <c r="J55" s="4" t="str">
        <f t="shared" si="2"/>
        <v>Stef D</v>
      </c>
    </row>
    <row r="56" spans="1:10" x14ac:dyDescent="0.25">
      <c r="A56" s="14">
        <v>56</v>
      </c>
      <c r="B56" s="15" t="s">
        <v>6</v>
      </c>
      <c r="C56" s="16" t="s">
        <v>13</v>
      </c>
      <c r="D56" s="17" t="s">
        <v>11</v>
      </c>
      <c r="E56" s="18" t="s">
        <v>3</v>
      </c>
      <c r="F56" s="1">
        <v>15</v>
      </c>
      <c r="G56" s="2">
        <v>17</v>
      </c>
      <c r="H56" s="3" t="str">
        <f t="shared" si="0"/>
        <v>GROEN</v>
      </c>
      <c r="I56" s="3" t="str">
        <f t="shared" si="1"/>
        <v>Matthijs</v>
      </c>
      <c r="J56" s="4" t="str">
        <f t="shared" si="2"/>
        <v>Karel</v>
      </c>
    </row>
    <row r="57" spans="1:10" x14ac:dyDescent="0.25">
      <c r="A57" s="14">
        <v>57</v>
      </c>
      <c r="B57" s="15" t="s">
        <v>3</v>
      </c>
      <c r="C57" s="16" t="s">
        <v>6</v>
      </c>
      <c r="D57" s="17" t="s">
        <v>13</v>
      </c>
      <c r="E57" s="18" t="s">
        <v>7</v>
      </c>
      <c r="F57" s="1">
        <v>11</v>
      </c>
      <c r="G57" s="2">
        <v>3</v>
      </c>
      <c r="H57" s="3" t="str">
        <f t="shared" si="0"/>
        <v>ROOD</v>
      </c>
      <c r="I57" s="3" t="str">
        <f t="shared" si="1"/>
        <v>Karel</v>
      </c>
      <c r="J57" s="4" t="str">
        <f t="shared" si="2"/>
        <v>Stef D</v>
      </c>
    </row>
    <row r="58" spans="1:10" x14ac:dyDescent="0.25">
      <c r="A58" s="14">
        <v>58</v>
      </c>
      <c r="B58" s="15" t="s">
        <v>13</v>
      </c>
      <c r="C58" s="16" t="s">
        <v>11</v>
      </c>
      <c r="D58" s="17" t="s">
        <v>3</v>
      </c>
      <c r="E58" s="18" t="s">
        <v>7</v>
      </c>
      <c r="F58" s="1">
        <v>7</v>
      </c>
      <c r="G58" s="2">
        <v>11</v>
      </c>
      <c r="H58" s="3" t="str">
        <f t="shared" si="0"/>
        <v>GROEN</v>
      </c>
      <c r="I58" s="3" t="str">
        <f t="shared" si="1"/>
        <v>Karel</v>
      </c>
      <c r="J58" s="4" t="str">
        <f t="shared" si="2"/>
        <v>Tiemen</v>
      </c>
    </row>
    <row r="59" spans="1:10" x14ac:dyDescent="0.25">
      <c r="A59" s="14">
        <v>59</v>
      </c>
      <c r="B59" s="15" t="s">
        <v>7</v>
      </c>
      <c r="C59" s="16" t="s">
        <v>13</v>
      </c>
      <c r="D59" s="17" t="s">
        <v>11</v>
      </c>
      <c r="E59" s="18" t="s">
        <v>6</v>
      </c>
      <c r="F59" s="1">
        <v>11</v>
      </c>
      <c r="G59" s="2">
        <v>9</v>
      </c>
      <c r="H59" s="3" t="str">
        <f t="shared" si="0"/>
        <v>ROOD</v>
      </c>
      <c r="I59" s="3" t="str">
        <f t="shared" si="1"/>
        <v>Tiemen</v>
      </c>
      <c r="J59" s="4" t="str">
        <f t="shared" si="2"/>
        <v>Bert</v>
      </c>
    </row>
    <row r="60" spans="1:10" x14ac:dyDescent="0.25">
      <c r="A60" s="14">
        <v>60</v>
      </c>
      <c r="B60" s="15" t="s">
        <v>3</v>
      </c>
      <c r="C60" s="16" t="s">
        <v>11</v>
      </c>
      <c r="D60" s="17" t="s">
        <v>6</v>
      </c>
      <c r="E60" s="18" t="s">
        <v>7</v>
      </c>
      <c r="F60" s="1">
        <v>11</v>
      </c>
      <c r="G60" s="2">
        <v>7</v>
      </c>
      <c r="H60" s="3" t="str">
        <f t="shared" si="0"/>
        <v>ROOD</v>
      </c>
      <c r="I60" s="3" t="str">
        <f t="shared" si="1"/>
        <v>Karel</v>
      </c>
      <c r="J60" s="4" t="str">
        <f t="shared" si="2"/>
        <v>Matthijs</v>
      </c>
    </row>
    <row r="61" spans="1:10" x14ac:dyDescent="0.25">
      <c r="A61" s="14">
        <v>61</v>
      </c>
      <c r="B61" s="15" t="s">
        <v>11</v>
      </c>
      <c r="C61" s="16" t="s">
        <v>6</v>
      </c>
      <c r="D61" s="17" t="s">
        <v>3</v>
      </c>
      <c r="E61" s="18" t="s">
        <v>13</v>
      </c>
      <c r="F61" s="1">
        <v>11</v>
      </c>
      <c r="G61" s="2">
        <v>13</v>
      </c>
      <c r="H61" s="3" t="str">
        <f t="shared" si="0"/>
        <v>GROEN</v>
      </c>
      <c r="I61" s="3" t="str">
        <f t="shared" si="1"/>
        <v>Karel</v>
      </c>
      <c r="J61" s="4" t="str">
        <f t="shared" si="2"/>
        <v>Bert</v>
      </c>
    </row>
    <row r="62" spans="1:10" x14ac:dyDescent="0.25">
      <c r="A62" s="14">
        <v>62</v>
      </c>
      <c r="B62" s="15" t="s">
        <v>3</v>
      </c>
      <c r="C62" s="16" t="s">
        <v>6</v>
      </c>
      <c r="D62" s="17" t="s">
        <v>7</v>
      </c>
      <c r="E62" s="18" t="s">
        <v>13</v>
      </c>
      <c r="F62" s="1">
        <v>11</v>
      </c>
      <c r="G62" s="2">
        <v>6</v>
      </c>
      <c r="H62" s="3" t="str">
        <f t="shared" si="0"/>
        <v>ROOD</v>
      </c>
      <c r="I62" s="3" t="str">
        <f t="shared" si="1"/>
        <v>Karel</v>
      </c>
      <c r="J62" s="4" t="str">
        <f t="shared" si="2"/>
        <v>Stef D</v>
      </c>
    </row>
    <row r="63" spans="1:10" x14ac:dyDescent="0.25">
      <c r="A63" s="14">
        <v>63</v>
      </c>
      <c r="B63" s="15" t="s">
        <v>13</v>
      </c>
      <c r="C63" s="16" t="s">
        <v>6</v>
      </c>
      <c r="D63" s="17" t="s">
        <v>11</v>
      </c>
      <c r="E63" s="18" t="s">
        <v>7</v>
      </c>
      <c r="F63" s="1">
        <v>11</v>
      </c>
      <c r="G63" s="2">
        <v>2</v>
      </c>
      <c r="H63" s="3" t="str">
        <f t="shared" si="0"/>
        <v>ROOD</v>
      </c>
      <c r="I63" s="3" t="str">
        <f t="shared" si="1"/>
        <v>Bert</v>
      </c>
      <c r="J63" s="4" t="str">
        <f t="shared" si="2"/>
        <v>Stef D</v>
      </c>
    </row>
    <row r="64" spans="1:10" x14ac:dyDescent="0.25">
      <c r="A64" s="14">
        <v>64</v>
      </c>
      <c r="B64" s="15" t="s">
        <v>3</v>
      </c>
      <c r="C64" s="16" t="s">
        <v>7</v>
      </c>
      <c r="D64" s="17" t="s">
        <v>13</v>
      </c>
      <c r="E64" s="18" t="s">
        <v>11</v>
      </c>
      <c r="F64" s="1">
        <v>7</v>
      </c>
      <c r="G64" s="2">
        <v>11</v>
      </c>
      <c r="H64" s="3" t="str">
        <f t="shared" si="0"/>
        <v>GROEN</v>
      </c>
      <c r="I64" s="3" t="str">
        <f t="shared" si="1"/>
        <v>Bert</v>
      </c>
      <c r="J64" s="4" t="str">
        <f t="shared" si="2"/>
        <v>Matthijs</v>
      </c>
    </row>
    <row r="65" spans="1:10" x14ac:dyDescent="0.25">
      <c r="A65" s="14">
        <v>65</v>
      </c>
      <c r="B65" s="15" t="s">
        <v>11</v>
      </c>
      <c r="C65" s="16" t="s">
        <v>3</v>
      </c>
      <c r="D65" s="17" t="s">
        <v>7</v>
      </c>
      <c r="E65" s="18" t="s">
        <v>6</v>
      </c>
      <c r="F65" s="1">
        <v>5</v>
      </c>
      <c r="G65" s="2">
        <v>11</v>
      </c>
      <c r="H65" s="3" t="str">
        <f t="shared" si="0"/>
        <v>GROEN</v>
      </c>
      <c r="I65" s="3" t="str">
        <f t="shared" si="1"/>
        <v>Tiemen</v>
      </c>
      <c r="J65" s="4" t="str">
        <f t="shared" si="2"/>
        <v>Stef D</v>
      </c>
    </row>
    <row r="66" spans="1:10" x14ac:dyDescent="0.25">
      <c r="A66" s="14">
        <v>66</v>
      </c>
      <c r="B66" s="15" t="s">
        <v>3</v>
      </c>
      <c r="C66" s="16" t="s">
        <v>7</v>
      </c>
      <c r="D66" s="17" t="s">
        <v>13</v>
      </c>
      <c r="E66" s="18" t="s">
        <v>6</v>
      </c>
      <c r="F66" s="1">
        <v>12</v>
      </c>
      <c r="G66" s="2">
        <v>10</v>
      </c>
      <c r="H66" s="3" t="str">
        <f t="shared" ref="H66:H129" si="3">IF(F66&gt;G66,"ROOD",IF(F66=G66,"","GROEN"))</f>
        <v>ROOD</v>
      </c>
      <c r="I66" s="3" t="str">
        <f t="shared" ref="I66:I129" si="4">IF(F66&gt;G66,B66,IF(F66=0,"",D66))</f>
        <v>Karel</v>
      </c>
      <c r="J66" s="4" t="str">
        <f t="shared" ref="J66:J129" si="5">IF(F66&gt;G66,C66,IF(F66=0,"",E66))</f>
        <v>Tiemen</v>
      </c>
    </row>
    <row r="67" spans="1:10" x14ac:dyDescent="0.25">
      <c r="A67" s="14">
        <v>67</v>
      </c>
      <c r="B67" s="15" t="s">
        <v>11</v>
      </c>
      <c r="C67" s="16" t="s">
        <v>6</v>
      </c>
      <c r="D67" s="17" t="s">
        <v>3</v>
      </c>
      <c r="E67" s="18" t="s">
        <v>13</v>
      </c>
      <c r="F67" s="1">
        <v>14</v>
      </c>
      <c r="G67" s="2">
        <v>12</v>
      </c>
      <c r="H67" s="3" t="str">
        <f t="shared" si="3"/>
        <v>ROOD</v>
      </c>
      <c r="I67" s="3" t="str">
        <f t="shared" si="4"/>
        <v>Matthijs</v>
      </c>
      <c r="J67" s="4" t="str">
        <f t="shared" si="5"/>
        <v>Stef D</v>
      </c>
    </row>
    <row r="68" spans="1:10" x14ac:dyDescent="0.25">
      <c r="A68" s="14">
        <v>68</v>
      </c>
      <c r="B68" s="15" t="s">
        <v>3</v>
      </c>
      <c r="C68" s="16" t="s">
        <v>6</v>
      </c>
      <c r="D68" s="17" t="s">
        <v>11</v>
      </c>
      <c r="E68" s="18" t="s">
        <v>7</v>
      </c>
      <c r="F68" s="1">
        <v>11</v>
      </c>
      <c r="G68" s="2">
        <v>6</v>
      </c>
      <c r="H68" s="3" t="str">
        <f t="shared" si="3"/>
        <v>ROOD</v>
      </c>
      <c r="I68" s="3" t="str">
        <f t="shared" si="4"/>
        <v>Karel</v>
      </c>
      <c r="J68" s="4" t="str">
        <f t="shared" si="5"/>
        <v>Stef D</v>
      </c>
    </row>
    <row r="69" spans="1:10" x14ac:dyDescent="0.25">
      <c r="A69" s="14">
        <v>69</v>
      </c>
      <c r="B69" s="15" t="s">
        <v>6</v>
      </c>
      <c r="C69" s="16" t="s">
        <v>11</v>
      </c>
      <c r="D69" s="17" t="s">
        <v>0</v>
      </c>
      <c r="E69" s="18" t="s">
        <v>7</v>
      </c>
      <c r="F69" s="1">
        <v>11</v>
      </c>
      <c r="G69" s="2">
        <v>6</v>
      </c>
      <c r="H69" s="3" t="str">
        <f t="shared" si="3"/>
        <v>ROOD</v>
      </c>
      <c r="I69" s="3" t="str">
        <f t="shared" si="4"/>
        <v>Stef D</v>
      </c>
      <c r="J69" s="4" t="str">
        <f t="shared" si="5"/>
        <v>Matthijs</v>
      </c>
    </row>
    <row r="70" spans="1:10" x14ac:dyDescent="0.25">
      <c r="A70" s="14">
        <v>70</v>
      </c>
      <c r="B70" s="15" t="s">
        <v>11</v>
      </c>
      <c r="C70" s="16" t="s">
        <v>6</v>
      </c>
      <c r="D70" s="17" t="s">
        <v>7</v>
      </c>
      <c r="E70" s="18" t="s">
        <v>0</v>
      </c>
      <c r="F70" s="1">
        <v>12</v>
      </c>
      <c r="G70" s="2">
        <v>10</v>
      </c>
      <c r="H70" s="3" t="str">
        <f t="shared" si="3"/>
        <v>ROOD</v>
      </c>
      <c r="I70" s="3" t="str">
        <f t="shared" si="4"/>
        <v>Matthijs</v>
      </c>
      <c r="J70" s="4" t="str">
        <f t="shared" si="5"/>
        <v>Stef D</v>
      </c>
    </row>
    <row r="71" spans="1:10" x14ac:dyDescent="0.25">
      <c r="A71" s="14">
        <v>71</v>
      </c>
      <c r="B71" s="15" t="s">
        <v>0</v>
      </c>
      <c r="C71" s="16" t="s">
        <v>6</v>
      </c>
      <c r="D71" s="17" t="s">
        <v>11</v>
      </c>
      <c r="E71" s="18" t="s">
        <v>7</v>
      </c>
      <c r="F71" s="1">
        <v>11</v>
      </c>
      <c r="G71" s="2">
        <v>7</v>
      </c>
      <c r="H71" s="3" t="str">
        <f t="shared" si="3"/>
        <v>ROOD</v>
      </c>
      <c r="I71" s="3" t="str">
        <f t="shared" si="4"/>
        <v>Jonas</v>
      </c>
      <c r="J71" s="4" t="str">
        <f t="shared" si="5"/>
        <v>Stef D</v>
      </c>
    </row>
    <row r="72" spans="1:10" x14ac:dyDescent="0.25">
      <c r="A72" s="14">
        <v>72</v>
      </c>
      <c r="B72" s="15" t="s">
        <v>6</v>
      </c>
      <c r="C72" s="16" t="s">
        <v>0</v>
      </c>
      <c r="D72" s="17" t="s">
        <v>7</v>
      </c>
      <c r="E72" s="18" t="s">
        <v>11</v>
      </c>
      <c r="F72" s="1">
        <v>11</v>
      </c>
      <c r="G72" s="2">
        <v>5</v>
      </c>
      <c r="H72" s="3" t="str">
        <f t="shared" si="3"/>
        <v>ROOD</v>
      </c>
      <c r="I72" s="3" t="str">
        <f t="shared" si="4"/>
        <v>Stef D</v>
      </c>
      <c r="J72" s="4" t="str">
        <f t="shared" si="5"/>
        <v>Jonas</v>
      </c>
    </row>
    <row r="73" spans="1:10" x14ac:dyDescent="0.25">
      <c r="A73" s="14">
        <v>73</v>
      </c>
      <c r="B73" s="15" t="s">
        <v>11</v>
      </c>
      <c r="C73" s="16" t="s">
        <v>0</v>
      </c>
      <c r="D73" s="17" t="s">
        <v>6</v>
      </c>
      <c r="E73" s="18" t="s">
        <v>7</v>
      </c>
      <c r="F73" s="1">
        <v>8</v>
      </c>
      <c r="G73" s="2">
        <v>11</v>
      </c>
      <c r="H73" s="3" t="str">
        <f t="shared" si="3"/>
        <v>GROEN</v>
      </c>
      <c r="I73" s="3" t="str">
        <f t="shared" si="4"/>
        <v>Stef D</v>
      </c>
      <c r="J73" s="4" t="str">
        <f t="shared" si="5"/>
        <v>Tiemen</v>
      </c>
    </row>
    <row r="74" spans="1:10" x14ac:dyDescent="0.25">
      <c r="A74" s="14">
        <v>74</v>
      </c>
      <c r="B74" s="15" t="s">
        <v>0</v>
      </c>
      <c r="C74" s="16" t="s">
        <v>11</v>
      </c>
      <c r="D74" s="17" t="s">
        <v>7</v>
      </c>
      <c r="E74" s="18" t="s">
        <v>6</v>
      </c>
      <c r="F74" s="1">
        <v>9</v>
      </c>
      <c r="G74" s="2">
        <v>11</v>
      </c>
      <c r="H74" s="3" t="str">
        <f t="shared" si="3"/>
        <v>GROEN</v>
      </c>
      <c r="I74" s="3" t="str">
        <f t="shared" si="4"/>
        <v>Tiemen</v>
      </c>
      <c r="J74" s="4" t="str">
        <f t="shared" si="5"/>
        <v>Stef D</v>
      </c>
    </row>
    <row r="75" spans="1:10" x14ac:dyDescent="0.25">
      <c r="A75" s="14">
        <v>75</v>
      </c>
      <c r="B75" s="15" t="s">
        <v>6</v>
      </c>
      <c r="C75" s="16" t="s">
        <v>11</v>
      </c>
      <c r="D75" s="17" t="s">
        <v>0</v>
      </c>
      <c r="E75" s="18" t="s">
        <v>3</v>
      </c>
      <c r="F75" s="1">
        <v>2</v>
      </c>
      <c r="G75" s="2">
        <v>11</v>
      </c>
      <c r="H75" s="3" t="str">
        <f t="shared" si="3"/>
        <v>GROEN</v>
      </c>
      <c r="I75" s="3" t="str">
        <f t="shared" si="4"/>
        <v>Jonas</v>
      </c>
      <c r="J75" s="4" t="str">
        <f t="shared" si="5"/>
        <v>Karel</v>
      </c>
    </row>
    <row r="76" spans="1:10" x14ac:dyDescent="0.25">
      <c r="A76" s="14">
        <v>76</v>
      </c>
      <c r="B76" s="15" t="s">
        <v>11</v>
      </c>
      <c r="C76" s="16" t="s">
        <v>6</v>
      </c>
      <c r="D76" s="17" t="s">
        <v>3</v>
      </c>
      <c r="E76" s="18" t="s">
        <v>0</v>
      </c>
      <c r="F76" s="1">
        <v>8</v>
      </c>
      <c r="G76" s="2">
        <v>11</v>
      </c>
      <c r="H76" s="3" t="str">
        <f t="shared" si="3"/>
        <v>GROEN</v>
      </c>
      <c r="I76" s="3" t="str">
        <f t="shared" si="4"/>
        <v>Karel</v>
      </c>
      <c r="J76" s="4" t="str">
        <f t="shared" si="5"/>
        <v>Jonas</v>
      </c>
    </row>
    <row r="77" spans="1:10" x14ac:dyDescent="0.25">
      <c r="A77" s="14">
        <v>77</v>
      </c>
      <c r="B77" s="15" t="s">
        <v>11</v>
      </c>
      <c r="C77" s="16" t="s">
        <v>0</v>
      </c>
      <c r="D77" s="17" t="s">
        <v>3</v>
      </c>
      <c r="E77" s="18" t="s">
        <v>6</v>
      </c>
      <c r="F77" s="1">
        <v>6</v>
      </c>
      <c r="G77" s="2">
        <v>11</v>
      </c>
      <c r="H77" s="3" t="str">
        <f t="shared" si="3"/>
        <v>GROEN</v>
      </c>
      <c r="I77" s="3" t="str">
        <f t="shared" si="4"/>
        <v>Karel</v>
      </c>
      <c r="J77" s="4" t="str">
        <f t="shared" si="5"/>
        <v>Stef D</v>
      </c>
    </row>
    <row r="78" spans="1:10" x14ac:dyDescent="0.25">
      <c r="A78" s="14">
        <v>78</v>
      </c>
      <c r="B78" s="15" t="s">
        <v>0</v>
      </c>
      <c r="C78" s="16" t="s">
        <v>11</v>
      </c>
      <c r="D78" s="17" t="s">
        <v>6</v>
      </c>
      <c r="E78" s="18" t="s">
        <v>3</v>
      </c>
      <c r="F78" s="1">
        <v>5</v>
      </c>
      <c r="G78" s="2">
        <v>11</v>
      </c>
      <c r="H78" s="3" t="str">
        <f t="shared" si="3"/>
        <v>GROEN</v>
      </c>
      <c r="I78" s="3" t="str">
        <f t="shared" si="4"/>
        <v>Stef D</v>
      </c>
      <c r="J78" s="4" t="str">
        <f t="shared" si="5"/>
        <v>Karel</v>
      </c>
    </row>
    <row r="79" spans="1:10" x14ac:dyDescent="0.25">
      <c r="A79" s="14">
        <v>79</v>
      </c>
      <c r="B79" s="15" t="s">
        <v>3</v>
      </c>
      <c r="C79" s="16" t="s">
        <v>11</v>
      </c>
      <c r="D79" s="17" t="s">
        <v>0</v>
      </c>
      <c r="E79" s="18" t="s">
        <v>6</v>
      </c>
      <c r="F79" s="1">
        <v>8</v>
      </c>
      <c r="G79" s="2">
        <v>11</v>
      </c>
      <c r="H79" s="3" t="str">
        <f t="shared" si="3"/>
        <v>GROEN</v>
      </c>
      <c r="I79" s="3" t="str">
        <f t="shared" si="4"/>
        <v>Jonas</v>
      </c>
      <c r="J79" s="4" t="str">
        <f t="shared" si="5"/>
        <v>Stef D</v>
      </c>
    </row>
    <row r="80" spans="1:10" x14ac:dyDescent="0.25">
      <c r="A80" s="14">
        <v>80</v>
      </c>
      <c r="B80" s="15" t="s">
        <v>11</v>
      </c>
      <c r="C80" s="16" t="s">
        <v>3</v>
      </c>
      <c r="D80" s="17" t="s">
        <v>6</v>
      </c>
      <c r="E80" s="18" t="s">
        <v>0</v>
      </c>
      <c r="F80" s="1">
        <v>4</v>
      </c>
      <c r="G80" s="2">
        <v>11</v>
      </c>
      <c r="H80" s="3" t="str">
        <f t="shared" si="3"/>
        <v>GROEN</v>
      </c>
      <c r="I80" s="3" t="str">
        <f t="shared" si="4"/>
        <v>Stef D</v>
      </c>
      <c r="J80" s="4" t="str">
        <f t="shared" si="5"/>
        <v>Jonas</v>
      </c>
    </row>
    <row r="81" spans="1:10" x14ac:dyDescent="0.25">
      <c r="A81" s="14">
        <v>81</v>
      </c>
      <c r="B81" s="15" t="s">
        <v>3</v>
      </c>
      <c r="C81" s="16" t="s">
        <v>0</v>
      </c>
      <c r="D81" s="17" t="s">
        <v>6</v>
      </c>
      <c r="E81" s="18" t="s">
        <v>11</v>
      </c>
      <c r="F81" s="1">
        <v>6</v>
      </c>
      <c r="G81" s="2">
        <v>11</v>
      </c>
      <c r="H81" s="3" t="str">
        <f t="shared" si="3"/>
        <v>GROEN</v>
      </c>
      <c r="I81" s="3" t="str">
        <f t="shared" si="4"/>
        <v>Stef D</v>
      </c>
      <c r="J81" s="4" t="str">
        <f t="shared" si="5"/>
        <v>Matthijs</v>
      </c>
    </row>
    <row r="82" spans="1:10" x14ac:dyDescent="0.25">
      <c r="A82" s="14">
        <v>82</v>
      </c>
      <c r="B82" s="15" t="s">
        <v>0</v>
      </c>
      <c r="C82" s="16" t="s">
        <v>3</v>
      </c>
      <c r="D82" s="17" t="s">
        <v>11</v>
      </c>
      <c r="E82" s="18" t="s">
        <v>6</v>
      </c>
      <c r="F82" s="1">
        <v>12</v>
      </c>
      <c r="G82" s="2">
        <v>14</v>
      </c>
      <c r="H82" s="3" t="str">
        <f t="shared" si="3"/>
        <v>GROEN</v>
      </c>
      <c r="I82" s="3" t="str">
        <f t="shared" si="4"/>
        <v>Matthijs</v>
      </c>
      <c r="J82" s="4" t="str">
        <f t="shared" si="5"/>
        <v>Stef D</v>
      </c>
    </row>
    <row r="83" spans="1:10" x14ac:dyDescent="0.25">
      <c r="A83" s="14">
        <v>83</v>
      </c>
      <c r="B83" s="15" t="s">
        <v>6</v>
      </c>
      <c r="C83" s="16" t="s">
        <v>3</v>
      </c>
      <c r="D83" s="17" t="s">
        <v>11</v>
      </c>
      <c r="E83" s="18" t="s">
        <v>0</v>
      </c>
      <c r="F83" s="1">
        <v>12</v>
      </c>
      <c r="G83" s="2">
        <v>10</v>
      </c>
      <c r="H83" s="3" t="str">
        <f t="shared" si="3"/>
        <v>ROOD</v>
      </c>
      <c r="I83" s="3" t="str">
        <f t="shared" si="4"/>
        <v>Stef D</v>
      </c>
      <c r="J83" s="4" t="str">
        <f t="shared" si="5"/>
        <v>Karel</v>
      </c>
    </row>
    <row r="84" spans="1:10" x14ac:dyDescent="0.25">
      <c r="A84" s="14">
        <v>84</v>
      </c>
      <c r="B84" s="15" t="s">
        <v>3</v>
      </c>
      <c r="C84" s="16" t="s">
        <v>6</v>
      </c>
      <c r="D84" s="17" t="s">
        <v>0</v>
      </c>
      <c r="E84" s="18" t="s">
        <v>11</v>
      </c>
      <c r="F84" s="1">
        <v>9</v>
      </c>
      <c r="G84" s="2">
        <v>11</v>
      </c>
      <c r="H84" s="3" t="str">
        <f t="shared" si="3"/>
        <v>GROEN</v>
      </c>
      <c r="I84" s="3" t="str">
        <f t="shared" si="4"/>
        <v>Jonas</v>
      </c>
      <c r="J84" s="4" t="str">
        <f t="shared" si="5"/>
        <v>Matthijs</v>
      </c>
    </row>
    <row r="85" spans="1:10" x14ac:dyDescent="0.25">
      <c r="A85" s="14">
        <v>85</v>
      </c>
      <c r="B85" s="15" t="s">
        <v>0</v>
      </c>
      <c r="C85" s="16" t="s">
        <v>6</v>
      </c>
      <c r="D85" s="17" t="s">
        <v>11</v>
      </c>
      <c r="E85" s="18" t="s">
        <v>3</v>
      </c>
      <c r="F85" s="1">
        <v>11</v>
      </c>
      <c r="G85" s="2">
        <v>5</v>
      </c>
      <c r="H85" s="3" t="str">
        <f t="shared" si="3"/>
        <v>ROOD</v>
      </c>
      <c r="I85" s="3" t="str">
        <f t="shared" si="4"/>
        <v>Jonas</v>
      </c>
      <c r="J85" s="4" t="str">
        <f t="shared" si="5"/>
        <v>Stef D</v>
      </c>
    </row>
    <row r="86" spans="1:10" x14ac:dyDescent="0.25">
      <c r="A86" s="14">
        <v>86</v>
      </c>
      <c r="B86" s="15" t="s">
        <v>6</v>
      </c>
      <c r="C86" s="16" t="s">
        <v>0</v>
      </c>
      <c r="D86" s="17" t="s">
        <v>3</v>
      </c>
      <c r="E86" s="18" t="s">
        <v>11</v>
      </c>
      <c r="F86" s="1">
        <v>11</v>
      </c>
      <c r="G86" s="2">
        <v>8</v>
      </c>
      <c r="H86" s="3" t="str">
        <f t="shared" si="3"/>
        <v>ROOD</v>
      </c>
      <c r="I86" s="3" t="str">
        <f t="shared" si="4"/>
        <v>Stef D</v>
      </c>
      <c r="J86" s="4" t="str">
        <f t="shared" si="5"/>
        <v>Jonas</v>
      </c>
    </row>
    <row r="87" spans="1:10" x14ac:dyDescent="0.25">
      <c r="A87" s="14">
        <v>87</v>
      </c>
      <c r="B87" s="15" t="s">
        <v>14</v>
      </c>
      <c r="C87" s="16" t="s">
        <v>6</v>
      </c>
      <c r="D87" s="17" t="s">
        <v>8</v>
      </c>
      <c r="E87" s="18" t="s">
        <v>13</v>
      </c>
      <c r="F87" s="1">
        <v>11</v>
      </c>
      <c r="G87" s="2">
        <v>6</v>
      </c>
      <c r="H87" s="3" t="str">
        <f t="shared" si="3"/>
        <v>ROOD</v>
      </c>
      <c r="I87" s="3" t="str">
        <f t="shared" si="4"/>
        <v>Stef C</v>
      </c>
      <c r="J87" s="4" t="str">
        <f t="shared" si="5"/>
        <v>Stef D</v>
      </c>
    </row>
    <row r="88" spans="1:10" x14ac:dyDescent="0.25">
      <c r="A88" s="14">
        <v>88</v>
      </c>
      <c r="B88" s="15" t="s">
        <v>0</v>
      </c>
      <c r="C88" s="16" t="s">
        <v>13</v>
      </c>
      <c r="D88" s="17" t="s">
        <v>14</v>
      </c>
      <c r="E88" s="18" t="s">
        <v>7</v>
      </c>
      <c r="F88" s="1">
        <v>11</v>
      </c>
      <c r="G88" s="2">
        <v>8</v>
      </c>
      <c r="H88" s="3" t="str">
        <f t="shared" si="3"/>
        <v>ROOD</v>
      </c>
      <c r="I88" s="3" t="str">
        <f t="shared" si="4"/>
        <v>Jonas</v>
      </c>
      <c r="J88" s="4" t="str">
        <f t="shared" si="5"/>
        <v>Bert</v>
      </c>
    </row>
    <row r="89" spans="1:10" x14ac:dyDescent="0.25">
      <c r="A89" s="14">
        <v>89</v>
      </c>
      <c r="B89" s="15" t="s">
        <v>8</v>
      </c>
      <c r="C89" s="16" t="s">
        <v>7</v>
      </c>
      <c r="D89" s="17" t="s">
        <v>0</v>
      </c>
      <c r="E89" s="18" t="s">
        <v>6</v>
      </c>
      <c r="F89" s="1">
        <v>11</v>
      </c>
      <c r="G89" s="2">
        <v>3</v>
      </c>
      <c r="H89" s="3" t="str">
        <f t="shared" si="3"/>
        <v>ROOD</v>
      </c>
      <c r="I89" s="3" t="str">
        <f t="shared" si="4"/>
        <v>Louis</v>
      </c>
      <c r="J89" s="4" t="str">
        <f t="shared" si="5"/>
        <v>Tiemen</v>
      </c>
    </row>
    <row r="90" spans="1:10" x14ac:dyDescent="0.25">
      <c r="A90" s="14">
        <v>90</v>
      </c>
      <c r="B90" s="15" t="s">
        <v>7</v>
      </c>
      <c r="C90" s="16" t="s">
        <v>6</v>
      </c>
      <c r="D90" s="17" t="s">
        <v>0</v>
      </c>
      <c r="E90" s="18" t="s">
        <v>13</v>
      </c>
      <c r="F90" s="1">
        <v>9</v>
      </c>
      <c r="G90" s="2">
        <v>11</v>
      </c>
      <c r="H90" s="3" t="str">
        <f t="shared" si="3"/>
        <v>GROEN</v>
      </c>
      <c r="I90" s="3" t="str">
        <f t="shared" si="4"/>
        <v>Jonas</v>
      </c>
      <c r="J90" s="4" t="str">
        <f t="shared" si="5"/>
        <v>Bert</v>
      </c>
    </row>
    <row r="91" spans="1:10" x14ac:dyDescent="0.25">
      <c r="A91" s="14">
        <v>91</v>
      </c>
      <c r="B91" s="15" t="s">
        <v>6</v>
      </c>
      <c r="C91" s="16" t="s">
        <v>13</v>
      </c>
      <c r="D91" s="17" t="s">
        <v>0</v>
      </c>
      <c r="E91" s="18" t="s">
        <v>8</v>
      </c>
      <c r="F91" s="1">
        <v>10</v>
      </c>
      <c r="G91" s="2">
        <v>12</v>
      </c>
      <c r="H91" s="3" t="str">
        <f t="shared" si="3"/>
        <v>GROEN</v>
      </c>
      <c r="I91" s="3" t="str">
        <f t="shared" si="4"/>
        <v>Jonas</v>
      </c>
      <c r="J91" s="4" t="str">
        <f t="shared" si="5"/>
        <v>Louis</v>
      </c>
    </row>
    <row r="92" spans="1:10" x14ac:dyDescent="0.25">
      <c r="A92" s="14">
        <v>92</v>
      </c>
      <c r="B92" s="15" t="s">
        <v>6</v>
      </c>
      <c r="C92" s="16" t="s">
        <v>0</v>
      </c>
      <c r="D92" s="17" t="s">
        <v>13</v>
      </c>
      <c r="E92" s="18" t="s">
        <v>7</v>
      </c>
      <c r="F92" s="1">
        <v>10</v>
      </c>
      <c r="G92" s="2">
        <v>12</v>
      </c>
      <c r="H92" s="3" t="str">
        <f t="shared" si="3"/>
        <v>GROEN</v>
      </c>
      <c r="I92" s="3" t="str">
        <f t="shared" si="4"/>
        <v>Bert</v>
      </c>
      <c r="J92" s="4" t="str">
        <f t="shared" si="5"/>
        <v>Tiemen</v>
      </c>
    </row>
    <row r="93" spans="1:10" x14ac:dyDescent="0.25">
      <c r="A93" s="14">
        <v>93</v>
      </c>
      <c r="B93" s="15" t="s">
        <v>0</v>
      </c>
      <c r="C93" s="16" t="s">
        <v>6</v>
      </c>
      <c r="D93" s="17" t="s">
        <v>8</v>
      </c>
      <c r="E93" s="18" t="s">
        <v>13</v>
      </c>
      <c r="F93" s="1">
        <v>10</v>
      </c>
      <c r="G93" s="2">
        <v>12</v>
      </c>
      <c r="H93" s="3" t="str">
        <f t="shared" si="3"/>
        <v>GROEN</v>
      </c>
      <c r="I93" s="3" t="str">
        <f t="shared" si="4"/>
        <v>Louis</v>
      </c>
      <c r="J93" s="4" t="str">
        <f t="shared" si="5"/>
        <v>Bert</v>
      </c>
    </row>
    <row r="94" spans="1:10" x14ac:dyDescent="0.25">
      <c r="A94" s="14">
        <v>94</v>
      </c>
      <c r="B94" s="15" t="s">
        <v>8</v>
      </c>
      <c r="C94" s="16" t="s">
        <v>6</v>
      </c>
      <c r="D94" s="17" t="s">
        <v>0</v>
      </c>
      <c r="E94" s="18" t="s">
        <v>13</v>
      </c>
      <c r="F94" s="1">
        <v>11</v>
      </c>
      <c r="G94" s="2">
        <v>8</v>
      </c>
      <c r="H94" s="3" t="str">
        <f t="shared" si="3"/>
        <v>ROOD</v>
      </c>
      <c r="I94" s="3" t="str">
        <f t="shared" si="4"/>
        <v>Louis</v>
      </c>
      <c r="J94" s="4" t="str">
        <f t="shared" si="5"/>
        <v>Stef D</v>
      </c>
    </row>
    <row r="95" spans="1:10" x14ac:dyDescent="0.25">
      <c r="A95" s="14">
        <v>95</v>
      </c>
      <c r="B95" s="15" t="s">
        <v>8</v>
      </c>
      <c r="C95" s="16" t="s">
        <v>13</v>
      </c>
      <c r="D95" s="17" t="s">
        <v>0</v>
      </c>
      <c r="E95" s="18" t="s">
        <v>6</v>
      </c>
      <c r="F95" s="1">
        <v>10</v>
      </c>
      <c r="G95" s="2">
        <v>12</v>
      </c>
      <c r="H95" s="3" t="str">
        <f t="shared" si="3"/>
        <v>GROEN</v>
      </c>
      <c r="I95" s="3" t="str">
        <f t="shared" si="4"/>
        <v>Jonas</v>
      </c>
      <c r="J95" s="4" t="str">
        <f t="shared" si="5"/>
        <v>Stef D</v>
      </c>
    </row>
    <row r="96" spans="1:10" x14ac:dyDescent="0.25">
      <c r="A96" s="14">
        <v>96</v>
      </c>
      <c r="B96" s="15" t="s">
        <v>11</v>
      </c>
      <c r="C96" s="16" t="s">
        <v>6</v>
      </c>
      <c r="D96" s="17" t="s">
        <v>15</v>
      </c>
      <c r="E96" s="18" t="s">
        <v>8</v>
      </c>
      <c r="F96" s="1">
        <v>11</v>
      </c>
      <c r="G96" s="2">
        <v>5</v>
      </c>
      <c r="H96" s="3" t="str">
        <f t="shared" si="3"/>
        <v>ROOD</v>
      </c>
      <c r="I96" s="3" t="str">
        <f t="shared" si="4"/>
        <v>Matthijs</v>
      </c>
      <c r="J96" s="4" t="str">
        <f t="shared" si="5"/>
        <v>Stef D</v>
      </c>
    </row>
    <row r="97" spans="1:10" x14ac:dyDescent="0.25">
      <c r="A97" s="14">
        <v>97</v>
      </c>
      <c r="B97" s="15" t="s">
        <v>3</v>
      </c>
      <c r="C97" s="16" t="s">
        <v>6</v>
      </c>
      <c r="D97" s="17" t="s">
        <v>8</v>
      </c>
      <c r="E97" s="18" t="s">
        <v>15</v>
      </c>
      <c r="F97" s="1">
        <v>11</v>
      </c>
      <c r="G97" s="2">
        <v>7</v>
      </c>
      <c r="H97" s="3" t="str">
        <f t="shared" si="3"/>
        <v>ROOD</v>
      </c>
      <c r="I97" s="3" t="str">
        <f t="shared" si="4"/>
        <v>Karel</v>
      </c>
      <c r="J97" s="4" t="str">
        <f t="shared" si="5"/>
        <v>Stef D</v>
      </c>
    </row>
    <row r="98" spans="1:10" x14ac:dyDescent="0.25">
      <c r="A98" s="14">
        <v>98</v>
      </c>
      <c r="B98" s="15" t="s">
        <v>11</v>
      </c>
      <c r="C98" s="16" t="s">
        <v>6</v>
      </c>
      <c r="D98" s="17" t="s">
        <v>3</v>
      </c>
      <c r="E98" s="18" t="s">
        <v>8</v>
      </c>
      <c r="F98" s="1">
        <v>11</v>
      </c>
      <c r="G98" s="2">
        <v>6</v>
      </c>
      <c r="H98" s="3" t="str">
        <f t="shared" si="3"/>
        <v>ROOD</v>
      </c>
      <c r="I98" s="3" t="str">
        <f t="shared" si="4"/>
        <v>Matthijs</v>
      </c>
      <c r="J98" s="4" t="str">
        <f t="shared" si="5"/>
        <v>Stef D</v>
      </c>
    </row>
    <row r="99" spans="1:10" x14ac:dyDescent="0.25">
      <c r="A99" s="14">
        <v>99</v>
      </c>
      <c r="B99" s="15" t="s">
        <v>11</v>
      </c>
      <c r="C99" s="16" t="s">
        <v>15</v>
      </c>
      <c r="D99" s="17" t="s">
        <v>6</v>
      </c>
      <c r="E99" s="18" t="s">
        <v>3</v>
      </c>
      <c r="F99" s="1">
        <v>3</v>
      </c>
      <c r="G99" s="2">
        <v>11</v>
      </c>
      <c r="H99" s="3" t="str">
        <f t="shared" si="3"/>
        <v>GROEN</v>
      </c>
      <c r="I99" s="3" t="str">
        <f t="shared" si="4"/>
        <v>Stef D</v>
      </c>
      <c r="J99" s="4" t="str">
        <f t="shared" si="5"/>
        <v>Karel</v>
      </c>
    </row>
    <row r="100" spans="1:10" x14ac:dyDescent="0.25">
      <c r="A100" s="14">
        <v>100</v>
      </c>
      <c r="B100" s="15" t="s">
        <v>15</v>
      </c>
      <c r="C100" s="16" t="s">
        <v>3</v>
      </c>
      <c r="D100" s="17" t="s">
        <v>8</v>
      </c>
      <c r="E100" s="18" t="s">
        <v>6</v>
      </c>
      <c r="F100" s="1">
        <v>9</v>
      </c>
      <c r="G100" s="2">
        <v>11</v>
      </c>
      <c r="H100" s="3" t="str">
        <f t="shared" si="3"/>
        <v>GROEN</v>
      </c>
      <c r="I100" s="3" t="str">
        <f t="shared" si="4"/>
        <v>Louis</v>
      </c>
      <c r="J100" s="4" t="str">
        <f t="shared" si="5"/>
        <v>Stef D</v>
      </c>
    </row>
    <row r="101" spans="1:10" x14ac:dyDescent="0.25">
      <c r="A101" s="14">
        <v>101</v>
      </c>
      <c r="B101" s="15" t="s">
        <v>3</v>
      </c>
      <c r="C101" s="16" t="s">
        <v>15</v>
      </c>
      <c r="D101" s="17" t="s">
        <v>11</v>
      </c>
      <c r="E101" s="18" t="s">
        <v>8</v>
      </c>
      <c r="F101" s="1">
        <v>10</v>
      </c>
      <c r="G101" s="2">
        <v>12</v>
      </c>
      <c r="H101" s="3" t="str">
        <f t="shared" si="3"/>
        <v>GROEN</v>
      </c>
      <c r="I101" s="3" t="str">
        <f t="shared" si="4"/>
        <v>Matthijs</v>
      </c>
      <c r="J101" s="4" t="str">
        <f t="shared" si="5"/>
        <v>Louis</v>
      </c>
    </row>
    <row r="102" spans="1:10" x14ac:dyDescent="0.25">
      <c r="A102" s="14">
        <v>102</v>
      </c>
      <c r="B102" s="15" t="s">
        <v>15</v>
      </c>
      <c r="C102" s="16" t="s">
        <v>3</v>
      </c>
      <c r="D102" s="17" t="s">
        <v>11</v>
      </c>
      <c r="E102" s="18" t="s">
        <v>8</v>
      </c>
      <c r="F102" s="1">
        <v>11</v>
      </c>
      <c r="G102" s="2">
        <v>7</v>
      </c>
      <c r="H102" s="3" t="str">
        <f t="shared" si="3"/>
        <v>ROOD</v>
      </c>
      <c r="I102" s="3" t="str">
        <f t="shared" si="4"/>
        <v>Stijn</v>
      </c>
      <c r="J102" s="4" t="str">
        <f t="shared" si="5"/>
        <v>Karel</v>
      </c>
    </row>
    <row r="103" spans="1:10" x14ac:dyDescent="0.25">
      <c r="A103" s="14">
        <v>103</v>
      </c>
      <c r="B103" s="15" t="s">
        <v>14</v>
      </c>
      <c r="C103" s="16" t="s">
        <v>0</v>
      </c>
      <c r="D103" s="17" t="s">
        <v>7</v>
      </c>
      <c r="E103" s="18" t="s">
        <v>13</v>
      </c>
      <c r="F103" s="1">
        <v>11</v>
      </c>
      <c r="G103" s="2">
        <v>5</v>
      </c>
      <c r="H103" s="3" t="str">
        <f t="shared" si="3"/>
        <v>ROOD</v>
      </c>
      <c r="I103" s="3" t="str">
        <f t="shared" si="4"/>
        <v>Stef C</v>
      </c>
      <c r="J103" s="4" t="str">
        <f t="shared" si="5"/>
        <v>Jonas</v>
      </c>
    </row>
    <row r="104" spans="1:10" x14ac:dyDescent="0.25">
      <c r="A104" s="14">
        <v>104</v>
      </c>
      <c r="B104" s="15" t="s">
        <v>6</v>
      </c>
      <c r="C104" s="16" t="s">
        <v>13</v>
      </c>
      <c r="D104" s="17" t="s">
        <v>0</v>
      </c>
      <c r="E104" s="18" t="s">
        <v>7</v>
      </c>
      <c r="F104" s="1">
        <v>6</v>
      </c>
      <c r="G104" s="2">
        <v>11</v>
      </c>
      <c r="H104" s="3" t="str">
        <f t="shared" si="3"/>
        <v>GROEN</v>
      </c>
      <c r="I104" s="3" t="str">
        <f t="shared" si="4"/>
        <v>Jonas</v>
      </c>
      <c r="J104" s="4" t="str">
        <f t="shared" si="5"/>
        <v>Tiemen</v>
      </c>
    </row>
    <row r="105" spans="1:10" x14ac:dyDescent="0.25">
      <c r="A105" s="14">
        <v>105</v>
      </c>
      <c r="B105" s="15" t="s">
        <v>14</v>
      </c>
      <c r="C105" s="16" t="s">
        <v>7</v>
      </c>
      <c r="D105" s="17" t="s">
        <v>0</v>
      </c>
      <c r="E105" s="18" t="s">
        <v>6</v>
      </c>
      <c r="F105" s="1">
        <v>11</v>
      </c>
      <c r="G105" s="2">
        <v>9</v>
      </c>
      <c r="H105" s="3" t="str">
        <f t="shared" si="3"/>
        <v>ROOD</v>
      </c>
      <c r="I105" s="3" t="str">
        <f t="shared" si="4"/>
        <v>Stef C</v>
      </c>
      <c r="J105" s="4" t="str">
        <f t="shared" si="5"/>
        <v>Tiemen</v>
      </c>
    </row>
    <row r="106" spans="1:10" x14ac:dyDescent="0.25">
      <c r="A106" s="14">
        <v>106</v>
      </c>
      <c r="B106" s="15" t="s">
        <v>3</v>
      </c>
      <c r="C106" s="16" t="s">
        <v>7</v>
      </c>
      <c r="D106" s="17" t="s">
        <v>0</v>
      </c>
      <c r="E106" s="18" t="s">
        <v>6</v>
      </c>
      <c r="F106" s="1">
        <v>9</v>
      </c>
      <c r="G106" s="2">
        <v>11</v>
      </c>
      <c r="H106" s="3" t="str">
        <f t="shared" si="3"/>
        <v>GROEN</v>
      </c>
      <c r="I106" s="3" t="str">
        <f t="shared" si="4"/>
        <v>Jonas</v>
      </c>
      <c r="J106" s="4" t="str">
        <f t="shared" si="5"/>
        <v>Stef D</v>
      </c>
    </row>
    <row r="107" spans="1:10" x14ac:dyDescent="0.25">
      <c r="A107" s="14">
        <v>107</v>
      </c>
      <c r="B107" s="15" t="s">
        <v>6</v>
      </c>
      <c r="C107" s="16" t="s">
        <v>0</v>
      </c>
      <c r="D107" s="17" t="s">
        <v>7</v>
      </c>
      <c r="E107" s="18" t="s">
        <v>3</v>
      </c>
      <c r="F107" s="1">
        <v>12</v>
      </c>
      <c r="G107" s="2">
        <v>10</v>
      </c>
      <c r="H107" s="3" t="str">
        <f t="shared" si="3"/>
        <v>ROOD</v>
      </c>
      <c r="I107" s="3" t="str">
        <f t="shared" si="4"/>
        <v>Stef D</v>
      </c>
      <c r="J107" s="4" t="str">
        <f t="shared" si="5"/>
        <v>Jonas</v>
      </c>
    </row>
    <row r="108" spans="1:10" x14ac:dyDescent="0.25">
      <c r="A108" s="14">
        <v>108</v>
      </c>
      <c r="B108" s="15" t="s">
        <v>3</v>
      </c>
      <c r="C108" s="16" t="s">
        <v>6</v>
      </c>
      <c r="D108" s="17" t="s">
        <v>0</v>
      </c>
      <c r="E108" s="18" t="s">
        <v>7</v>
      </c>
      <c r="F108" s="1">
        <v>11</v>
      </c>
      <c r="G108" s="2">
        <v>2</v>
      </c>
      <c r="H108" s="3" t="str">
        <f t="shared" si="3"/>
        <v>ROOD</v>
      </c>
      <c r="I108" s="3" t="str">
        <f t="shared" si="4"/>
        <v>Karel</v>
      </c>
      <c r="J108" s="4" t="str">
        <f t="shared" si="5"/>
        <v>Stef D</v>
      </c>
    </row>
    <row r="109" spans="1:10" x14ac:dyDescent="0.25">
      <c r="A109" s="14">
        <v>109</v>
      </c>
      <c r="B109" s="15" t="s">
        <v>7</v>
      </c>
      <c r="C109" s="16" t="s">
        <v>0</v>
      </c>
      <c r="D109" s="17" t="s">
        <v>6</v>
      </c>
      <c r="E109" s="18" t="s">
        <v>3</v>
      </c>
      <c r="F109" s="1">
        <v>7</v>
      </c>
      <c r="G109" s="2">
        <v>11</v>
      </c>
      <c r="H109" s="3" t="str">
        <f t="shared" si="3"/>
        <v>GROEN</v>
      </c>
      <c r="I109" s="3" t="str">
        <f t="shared" si="4"/>
        <v>Stef D</v>
      </c>
      <c r="J109" s="4" t="str">
        <f t="shared" si="5"/>
        <v>Karel</v>
      </c>
    </row>
    <row r="110" spans="1:10" x14ac:dyDescent="0.25">
      <c r="A110" s="14">
        <v>110</v>
      </c>
      <c r="B110" s="15" t="s">
        <v>0</v>
      </c>
      <c r="C110" s="16" t="s">
        <v>3</v>
      </c>
      <c r="D110" s="17" t="s">
        <v>6</v>
      </c>
      <c r="E110" s="18" t="s">
        <v>7</v>
      </c>
      <c r="F110" s="1">
        <v>11</v>
      </c>
      <c r="G110" s="2">
        <v>4</v>
      </c>
      <c r="H110" s="3" t="str">
        <f t="shared" si="3"/>
        <v>ROOD</v>
      </c>
      <c r="I110" s="3" t="str">
        <f t="shared" si="4"/>
        <v>Jonas</v>
      </c>
      <c r="J110" s="4" t="str">
        <f t="shared" si="5"/>
        <v>Karel</v>
      </c>
    </row>
    <row r="111" spans="1:10" x14ac:dyDescent="0.25">
      <c r="A111" s="14">
        <v>111</v>
      </c>
      <c r="B111" s="15" t="s">
        <v>7</v>
      </c>
      <c r="C111" s="16" t="s">
        <v>6</v>
      </c>
      <c r="D111" s="17" t="s">
        <v>3</v>
      </c>
      <c r="E111" s="18" t="s">
        <v>0</v>
      </c>
      <c r="F111" s="1">
        <v>11</v>
      </c>
      <c r="G111" s="2">
        <v>9</v>
      </c>
      <c r="H111" s="3" t="str">
        <f t="shared" si="3"/>
        <v>ROOD</v>
      </c>
      <c r="I111" s="3" t="str">
        <f t="shared" si="4"/>
        <v>Tiemen</v>
      </c>
      <c r="J111" s="4" t="str">
        <f t="shared" si="5"/>
        <v>Stef D</v>
      </c>
    </row>
    <row r="112" spans="1:10" x14ac:dyDescent="0.25">
      <c r="A112" s="14">
        <v>112</v>
      </c>
      <c r="B112" s="15" t="s">
        <v>7</v>
      </c>
      <c r="C112" s="16" t="s">
        <v>3</v>
      </c>
      <c r="D112" s="17" t="s">
        <v>6</v>
      </c>
      <c r="E112" s="18" t="s">
        <v>0</v>
      </c>
      <c r="F112" s="1">
        <v>11</v>
      </c>
      <c r="G112" s="2">
        <v>9</v>
      </c>
      <c r="H112" s="3" t="str">
        <f t="shared" si="3"/>
        <v>ROOD</v>
      </c>
      <c r="I112" s="3" t="str">
        <f t="shared" si="4"/>
        <v>Tiemen</v>
      </c>
      <c r="J112" s="4" t="str">
        <f t="shared" si="5"/>
        <v>Karel</v>
      </c>
    </row>
    <row r="113" spans="1:10" x14ac:dyDescent="0.25">
      <c r="A113" s="14">
        <v>113</v>
      </c>
      <c r="B113" s="15" t="s">
        <v>6</v>
      </c>
      <c r="C113" s="16" t="s">
        <v>0</v>
      </c>
      <c r="D113" s="17" t="s">
        <v>3</v>
      </c>
      <c r="E113" s="18" t="s">
        <v>7</v>
      </c>
      <c r="F113" s="1">
        <v>10</v>
      </c>
      <c r="G113" s="2">
        <v>12</v>
      </c>
      <c r="H113" s="3" t="str">
        <f t="shared" si="3"/>
        <v>GROEN</v>
      </c>
      <c r="I113" s="3" t="str">
        <f t="shared" si="4"/>
        <v>Karel</v>
      </c>
      <c r="J113" s="4" t="str">
        <f t="shared" si="5"/>
        <v>Tiemen</v>
      </c>
    </row>
    <row r="114" spans="1:10" x14ac:dyDescent="0.25">
      <c r="A114" s="14">
        <v>114</v>
      </c>
      <c r="B114" s="15" t="s">
        <v>16</v>
      </c>
      <c r="C114" s="16" t="s">
        <v>6</v>
      </c>
      <c r="D114" s="17" t="s">
        <v>0</v>
      </c>
      <c r="E114" s="18" t="s">
        <v>17</v>
      </c>
      <c r="F114" s="1">
        <v>11</v>
      </c>
      <c r="G114" s="2">
        <v>9</v>
      </c>
      <c r="H114" s="3" t="str">
        <f t="shared" si="3"/>
        <v>ROOD</v>
      </c>
      <c r="I114" s="3" t="str">
        <f t="shared" si="4"/>
        <v xml:space="preserve">Karel </v>
      </c>
      <c r="J114" s="4" t="str">
        <f t="shared" si="5"/>
        <v>Stef D</v>
      </c>
    </row>
    <row r="115" spans="1:10" x14ac:dyDescent="0.25">
      <c r="A115" s="14">
        <v>115</v>
      </c>
      <c r="B115" s="15" t="s">
        <v>0</v>
      </c>
      <c r="C115" s="16" t="s">
        <v>8</v>
      </c>
      <c r="D115" s="17" t="s">
        <v>6</v>
      </c>
      <c r="E115" s="18" t="s">
        <v>7</v>
      </c>
      <c r="F115" s="1">
        <v>11</v>
      </c>
      <c r="G115" s="2">
        <v>6</v>
      </c>
      <c r="H115" s="3" t="str">
        <f t="shared" si="3"/>
        <v>ROOD</v>
      </c>
      <c r="I115" s="3" t="str">
        <f t="shared" si="4"/>
        <v>Jonas</v>
      </c>
      <c r="J115" s="4" t="str">
        <f t="shared" si="5"/>
        <v>Louis</v>
      </c>
    </row>
    <row r="116" spans="1:10" x14ac:dyDescent="0.25">
      <c r="A116" s="14">
        <v>116</v>
      </c>
      <c r="B116" s="15" t="s">
        <v>8</v>
      </c>
      <c r="C116" s="16" t="s">
        <v>0</v>
      </c>
      <c r="D116" s="17" t="s">
        <v>7</v>
      </c>
      <c r="E116" s="18" t="s">
        <v>3</v>
      </c>
      <c r="F116" s="1">
        <v>11</v>
      </c>
      <c r="G116" s="2">
        <v>4</v>
      </c>
      <c r="H116" s="3" t="str">
        <f t="shared" si="3"/>
        <v>ROOD</v>
      </c>
      <c r="I116" s="3" t="str">
        <f t="shared" si="4"/>
        <v>Louis</v>
      </c>
      <c r="J116" s="4" t="str">
        <f t="shared" si="5"/>
        <v>Jonas</v>
      </c>
    </row>
    <row r="117" spans="1:10" x14ac:dyDescent="0.25">
      <c r="A117" s="14">
        <v>117</v>
      </c>
      <c r="B117" s="15" t="s">
        <v>0</v>
      </c>
      <c r="C117" s="16" t="s">
        <v>6</v>
      </c>
      <c r="D117" s="17" t="s">
        <v>8</v>
      </c>
      <c r="E117" s="18" t="s">
        <v>3</v>
      </c>
      <c r="F117" s="1">
        <v>11</v>
      </c>
      <c r="G117" s="2">
        <v>9</v>
      </c>
      <c r="H117" s="3" t="str">
        <f t="shared" si="3"/>
        <v>ROOD</v>
      </c>
      <c r="I117" s="3" t="str">
        <f t="shared" si="4"/>
        <v>Jonas</v>
      </c>
      <c r="J117" s="4" t="str">
        <f t="shared" si="5"/>
        <v>Stef D</v>
      </c>
    </row>
    <row r="118" spans="1:10" x14ac:dyDescent="0.25">
      <c r="A118" s="14">
        <v>118</v>
      </c>
      <c r="B118" s="15" t="s">
        <v>0</v>
      </c>
      <c r="C118" s="16" t="s">
        <v>7</v>
      </c>
      <c r="D118" s="17" t="s">
        <v>6</v>
      </c>
      <c r="E118" s="18" t="s">
        <v>13</v>
      </c>
      <c r="F118" s="1">
        <v>11</v>
      </c>
      <c r="G118" s="2">
        <v>8</v>
      </c>
      <c r="H118" s="3" t="str">
        <f t="shared" si="3"/>
        <v>ROOD</v>
      </c>
      <c r="I118" s="3" t="str">
        <f t="shared" si="4"/>
        <v>Jonas</v>
      </c>
      <c r="J118" s="4" t="str">
        <f t="shared" si="5"/>
        <v>Tiemen</v>
      </c>
    </row>
    <row r="119" spans="1:10" x14ac:dyDescent="0.25">
      <c r="A119" s="14">
        <v>119</v>
      </c>
      <c r="B119" s="15" t="s">
        <v>3</v>
      </c>
      <c r="C119" s="16" t="s">
        <v>7</v>
      </c>
      <c r="D119" s="17" t="s">
        <v>8</v>
      </c>
      <c r="E119" s="18" t="s">
        <v>13</v>
      </c>
      <c r="F119" s="1">
        <v>11</v>
      </c>
      <c r="G119" s="2">
        <v>9</v>
      </c>
      <c r="H119" s="3" t="str">
        <f t="shared" si="3"/>
        <v>ROOD</v>
      </c>
      <c r="I119" s="3" t="str">
        <f t="shared" si="4"/>
        <v>Karel</v>
      </c>
      <c r="J119" s="4" t="str">
        <f t="shared" si="5"/>
        <v>Tiemen</v>
      </c>
    </row>
    <row r="120" spans="1:10" x14ac:dyDescent="0.25">
      <c r="A120" s="14">
        <v>120</v>
      </c>
      <c r="B120" s="15" t="s">
        <v>0</v>
      </c>
      <c r="C120" s="16" t="s">
        <v>13</v>
      </c>
      <c r="D120" s="17" t="s">
        <v>8</v>
      </c>
      <c r="E120" s="18" t="s">
        <v>6</v>
      </c>
      <c r="F120" s="1">
        <v>9</v>
      </c>
      <c r="G120" s="2">
        <v>11</v>
      </c>
      <c r="H120" s="3" t="str">
        <f t="shared" si="3"/>
        <v>GROEN</v>
      </c>
      <c r="I120" s="3" t="str">
        <f t="shared" si="4"/>
        <v>Louis</v>
      </c>
      <c r="J120" s="4" t="str">
        <f t="shared" si="5"/>
        <v>Stef D</v>
      </c>
    </row>
    <row r="121" spans="1:10" x14ac:dyDescent="0.25">
      <c r="A121" s="14">
        <v>121</v>
      </c>
      <c r="B121" s="15" t="s">
        <v>7</v>
      </c>
      <c r="C121" s="16" t="s">
        <v>6</v>
      </c>
      <c r="D121" s="17" t="s">
        <v>0</v>
      </c>
      <c r="E121" s="18" t="s">
        <v>3</v>
      </c>
      <c r="F121" s="1">
        <v>5</v>
      </c>
      <c r="G121" s="2">
        <v>11</v>
      </c>
      <c r="H121" s="3" t="str">
        <f t="shared" si="3"/>
        <v>GROEN</v>
      </c>
      <c r="I121" s="3" t="str">
        <f t="shared" si="4"/>
        <v>Jonas</v>
      </c>
      <c r="J121" s="4" t="str">
        <f t="shared" si="5"/>
        <v>Karel</v>
      </c>
    </row>
    <row r="122" spans="1:10" x14ac:dyDescent="0.25">
      <c r="A122" s="14">
        <v>122</v>
      </c>
      <c r="B122" s="15" t="s">
        <v>6</v>
      </c>
      <c r="C122" s="16" t="s">
        <v>8</v>
      </c>
      <c r="D122" s="17" t="s">
        <v>3</v>
      </c>
      <c r="E122" s="18" t="s">
        <v>13</v>
      </c>
      <c r="F122" s="1">
        <v>5</v>
      </c>
      <c r="G122" s="2">
        <v>11</v>
      </c>
      <c r="H122" s="3" t="str">
        <f t="shared" si="3"/>
        <v>GROEN</v>
      </c>
      <c r="I122" s="3" t="str">
        <f t="shared" si="4"/>
        <v>Karel</v>
      </c>
      <c r="J122" s="4" t="str">
        <f t="shared" si="5"/>
        <v>Bert</v>
      </c>
    </row>
    <row r="123" spans="1:10" x14ac:dyDescent="0.25">
      <c r="A123" s="14">
        <v>123</v>
      </c>
      <c r="B123" s="15" t="s">
        <v>6</v>
      </c>
      <c r="C123" s="16" t="s">
        <v>8</v>
      </c>
      <c r="D123" s="17" t="s">
        <v>13</v>
      </c>
      <c r="E123" s="18" t="s">
        <v>7</v>
      </c>
      <c r="F123" s="1">
        <v>4</v>
      </c>
      <c r="G123" s="2">
        <v>11</v>
      </c>
      <c r="H123" s="3" t="str">
        <f t="shared" si="3"/>
        <v>GROEN</v>
      </c>
      <c r="I123" s="3" t="str">
        <f t="shared" si="4"/>
        <v>Bert</v>
      </c>
      <c r="J123" s="4" t="str">
        <f t="shared" si="5"/>
        <v>Tiemen</v>
      </c>
    </row>
    <row r="124" spans="1:10" x14ac:dyDescent="0.25">
      <c r="A124" s="14">
        <v>124</v>
      </c>
      <c r="B124" s="15" t="s">
        <v>6</v>
      </c>
      <c r="C124" s="16" t="s">
        <v>3</v>
      </c>
      <c r="D124" s="17" t="s">
        <v>8</v>
      </c>
      <c r="E124" s="18" t="s">
        <v>13</v>
      </c>
      <c r="F124" s="1">
        <v>6</v>
      </c>
      <c r="G124" s="2">
        <v>11</v>
      </c>
      <c r="H124" s="3" t="str">
        <f t="shared" si="3"/>
        <v>GROEN</v>
      </c>
      <c r="I124" s="3" t="str">
        <f t="shared" si="4"/>
        <v>Louis</v>
      </c>
      <c r="J124" s="4" t="str">
        <f t="shared" si="5"/>
        <v>Bert</v>
      </c>
    </row>
    <row r="125" spans="1:10" x14ac:dyDescent="0.25">
      <c r="A125" s="14">
        <v>125</v>
      </c>
      <c r="B125" s="15" t="s">
        <v>6</v>
      </c>
      <c r="C125" s="16" t="s">
        <v>7</v>
      </c>
      <c r="D125" s="17" t="s">
        <v>3</v>
      </c>
      <c r="E125" s="18" t="s">
        <v>13</v>
      </c>
      <c r="F125" s="1">
        <v>13</v>
      </c>
      <c r="G125" s="2">
        <v>11</v>
      </c>
      <c r="H125" s="3" t="str">
        <f t="shared" si="3"/>
        <v>ROOD</v>
      </c>
      <c r="I125" s="3" t="str">
        <f t="shared" si="4"/>
        <v>Stef D</v>
      </c>
      <c r="J125" s="4" t="str">
        <f t="shared" si="5"/>
        <v>Tiemen</v>
      </c>
    </row>
    <row r="126" spans="1:10" x14ac:dyDescent="0.25">
      <c r="A126" s="14">
        <v>126</v>
      </c>
      <c r="B126" s="15" t="s">
        <v>13</v>
      </c>
      <c r="C126" s="16" t="s">
        <v>7</v>
      </c>
      <c r="D126" s="17" t="s">
        <v>3</v>
      </c>
      <c r="E126" s="18" t="s">
        <v>8</v>
      </c>
      <c r="F126" s="1">
        <v>11</v>
      </c>
      <c r="G126" s="2">
        <v>7</v>
      </c>
      <c r="H126" s="3" t="str">
        <f t="shared" si="3"/>
        <v>ROOD</v>
      </c>
      <c r="I126" s="3" t="str">
        <f t="shared" si="4"/>
        <v>Bert</v>
      </c>
      <c r="J126" s="4" t="str">
        <f t="shared" si="5"/>
        <v>Tiemen</v>
      </c>
    </row>
    <row r="127" spans="1:10" x14ac:dyDescent="0.25">
      <c r="A127" s="14">
        <v>127</v>
      </c>
      <c r="B127" s="15" t="s">
        <v>7</v>
      </c>
      <c r="C127" s="16" t="s">
        <v>13</v>
      </c>
      <c r="D127" s="17" t="s">
        <v>8</v>
      </c>
      <c r="E127" s="18" t="s">
        <v>3</v>
      </c>
      <c r="F127" s="1">
        <v>11</v>
      </c>
      <c r="G127" s="2">
        <v>3</v>
      </c>
      <c r="H127" s="3" t="str">
        <f t="shared" si="3"/>
        <v>ROOD</v>
      </c>
      <c r="I127" s="3" t="str">
        <f t="shared" si="4"/>
        <v>Tiemen</v>
      </c>
      <c r="J127" s="4" t="str">
        <f t="shared" si="5"/>
        <v>Bert</v>
      </c>
    </row>
    <row r="128" spans="1:10" x14ac:dyDescent="0.25">
      <c r="A128" s="14">
        <v>128</v>
      </c>
      <c r="B128" s="15" t="s">
        <v>8</v>
      </c>
      <c r="C128" s="16" t="s">
        <v>6</v>
      </c>
      <c r="D128" s="17" t="s">
        <v>0</v>
      </c>
      <c r="E128" s="18" t="s">
        <v>7</v>
      </c>
      <c r="F128" s="1">
        <v>12</v>
      </c>
      <c r="G128" s="2">
        <v>10</v>
      </c>
      <c r="H128" s="3" t="str">
        <f t="shared" si="3"/>
        <v>ROOD</v>
      </c>
      <c r="I128" s="3" t="str">
        <f t="shared" si="4"/>
        <v>Louis</v>
      </c>
      <c r="J128" s="4" t="str">
        <f t="shared" si="5"/>
        <v>Stef D</v>
      </c>
    </row>
    <row r="129" spans="1:10" x14ac:dyDescent="0.25">
      <c r="A129" s="14">
        <v>129</v>
      </c>
      <c r="B129" s="15" t="s">
        <v>3</v>
      </c>
      <c r="C129" s="16" t="s">
        <v>13</v>
      </c>
      <c r="D129" s="17" t="s">
        <v>11</v>
      </c>
      <c r="E129" s="18" t="s">
        <v>7</v>
      </c>
      <c r="F129" s="1">
        <v>11</v>
      </c>
      <c r="G129" s="2">
        <v>4</v>
      </c>
      <c r="H129" s="3" t="str">
        <f t="shared" si="3"/>
        <v>ROOD</v>
      </c>
      <c r="I129" s="3" t="str">
        <f t="shared" si="4"/>
        <v>Karel</v>
      </c>
      <c r="J129" s="4" t="str">
        <f t="shared" si="5"/>
        <v>Bert</v>
      </c>
    </row>
    <row r="130" spans="1:10" x14ac:dyDescent="0.25">
      <c r="A130" s="14">
        <v>130</v>
      </c>
      <c r="B130" s="15" t="s">
        <v>8</v>
      </c>
      <c r="C130" s="16" t="s">
        <v>3</v>
      </c>
      <c r="D130" s="17" t="s">
        <v>11</v>
      </c>
      <c r="E130" s="18" t="s">
        <v>0</v>
      </c>
      <c r="F130" s="1">
        <v>11</v>
      </c>
      <c r="G130" s="2">
        <v>5</v>
      </c>
      <c r="H130" s="3" t="str">
        <f t="shared" ref="H130:H193" si="6">IF(F130&gt;G130,"ROOD",IF(F130=G130,"","GROEN"))</f>
        <v>ROOD</v>
      </c>
      <c r="I130" s="3" t="str">
        <f t="shared" ref="I130:I193" si="7">IF(F130&gt;G130,B130,IF(F130=0,"",D130))</f>
        <v>Louis</v>
      </c>
      <c r="J130" s="4" t="str">
        <f t="shared" ref="J130:J193" si="8">IF(F130&gt;G130,C130,IF(F130=0,"",E130))</f>
        <v>Karel</v>
      </c>
    </row>
    <row r="131" spans="1:10" x14ac:dyDescent="0.25">
      <c r="A131" s="14">
        <v>131</v>
      </c>
      <c r="B131" s="15" t="s">
        <v>0</v>
      </c>
      <c r="C131" s="16" t="s">
        <v>3</v>
      </c>
      <c r="D131" s="17" t="s">
        <v>8</v>
      </c>
      <c r="E131" s="18" t="s">
        <v>13</v>
      </c>
      <c r="F131" s="1">
        <v>11</v>
      </c>
      <c r="G131" s="2">
        <v>8</v>
      </c>
      <c r="H131" s="3" t="str">
        <f t="shared" si="6"/>
        <v>ROOD</v>
      </c>
      <c r="I131" s="3" t="str">
        <f t="shared" si="7"/>
        <v>Jonas</v>
      </c>
      <c r="J131" s="4" t="str">
        <f t="shared" si="8"/>
        <v>Karel</v>
      </c>
    </row>
    <row r="132" spans="1:10" x14ac:dyDescent="0.25">
      <c r="A132" s="14">
        <v>132</v>
      </c>
      <c r="B132" s="15" t="s">
        <v>6</v>
      </c>
      <c r="C132" s="16" t="s">
        <v>7</v>
      </c>
      <c r="D132" s="17" t="s">
        <v>11</v>
      </c>
      <c r="E132" s="18" t="s">
        <v>8</v>
      </c>
      <c r="F132" s="1">
        <v>11</v>
      </c>
      <c r="G132" s="2">
        <v>3</v>
      </c>
      <c r="H132" s="3" t="str">
        <f t="shared" si="6"/>
        <v>ROOD</v>
      </c>
      <c r="I132" s="3" t="str">
        <f t="shared" si="7"/>
        <v>Stef D</v>
      </c>
      <c r="J132" s="4" t="str">
        <f t="shared" si="8"/>
        <v>Tiemen</v>
      </c>
    </row>
    <row r="133" spans="1:10" x14ac:dyDescent="0.25">
      <c r="A133" s="14">
        <v>133</v>
      </c>
      <c r="B133" s="15" t="s">
        <v>0</v>
      </c>
      <c r="C133" s="16" t="s">
        <v>13</v>
      </c>
      <c r="D133" s="17" t="s">
        <v>3</v>
      </c>
      <c r="E133" s="18" t="s">
        <v>7</v>
      </c>
      <c r="F133" s="1">
        <v>12</v>
      </c>
      <c r="G133" s="2">
        <v>10</v>
      </c>
      <c r="H133" s="3" t="str">
        <f t="shared" si="6"/>
        <v>ROOD</v>
      </c>
      <c r="I133" s="3" t="str">
        <f t="shared" si="7"/>
        <v>Jonas</v>
      </c>
      <c r="J133" s="4" t="str">
        <f t="shared" si="8"/>
        <v>Bert</v>
      </c>
    </row>
    <row r="134" spans="1:10" x14ac:dyDescent="0.25">
      <c r="A134" s="14">
        <v>134</v>
      </c>
      <c r="B134" s="15" t="s">
        <v>8</v>
      </c>
      <c r="C134" s="16" t="s">
        <v>11</v>
      </c>
      <c r="D134" s="17" t="s">
        <v>3</v>
      </c>
      <c r="E134" s="18" t="s">
        <v>6</v>
      </c>
      <c r="F134" s="1">
        <v>3</v>
      </c>
      <c r="G134" s="2">
        <v>11</v>
      </c>
      <c r="H134" s="3" t="str">
        <f t="shared" si="6"/>
        <v>GROEN</v>
      </c>
      <c r="I134" s="3" t="str">
        <f t="shared" si="7"/>
        <v>Karel</v>
      </c>
      <c r="J134" s="4" t="str">
        <f t="shared" si="8"/>
        <v>Stef D</v>
      </c>
    </row>
    <row r="135" spans="1:10" x14ac:dyDescent="0.25">
      <c r="A135" s="14">
        <v>135</v>
      </c>
      <c r="B135" s="15" t="s">
        <v>0</v>
      </c>
      <c r="C135" s="16" t="s">
        <v>11</v>
      </c>
      <c r="D135" s="17" t="s">
        <v>8</v>
      </c>
      <c r="E135" s="18" t="s">
        <v>13</v>
      </c>
      <c r="F135" s="1">
        <v>7</v>
      </c>
      <c r="G135" s="2">
        <v>11</v>
      </c>
      <c r="H135" s="3" t="str">
        <f t="shared" si="6"/>
        <v>GROEN</v>
      </c>
      <c r="I135" s="3" t="str">
        <f t="shared" si="7"/>
        <v>Louis</v>
      </c>
      <c r="J135" s="4" t="str">
        <f t="shared" si="8"/>
        <v>Bert</v>
      </c>
    </row>
    <row r="136" spans="1:10" x14ac:dyDescent="0.25">
      <c r="A136" s="14">
        <v>136</v>
      </c>
      <c r="B136" s="15" t="s">
        <v>6</v>
      </c>
      <c r="C136" s="16" t="s">
        <v>13</v>
      </c>
      <c r="D136" s="17" t="s">
        <v>3</v>
      </c>
      <c r="E136" s="18" t="s">
        <v>0</v>
      </c>
      <c r="F136" s="1">
        <v>11</v>
      </c>
      <c r="G136" s="2">
        <v>9</v>
      </c>
      <c r="H136" s="3" t="str">
        <f t="shared" si="6"/>
        <v>ROOD</v>
      </c>
      <c r="I136" s="3" t="str">
        <f t="shared" si="7"/>
        <v>Stef D</v>
      </c>
      <c r="J136" s="4" t="str">
        <f t="shared" si="8"/>
        <v>Bert</v>
      </c>
    </row>
    <row r="137" spans="1:10" x14ac:dyDescent="0.25">
      <c r="A137" s="14">
        <v>137</v>
      </c>
      <c r="B137" s="15" t="s">
        <v>0</v>
      </c>
      <c r="C137" s="16" t="s">
        <v>3</v>
      </c>
      <c r="D137" s="17" t="s">
        <v>11</v>
      </c>
      <c r="E137" s="18" t="s">
        <v>8</v>
      </c>
      <c r="F137" s="1">
        <v>11</v>
      </c>
      <c r="G137" s="2">
        <v>5</v>
      </c>
      <c r="H137" s="3" t="str">
        <f t="shared" si="6"/>
        <v>ROOD</v>
      </c>
      <c r="I137" s="3" t="str">
        <f t="shared" si="7"/>
        <v>Jonas</v>
      </c>
      <c r="J137" s="4" t="str">
        <f t="shared" si="8"/>
        <v>Karel</v>
      </c>
    </row>
    <row r="138" spans="1:10" x14ac:dyDescent="0.25">
      <c r="A138" s="14">
        <v>138</v>
      </c>
      <c r="B138" s="15" t="s">
        <v>8</v>
      </c>
      <c r="C138" s="16" t="s">
        <v>0</v>
      </c>
      <c r="D138" s="17" t="s">
        <v>11</v>
      </c>
      <c r="E138" s="18" t="s">
        <v>6</v>
      </c>
      <c r="F138" s="1">
        <v>7</v>
      </c>
      <c r="G138" s="2">
        <v>11</v>
      </c>
      <c r="H138" s="3" t="str">
        <f t="shared" si="6"/>
        <v>GROEN</v>
      </c>
      <c r="I138" s="3" t="str">
        <f t="shared" si="7"/>
        <v>Matthijs</v>
      </c>
      <c r="J138" s="4" t="str">
        <f t="shared" si="8"/>
        <v>Stef D</v>
      </c>
    </row>
    <row r="139" spans="1:10" x14ac:dyDescent="0.25">
      <c r="A139" s="14">
        <v>139</v>
      </c>
      <c r="B139" s="15" t="s">
        <v>0</v>
      </c>
      <c r="C139" s="16" t="s">
        <v>6</v>
      </c>
      <c r="D139" s="17" t="s">
        <v>8</v>
      </c>
      <c r="E139" s="18" t="s">
        <v>3</v>
      </c>
      <c r="F139" s="1">
        <v>11</v>
      </c>
      <c r="G139" s="2">
        <v>6</v>
      </c>
      <c r="H139" s="3" t="str">
        <f t="shared" si="6"/>
        <v>ROOD</v>
      </c>
      <c r="I139" s="3" t="str">
        <f t="shared" si="7"/>
        <v>Jonas</v>
      </c>
      <c r="J139" s="4" t="str">
        <f t="shared" si="8"/>
        <v>Stef D</v>
      </c>
    </row>
    <row r="140" spans="1:10" x14ac:dyDescent="0.25">
      <c r="A140" s="14">
        <v>140</v>
      </c>
      <c r="B140" s="15" t="s">
        <v>8</v>
      </c>
      <c r="C140" s="16" t="s">
        <v>6</v>
      </c>
      <c r="D140" s="17" t="s">
        <v>0</v>
      </c>
      <c r="E140" s="18" t="s">
        <v>13</v>
      </c>
      <c r="F140" s="1">
        <v>11</v>
      </c>
      <c r="G140" s="2">
        <v>6</v>
      </c>
      <c r="H140" s="3" t="str">
        <f t="shared" si="6"/>
        <v>ROOD</v>
      </c>
      <c r="I140" s="3" t="str">
        <f t="shared" si="7"/>
        <v>Louis</v>
      </c>
      <c r="J140" s="4" t="str">
        <f t="shared" si="8"/>
        <v>Stef D</v>
      </c>
    </row>
    <row r="141" spans="1:10" x14ac:dyDescent="0.25">
      <c r="A141" s="14">
        <v>141</v>
      </c>
      <c r="B141" s="15" t="s">
        <v>6</v>
      </c>
      <c r="C141" s="16" t="s">
        <v>13</v>
      </c>
      <c r="D141" s="17" t="s">
        <v>8</v>
      </c>
      <c r="E141" s="18" t="s">
        <v>0</v>
      </c>
      <c r="F141" s="1">
        <v>11</v>
      </c>
      <c r="G141" s="2">
        <v>5</v>
      </c>
      <c r="H141" s="3" t="str">
        <f t="shared" si="6"/>
        <v>ROOD</v>
      </c>
      <c r="I141" s="3" t="str">
        <f t="shared" si="7"/>
        <v>Stef D</v>
      </c>
      <c r="J141" s="4" t="str">
        <f t="shared" si="8"/>
        <v>Bert</v>
      </c>
    </row>
    <row r="142" spans="1:10" x14ac:dyDescent="0.25">
      <c r="A142" s="14">
        <v>142</v>
      </c>
      <c r="B142" s="15" t="s">
        <v>0</v>
      </c>
      <c r="C142" s="16" t="s">
        <v>6</v>
      </c>
      <c r="D142" s="17" t="s">
        <v>8</v>
      </c>
      <c r="E142" s="18" t="s">
        <v>18</v>
      </c>
      <c r="F142" s="1">
        <v>10</v>
      </c>
      <c r="G142" s="2">
        <v>12</v>
      </c>
      <c r="H142" s="3" t="str">
        <f t="shared" si="6"/>
        <v>GROEN</v>
      </c>
      <c r="I142" s="3" t="str">
        <f t="shared" si="7"/>
        <v>Louis</v>
      </c>
      <c r="J142" s="4" t="str">
        <f t="shared" si="8"/>
        <v xml:space="preserve">Bert </v>
      </c>
    </row>
    <row r="143" spans="1:10" x14ac:dyDescent="0.25">
      <c r="A143" s="14">
        <v>143</v>
      </c>
      <c r="B143" s="15" t="s">
        <v>0</v>
      </c>
      <c r="C143" s="16" t="s">
        <v>13</v>
      </c>
      <c r="D143" s="17" t="s">
        <v>8</v>
      </c>
      <c r="E143" s="18" t="s">
        <v>6</v>
      </c>
      <c r="F143" s="1">
        <v>8</v>
      </c>
      <c r="G143" s="2">
        <v>11</v>
      </c>
      <c r="H143" s="3" t="str">
        <f t="shared" si="6"/>
        <v>GROEN</v>
      </c>
      <c r="I143" s="3" t="str">
        <f t="shared" si="7"/>
        <v>Louis</v>
      </c>
      <c r="J143" s="4" t="str">
        <f t="shared" si="8"/>
        <v>Stef D</v>
      </c>
    </row>
    <row r="144" spans="1:10" x14ac:dyDescent="0.25">
      <c r="A144" s="14">
        <v>144</v>
      </c>
      <c r="B144" s="15" t="s">
        <v>6</v>
      </c>
      <c r="C144" s="16" t="s">
        <v>0</v>
      </c>
      <c r="D144" s="17" t="s">
        <v>3</v>
      </c>
      <c r="E144" s="18" t="s">
        <v>7</v>
      </c>
      <c r="F144" s="1">
        <v>8</v>
      </c>
      <c r="G144" s="2">
        <v>11</v>
      </c>
      <c r="H144" s="3" t="str">
        <f t="shared" si="6"/>
        <v>GROEN</v>
      </c>
      <c r="I144" s="3" t="str">
        <f t="shared" si="7"/>
        <v>Karel</v>
      </c>
      <c r="J144" s="4" t="str">
        <f t="shared" si="8"/>
        <v>Tiemen</v>
      </c>
    </row>
    <row r="145" spans="1:10" x14ac:dyDescent="0.25">
      <c r="A145" s="14">
        <v>145</v>
      </c>
      <c r="B145" s="15" t="s">
        <v>0</v>
      </c>
      <c r="C145" s="16" t="s">
        <v>6</v>
      </c>
      <c r="D145" s="17" t="s">
        <v>7</v>
      </c>
      <c r="E145" s="18" t="s">
        <v>3</v>
      </c>
      <c r="F145" s="1">
        <v>6</v>
      </c>
      <c r="G145" s="2">
        <v>11</v>
      </c>
      <c r="H145" s="3" t="str">
        <f t="shared" si="6"/>
        <v>GROEN</v>
      </c>
      <c r="I145" s="3" t="str">
        <f t="shared" si="7"/>
        <v>Tiemen</v>
      </c>
      <c r="J145" s="4" t="str">
        <f t="shared" si="8"/>
        <v>Karel</v>
      </c>
    </row>
    <row r="146" spans="1:10" x14ac:dyDescent="0.25">
      <c r="A146" s="14">
        <v>146</v>
      </c>
      <c r="B146" s="15" t="s">
        <v>0</v>
      </c>
      <c r="C146" s="16" t="s">
        <v>3</v>
      </c>
      <c r="D146" s="17" t="s">
        <v>7</v>
      </c>
      <c r="E146" s="18" t="s">
        <v>6</v>
      </c>
      <c r="F146" s="1">
        <v>11</v>
      </c>
      <c r="G146" s="2">
        <v>9</v>
      </c>
      <c r="H146" s="3" t="str">
        <f t="shared" si="6"/>
        <v>ROOD</v>
      </c>
      <c r="I146" s="3" t="str">
        <f t="shared" si="7"/>
        <v>Jonas</v>
      </c>
      <c r="J146" s="4" t="str">
        <f t="shared" si="8"/>
        <v>Karel</v>
      </c>
    </row>
    <row r="147" spans="1:10" x14ac:dyDescent="0.25">
      <c r="A147" s="14">
        <v>147</v>
      </c>
      <c r="B147" s="15" t="s">
        <v>3</v>
      </c>
      <c r="C147" s="16" t="s">
        <v>0</v>
      </c>
      <c r="D147" s="17" t="s">
        <v>6</v>
      </c>
      <c r="E147" s="18" t="s">
        <v>7</v>
      </c>
      <c r="F147" s="1">
        <v>11</v>
      </c>
      <c r="G147" s="2">
        <v>6</v>
      </c>
      <c r="H147" s="3" t="str">
        <f t="shared" si="6"/>
        <v>ROOD</v>
      </c>
      <c r="I147" s="3" t="str">
        <f t="shared" si="7"/>
        <v>Karel</v>
      </c>
      <c r="J147" s="4" t="str">
        <f t="shared" si="8"/>
        <v>Jonas</v>
      </c>
    </row>
    <row r="148" spans="1:10" x14ac:dyDescent="0.25">
      <c r="A148" s="14">
        <v>148</v>
      </c>
      <c r="B148" s="15" t="s">
        <v>0</v>
      </c>
      <c r="C148" s="16" t="s">
        <v>7</v>
      </c>
      <c r="D148" s="17" t="s">
        <v>6</v>
      </c>
      <c r="E148" s="18" t="s">
        <v>3</v>
      </c>
      <c r="F148" s="1">
        <v>13</v>
      </c>
      <c r="G148" s="2">
        <v>15</v>
      </c>
      <c r="H148" s="3" t="str">
        <f t="shared" si="6"/>
        <v>GROEN</v>
      </c>
      <c r="I148" s="3" t="str">
        <f t="shared" si="7"/>
        <v>Stef D</v>
      </c>
      <c r="J148" s="4" t="str">
        <f t="shared" si="8"/>
        <v>Karel</v>
      </c>
    </row>
    <row r="149" spans="1:10" x14ac:dyDescent="0.25">
      <c r="A149" s="14">
        <v>149</v>
      </c>
      <c r="B149" s="15" t="s">
        <v>7</v>
      </c>
      <c r="C149" s="16" t="s">
        <v>0</v>
      </c>
      <c r="D149" s="17" t="s">
        <v>3</v>
      </c>
      <c r="E149" s="18" t="s">
        <v>6</v>
      </c>
      <c r="F149" s="1">
        <v>7</v>
      </c>
      <c r="G149" s="2">
        <v>11</v>
      </c>
      <c r="H149" s="3" t="str">
        <f t="shared" si="6"/>
        <v>GROEN</v>
      </c>
      <c r="I149" s="3" t="str">
        <f t="shared" si="7"/>
        <v>Karel</v>
      </c>
      <c r="J149" s="4" t="str">
        <f t="shared" si="8"/>
        <v>Stef D</v>
      </c>
    </row>
    <row r="150" spans="1:10" x14ac:dyDescent="0.25">
      <c r="A150" s="14">
        <v>150</v>
      </c>
      <c r="B150" s="15" t="s">
        <v>3</v>
      </c>
      <c r="C150" s="16" t="s">
        <v>7</v>
      </c>
      <c r="D150" s="17" t="s">
        <v>0</v>
      </c>
      <c r="E150" s="18" t="s">
        <v>6</v>
      </c>
      <c r="F150" s="1">
        <v>6</v>
      </c>
      <c r="G150" s="2">
        <v>11</v>
      </c>
      <c r="H150" s="3" t="str">
        <f t="shared" si="6"/>
        <v>GROEN</v>
      </c>
      <c r="I150" s="3" t="str">
        <f t="shared" si="7"/>
        <v>Jonas</v>
      </c>
      <c r="J150" s="4" t="str">
        <f t="shared" si="8"/>
        <v>Stef D</v>
      </c>
    </row>
    <row r="151" spans="1:10" x14ac:dyDescent="0.25">
      <c r="A151" s="14">
        <v>151</v>
      </c>
      <c r="B151" s="15" t="s">
        <v>6</v>
      </c>
      <c r="C151" s="16" t="s">
        <v>11</v>
      </c>
      <c r="D151" s="17" t="s">
        <v>8</v>
      </c>
      <c r="E151" s="18" t="s">
        <v>13</v>
      </c>
      <c r="F151" s="1">
        <v>8</v>
      </c>
      <c r="G151" s="2">
        <v>11</v>
      </c>
      <c r="H151" s="3" t="str">
        <f t="shared" si="6"/>
        <v>GROEN</v>
      </c>
      <c r="I151" s="3" t="str">
        <f t="shared" si="7"/>
        <v>Louis</v>
      </c>
      <c r="J151" s="4" t="str">
        <f t="shared" si="8"/>
        <v>Bert</v>
      </c>
    </row>
    <row r="152" spans="1:10" x14ac:dyDescent="0.25">
      <c r="A152" s="14">
        <v>152</v>
      </c>
      <c r="B152" s="15" t="s">
        <v>11</v>
      </c>
      <c r="C152" s="16" t="s">
        <v>6</v>
      </c>
      <c r="D152" s="17" t="s">
        <v>13</v>
      </c>
      <c r="E152" s="18" t="s">
        <v>8</v>
      </c>
      <c r="F152" s="1">
        <v>11</v>
      </c>
      <c r="G152" s="2">
        <v>6</v>
      </c>
      <c r="H152" s="3" t="str">
        <f t="shared" si="6"/>
        <v>ROOD</v>
      </c>
      <c r="I152" s="3" t="str">
        <f t="shared" si="7"/>
        <v>Matthijs</v>
      </c>
      <c r="J152" s="4" t="str">
        <f t="shared" si="8"/>
        <v>Stef D</v>
      </c>
    </row>
    <row r="153" spans="1:10" x14ac:dyDescent="0.25">
      <c r="A153" s="14">
        <v>153</v>
      </c>
      <c r="B153" s="15" t="s">
        <v>11</v>
      </c>
      <c r="C153" s="16" t="s">
        <v>8</v>
      </c>
      <c r="D153" s="17" t="s">
        <v>6</v>
      </c>
      <c r="E153" s="18" t="s">
        <v>13</v>
      </c>
      <c r="F153" s="1">
        <v>11</v>
      </c>
      <c r="G153" s="2">
        <v>9</v>
      </c>
      <c r="H153" s="3" t="str">
        <f t="shared" si="6"/>
        <v>ROOD</v>
      </c>
      <c r="I153" s="3" t="str">
        <f t="shared" si="7"/>
        <v>Matthijs</v>
      </c>
      <c r="J153" s="4" t="str">
        <f t="shared" si="8"/>
        <v>Louis</v>
      </c>
    </row>
    <row r="154" spans="1:10" x14ac:dyDescent="0.25">
      <c r="A154" s="14">
        <v>154</v>
      </c>
      <c r="B154" s="15" t="s">
        <v>8</v>
      </c>
      <c r="C154" s="16" t="s">
        <v>6</v>
      </c>
      <c r="D154" s="17" t="s">
        <v>12</v>
      </c>
      <c r="E154" s="18" t="s">
        <v>11</v>
      </c>
      <c r="F154" s="1">
        <v>11</v>
      </c>
      <c r="G154" s="2">
        <v>9</v>
      </c>
      <c r="H154" s="3" t="str">
        <f t="shared" si="6"/>
        <v>ROOD</v>
      </c>
      <c r="I154" s="3" t="str">
        <f t="shared" si="7"/>
        <v>Louis</v>
      </c>
      <c r="J154" s="4" t="str">
        <f t="shared" si="8"/>
        <v>Stef D</v>
      </c>
    </row>
    <row r="155" spans="1:10" x14ac:dyDescent="0.25">
      <c r="A155" s="14">
        <v>155</v>
      </c>
      <c r="B155" s="15" t="s">
        <v>6</v>
      </c>
      <c r="C155" s="16" t="s">
        <v>12</v>
      </c>
      <c r="D155" s="17" t="s">
        <v>11</v>
      </c>
      <c r="E155" s="18" t="s">
        <v>13</v>
      </c>
      <c r="F155" s="1">
        <v>8</v>
      </c>
      <c r="G155" s="2">
        <v>11</v>
      </c>
      <c r="H155" s="3" t="str">
        <f t="shared" si="6"/>
        <v>GROEN</v>
      </c>
      <c r="I155" s="3" t="str">
        <f t="shared" si="7"/>
        <v>Matthijs</v>
      </c>
      <c r="J155" s="4" t="str">
        <f t="shared" si="8"/>
        <v>Bert</v>
      </c>
    </row>
    <row r="156" spans="1:10" x14ac:dyDescent="0.25">
      <c r="A156" s="14">
        <v>156</v>
      </c>
      <c r="B156" s="15" t="s">
        <v>12</v>
      </c>
      <c r="C156" s="16" t="s">
        <v>6</v>
      </c>
      <c r="D156" s="17" t="s">
        <v>8</v>
      </c>
      <c r="E156" s="18" t="s">
        <v>13</v>
      </c>
      <c r="F156" s="1">
        <v>8</v>
      </c>
      <c r="G156" s="2">
        <v>11</v>
      </c>
      <c r="H156" s="3" t="str">
        <f t="shared" si="6"/>
        <v>GROEN</v>
      </c>
      <c r="I156" s="3" t="str">
        <f t="shared" si="7"/>
        <v>Louis</v>
      </c>
      <c r="J156" s="4" t="str">
        <f t="shared" si="8"/>
        <v>Bert</v>
      </c>
    </row>
    <row r="157" spans="1:10" x14ac:dyDescent="0.25">
      <c r="A157" s="14">
        <v>157</v>
      </c>
      <c r="B157" s="15" t="s">
        <v>8</v>
      </c>
      <c r="C157" s="16" t="s">
        <v>6</v>
      </c>
      <c r="D157" s="17" t="s">
        <v>7</v>
      </c>
      <c r="E157" s="18" t="s">
        <v>3</v>
      </c>
      <c r="F157" s="1">
        <v>9</v>
      </c>
      <c r="G157" s="2">
        <v>11</v>
      </c>
      <c r="H157" s="3" t="str">
        <f t="shared" si="6"/>
        <v>GROEN</v>
      </c>
      <c r="I157" s="3" t="str">
        <f t="shared" si="7"/>
        <v>Tiemen</v>
      </c>
      <c r="J157" s="4" t="str">
        <f t="shared" si="8"/>
        <v>Karel</v>
      </c>
    </row>
    <row r="158" spans="1:10" x14ac:dyDescent="0.25">
      <c r="A158" s="14">
        <v>158</v>
      </c>
      <c r="B158" s="15" t="s">
        <v>3</v>
      </c>
      <c r="C158" s="16" t="s">
        <v>7</v>
      </c>
      <c r="D158" s="17" t="s">
        <v>11</v>
      </c>
      <c r="E158" s="18" t="s">
        <v>0</v>
      </c>
      <c r="F158" s="1">
        <v>11</v>
      </c>
      <c r="G158" s="2">
        <v>8</v>
      </c>
      <c r="H158" s="3" t="str">
        <f t="shared" si="6"/>
        <v>ROOD</v>
      </c>
      <c r="I158" s="3" t="str">
        <f t="shared" si="7"/>
        <v>Karel</v>
      </c>
      <c r="J158" s="4" t="str">
        <f t="shared" si="8"/>
        <v>Tiemen</v>
      </c>
    </row>
    <row r="159" spans="1:10" x14ac:dyDescent="0.25">
      <c r="A159" s="14">
        <v>159</v>
      </c>
      <c r="B159" s="15" t="s">
        <v>3</v>
      </c>
      <c r="C159" s="16" t="s">
        <v>13</v>
      </c>
      <c r="D159" s="17" t="s">
        <v>0</v>
      </c>
      <c r="E159" s="18" t="s">
        <v>6</v>
      </c>
      <c r="F159" s="1">
        <v>6</v>
      </c>
      <c r="G159" s="2">
        <v>11</v>
      </c>
      <c r="H159" s="3" t="str">
        <f t="shared" si="6"/>
        <v>GROEN</v>
      </c>
      <c r="I159" s="3" t="str">
        <f t="shared" si="7"/>
        <v>Jonas</v>
      </c>
      <c r="J159" s="4" t="str">
        <f t="shared" si="8"/>
        <v>Stef D</v>
      </c>
    </row>
    <row r="160" spans="1:10" x14ac:dyDescent="0.25">
      <c r="A160" s="14">
        <v>160</v>
      </c>
      <c r="B160" s="15" t="s">
        <v>0</v>
      </c>
      <c r="C160" s="16" t="s">
        <v>6</v>
      </c>
      <c r="D160" s="17" t="s">
        <v>7</v>
      </c>
      <c r="E160" s="18" t="s">
        <v>11</v>
      </c>
      <c r="F160" s="1">
        <v>11</v>
      </c>
      <c r="G160" s="2">
        <v>6</v>
      </c>
      <c r="H160" s="3" t="str">
        <f t="shared" si="6"/>
        <v>ROOD</v>
      </c>
      <c r="I160" s="3" t="str">
        <f t="shared" si="7"/>
        <v>Jonas</v>
      </c>
      <c r="J160" s="4" t="str">
        <f t="shared" si="8"/>
        <v>Stef D</v>
      </c>
    </row>
    <row r="161" spans="1:10" x14ac:dyDescent="0.25">
      <c r="A161" s="14">
        <v>161</v>
      </c>
      <c r="B161" s="15" t="s">
        <v>11</v>
      </c>
      <c r="C161" s="16" t="s">
        <v>13</v>
      </c>
      <c r="D161" s="17" t="s">
        <v>3</v>
      </c>
      <c r="E161" s="18" t="s">
        <v>7</v>
      </c>
      <c r="F161" s="1">
        <v>10</v>
      </c>
      <c r="G161" s="2">
        <v>12</v>
      </c>
      <c r="H161" s="3" t="str">
        <f t="shared" si="6"/>
        <v>GROEN</v>
      </c>
      <c r="I161" s="3" t="str">
        <f t="shared" si="7"/>
        <v>Karel</v>
      </c>
      <c r="J161" s="4" t="str">
        <f t="shared" si="8"/>
        <v>Tiemen</v>
      </c>
    </row>
    <row r="162" spans="1:10" x14ac:dyDescent="0.25">
      <c r="A162" s="14">
        <v>162</v>
      </c>
      <c r="B162" s="15" t="s">
        <v>13</v>
      </c>
      <c r="C162" s="16" t="s">
        <v>6</v>
      </c>
      <c r="D162" s="17" t="s">
        <v>11</v>
      </c>
      <c r="E162" s="18" t="s">
        <v>3</v>
      </c>
      <c r="F162" s="1">
        <v>11</v>
      </c>
      <c r="G162" s="2">
        <v>9</v>
      </c>
      <c r="H162" s="3" t="str">
        <f t="shared" si="6"/>
        <v>ROOD</v>
      </c>
      <c r="I162" s="3" t="str">
        <f t="shared" si="7"/>
        <v>Bert</v>
      </c>
      <c r="J162" s="4" t="str">
        <f t="shared" si="8"/>
        <v>Stef D</v>
      </c>
    </row>
    <row r="163" spans="1:10" x14ac:dyDescent="0.25">
      <c r="A163" s="14">
        <v>163</v>
      </c>
      <c r="B163" s="15" t="s">
        <v>11</v>
      </c>
      <c r="C163" s="16" t="s">
        <v>19</v>
      </c>
      <c r="D163" s="17" t="s">
        <v>6</v>
      </c>
      <c r="E163" s="18" t="s">
        <v>3</v>
      </c>
      <c r="F163" s="1">
        <v>4</v>
      </c>
      <c r="G163" s="2">
        <v>11</v>
      </c>
      <c r="H163" s="3" t="str">
        <f t="shared" si="6"/>
        <v>GROEN</v>
      </c>
      <c r="I163" s="3" t="str">
        <f t="shared" si="7"/>
        <v>Stef D</v>
      </c>
      <c r="J163" s="4" t="str">
        <f t="shared" si="8"/>
        <v>Karel</v>
      </c>
    </row>
    <row r="164" spans="1:10" x14ac:dyDescent="0.25">
      <c r="A164" s="14">
        <v>164</v>
      </c>
      <c r="B164" s="15" t="s">
        <v>14</v>
      </c>
      <c r="C164" s="16" t="s">
        <v>6</v>
      </c>
      <c r="D164" s="17" t="s">
        <v>8</v>
      </c>
      <c r="E164" s="18" t="s">
        <v>0</v>
      </c>
      <c r="F164" s="1">
        <v>11</v>
      </c>
      <c r="G164" s="2">
        <v>9</v>
      </c>
      <c r="H164" s="3" t="str">
        <f t="shared" si="6"/>
        <v>ROOD</v>
      </c>
      <c r="I164" s="3" t="str">
        <f t="shared" si="7"/>
        <v>Stef C</v>
      </c>
      <c r="J164" s="4" t="str">
        <f t="shared" si="8"/>
        <v>Stef D</v>
      </c>
    </row>
    <row r="165" spans="1:10" x14ac:dyDescent="0.25">
      <c r="A165" s="14">
        <v>165</v>
      </c>
      <c r="B165" s="15" t="s">
        <v>11</v>
      </c>
      <c r="C165" s="16" t="s">
        <v>3</v>
      </c>
      <c r="D165" s="17" t="s">
        <v>14</v>
      </c>
      <c r="E165" s="18" t="s">
        <v>8</v>
      </c>
      <c r="F165" s="1">
        <v>11</v>
      </c>
      <c r="G165" s="2">
        <v>8</v>
      </c>
      <c r="H165" s="3" t="str">
        <f t="shared" si="6"/>
        <v>ROOD</v>
      </c>
      <c r="I165" s="3" t="str">
        <f t="shared" si="7"/>
        <v>Matthijs</v>
      </c>
      <c r="J165" s="4" t="str">
        <f t="shared" si="8"/>
        <v>Karel</v>
      </c>
    </row>
    <row r="166" spans="1:10" x14ac:dyDescent="0.25">
      <c r="A166" s="14">
        <v>166</v>
      </c>
      <c r="B166" s="15" t="s">
        <v>0</v>
      </c>
      <c r="C166" s="16" t="s">
        <v>11</v>
      </c>
      <c r="D166" s="17" t="s">
        <v>3</v>
      </c>
      <c r="E166" s="18" t="s">
        <v>6</v>
      </c>
      <c r="F166" s="1">
        <v>5</v>
      </c>
      <c r="G166" s="2">
        <v>11</v>
      </c>
      <c r="H166" s="3" t="str">
        <f t="shared" si="6"/>
        <v>GROEN</v>
      </c>
      <c r="I166" s="3" t="str">
        <f t="shared" si="7"/>
        <v>Karel</v>
      </c>
      <c r="J166" s="4" t="str">
        <f t="shared" si="8"/>
        <v>Stef D</v>
      </c>
    </row>
    <row r="167" spans="1:10" x14ac:dyDescent="0.25">
      <c r="A167" s="14">
        <v>167</v>
      </c>
      <c r="B167" s="15" t="s">
        <v>14</v>
      </c>
      <c r="C167" s="16" t="s">
        <v>3</v>
      </c>
      <c r="D167" s="17" t="s">
        <v>0</v>
      </c>
      <c r="E167" s="18" t="s">
        <v>11</v>
      </c>
      <c r="F167" s="1">
        <v>11</v>
      </c>
      <c r="G167" s="2">
        <v>7</v>
      </c>
      <c r="H167" s="3" t="str">
        <f t="shared" si="6"/>
        <v>ROOD</v>
      </c>
      <c r="I167" s="3" t="str">
        <f t="shared" si="7"/>
        <v>Stef C</v>
      </c>
      <c r="J167" s="4" t="str">
        <f t="shared" si="8"/>
        <v>Karel</v>
      </c>
    </row>
    <row r="168" spans="1:10" x14ac:dyDescent="0.25">
      <c r="A168" s="14">
        <v>168</v>
      </c>
      <c r="B168" s="15" t="s">
        <v>8</v>
      </c>
      <c r="C168" s="16" t="s">
        <v>6</v>
      </c>
      <c r="D168" s="17" t="s">
        <v>3</v>
      </c>
      <c r="E168" s="18" t="s">
        <v>11</v>
      </c>
      <c r="F168" s="1">
        <v>11</v>
      </c>
      <c r="G168" s="2">
        <v>13</v>
      </c>
      <c r="H168" s="3" t="str">
        <f t="shared" si="6"/>
        <v>GROEN</v>
      </c>
      <c r="I168" s="3" t="str">
        <f t="shared" si="7"/>
        <v>Karel</v>
      </c>
      <c r="J168" s="4" t="str">
        <f t="shared" si="8"/>
        <v>Matthijs</v>
      </c>
    </row>
    <row r="169" spans="1:10" x14ac:dyDescent="0.25">
      <c r="A169" s="14">
        <v>169</v>
      </c>
      <c r="B169" s="15" t="s">
        <v>8</v>
      </c>
      <c r="C169" s="16" t="s">
        <v>3</v>
      </c>
      <c r="D169" s="20" t="s">
        <v>11</v>
      </c>
      <c r="E169" s="20" t="s">
        <v>6</v>
      </c>
      <c r="F169" s="1">
        <v>11</v>
      </c>
      <c r="G169" s="2">
        <v>6</v>
      </c>
      <c r="H169" s="3" t="str">
        <f t="shared" si="6"/>
        <v>ROOD</v>
      </c>
      <c r="I169" s="3" t="str">
        <f t="shared" si="7"/>
        <v>Louis</v>
      </c>
      <c r="J169" s="4" t="str">
        <f t="shared" si="8"/>
        <v>Karel</v>
      </c>
    </row>
    <row r="170" spans="1:10" x14ac:dyDescent="0.25">
      <c r="A170" s="14">
        <v>170</v>
      </c>
      <c r="B170" s="19" t="s">
        <v>6</v>
      </c>
      <c r="C170" s="16" t="s">
        <v>8</v>
      </c>
      <c r="D170" s="20" t="s">
        <v>12</v>
      </c>
      <c r="E170" s="20" t="s">
        <v>19</v>
      </c>
      <c r="F170" s="4">
        <v>11</v>
      </c>
      <c r="G170" s="4">
        <v>6</v>
      </c>
      <c r="H170" s="3" t="str">
        <f t="shared" si="6"/>
        <v>ROOD</v>
      </c>
      <c r="I170" s="3" t="str">
        <f t="shared" si="7"/>
        <v>Stef D</v>
      </c>
      <c r="J170" s="4" t="str">
        <f t="shared" si="8"/>
        <v>Louis</v>
      </c>
    </row>
    <row r="171" spans="1:10" x14ac:dyDescent="0.25">
      <c r="A171" s="14">
        <v>171</v>
      </c>
      <c r="B171" s="19" t="s">
        <v>8</v>
      </c>
      <c r="C171" s="16" t="s">
        <v>6</v>
      </c>
      <c r="D171" s="20" t="s">
        <v>12</v>
      </c>
      <c r="E171" s="20" t="s">
        <v>13</v>
      </c>
      <c r="F171" s="4">
        <v>11</v>
      </c>
      <c r="G171" s="4">
        <v>9</v>
      </c>
      <c r="H171" s="3" t="str">
        <f t="shared" si="6"/>
        <v>ROOD</v>
      </c>
      <c r="I171" s="3" t="str">
        <f t="shared" si="7"/>
        <v>Louis</v>
      </c>
      <c r="J171" s="4" t="str">
        <f t="shared" si="8"/>
        <v>Stef D</v>
      </c>
    </row>
    <row r="172" spans="1:10" x14ac:dyDescent="0.25">
      <c r="A172" s="14">
        <v>172</v>
      </c>
      <c r="B172" s="19" t="s">
        <v>19</v>
      </c>
      <c r="C172" s="16" t="s">
        <v>13</v>
      </c>
      <c r="D172" s="20" t="s">
        <v>8</v>
      </c>
      <c r="E172" s="20" t="s">
        <v>12</v>
      </c>
      <c r="F172" s="4">
        <v>11</v>
      </c>
      <c r="G172" s="4">
        <v>9</v>
      </c>
      <c r="H172" s="3" t="str">
        <f t="shared" si="6"/>
        <v>ROOD</v>
      </c>
      <c r="I172" s="3" t="str">
        <f t="shared" si="7"/>
        <v>Nicolas</v>
      </c>
      <c r="J172" s="4" t="str">
        <f t="shared" si="8"/>
        <v>Bert</v>
      </c>
    </row>
    <row r="173" spans="1:10" x14ac:dyDescent="0.25">
      <c r="A173" s="14">
        <v>173</v>
      </c>
      <c r="B173" s="19" t="s">
        <v>12</v>
      </c>
      <c r="C173" s="16" t="s">
        <v>6</v>
      </c>
      <c r="D173" s="20" t="s">
        <v>13</v>
      </c>
      <c r="E173" s="20" t="s">
        <v>19</v>
      </c>
      <c r="F173" s="4">
        <v>11</v>
      </c>
      <c r="G173" s="4">
        <v>4</v>
      </c>
      <c r="H173" s="3" t="str">
        <f t="shared" si="6"/>
        <v>ROOD</v>
      </c>
      <c r="I173" s="3" t="str">
        <f t="shared" si="7"/>
        <v>Alexander</v>
      </c>
      <c r="J173" s="4" t="str">
        <f t="shared" si="8"/>
        <v>Stef D</v>
      </c>
    </row>
    <row r="174" spans="1:10" x14ac:dyDescent="0.25">
      <c r="A174" s="14">
        <v>174</v>
      </c>
      <c r="B174" s="19" t="s">
        <v>8</v>
      </c>
      <c r="C174" s="16" t="s">
        <v>12</v>
      </c>
      <c r="D174" s="20" t="s">
        <v>19</v>
      </c>
      <c r="E174" s="20" t="s">
        <v>6</v>
      </c>
      <c r="F174" s="4">
        <v>12</v>
      </c>
      <c r="G174" s="4">
        <v>10</v>
      </c>
      <c r="H174" s="3" t="str">
        <f t="shared" si="6"/>
        <v>ROOD</v>
      </c>
      <c r="I174" s="3" t="str">
        <f t="shared" si="7"/>
        <v>Louis</v>
      </c>
      <c r="J174" s="4" t="str">
        <f t="shared" si="8"/>
        <v>Alexander</v>
      </c>
    </row>
    <row r="175" spans="1:10" x14ac:dyDescent="0.25">
      <c r="A175" s="14">
        <v>175</v>
      </c>
      <c r="B175" s="19" t="s">
        <v>12</v>
      </c>
      <c r="C175" s="16" t="s">
        <v>8</v>
      </c>
      <c r="D175" s="20" t="s">
        <v>20</v>
      </c>
      <c r="E175" s="20" t="s">
        <v>13</v>
      </c>
      <c r="F175" s="4">
        <v>7</v>
      </c>
      <c r="G175" s="4">
        <v>11</v>
      </c>
      <c r="H175" s="3" t="str">
        <f t="shared" si="6"/>
        <v>GROEN</v>
      </c>
      <c r="I175" s="3" t="str">
        <f t="shared" si="7"/>
        <v xml:space="preserve"> Stef D</v>
      </c>
      <c r="J175" s="4" t="str">
        <f t="shared" si="8"/>
        <v>Bert</v>
      </c>
    </row>
    <row r="176" spans="1:10" x14ac:dyDescent="0.25">
      <c r="A176" s="14">
        <v>176</v>
      </c>
      <c r="B176" s="19" t="s">
        <v>8</v>
      </c>
      <c r="C176" s="16" t="s">
        <v>13</v>
      </c>
      <c r="D176" s="20" t="s">
        <v>12</v>
      </c>
      <c r="E176" s="20" t="s">
        <v>6</v>
      </c>
      <c r="F176" s="4">
        <v>13</v>
      </c>
      <c r="G176" s="4">
        <v>10</v>
      </c>
      <c r="H176" s="3" t="str">
        <f t="shared" si="6"/>
        <v>ROOD</v>
      </c>
      <c r="I176" s="3" t="str">
        <f t="shared" si="7"/>
        <v>Louis</v>
      </c>
      <c r="J176" s="4" t="str">
        <f t="shared" si="8"/>
        <v>Bert</v>
      </c>
    </row>
    <row r="177" spans="1:10" x14ac:dyDescent="0.25">
      <c r="A177" s="14">
        <v>177</v>
      </c>
      <c r="B177" s="21" t="s">
        <v>19</v>
      </c>
      <c r="C177" s="23" t="s">
        <v>11</v>
      </c>
      <c r="D177" s="22" t="s">
        <v>8</v>
      </c>
      <c r="E177" s="22" t="s">
        <v>6</v>
      </c>
      <c r="F177" s="6">
        <v>0</v>
      </c>
      <c r="G177" s="6">
        <v>11</v>
      </c>
      <c r="H177" s="5" t="str">
        <f t="shared" si="6"/>
        <v>GROEN</v>
      </c>
      <c r="I177" s="5" t="str">
        <f>IF(F177&gt;G177,B177,D177)</f>
        <v>Louis</v>
      </c>
      <c r="J177" s="6" t="str">
        <f>IF(F177&gt;G177,C177,E177)</f>
        <v>Stef D</v>
      </c>
    </row>
    <row r="178" spans="1:10" x14ac:dyDescent="0.25">
      <c r="A178" s="14">
        <v>178</v>
      </c>
      <c r="B178" s="19" t="s">
        <v>8</v>
      </c>
      <c r="C178" s="16" t="s">
        <v>11</v>
      </c>
      <c r="D178" s="20" t="s">
        <v>6</v>
      </c>
      <c r="E178" s="20" t="s">
        <v>19</v>
      </c>
      <c r="F178" s="4">
        <v>8</v>
      </c>
      <c r="G178" s="4">
        <v>11</v>
      </c>
      <c r="H178" s="3" t="str">
        <f t="shared" si="6"/>
        <v>GROEN</v>
      </c>
      <c r="I178" s="3" t="str">
        <f t="shared" si="7"/>
        <v>Stef D</v>
      </c>
      <c r="J178" s="4" t="str">
        <f t="shared" si="8"/>
        <v>Nicolas</v>
      </c>
    </row>
    <row r="179" spans="1:10" x14ac:dyDescent="0.25">
      <c r="A179" s="14">
        <v>179</v>
      </c>
      <c r="B179" s="19" t="s">
        <v>11</v>
      </c>
      <c r="C179" s="16" t="s">
        <v>8</v>
      </c>
      <c r="D179" s="20" t="s">
        <v>19</v>
      </c>
      <c r="E179" s="20" t="s">
        <v>6</v>
      </c>
      <c r="F179" s="4">
        <v>16</v>
      </c>
      <c r="G179" s="4">
        <v>18</v>
      </c>
      <c r="H179" s="3" t="str">
        <f t="shared" si="6"/>
        <v>GROEN</v>
      </c>
      <c r="I179" s="3" t="str">
        <f t="shared" si="7"/>
        <v>Nicolas</v>
      </c>
      <c r="J179" s="4" t="str">
        <f t="shared" si="8"/>
        <v>Stef D</v>
      </c>
    </row>
    <row r="180" spans="1:10" x14ac:dyDescent="0.25">
      <c r="A180" s="14">
        <v>180</v>
      </c>
      <c r="B180" s="19" t="s">
        <v>0</v>
      </c>
      <c r="C180" s="16" t="s">
        <v>11</v>
      </c>
      <c r="D180" s="20" t="s">
        <v>19</v>
      </c>
      <c r="E180" s="20" t="s">
        <v>6</v>
      </c>
      <c r="F180" s="4">
        <v>10</v>
      </c>
      <c r="G180" s="4">
        <v>12</v>
      </c>
      <c r="H180" s="3" t="str">
        <f t="shared" si="6"/>
        <v>GROEN</v>
      </c>
      <c r="I180" s="3" t="str">
        <f t="shared" si="7"/>
        <v>Nicolas</v>
      </c>
      <c r="J180" s="4" t="str">
        <f t="shared" si="8"/>
        <v>Stef D</v>
      </c>
    </row>
    <row r="181" spans="1:10" x14ac:dyDescent="0.25">
      <c r="A181" s="14">
        <v>181</v>
      </c>
      <c r="B181" s="19" t="s">
        <v>11</v>
      </c>
      <c r="C181" s="16" t="s">
        <v>6</v>
      </c>
      <c r="D181" s="20" t="s">
        <v>0</v>
      </c>
      <c r="E181" s="20" t="s">
        <v>19</v>
      </c>
      <c r="F181" s="4">
        <v>8</v>
      </c>
      <c r="G181" s="4">
        <v>11</v>
      </c>
      <c r="H181" s="3" t="str">
        <f t="shared" si="6"/>
        <v>GROEN</v>
      </c>
      <c r="I181" s="3" t="str">
        <f t="shared" si="7"/>
        <v>Jonas</v>
      </c>
      <c r="J181" s="4" t="str">
        <f t="shared" si="8"/>
        <v>Nicolas</v>
      </c>
    </row>
    <row r="182" spans="1:10" x14ac:dyDescent="0.25">
      <c r="A182" s="14">
        <v>182</v>
      </c>
      <c r="B182" s="19" t="s">
        <v>11</v>
      </c>
      <c r="C182" s="16" t="s">
        <v>19</v>
      </c>
      <c r="D182" s="20" t="s">
        <v>0</v>
      </c>
      <c r="E182" s="20" t="s">
        <v>6</v>
      </c>
      <c r="F182" s="4">
        <v>8</v>
      </c>
      <c r="G182" s="4">
        <v>11</v>
      </c>
      <c r="H182" s="3" t="str">
        <f t="shared" si="6"/>
        <v>GROEN</v>
      </c>
      <c r="I182" s="3" t="str">
        <f t="shared" si="7"/>
        <v>Jonas</v>
      </c>
      <c r="J182" s="4" t="str">
        <f t="shared" si="8"/>
        <v>Stef D</v>
      </c>
    </row>
    <row r="183" spans="1:10" x14ac:dyDescent="0.25">
      <c r="A183" s="14">
        <v>183</v>
      </c>
      <c r="B183" s="19" t="s">
        <v>19</v>
      </c>
      <c r="C183" s="16" t="s">
        <v>11</v>
      </c>
      <c r="D183" s="20" t="s">
        <v>6</v>
      </c>
      <c r="E183" s="20" t="s">
        <v>21</v>
      </c>
      <c r="F183" s="4">
        <v>6</v>
      </c>
      <c r="G183" s="4">
        <v>11</v>
      </c>
      <c r="H183" s="3" t="str">
        <f t="shared" si="6"/>
        <v>GROEN</v>
      </c>
      <c r="I183" s="3" t="str">
        <f t="shared" si="7"/>
        <v>Stef D</v>
      </c>
      <c r="J183" s="4" t="str">
        <f t="shared" si="8"/>
        <v xml:space="preserve">Jonas </v>
      </c>
    </row>
    <row r="184" spans="1:10" x14ac:dyDescent="0.25">
      <c r="A184" s="14">
        <v>184</v>
      </c>
      <c r="B184" s="19" t="s">
        <v>11</v>
      </c>
      <c r="C184" s="16" t="s">
        <v>0</v>
      </c>
      <c r="D184" s="20" t="s">
        <v>19</v>
      </c>
      <c r="E184" s="20" t="s">
        <v>8</v>
      </c>
      <c r="F184" s="4">
        <v>11</v>
      </c>
      <c r="G184" s="4">
        <v>4</v>
      </c>
      <c r="H184" s="3" t="str">
        <f t="shared" si="6"/>
        <v>ROOD</v>
      </c>
      <c r="I184" s="3" t="str">
        <f t="shared" si="7"/>
        <v>Matthijs</v>
      </c>
      <c r="J184" s="4" t="str">
        <f t="shared" si="8"/>
        <v>Jonas</v>
      </c>
    </row>
    <row r="185" spans="1:10" x14ac:dyDescent="0.25">
      <c r="A185" s="14">
        <v>185</v>
      </c>
      <c r="B185" s="19" t="s">
        <v>0</v>
      </c>
      <c r="C185" s="16" t="s">
        <v>11</v>
      </c>
      <c r="D185" s="20" t="s">
        <v>8</v>
      </c>
      <c r="E185" s="20" t="s">
        <v>19</v>
      </c>
      <c r="F185" s="4">
        <v>11</v>
      </c>
      <c r="G185" s="4">
        <v>4</v>
      </c>
      <c r="H185" s="3" t="str">
        <f t="shared" si="6"/>
        <v>ROOD</v>
      </c>
      <c r="I185" s="3" t="str">
        <f t="shared" si="7"/>
        <v>Jonas</v>
      </c>
      <c r="J185" s="4" t="str">
        <f t="shared" si="8"/>
        <v>Matthijs</v>
      </c>
    </row>
    <row r="186" spans="1:10" x14ac:dyDescent="0.25">
      <c r="A186" s="14">
        <v>186</v>
      </c>
      <c r="B186" s="19" t="s">
        <v>19</v>
      </c>
      <c r="C186" s="16" t="s">
        <v>0</v>
      </c>
      <c r="D186" s="20" t="s">
        <v>11</v>
      </c>
      <c r="E186" s="20" t="s">
        <v>6</v>
      </c>
      <c r="F186" s="4">
        <v>7</v>
      </c>
      <c r="G186" s="4">
        <v>11</v>
      </c>
      <c r="H186" s="3" t="str">
        <f t="shared" si="6"/>
        <v>GROEN</v>
      </c>
      <c r="I186" s="3" t="str">
        <f t="shared" si="7"/>
        <v>Matthijs</v>
      </c>
      <c r="J186" s="4" t="str">
        <f t="shared" si="8"/>
        <v>Stef D</v>
      </c>
    </row>
    <row r="187" spans="1:10" x14ac:dyDescent="0.25">
      <c r="A187" s="14">
        <v>187</v>
      </c>
      <c r="B187" s="19" t="s">
        <v>0</v>
      </c>
      <c r="C187" s="16" t="s">
        <v>19</v>
      </c>
      <c r="D187" s="20" t="s">
        <v>11</v>
      </c>
      <c r="E187" s="20" t="s">
        <v>6</v>
      </c>
      <c r="F187" s="4">
        <v>10</v>
      </c>
      <c r="G187" s="4">
        <v>12</v>
      </c>
      <c r="H187" s="3" t="str">
        <f t="shared" si="6"/>
        <v>GROEN</v>
      </c>
      <c r="I187" s="3" t="str">
        <f t="shared" si="7"/>
        <v>Matthijs</v>
      </c>
      <c r="J187" s="4" t="str">
        <f t="shared" si="8"/>
        <v>Stef D</v>
      </c>
    </row>
    <row r="188" spans="1:10" x14ac:dyDescent="0.25">
      <c r="A188" s="14">
        <v>188</v>
      </c>
      <c r="B188" s="19" t="s">
        <v>19</v>
      </c>
      <c r="C188" s="16" t="s">
        <v>11</v>
      </c>
      <c r="D188" s="20" t="s">
        <v>0</v>
      </c>
      <c r="E188" s="20" t="s">
        <v>6</v>
      </c>
      <c r="F188" s="4">
        <v>1</v>
      </c>
      <c r="G188" s="4">
        <v>11</v>
      </c>
      <c r="H188" s="3" t="str">
        <f t="shared" si="6"/>
        <v>GROEN</v>
      </c>
      <c r="I188" s="3" t="str">
        <f t="shared" si="7"/>
        <v>Jonas</v>
      </c>
      <c r="J188" s="4" t="str">
        <f t="shared" si="8"/>
        <v>Stef D</v>
      </c>
    </row>
    <row r="189" spans="1:10" x14ac:dyDescent="0.25">
      <c r="A189" s="14">
        <v>189</v>
      </c>
      <c r="B189" s="19" t="s">
        <v>19</v>
      </c>
      <c r="C189" s="16" t="s">
        <v>6</v>
      </c>
      <c r="D189" s="20" t="s">
        <v>0</v>
      </c>
      <c r="E189" s="20" t="s">
        <v>7</v>
      </c>
      <c r="F189" s="4">
        <v>12</v>
      </c>
      <c r="G189" s="4">
        <v>10</v>
      </c>
      <c r="H189" s="3" t="str">
        <f t="shared" si="6"/>
        <v>ROOD</v>
      </c>
      <c r="I189" s="3" t="str">
        <f t="shared" si="7"/>
        <v>Nicolas</v>
      </c>
      <c r="J189" s="4" t="str">
        <f t="shared" si="8"/>
        <v>Stef D</v>
      </c>
    </row>
    <row r="190" spans="1:10" x14ac:dyDescent="0.25">
      <c r="A190" s="14">
        <v>190</v>
      </c>
      <c r="B190" s="19" t="s">
        <v>6</v>
      </c>
      <c r="C190" s="16" t="s">
        <v>19</v>
      </c>
      <c r="D190" s="20" t="s">
        <v>7</v>
      </c>
      <c r="E190" s="20" t="s">
        <v>0</v>
      </c>
      <c r="F190" s="4">
        <v>7</v>
      </c>
      <c r="G190" s="4">
        <v>11</v>
      </c>
      <c r="H190" s="3" t="str">
        <f t="shared" si="6"/>
        <v>GROEN</v>
      </c>
      <c r="I190" s="3" t="str">
        <f t="shared" si="7"/>
        <v>Tiemen</v>
      </c>
      <c r="J190" s="4" t="str">
        <f t="shared" si="8"/>
        <v>Jonas</v>
      </c>
    </row>
    <row r="191" spans="1:10" x14ac:dyDescent="0.25">
      <c r="A191" s="14">
        <v>191</v>
      </c>
      <c r="B191" s="19" t="s">
        <v>0</v>
      </c>
      <c r="C191" s="16" t="s">
        <v>19</v>
      </c>
      <c r="D191" s="20" t="s">
        <v>6</v>
      </c>
      <c r="E191" s="20" t="s">
        <v>7</v>
      </c>
      <c r="F191" s="4">
        <v>9</v>
      </c>
      <c r="G191" s="4">
        <v>11</v>
      </c>
      <c r="H191" s="3" t="str">
        <f t="shared" si="6"/>
        <v>GROEN</v>
      </c>
      <c r="I191" s="3" t="str">
        <f t="shared" si="7"/>
        <v>Stef D</v>
      </c>
      <c r="J191" s="4" t="str">
        <f t="shared" si="8"/>
        <v>Tiemen</v>
      </c>
    </row>
    <row r="192" spans="1:10" x14ac:dyDescent="0.25">
      <c r="A192" s="14">
        <v>192</v>
      </c>
      <c r="B192" s="19" t="s">
        <v>19</v>
      </c>
      <c r="C192" s="16" t="s">
        <v>0</v>
      </c>
      <c r="D192" s="20" t="s">
        <v>7</v>
      </c>
      <c r="E192" s="20" t="s">
        <v>6</v>
      </c>
      <c r="F192" s="4">
        <v>5</v>
      </c>
      <c r="G192" s="4">
        <v>11</v>
      </c>
      <c r="H192" s="3" t="str">
        <f t="shared" si="6"/>
        <v>GROEN</v>
      </c>
      <c r="I192" s="3" t="str">
        <f t="shared" si="7"/>
        <v>Tiemen</v>
      </c>
      <c r="J192" s="4" t="str">
        <f t="shared" si="8"/>
        <v>Stef D</v>
      </c>
    </row>
    <row r="193" spans="1:10" x14ac:dyDescent="0.25">
      <c r="A193" s="14">
        <v>193</v>
      </c>
      <c r="B193" s="19" t="s">
        <v>0</v>
      </c>
      <c r="C193" s="16" t="s">
        <v>6</v>
      </c>
      <c r="D193" s="20" t="s">
        <v>19</v>
      </c>
      <c r="E193" s="20" t="s">
        <v>7</v>
      </c>
      <c r="F193" s="4">
        <v>11</v>
      </c>
      <c r="G193" s="4">
        <v>6</v>
      </c>
      <c r="H193" s="3" t="str">
        <f t="shared" si="6"/>
        <v>ROOD</v>
      </c>
      <c r="I193" s="3" t="str">
        <f t="shared" si="7"/>
        <v>Jonas</v>
      </c>
      <c r="J193" s="4" t="str">
        <f t="shared" si="8"/>
        <v>Stef D</v>
      </c>
    </row>
    <row r="194" spans="1:10" x14ac:dyDescent="0.25">
      <c r="A194" s="14">
        <v>194</v>
      </c>
      <c r="B194" s="19" t="s">
        <v>6</v>
      </c>
      <c r="C194" s="16" t="s">
        <v>0</v>
      </c>
      <c r="D194" s="20" t="s">
        <v>7</v>
      </c>
      <c r="E194" s="20" t="s">
        <v>19</v>
      </c>
      <c r="F194" s="4">
        <v>11</v>
      </c>
      <c r="G194" s="4">
        <v>3</v>
      </c>
      <c r="H194" s="3" t="str">
        <f t="shared" ref="H194:H257" si="9">IF(F194&gt;G194,"ROOD",IF(F194=G194,"","GROEN"))</f>
        <v>ROOD</v>
      </c>
      <c r="I194" s="3" t="str">
        <f t="shared" ref="I194:I257" si="10">IF(F194&gt;G194,B194,IF(F194=0,"",D194))</f>
        <v>Stef D</v>
      </c>
      <c r="J194" s="4" t="str">
        <f t="shared" ref="J194:J257" si="11">IF(F194&gt;G194,C194,IF(F194=0,"",E194))</f>
        <v>Jonas</v>
      </c>
    </row>
    <row r="195" spans="1:10" x14ac:dyDescent="0.25">
      <c r="A195" s="14">
        <v>195</v>
      </c>
      <c r="B195" s="19" t="s">
        <v>0</v>
      </c>
      <c r="C195" s="16" t="s">
        <v>6</v>
      </c>
      <c r="D195" s="20" t="s">
        <v>2</v>
      </c>
      <c r="E195" s="20" t="s">
        <v>7</v>
      </c>
      <c r="F195" s="4">
        <v>11</v>
      </c>
      <c r="G195" s="4">
        <v>5</v>
      </c>
      <c r="H195" s="3" t="str">
        <f t="shared" si="9"/>
        <v>ROOD</v>
      </c>
      <c r="I195" s="3" t="str">
        <f t="shared" si="10"/>
        <v>Jonas</v>
      </c>
      <c r="J195" s="4" t="str">
        <f t="shared" si="11"/>
        <v>Stef D</v>
      </c>
    </row>
    <row r="196" spans="1:10" x14ac:dyDescent="0.25">
      <c r="A196" s="14">
        <v>196</v>
      </c>
      <c r="B196" s="19" t="s">
        <v>0</v>
      </c>
      <c r="C196" s="16" t="s">
        <v>7</v>
      </c>
      <c r="D196" s="20" t="s">
        <v>3</v>
      </c>
      <c r="E196" s="20" t="s">
        <v>2</v>
      </c>
      <c r="F196" s="4">
        <v>11</v>
      </c>
      <c r="G196" s="4">
        <v>9</v>
      </c>
      <c r="H196" s="3" t="str">
        <f t="shared" si="9"/>
        <v>ROOD</v>
      </c>
      <c r="I196" s="3" t="str">
        <f t="shared" si="10"/>
        <v>Jonas</v>
      </c>
      <c r="J196" s="4" t="str">
        <f t="shared" si="11"/>
        <v>Tiemen</v>
      </c>
    </row>
    <row r="197" spans="1:10" x14ac:dyDescent="0.25">
      <c r="A197" s="14">
        <v>197</v>
      </c>
      <c r="B197" s="19" t="s">
        <v>3</v>
      </c>
      <c r="C197" s="16" t="s">
        <v>0</v>
      </c>
      <c r="D197" s="20" t="s">
        <v>7</v>
      </c>
      <c r="E197" s="20" t="s">
        <v>2</v>
      </c>
      <c r="F197" s="4">
        <v>8</v>
      </c>
      <c r="G197" s="4">
        <v>11</v>
      </c>
      <c r="H197" s="3" t="str">
        <f t="shared" si="9"/>
        <v>GROEN</v>
      </c>
      <c r="I197" s="3" t="str">
        <f t="shared" si="10"/>
        <v>Tiemen</v>
      </c>
      <c r="J197" s="4" t="str">
        <f t="shared" si="11"/>
        <v>Tobias</v>
      </c>
    </row>
    <row r="198" spans="1:10" x14ac:dyDescent="0.25">
      <c r="A198" s="14">
        <v>198</v>
      </c>
      <c r="B198" s="19" t="s">
        <v>0</v>
      </c>
      <c r="C198" s="16" t="s">
        <v>7</v>
      </c>
      <c r="D198" s="20" t="s">
        <v>6</v>
      </c>
      <c r="E198" s="20" t="s">
        <v>3</v>
      </c>
      <c r="F198" s="4">
        <v>14</v>
      </c>
      <c r="G198" s="4">
        <v>12</v>
      </c>
      <c r="H198" s="3" t="str">
        <f t="shared" si="9"/>
        <v>ROOD</v>
      </c>
      <c r="I198" s="3" t="str">
        <f t="shared" si="10"/>
        <v>Jonas</v>
      </c>
      <c r="J198" s="4" t="str">
        <f t="shared" si="11"/>
        <v>Tiemen</v>
      </c>
    </row>
    <row r="199" spans="1:10" x14ac:dyDescent="0.25">
      <c r="A199" s="14">
        <v>199</v>
      </c>
      <c r="B199" s="19" t="s">
        <v>19</v>
      </c>
      <c r="C199" s="16" t="s">
        <v>6</v>
      </c>
      <c r="D199" s="20" t="s">
        <v>7</v>
      </c>
      <c r="E199" s="20" t="s">
        <v>13</v>
      </c>
      <c r="F199" s="4">
        <v>9</v>
      </c>
      <c r="G199" s="4">
        <v>11</v>
      </c>
      <c r="H199" s="3" t="str">
        <f t="shared" si="9"/>
        <v>GROEN</v>
      </c>
      <c r="I199" s="3" t="str">
        <f t="shared" si="10"/>
        <v>Tiemen</v>
      </c>
      <c r="J199" s="4" t="str">
        <f t="shared" si="11"/>
        <v>Bert</v>
      </c>
    </row>
    <row r="200" spans="1:10" x14ac:dyDescent="0.25">
      <c r="A200" s="14">
        <v>200</v>
      </c>
      <c r="B200" s="19" t="s">
        <v>6</v>
      </c>
      <c r="C200" s="16" t="s">
        <v>13</v>
      </c>
      <c r="D200" s="20" t="s">
        <v>0</v>
      </c>
      <c r="E200" s="20" t="s">
        <v>19</v>
      </c>
      <c r="F200" s="4">
        <v>11</v>
      </c>
      <c r="G200" s="4">
        <v>7</v>
      </c>
      <c r="H200" s="3" t="str">
        <f t="shared" si="9"/>
        <v>ROOD</v>
      </c>
      <c r="I200" s="3" t="str">
        <f t="shared" si="10"/>
        <v>Stef D</v>
      </c>
      <c r="J200" s="4" t="str">
        <f t="shared" si="11"/>
        <v>Bert</v>
      </c>
    </row>
    <row r="201" spans="1:10" x14ac:dyDescent="0.25">
      <c r="A201" s="14">
        <v>201</v>
      </c>
      <c r="B201" s="19" t="s">
        <v>0</v>
      </c>
      <c r="C201" s="16" t="s">
        <v>2</v>
      </c>
      <c r="D201" s="20" t="s">
        <v>3</v>
      </c>
      <c r="E201" s="20" t="s">
        <v>7</v>
      </c>
      <c r="F201" s="4">
        <v>11</v>
      </c>
      <c r="G201" s="4">
        <v>9</v>
      </c>
      <c r="H201" s="3" t="str">
        <f t="shared" si="9"/>
        <v>ROOD</v>
      </c>
      <c r="I201" s="3" t="str">
        <f t="shared" si="10"/>
        <v>Jonas</v>
      </c>
      <c r="J201" s="4" t="str">
        <f t="shared" si="11"/>
        <v>Tobias</v>
      </c>
    </row>
    <row r="202" spans="1:10" x14ac:dyDescent="0.25">
      <c r="A202" s="14">
        <v>202</v>
      </c>
      <c r="B202" s="19" t="s">
        <v>7</v>
      </c>
      <c r="C202" s="16" t="s">
        <v>6</v>
      </c>
      <c r="D202" s="20" t="s">
        <v>0</v>
      </c>
      <c r="E202" s="20" t="s">
        <v>13</v>
      </c>
      <c r="F202" s="4">
        <v>11</v>
      </c>
      <c r="G202" s="4">
        <v>9</v>
      </c>
      <c r="H202" s="3" t="str">
        <f t="shared" si="9"/>
        <v>ROOD</v>
      </c>
      <c r="I202" s="3" t="str">
        <f t="shared" si="10"/>
        <v>Tiemen</v>
      </c>
      <c r="J202" s="4" t="str">
        <f t="shared" si="11"/>
        <v>Stef D</v>
      </c>
    </row>
    <row r="203" spans="1:10" x14ac:dyDescent="0.25">
      <c r="A203" s="14">
        <v>203</v>
      </c>
      <c r="B203" s="19" t="s">
        <v>13</v>
      </c>
      <c r="C203" s="16" t="s">
        <v>7</v>
      </c>
      <c r="D203" s="20" t="s">
        <v>0</v>
      </c>
      <c r="E203" s="20" t="s">
        <v>6</v>
      </c>
      <c r="F203" s="4">
        <v>7</v>
      </c>
      <c r="G203" s="4">
        <v>11</v>
      </c>
      <c r="H203" s="3" t="str">
        <f t="shared" si="9"/>
        <v>GROEN</v>
      </c>
      <c r="I203" s="3" t="str">
        <f t="shared" si="10"/>
        <v>Jonas</v>
      </c>
      <c r="J203" s="4" t="str">
        <f t="shared" si="11"/>
        <v>Stef D</v>
      </c>
    </row>
    <row r="204" spans="1:10" x14ac:dyDescent="0.25">
      <c r="A204" s="14">
        <v>204</v>
      </c>
      <c r="B204" s="19" t="s">
        <v>3</v>
      </c>
      <c r="C204" s="16" t="s">
        <v>19</v>
      </c>
      <c r="D204" s="20" t="s">
        <v>2</v>
      </c>
      <c r="E204" s="20" t="s">
        <v>13</v>
      </c>
      <c r="F204" s="4">
        <v>7</v>
      </c>
      <c r="G204" s="4">
        <v>11</v>
      </c>
      <c r="H204" s="3" t="str">
        <f t="shared" si="9"/>
        <v>GROEN</v>
      </c>
      <c r="I204" s="3" t="str">
        <f t="shared" si="10"/>
        <v>Tobias</v>
      </c>
      <c r="J204" s="4" t="str">
        <f t="shared" si="11"/>
        <v>Bert</v>
      </c>
    </row>
    <row r="205" spans="1:10" x14ac:dyDescent="0.25">
      <c r="A205" s="14">
        <v>205</v>
      </c>
      <c r="B205" s="19" t="s">
        <v>15</v>
      </c>
      <c r="C205" s="16" t="s">
        <v>6</v>
      </c>
      <c r="D205" s="20" t="s">
        <v>0</v>
      </c>
      <c r="E205" s="20" t="s">
        <v>2</v>
      </c>
      <c r="F205" s="4">
        <v>6</v>
      </c>
      <c r="G205" s="4">
        <v>11</v>
      </c>
      <c r="H205" s="3" t="str">
        <f t="shared" si="9"/>
        <v>GROEN</v>
      </c>
      <c r="I205" s="3" t="str">
        <f t="shared" si="10"/>
        <v>Jonas</v>
      </c>
      <c r="J205" s="4" t="str">
        <f t="shared" si="11"/>
        <v>Tobias</v>
      </c>
    </row>
    <row r="206" spans="1:10" x14ac:dyDescent="0.25">
      <c r="A206" s="14">
        <v>206</v>
      </c>
      <c r="B206" s="19" t="s">
        <v>2</v>
      </c>
      <c r="C206" s="16" t="s">
        <v>15</v>
      </c>
      <c r="D206" s="20" t="s">
        <v>0</v>
      </c>
      <c r="E206" s="20" t="s">
        <v>6</v>
      </c>
      <c r="F206" s="4">
        <v>2</v>
      </c>
      <c r="G206" s="4">
        <v>11</v>
      </c>
      <c r="H206" s="3" t="str">
        <f t="shared" si="9"/>
        <v>GROEN</v>
      </c>
      <c r="I206" s="3" t="str">
        <f t="shared" si="10"/>
        <v>Jonas</v>
      </c>
      <c r="J206" s="4" t="str">
        <f t="shared" si="11"/>
        <v>Stef D</v>
      </c>
    </row>
    <row r="207" spans="1:10" x14ac:dyDescent="0.25">
      <c r="A207" s="14">
        <v>207</v>
      </c>
      <c r="B207" s="19" t="s">
        <v>15</v>
      </c>
      <c r="C207" s="16" t="s">
        <v>2</v>
      </c>
      <c r="D207" s="20" t="s">
        <v>3</v>
      </c>
      <c r="E207" s="20" t="s">
        <v>11</v>
      </c>
      <c r="F207" s="4">
        <v>11</v>
      </c>
      <c r="G207" s="4">
        <v>5</v>
      </c>
      <c r="H207" s="3" t="str">
        <f t="shared" si="9"/>
        <v>ROOD</v>
      </c>
      <c r="I207" s="3" t="str">
        <f t="shared" si="10"/>
        <v>Stijn</v>
      </c>
      <c r="J207" s="4" t="str">
        <f t="shared" si="11"/>
        <v>Tobias</v>
      </c>
    </row>
    <row r="208" spans="1:10" x14ac:dyDescent="0.25">
      <c r="A208" s="14">
        <v>208</v>
      </c>
      <c r="B208" s="19" t="s">
        <v>0</v>
      </c>
      <c r="C208" s="16" t="s">
        <v>6</v>
      </c>
      <c r="D208" s="20" t="s">
        <v>11</v>
      </c>
      <c r="E208" s="20" t="s">
        <v>3</v>
      </c>
      <c r="F208" s="4">
        <v>7</v>
      </c>
      <c r="G208" s="4">
        <v>11</v>
      </c>
      <c r="H208" s="3" t="str">
        <f t="shared" si="9"/>
        <v>GROEN</v>
      </c>
      <c r="I208" s="3" t="str">
        <f t="shared" si="10"/>
        <v>Matthijs</v>
      </c>
      <c r="J208" s="4" t="str">
        <f t="shared" si="11"/>
        <v>Karel</v>
      </c>
    </row>
    <row r="209" spans="1:10" x14ac:dyDescent="0.25">
      <c r="A209" s="14">
        <v>209</v>
      </c>
      <c r="B209" s="19" t="s">
        <v>3</v>
      </c>
      <c r="C209" s="16" t="s">
        <v>15</v>
      </c>
      <c r="D209" s="20" t="s">
        <v>6</v>
      </c>
      <c r="E209" s="20" t="s">
        <v>2</v>
      </c>
      <c r="F209" s="4">
        <v>3</v>
      </c>
      <c r="G209" s="4">
        <v>11</v>
      </c>
      <c r="H209" s="3" t="str">
        <f t="shared" si="9"/>
        <v>GROEN</v>
      </c>
      <c r="I209" s="3" t="str">
        <f t="shared" si="10"/>
        <v>Stef D</v>
      </c>
      <c r="J209" s="4" t="str">
        <f t="shared" si="11"/>
        <v>Tobias</v>
      </c>
    </row>
    <row r="210" spans="1:10" x14ac:dyDescent="0.25">
      <c r="A210" s="14">
        <v>210</v>
      </c>
      <c r="B210" s="19" t="s">
        <v>0</v>
      </c>
      <c r="C210" s="16" t="s">
        <v>15</v>
      </c>
      <c r="D210" s="20" t="s">
        <v>19</v>
      </c>
      <c r="E210" s="20" t="s">
        <v>3</v>
      </c>
      <c r="F210" s="4">
        <v>11</v>
      </c>
      <c r="G210" s="4">
        <v>4</v>
      </c>
      <c r="H210" s="3" t="str">
        <f t="shared" si="9"/>
        <v>ROOD</v>
      </c>
      <c r="I210" s="3" t="str">
        <f t="shared" si="10"/>
        <v>Jonas</v>
      </c>
      <c r="J210" s="4" t="str">
        <f t="shared" si="11"/>
        <v>Stijn</v>
      </c>
    </row>
    <row r="211" spans="1:10" x14ac:dyDescent="0.25">
      <c r="A211" s="14">
        <v>211</v>
      </c>
      <c r="B211" s="19" t="s">
        <v>0</v>
      </c>
      <c r="C211" s="16" t="s">
        <v>19</v>
      </c>
      <c r="D211" s="20" t="s">
        <v>6</v>
      </c>
      <c r="E211" s="20" t="s">
        <v>3</v>
      </c>
      <c r="F211" s="4">
        <v>8</v>
      </c>
      <c r="G211" s="4">
        <v>11</v>
      </c>
      <c r="H211" s="3" t="str">
        <f t="shared" si="9"/>
        <v>GROEN</v>
      </c>
      <c r="I211" s="3" t="str">
        <f t="shared" si="10"/>
        <v>Stef D</v>
      </c>
      <c r="J211" s="4" t="str">
        <f t="shared" si="11"/>
        <v>Karel</v>
      </c>
    </row>
    <row r="212" spans="1:10" x14ac:dyDescent="0.25">
      <c r="A212" s="14">
        <v>212</v>
      </c>
      <c r="B212" s="19" t="s">
        <v>0</v>
      </c>
      <c r="C212" s="16" t="s">
        <v>15</v>
      </c>
      <c r="D212" s="20" t="s">
        <v>11</v>
      </c>
      <c r="E212" s="20" t="s">
        <v>2</v>
      </c>
      <c r="F212" s="4">
        <v>4</v>
      </c>
      <c r="G212" s="4">
        <v>11</v>
      </c>
      <c r="H212" s="3" t="str">
        <f t="shared" si="9"/>
        <v>GROEN</v>
      </c>
      <c r="I212" s="3" t="str">
        <f t="shared" si="10"/>
        <v>Matthijs</v>
      </c>
      <c r="J212" s="4" t="str">
        <f t="shared" si="11"/>
        <v>Tobias</v>
      </c>
    </row>
    <row r="213" spans="1:10" x14ac:dyDescent="0.25">
      <c r="A213" s="14">
        <v>213</v>
      </c>
      <c r="B213" s="19" t="s">
        <v>3</v>
      </c>
      <c r="C213" s="16" t="s">
        <v>15</v>
      </c>
      <c r="D213" s="20" t="s">
        <v>19</v>
      </c>
      <c r="E213" s="20" t="s">
        <v>6</v>
      </c>
      <c r="F213" s="4">
        <v>11</v>
      </c>
      <c r="G213" s="4">
        <v>9</v>
      </c>
      <c r="H213" s="3" t="str">
        <f t="shared" si="9"/>
        <v>ROOD</v>
      </c>
      <c r="I213" s="3" t="str">
        <f t="shared" si="10"/>
        <v>Karel</v>
      </c>
      <c r="J213" s="4" t="str">
        <f t="shared" si="11"/>
        <v>Stijn</v>
      </c>
    </row>
    <row r="214" spans="1:10" x14ac:dyDescent="0.25">
      <c r="A214" s="14">
        <v>214</v>
      </c>
      <c r="B214" s="19" t="s">
        <v>15</v>
      </c>
      <c r="C214" s="16" t="s">
        <v>3</v>
      </c>
      <c r="D214" s="20" t="s">
        <v>6</v>
      </c>
      <c r="E214" s="20" t="s">
        <v>11</v>
      </c>
      <c r="F214" s="4">
        <v>6</v>
      </c>
      <c r="G214" s="4">
        <v>11</v>
      </c>
      <c r="H214" s="3" t="str">
        <f t="shared" si="9"/>
        <v>GROEN</v>
      </c>
      <c r="I214" s="3" t="str">
        <f t="shared" si="10"/>
        <v>Stef D</v>
      </c>
      <c r="J214" s="4" t="str">
        <f t="shared" si="11"/>
        <v>Matthijs</v>
      </c>
    </row>
    <row r="215" spans="1:10" x14ac:dyDescent="0.25">
      <c r="A215" s="14">
        <v>215</v>
      </c>
      <c r="B215" s="19" t="s">
        <v>11</v>
      </c>
      <c r="C215" s="16" t="s">
        <v>15</v>
      </c>
      <c r="D215" s="20" t="s">
        <v>3</v>
      </c>
      <c r="E215" s="20" t="s">
        <v>6</v>
      </c>
      <c r="F215" s="4">
        <v>8</v>
      </c>
      <c r="G215" s="4">
        <v>11</v>
      </c>
      <c r="H215" s="3" t="str">
        <f t="shared" si="9"/>
        <v>GROEN</v>
      </c>
      <c r="I215" s="3" t="str">
        <f t="shared" si="10"/>
        <v>Karel</v>
      </c>
      <c r="J215" s="4" t="str">
        <f t="shared" si="11"/>
        <v>Stef D</v>
      </c>
    </row>
    <row r="216" spans="1:10" x14ac:dyDescent="0.25">
      <c r="A216" s="14">
        <v>216</v>
      </c>
      <c r="B216" s="19" t="s">
        <v>15</v>
      </c>
      <c r="C216" s="16" t="s">
        <v>6</v>
      </c>
      <c r="D216" s="20" t="s">
        <v>11</v>
      </c>
      <c r="E216" s="20" t="s">
        <v>3</v>
      </c>
      <c r="F216" s="4">
        <v>9</v>
      </c>
      <c r="G216" s="4">
        <v>11</v>
      </c>
      <c r="H216" s="3" t="str">
        <f t="shared" si="9"/>
        <v>GROEN</v>
      </c>
      <c r="I216" s="3" t="str">
        <f t="shared" si="10"/>
        <v>Matthijs</v>
      </c>
      <c r="J216" s="4" t="str">
        <f t="shared" si="11"/>
        <v>Karel</v>
      </c>
    </row>
    <row r="217" spans="1:10" x14ac:dyDescent="0.25">
      <c r="A217" s="14">
        <v>217</v>
      </c>
      <c r="B217" s="19" t="s">
        <v>8</v>
      </c>
      <c r="C217" s="16" t="s">
        <v>6</v>
      </c>
      <c r="D217" s="20" t="s">
        <v>0</v>
      </c>
      <c r="E217" s="20" t="s">
        <v>7</v>
      </c>
      <c r="F217" s="4">
        <v>11</v>
      </c>
      <c r="G217" s="4">
        <v>8</v>
      </c>
      <c r="H217" s="3" t="str">
        <f t="shared" si="9"/>
        <v>ROOD</v>
      </c>
      <c r="I217" s="3" t="str">
        <f t="shared" si="10"/>
        <v>Louis</v>
      </c>
      <c r="J217" s="4" t="str">
        <f t="shared" si="11"/>
        <v>Stef D</v>
      </c>
    </row>
    <row r="218" spans="1:10" x14ac:dyDescent="0.25">
      <c r="A218" s="14">
        <v>218</v>
      </c>
      <c r="B218" s="19" t="s">
        <v>8</v>
      </c>
      <c r="C218" s="16" t="s">
        <v>7</v>
      </c>
      <c r="D218" s="20" t="s">
        <v>19</v>
      </c>
      <c r="E218" s="20" t="s">
        <v>0</v>
      </c>
      <c r="F218" s="4">
        <v>11</v>
      </c>
      <c r="G218" s="4">
        <v>9</v>
      </c>
      <c r="H218" s="3" t="str">
        <f t="shared" si="9"/>
        <v>ROOD</v>
      </c>
      <c r="I218" s="3" t="str">
        <f t="shared" si="10"/>
        <v>Louis</v>
      </c>
      <c r="J218" s="4" t="str">
        <f t="shared" si="11"/>
        <v>Tiemen</v>
      </c>
    </row>
    <row r="219" spans="1:10" x14ac:dyDescent="0.25">
      <c r="A219" s="14">
        <v>219</v>
      </c>
      <c r="B219" s="19" t="s">
        <v>7</v>
      </c>
      <c r="C219" s="16" t="s">
        <v>6</v>
      </c>
      <c r="D219" s="20" t="s">
        <v>8</v>
      </c>
      <c r="E219" s="20" t="s">
        <v>0</v>
      </c>
      <c r="F219" s="4">
        <v>3</v>
      </c>
      <c r="G219" s="4">
        <v>11</v>
      </c>
      <c r="H219" s="3" t="str">
        <f t="shared" si="9"/>
        <v>GROEN</v>
      </c>
      <c r="I219" s="3" t="str">
        <f t="shared" si="10"/>
        <v>Louis</v>
      </c>
      <c r="J219" s="4" t="str">
        <f t="shared" si="11"/>
        <v>Jonas</v>
      </c>
    </row>
    <row r="220" spans="1:10" x14ac:dyDescent="0.25">
      <c r="A220" s="14">
        <v>220</v>
      </c>
      <c r="B220" s="19" t="s">
        <v>6</v>
      </c>
      <c r="C220" s="16" t="s">
        <v>19</v>
      </c>
      <c r="D220" s="20" t="s">
        <v>0</v>
      </c>
      <c r="E220" s="20" t="s">
        <v>8</v>
      </c>
      <c r="F220" s="4">
        <v>4</v>
      </c>
      <c r="G220" s="4">
        <v>11</v>
      </c>
      <c r="H220" s="3" t="str">
        <f t="shared" si="9"/>
        <v>GROEN</v>
      </c>
      <c r="I220" s="3" t="str">
        <f t="shared" si="10"/>
        <v>Jonas</v>
      </c>
      <c r="J220" s="4" t="str">
        <f t="shared" si="11"/>
        <v>Louis</v>
      </c>
    </row>
    <row r="221" spans="1:10" x14ac:dyDescent="0.25">
      <c r="A221" s="14">
        <v>221</v>
      </c>
      <c r="B221" s="19" t="s">
        <v>8</v>
      </c>
      <c r="C221" s="16" t="s">
        <v>7</v>
      </c>
      <c r="D221" s="20" t="s">
        <v>0</v>
      </c>
      <c r="E221" s="20" t="s">
        <v>6</v>
      </c>
      <c r="F221" s="4">
        <v>8</v>
      </c>
      <c r="G221" s="4">
        <v>11</v>
      </c>
      <c r="H221" s="3" t="str">
        <f t="shared" si="9"/>
        <v>GROEN</v>
      </c>
      <c r="I221" s="3" t="str">
        <f t="shared" si="10"/>
        <v>Jonas</v>
      </c>
      <c r="J221" s="4" t="str">
        <f t="shared" si="11"/>
        <v>Stef D</v>
      </c>
    </row>
    <row r="222" spans="1:10" x14ac:dyDescent="0.25">
      <c r="A222" s="14">
        <v>222</v>
      </c>
      <c r="B222" s="19" t="s">
        <v>8</v>
      </c>
      <c r="C222" s="16" t="s">
        <v>6</v>
      </c>
      <c r="D222" s="20" t="s">
        <v>0</v>
      </c>
      <c r="E222" s="20" t="s">
        <v>7</v>
      </c>
      <c r="F222" s="4">
        <v>11</v>
      </c>
      <c r="G222" s="4">
        <v>13</v>
      </c>
      <c r="H222" s="3" t="str">
        <f t="shared" si="9"/>
        <v>GROEN</v>
      </c>
      <c r="I222" s="3" t="str">
        <f t="shared" si="10"/>
        <v>Jonas</v>
      </c>
      <c r="J222" s="4" t="str">
        <f t="shared" si="11"/>
        <v>Tiemen</v>
      </c>
    </row>
    <row r="223" spans="1:10" x14ac:dyDescent="0.25">
      <c r="A223" s="14">
        <v>223</v>
      </c>
      <c r="B223" s="19" t="s">
        <v>6</v>
      </c>
      <c r="C223" s="16" t="s">
        <v>7</v>
      </c>
      <c r="D223" s="20" t="s">
        <v>8</v>
      </c>
      <c r="E223" s="20" t="s">
        <v>0</v>
      </c>
      <c r="F223" s="4">
        <v>14</v>
      </c>
      <c r="G223" s="4">
        <v>12</v>
      </c>
      <c r="H223" s="3" t="str">
        <f t="shared" si="9"/>
        <v>ROOD</v>
      </c>
      <c r="I223" s="3" t="str">
        <f t="shared" si="10"/>
        <v>Stef D</v>
      </c>
      <c r="J223" s="4" t="str">
        <f t="shared" si="11"/>
        <v>Tiemen</v>
      </c>
    </row>
    <row r="224" spans="1:10" x14ac:dyDescent="0.25">
      <c r="A224" s="14">
        <v>224</v>
      </c>
      <c r="B224" s="19" t="s">
        <v>3</v>
      </c>
      <c r="C224" s="16" t="s">
        <v>6</v>
      </c>
      <c r="D224" s="20" t="s">
        <v>8</v>
      </c>
      <c r="E224" s="20" t="s">
        <v>19</v>
      </c>
      <c r="F224" s="4">
        <v>11</v>
      </c>
      <c r="G224" s="4">
        <v>4</v>
      </c>
      <c r="H224" s="3" t="str">
        <f t="shared" si="9"/>
        <v>ROOD</v>
      </c>
      <c r="I224" s="3" t="str">
        <f t="shared" si="10"/>
        <v>Karel</v>
      </c>
      <c r="J224" s="4" t="str">
        <f t="shared" si="11"/>
        <v>Stef D</v>
      </c>
    </row>
    <row r="225" spans="1:10" x14ac:dyDescent="0.25">
      <c r="A225" s="14">
        <v>225</v>
      </c>
      <c r="B225" s="19" t="s">
        <v>0</v>
      </c>
      <c r="C225" s="16" t="s">
        <v>6</v>
      </c>
      <c r="D225" s="20" t="s">
        <v>8</v>
      </c>
      <c r="E225" s="20" t="s">
        <v>3</v>
      </c>
      <c r="F225" s="4">
        <v>11</v>
      </c>
      <c r="G225" s="4">
        <v>5</v>
      </c>
      <c r="H225" s="3" t="str">
        <f t="shared" si="9"/>
        <v>ROOD</v>
      </c>
      <c r="I225" s="3" t="str">
        <f t="shared" si="10"/>
        <v>Jonas</v>
      </c>
      <c r="J225" s="4" t="str">
        <f t="shared" si="11"/>
        <v>Stef D</v>
      </c>
    </row>
    <row r="226" spans="1:10" x14ac:dyDescent="0.25">
      <c r="A226" s="14">
        <v>226</v>
      </c>
      <c r="B226" s="19" t="s">
        <v>6</v>
      </c>
      <c r="C226" s="16" t="s">
        <v>8</v>
      </c>
      <c r="D226" s="20" t="s">
        <v>19</v>
      </c>
      <c r="E226" s="20" t="s">
        <v>0</v>
      </c>
      <c r="F226" s="4">
        <v>11</v>
      </c>
      <c r="G226" s="4">
        <v>9</v>
      </c>
      <c r="H226" s="3" t="str">
        <f t="shared" si="9"/>
        <v>ROOD</v>
      </c>
      <c r="I226" s="3" t="str">
        <f t="shared" si="10"/>
        <v>Stef D</v>
      </c>
      <c r="J226" s="4" t="str">
        <f t="shared" si="11"/>
        <v>Louis</v>
      </c>
    </row>
    <row r="227" spans="1:10" x14ac:dyDescent="0.25">
      <c r="A227" s="14">
        <v>227</v>
      </c>
      <c r="B227" s="19" t="s">
        <v>0</v>
      </c>
      <c r="C227" s="16" t="s">
        <v>3</v>
      </c>
      <c r="D227" s="20" t="s">
        <v>19</v>
      </c>
      <c r="E227" s="20" t="s">
        <v>8</v>
      </c>
      <c r="F227" s="4">
        <v>11</v>
      </c>
      <c r="G227" s="4">
        <v>7</v>
      </c>
      <c r="H227" s="3" t="str">
        <f t="shared" si="9"/>
        <v>ROOD</v>
      </c>
      <c r="I227" s="3" t="str">
        <f t="shared" si="10"/>
        <v>Jonas</v>
      </c>
      <c r="J227" s="4" t="str">
        <f t="shared" si="11"/>
        <v>Karel</v>
      </c>
    </row>
    <row r="228" spans="1:10" x14ac:dyDescent="0.25">
      <c r="A228" s="14">
        <v>228</v>
      </c>
      <c r="B228" s="19" t="s">
        <v>0</v>
      </c>
      <c r="C228" s="16" t="s">
        <v>6</v>
      </c>
      <c r="D228" s="20" t="s">
        <v>8</v>
      </c>
      <c r="E228" s="20" t="s">
        <v>3</v>
      </c>
      <c r="F228" s="4">
        <v>11</v>
      </c>
      <c r="G228" s="4">
        <v>3</v>
      </c>
      <c r="H228" s="3" t="str">
        <f t="shared" si="9"/>
        <v>ROOD</v>
      </c>
      <c r="I228" s="3" t="str">
        <f t="shared" si="10"/>
        <v>Jonas</v>
      </c>
      <c r="J228" s="4" t="str">
        <f t="shared" si="11"/>
        <v>Stef D</v>
      </c>
    </row>
    <row r="229" spans="1:10" x14ac:dyDescent="0.25">
      <c r="A229" s="14">
        <v>229</v>
      </c>
      <c r="B229" s="19" t="s">
        <v>6</v>
      </c>
      <c r="C229" s="16" t="s">
        <v>19</v>
      </c>
      <c r="D229" s="20" t="s">
        <v>8</v>
      </c>
      <c r="E229" s="20" t="s">
        <v>3</v>
      </c>
      <c r="F229" s="4">
        <v>5</v>
      </c>
      <c r="G229" s="4">
        <v>11</v>
      </c>
      <c r="H229" s="3" t="str">
        <f t="shared" si="9"/>
        <v>GROEN</v>
      </c>
      <c r="I229" s="3" t="str">
        <f t="shared" si="10"/>
        <v>Louis</v>
      </c>
      <c r="J229" s="4" t="str">
        <f t="shared" si="11"/>
        <v>Karel</v>
      </c>
    </row>
    <row r="230" spans="1:10" x14ac:dyDescent="0.25">
      <c r="A230" s="14">
        <v>230</v>
      </c>
      <c r="B230" s="19" t="s">
        <v>19</v>
      </c>
      <c r="C230" s="16" t="s">
        <v>3</v>
      </c>
      <c r="D230" s="20" t="s">
        <v>0</v>
      </c>
      <c r="E230" s="20" t="s">
        <v>8</v>
      </c>
      <c r="F230" s="4">
        <v>2</v>
      </c>
      <c r="G230" s="4">
        <v>11</v>
      </c>
      <c r="H230" s="3" t="str">
        <f t="shared" si="9"/>
        <v>GROEN</v>
      </c>
      <c r="I230" s="3" t="str">
        <f t="shared" si="10"/>
        <v>Jonas</v>
      </c>
      <c r="J230" s="4" t="str">
        <f t="shared" si="11"/>
        <v>Louis</v>
      </c>
    </row>
    <row r="231" spans="1:10" x14ac:dyDescent="0.25">
      <c r="A231" s="14">
        <v>231</v>
      </c>
      <c r="B231" s="19" t="s">
        <v>19</v>
      </c>
      <c r="C231" s="16" t="s">
        <v>3</v>
      </c>
      <c r="D231" s="20" t="s">
        <v>6</v>
      </c>
      <c r="E231" s="20" t="s">
        <v>0</v>
      </c>
      <c r="F231" s="4">
        <v>8</v>
      </c>
      <c r="G231" s="4">
        <v>11</v>
      </c>
      <c r="H231" s="3" t="str">
        <f t="shared" si="9"/>
        <v>GROEN</v>
      </c>
      <c r="I231" s="3" t="str">
        <f t="shared" si="10"/>
        <v>Stef D</v>
      </c>
      <c r="J231" s="4" t="str">
        <f t="shared" si="11"/>
        <v>Jonas</v>
      </c>
    </row>
    <row r="232" spans="1:10" x14ac:dyDescent="0.25">
      <c r="A232" s="14">
        <v>232</v>
      </c>
      <c r="B232" s="19" t="s">
        <v>8</v>
      </c>
      <c r="C232" s="16" t="s">
        <v>6</v>
      </c>
      <c r="D232" s="20" t="s">
        <v>16</v>
      </c>
      <c r="E232" s="20" t="s">
        <v>0</v>
      </c>
      <c r="F232" s="4">
        <v>11</v>
      </c>
      <c r="G232" s="4">
        <v>8</v>
      </c>
      <c r="H232" s="3" t="str">
        <f t="shared" si="9"/>
        <v>ROOD</v>
      </c>
      <c r="I232" s="3" t="str">
        <f t="shared" si="10"/>
        <v>Louis</v>
      </c>
      <c r="J232" s="4" t="str">
        <f t="shared" si="11"/>
        <v>Stef D</v>
      </c>
    </row>
    <row r="233" spans="1:10" x14ac:dyDescent="0.25">
      <c r="A233" s="14">
        <v>233</v>
      </c>
      <c r="B233" s="19" t="s">
        <v>6</v>
      </c>
      <c r="C233" s="16" t="s">
        <v>11</v>
      </c>
      <c r="D233" s="20" t="s">
        <v>22</v>
      </c>
      <c r="E233" s="20" t="s">
        <v>23</v>
      </c>
      <c r="F233" s="4">
        <v>11</v>
      </c>
      <c r="G233" s="4">
        <v>4</v>
      </c>
      <c r="H233" s="3" t="str">
        <f t="shared" si="9"/>
        <v>ROOD</v>
      </c>
      <c r="I233" s="3" t="str">
        <f t="shared" si="10"/>
        <v>Stef D</v>
      </c>
      <c r="J233" s="4" t="str">
        <f t="shared" si="11"/>
        <v>Matthijs</v>
      </c>
    </row>
    <row r="234" spans="1:10" x14ac:dyDescent="0.25">
      <c r="A234" s="14">
        <v>234</v>
      </c>
      <c r="B234" s="19" t="s">
        <v>19</v>
      </c>
      <c r="C234" s="16" t="s">
        <v>6</v>
      </c>
      <c r="D234" s="20" t="s">
        <v>3</v>
      </c>
      <c r="E234" s="20" t="s">
        <v>8</v>
      </c>
      <c r="F234" s="4">
        <v>6</v>
      </c>
      <c r="G234" s="4">
        <v>11</v>
      </c>
      <c r="H234" s="3" t="str">
        <f t="shared" si="9"/>
        <v>GROEN</v>
      </c>
      <c r="I234" s="3" t="str">
        <f t="shared" si="10"/>
        <v>Karel</v>
      </c>
      <c r="J234" s="4" t="str">
        <f t="shared" si="11"/>
        <v>Louis</v>
      </c>
    </row>
    <row r="235" spans="1:10" x14ac:dyDescent="0.25">
      <c r="A235" s="14">
        <v>235</v>
      </c>
      <c r="B235" s="19" t="s">
        <v>19</v>
      </c>
      <c r="C235" s="16" t="s">
        <v>11</v>
      </c>
      <c r="D235" s="20" t="s">
        <v>22</v>
      </c>
      <c r="E235" s="20" t="s">
        <v>13</v>
      </c>
      <c r="F235" s="4">
        <v>8</v>
      </c>
      <c r="G235" s="4">
        <v>11</v>
      </c>
      <c r="H235" s="3" t="str">
        <f t="shared" si="9"/>
        <v>GROEN</v>
      </c>
      <c r="I235" s="3" t="str">
        <f t="shared" si="10"/>
        <v>Warre</v>
      </c>
      <c r="J235" s="4" t="str">
        <f t="shared" si="11"/>
        <v>Bert</v>
      </c>
    </row>
    <row r="236" spans="1:10" x14ac:dyDescent="0.25">
      <c r="A236" s="14">
        <v>236</v>
      </c>
      <c r="B236" s="19" t="s">
        <v>6</v>
      </c>
      <c r="C236" s="16" t="s">
        <v>3</v>
      </c>
      <c r="D236" s="20" t="s">
        <v>0</v>
      </c>
      <c r="E236" s="20" t="s">
        <v>8</v>
      </c>
      <c r="F236" s="4">
        <v>8</v>
      </c>
      <c r="G236" s="4">
        <v>11</v>
      </c>
      <c r="H236" s="3" t="str">
        <f t="shared" si="9"/>
        <v>GROEN</v>
      </c>
      <c r="I236" s="3" t="str">
        <f t="shared" si="10"/>
        <v>Jonas</v>
      </c>
      <c r="J236" s="4" t="str">
        <f t="shared" si="11"/>
        <v>Louis</v>
      </c>
    </row>
    <row r="237" spans="1:10" x14ac:dyDescent="0.25">
      <c r="A237" s="14">
        <v>237</v>
      </c>
      <c r="B237" s="19" t="s">
        <v>8</v>
      </c>
      <c r="C237" s="16" t="s">
        <v>13</v>
      </c>
      <c r="D237" s="20" t="s">
        <v>0</v>
      </c>
      <c r="E237" s="20" t="s">
        <v>6</v>
      </c>
      <c r="F237" s="4">
        <v>11</v>
      </c>
      <c r="G237" s="4">
        <v>9</v>
      </c>
      <c r="H237" s="3" t="str">
        <f t="shared" si="9"/>
        <v>ROOD</v>
      </c>
      <c r="I237" s="3" t="str">
        <f t="shared" si="10"/>
        <v>Louis</v>
      </c>
      <c r="J237" s="4" t="str">
        <f t="shared" si="11"/>
        <v>Bert</v>
      </c>
    </row>
    <row r="238" spans="1:10" x14ac:dyDescent="0.25">
      <c r="A238" s="14">
        <v>238</v>
      </c>
      <c r="B238" s="19" t="s">
        <v>11</v>
      </c>
      <c r="C238" s="16" t="s">
        <v>22</v>
      </c>
      <c r="D238" s="20" t="s">
        <v>3</v>
      </c>
      <c r="E238" s="20" t="s">
        <v>19</v>
      </c>
      <c r="F238" s="4">
        <v>11</v>
      </c>
      <c r="G238" s="4">
        <v>9</v>
      </c>
      <c r="H238" s="3" t="str">
        <f t="shared" si="9"/>
        <v>ROOD</v>
      </c>
      <c r="I238" s="3" t="str">
        <f t="shared" si="10"/>
        <v>Matthijs</v>
      </c>
      <c r="J238" s="4" t="str">
        <f t="shared" si="11"/>
        <v>Warre</v>
      </c>
    </row>
    <row r="239" spans="1:10" x14ac:dyDescent="0.25">
      <c r="A239" s="14">
        <v>239</v>
      </c>
      <c r="B239" s="19" t="s">
        <v>23</v>
      </c>
      <c r="C239" s="16" t="s">
        <v>3</v>
      </c>
      <c r="D239" s="20" t="s">
        <v>8</v>
      </c>
      <c r="E239" s="20" t="s">
        <v>13</v>
      </c>
      <c r="F239" s="4">
        <v>5</v>
      </c>
      <c r="G239" s="4">
        <v>11</v>
      </c>
      <c r="H239" s="3" t="str">
        <f t="shared" si="9"/>
        <v>GROEN</v>
      </c>
      <c r="I239" s="3" t="str">
        <f t="shared" si="10"/>
        <v>Louis</v>
      </c>
      <c r="J239" s="4" t="str">
        <f t="shared" si="11"/>
        <v>Bert</v>
      </c>
    </row>
    <row r="240" spans="1:10" x14ac:dyDescent="0.25">
      <c r="A240" s="14">
        <v>240</v>
      </c>
      <c r="B240" s="19" t="s">
        <v>0</v>
      </c>
      <c r="C240" s="16" t="s">
        <v>22</v>
      </c>
      <c r="D240" s="20" t="s">
        <v>11</v>
      </c>
      <c r="E240" s="20" t="s">
        <v>6</v>
      </c>
      <c r="F240" s="4">
        <v>6</v>
      </c>
      <c r="G240" s="4">
        <v>11</v>
      </c>
      <c r="H240" s="3" t="str">
        <f t="shared" si="9"/>
        <v>GROEN</v>
      </c>
      <c r="I240" s="3" t="str">
        <f t="shared" si="10"/>
        <v>Matthijs</v>
      </c>
      <c r="J240" s="4" t="str">
        <f t="shared" si="11"/>
        <v>Stef D</v>
      </c>
    </row>
    <row r="241" spans="1:10" x14ac:dyDescent="0.25">
      <c r="A241" s="14">
        <v>241</v>
      </c>
      <c r="B241" s="19" t="s">
        <v>11</v>
      </c>
      <c r="C241" s="16" t="s">
        <v>8</v>
      </c>
      <c r="D241" s="20" t="s">
        <v>0</v>
      </c>
      <c r="E241" s="20" t="s">
        <v>6</v>
      </c>
      <c r="F241" s="4">
        <v>10</v>
      </c>
      <c r="G241" s="4">
        <v>12</v>
      </c>
      <c r="H241" s="3" t="str">
        <f t="shared" si="9"/>
        <v>GROEN</v>
      </c>
      <c r="I241" s="3" t="str">
        <f t="shared" si="10"/>
        <v>Jonas</v>
      </c>
      <c r="J241" s="4" t="str">
        <f t="shared" si="11"/>
        <v>Stef D</v>
      </c>
    </row>
    <row r="242" spans="1:10" x14ac:dyDescent="0.25">
      <c r="A242" s="14">
        <v>242</v>
      </c>
      <c r="B242" s="19" t="s">
        <v>3</v>
      </c>
      <c r="C242" s="16" t="s">
        <v>23</v>
      </c>
      <c r="D242" s="20" t="s">
        <v>22</v>
      </c>
      <c r="E242" s="20" t="s">
        <v>19</v>
      </c>
      <c r="F242" s="4">
        <v>9</v>
      </c>
      <c r="G242" s="4">
        <v>11</v>
      </c>
      <c r="H242" s="3" t="str">
        <f t="shared" si="9"/>
        <v>GROEN</v>
      </c>
      <c r="I242" s="3" t="str">
        <f t="shared" si="10"/>
        <v>Warre</v>
      </c>
      <c r="J242" s="4" t="str">
        <f t="shared" si="11"/>
        <v>Nicolas</v>
      </c>
    </row>
    <row r="243" spans="1:10" x14ac:dyDescent="0.25">
      <c r="A243" s="14">
        <v>243</v>
      </c>
      <c r="B243" s="19" t="s">
        <v>0</v>
      </c>
      <c r="C243" s="16" t="s">
        <v>6</v>
      </c>
      <c r="D243" s="20" t="s">
        <v>19</v>
      </c>
      <c r="E243" s="20" t="s">
        <v>8</v>
      </c>
      <c r="F243" s="4">
        <v>12</v>
      </c>
      <c r="G243" s="4">
        <v>10</v>
      </c>
      <c r="H243" s="3" t="str">
        <f t="shared" si="9"/>
        <v>ROOD</v>
      </c>
      <c r="I243" s="3" t="str">
        <f t="shared" si="10"/>
        <v>Jonas</v>
      </c>
      <c r="J243" s="4" t="str">
        <f t="shared" si="11"/>
        <v>Stef D</v>
      </c>
    </row>
    <row r="244" spans="1:10" x14ac:dyDescent="0.25">
      <c r="A244" s="14">
        <v>244</v>
      </c>
      <c r="B244" s="19" t="s">
        <v>23</v>
      </c>
      <c r="C244" s="16" t="s">
        <v>6</v>
      </c>
      <c r="D244" s="20" t="s">
        <v>3</v>
      </c>
      <c r="E244" s="20" t="s">
        <v>0</v>
      </c>
      <c r="F244" s="4">
        <v>5</v>
      </c>
      <c r="G244" s="4">
        <v>11</v>
      </c>
      <c r="H244" s="3" t="str">
        <f t="shared" si="9"/>
        <v>GROEN</v>
      </c>
      <c r="I244" s="3" t="str">
        <f t="shared" si="10"/>
        <v>Karel</v>
      </c>
      <c r="J244" s="4" t="str">
        <f t="shared" si="11"/>
        <v>Jonas</v>
      </c>
    </row>
    <row r="245" spans="1:10" x14ac:dyDescent="0.25">
      <c r="A245" s="14">
        <v>245</v>
      </c>
      <c r="B245" s="19" t="s">
        <v>3</v>
      </c>
      <c r="C245" s="16" t="s">
        <v>23</v>
      </c>
      <c r="D245" s="20" t="s">
        <v>6</v>
      </c>
      <c r="E245" s="20" t="s">
        <v>0</v>
      </c>
      <c r="F245" s="4">
        <v>6</v>
      </c>
      <c r="G245" s="4">
        <v>11</v>
      </c>
      <c r="H245" s="3" t="str">
        <f t="shared" si="9"/>
        <v>GROEN</v>
      </c>
      <c r="I245" s="3" t="str">
        <f t="shared" si="10"/>
        <v>Stef D</v>
      </c>
      <c r="J245" s="4" t="str">
        <f t="shared" si="11"/>
        <v>Jonas</v>
      </c>
    </row>
    <row r="246" spans="1:10" x14ac:dyDescent="0.25">
      <c r="A246" s="14">
        <v>246</v>
      </c>
      <c r="B246" s="19" t="s">
        <v>22</v>
      </c>
      <c r="C246" s="16" t="s">
        <v>6</v>
      </c>
      <c r="D246" s="20" t="s">
        <v>3</v>
      </c>
      <c r="E246" s="20" t="s">
        <v>11</v>
      </c>
      <c r="F246" s="4">
        <v>11</v>
      </c>
      <c r="G246" s="4">
        <v>9</v>
      </c>
      <c r="H246" s="3" t="str">
        <f t="shared" si="9"/>
        <v>ROOD</v>
      </c>
      <c r="I246" s="3" t="str">
        <f t="shared" si="10"/>
        <v>Warre</v>
      </c>
      <c r="J246" s="4" t="str">
        <f t="shared" si="11"/>
        <v>Stef D</v>
      </c>
    </row>
    <row r="247" spans="1:10" x14ac:dyDescent="0.25">
      <c r="A247" s="14">
        <v>247</v>
      </c>
      <c r="B247" s="19" t="s">
        <v>19</v>
      </c>
      <c r="C247" s="16" t="s">
        <v>6</v>
      </c>
      <c r="D247" s="20" t="s">
        <v>23</v>
      </c>
      <c r="E247" s="20" t="s">
        <v>22</v>
      </c>
      <c r="F247" s="4">
        <v>11</v>
      </c>
      <c r="G247" s="4">
        <v>0</v>
      </c>
      <c r="H247" s="3" t="str">
        <f t="shared" si="9"/>
        <v>ROOD</v>
      </c>
      <c r="I247" s="3" t="str">
        <f t="shared" si="10"/>
        <v>Nicolas</v>
      </c>
      <c r="J247" s="4" t="str">
        <f t="shared" si="11"/>
        <v>Stef D</v>
      </c>
    </row>
    <row r="248" spans="1:10" x14ac:dyDescent="0.25">
      <c r="A248" s="14">
        <v>248</v>
      </c>
      <c r="B248" s="19" t="s">
        <v>19</v>
      </c>
      <c r="C248" s="16" t="s">
        <v>23</v>
      </c>
      <c r="D248" s="20" t="s">
        <v>6</v>
      </c>
      <c r="E248" s="20" t="s">
        <v>22</v>
      </c>
      <c r="F248" s="4">
        <v>2</v>
      </c>
      <c r="G248" s="4">
        <v>11</v>
      </c>
      <c r="H248" s="3" t="str">
        <f t="shared" si="9"/>
        <v>GROEN</v>
      </c>
      <c r="I248" s="3" t="str">
        <f t="shared" si="10"/>
        <v>Stef D</v>
      </c>
      <c r="J248" s="4" t="str">
        <f t="shared" si="11"/>
        <v>Warre</v>
      </c>
    </row>
    <row r="249" spans="1:10" x14ac:dyDescent="0.25">
      <c r="A249" s="14">
        <v>249</v>
      </c>
      <c r="B249" s="19" t="s">
        <v>6</v>
      </c>
      <c r="C249" s="16" t="s">
        <v>19</v>
      </c>
      <c r="D249" s="20" t="s">
        <v>22</v>
      </c>
      <c r="E249" s="20" t="s">
        <v>23</v>
      </c>
      <c r="F249" s="4">
        <v>11</v>
      </c>
      <c r="G249" s="4">
        <v>7</v>
      </c>
      <c r="H249" s="3" t="str">
        <f t="shared" si="9"/>
        <v>ROOD</v>
      </c>
      <c r="I249" s="3" t="str">
        <f t="shared" si="10"/>
        <v>Stef D</v>
      </c>
      <c r="J249" s="4" t="str">
        <f t="shared" si="11"/>
        <v>Nicolas</v>
      </c>
    </row>
    <row r="250" spans="1:10" x14ac:dyDescent="0.25">
      <c r="A250" s="14">
        <v>250</v>
      </c>
      <c r="B250" s="19" t="s">
        <v>0</v>
      </c>
      <c r="C250" s="16" t="s">
        <v>2</v>
      </c>
      <c r="D250" s="20" t="s">
        <v>3</v>
      </c>
      <c r="E250" s="20" t="s">
        <v>4</v>
      </c>
      <c r="F250" s="7">
        <v>11</v>
      </c>
      <c r="G250" s="4">
        <v>9</v>
      </c>
      <c r="H250" s="3" t="str">
        <f t="shared" si="9"/>
        <v>ROOD</v>
      </c>
      <c r="I250" s="3" t="str">
        <f t="shared" si="10"/>
        <v>Jonas</v>
      </c>
      <c r="J250" s="4" t="str">
        <f t="shared" si="11"/>
        <v>Tobias</v>
      </c>
    </row>
    <row r="251" spans="1:10" x14ac:dyDescent="0.25">
      <c r="A251" s="14">
        <v>251</v>
      </c>
      <c r="B251" s="19" t="s">
        <v>2</v>
      </c>
      <c r="C251" s="16" t="s">
        <v>0</v>
      </c>
      <c r="D251" s="20" t="s">
        <v>4</v>
      </c>
      <c r="E251" s="20" t="s">
        <v>3</v>
      </c>
      <c r="F251" s="4">
        <v>12</v>
      </c>
      <c r="G251" s="4">
        <v>14</v>
      </c>
      <c r="H251" s="3" t="str">
        <f t="shared" si="9"/>
        <v>GROEN</v>
      </c>
      <c r="I251" s="3" t="str">
        <f t="shared" si="10"/>
        <v>Stef</v>
      </c>
      <c r="J251" s="4" t="str">
        <f t="shared" si="11"/>
        <v>Karel</v>
      </c>
    </row>
    <row r="252" spans="1:10" x14ac:dyDescent="0.25">
      <c r="A252" s="14">
        <v>252</v>
      </c>
      <c r="B252" s="19" t="s">
        <v>4</v>
      </c>
      <c r="C252" s="16" t="s">
        <v>2</v>
      </c>
      <c r="D252" s="20" t="s">
        <v>0</v>
      </c>
      <c r="E252" s="20" t="s">
        <v>3</v>
      </c>
      <c r="F252" s="4">
        <v>14</v>
      </c>
      <c r="G252" s="4">
        <v>12</v>
      </c>
      <c r="H252" s="3" t="str">
        <f t="shared" si="9"/>
        <v>ROOD</v>
      </c>
      <c r="I252" s="3" t="str">
        <f t="shared" si="10"/>
        <v>Stef</v>
      </c>
      <c r="J252" s="4" t="str">
        <f t="shared" si="11"/>
        <v>Tobias</v>
      </c>
    </row>
    <row r="253" spans="1:10" x14ac:dyDescent="0.25">
      <c r="A253" s="14">
        <v>253</v>
      </c>
      <c r="B253" s="19" t="s">
        <v>2</v>
      </c>
      <c r="C253" s="16" t="s">
        <v>5</v>
      </c>
      <c r="D253" s="20" t="s">
        <v>3</v>
      </c>
      <c r="E253" s="20" t="s">
        <v>0</v>
      </c>
      <c r="F253" s="4">
        <v>14</v>
      </c>
      <c r="G253" s="4">
        <v>12</v>
      </c>
      <c r="H253" s="3" t="str">
        <f t="shared" si="9"/>
        <v>ROOD</v>
      </c>
      <c r="I253" s="3" t="str">
        <f t="shared" si="10"/>
        <v>Tobias</v>
      </c>
      <c r="J253" s="4" t="str">
        <f t="shared" si="11"/>
        <v xml:space="preserve">Stef </v>
      </c>
    </row>
    <row r="254" spans="1:10" x14ac:dyDescent="0.25">
      <c r="A254" s="14">
        <v>254</v>
      </c>
      <c r="B254" s="19" t="s">
        <v>0</v>
      </c>
      <c r="C254" s="16" t="s">
        <v>6</v>
      </c>
      <c r="D254" s="20" t="s">
        <v>3</v>
      </c>
      <c r="E254" s="20" t="s">
        <v>2</v>
      </c>
      <c r="F254" s="4">
        <v>6</v>
      </c>
      <c r="G254" s="4">
        <v>11</v>
      </c>
      <c r="H254" s="3" t="str">
        <f t="shared" si="9"/>
        <v>GROEN</v>
      </c>
      <c r="I254" s="3" t="str">
        <f t="shared" si="10"/>
        <v>Karel</v>
      </c>
      <c r="J254" s="4" t="str">
        <f t="shared" si="11"/>
        <v>Tobias</v>
      </c>
    </row>
    <row r="255" spans="1:10" x14ac:dyDescent="0.25">
      <c r="A255" s="14">
        <v>255</v>
      </c>
      <c r="B255" s="19" t="s">
        <v>6</v>
      </c>
      <c r="C255" s="16" t="s">
        <v>0</v>
      </c>
      <c r="D255" s="20" t="s">
        <v>2</v>
      </c>
      <c r="E255" s="20" t="s">
        <v>3</v>
      </c>
      <c r="F255" s="4">
        <v>9</v>
      </c>
      <c r="G255" s="4">
        <v>11</v>
      </c>
      <c r="H255" s="3" t="str">
        <f t="shared" si="9"/>
        <v>GROEN</v>
      </c>
      <c r="I255" s="3" t="str">
        <f t="shared" si="10"/>
        <v>Tobias</v>
      </c>
      <c r="J255" s="4" t="str">
        <f t="shared" si="11"/>
        <v>Karel</v>
      </c>
    </row>
    <row r="256" spans="1:10" x14ac:dyDescent="0.25">
      <c r="A256" s="14">
        <v>256</v>
      </c>
      <c r="B256" s="19" t="s">
        <v>0</v>
      </c>
      <c r="C256" s="16" t="s">
        <v>6</v>
      </c>
      <c r="D256" s="20" t="s">
        <v>14</v>
      </c>
      <c r="E256" s="20" t="s">
        <v>43</v>
      </c>
      <c r="F256" s="4">
        <v>11</v>
      </c>
      <c r="G256" s="4">
        <v>7</v>
      </c>
      <c r="H256" s="3" t="str">
        <f t="shared" si="9"/>
        <v>ROOD</v>
      </c>
      <c r="I256" s="3" t="str">
        <f t="shared" si="10"/>
        <v>Jonas</v>
      </c>
      <c r="J256" s="4" t="str">
        <f t="shared" si="11"/>
        <v>Stef D</v>
      </c>
    </row>
    <row r="257" spans="1:10" x14ac:dyDescent="0.25">
      <c r="A257" s="14">
        <v>257</v>
      </c>
      <c r="B257" s="19" t="s">
        <v>0</v>
      </c>
      <c r="C257" s="16" t="s">
        <v>19</v>
      </c>
      <c r="D257" s="20" t="s">
        <v>14</v>
      </c>
      <c r="E257" s="20" t="s">
        <v>0</v>
      </c>
      <c r="F257" s="4">
        <v>8</v>
      </c>
      <c r="G257" s="4">
        <v>11</v>
      </c>
      <c r="H257" s="3" t="str">
        <f t="shared" si="9"/>
        <v>GROEN</v>
      </c>
      <c r="I257" s="3" t="str">
        <f t="shared" si="10"/>
        <v>Stef C</v>
      </c>
      <c r="J257" s="4" t="str">
        <f t="shared" si="11"/>
        <v>Jonas</v>
      </c>
    </row>
    <row r="258" spans="1:10" x14ac:dyDescent="0.25">
      <c r="A258" s="14">
        <v>258</v>
      </c>
      <c r="B258" s="19" t="s">
        <v>8</v>
      </c>
      <c r="C258" s="16" t="s">
        <v>0</v>
      </c>
      <c r="D258" s="20" t="s">
        <v>11</v>
      </c>
      <c r="E258" s="20" t="s">
        <v>7</v>
      </c>
      <c r="F258" s="4">
        <v>11</v>
      </c>
      <c r="G258" s="4">
        <v>7</v>
      </c>
      <c r="H258" s="3" t="str">
        <f t="shared" ref="H258:H321" si="12">IF(F258&gt;G258,"ROOD",IF(F258=G258,"","GROEN"))</f>
        <v>ROOD</v>
      </c>
      <c r="I258" s="3" t="str">
        <f t="shared" ref="I258:I321" si="13">IF(F258&gt;G258,B258,IF(F258=0,"",D258))</f>
        <v>Louis</v>
      </c>
      <c r="J258" s="4" t="str">
        <f t="shared" ref="J258:J321" si="14">IF(F258&gt;G258,C258,IF(F258=0,"",E258))</f>
        <v>Jonas</v>
      </c>
    </row>
    <row r="259" spans="1:10" x14ac:dyDescent="0.25">
      <c r="A259" s="14">
        <v>259</v>
      </c>
      <c r="B259" s="19" t="s">
        <v>6</v>
      </c>
      <c r="C259" s="16" t="s">
        <v>11</v>
      </c>
      <c r="D259" s="20" t="s">
        <v>19</v>
      </c>
      <c r="E259" s="20" t="s">
        <v>14</v>
      </c>
      <c r="F259" s="4">
        <v>11</v>
      </c>
      <c r="G259" s="4">
        <v>5</v>
      </c>
      <c r="H259" s="3" t="str">
        <f t="shared" si="12"/>
        <v>ROOD</v>
      </c>
      <c r="I259" s="3" t="str">
        <f t="shared" si="13"/>
        <v>Stef D</v>
      </c>
      <c r="J259" s="4" t="str">
        <f t="shared" si="14"/>
        <v>Matthijs</v>
      </c>
    </row>
    <row r="260" spans="1:10" x14ac:dyDescent="0.25">
      <c r="A260" s="14">
        <v>260</v>
      </c>
      <c r="B260" s="19" t="s">
        <v>6</v>
      </c>
      <c r="C260" s="16" t="s">
        <v>7</v>
      </c>
      <c r="D260" s="20" t="s">
        <v>0</v>
      </c>
      <c r="E260" s="20" t="s">
        <v>8</v>
      </c>
      <c r="F260" s="4">
        <v>11</v>
      </c>
      <c r="G260" s="4">
        <v>9</v>
      </c>
      <c r="H260" s="3" t="str">
        <f t="shared" si="12"/>
        <v>ROOD</v>
      </c>
      <c r="I260" s="3" t="str">
        <f t="shared" si="13"/>
        <v>Stef D</v>
      </c>
      <c r="J260" s="4" t="str">
        <f t="shared" si="14"/>
        <v>Tiemen</v>
      </c>
    </row>
    <row r="261" spans="1:10" x14ac:dyDescent="0.25">
      <c r="A261" s="14">
        <v>261</v>
      </c>
      <c r="B261" s="19" t="s">
        <v>7</v>
      </c>
      <c r="C261" s="16" t="s">
        <v>11</v>
      </c>
      <c r="D261" s="20" t="s">
        <v>0</v>
      </c>
      <c r="E261" s="20" t="s">
        <v>6</v>
      </c>
      <c r="F261" s="4">
        <v>5</v>
      </c>
      <c r="G261" s="4">
        <v>11</v>
      </c>
      <c r="H261" s="3" t="str">
        <f t="shared" si="12"/>
        <v>GROEN</v>
      </c>
      <c r="I261" s="3" t="str">
        <f t="shared" si="13"/>
        <v>Jonas</v>
      </c>
      <c r="J261" s="4" t="str">
        <f t="shared" si="14"/>
        <v>Stef D</v>
      </c>
    </row>
    <row r="262" spans="1:10" x14ac:dyDescent="0.25">
      <c r="A262" s="14">
        <v>262</v>
      </c>
      <c r="B262" s="19" t="s">
        <v>11</v>
      </c>
      <c r="C262" s="16" t="s">
        <v>6</v>
      </c>
      <c r="D262" s="20" t="s">
        <v>8</v>
      </c>
      <c r="E262" s="20" t="s">
        <v>0</v>
      </c>
      <c r="F262" s="4">
        <v>11</v>
      </c>
      <c r="G262" s="4">
        <v>8</v>
      </c>
      <c r="H262" s="3" t="str">
        <f t="shared" si="12"/>
        <v>ROOD</v>
      </c>
      <c r="I262" s="3" t="str">
        <f t="shared" si="13"/>
        <v>Matthijs</v>
      </c>
      <c r="J262" s="4" t="str">
        <f t="shared" si="14"/>
        <v>Stef D</v>
      </c>
    </row>
    <row r="263" spans="1:10" x14ac:dyDescent="0.25">
      <c r="A263" s="14">
        <v>263</v>
      </c>
      <c r="B263" s="19" t="s">
        <v>0</v>
      </c>
      <c r="C263" s="16" t="s">
        <v>11</v>
      </c>
      <c r="D263" s="20" t="s">
        <v>8</v>
      </c>
      <c r="E263" s="20" t="s">
        <v>6</v>
      </c>
      <c r="F263" s="4">
        <v>13</v>
      </c>
      <c r="G263" s="4">
        <v>15</v>
      </c>
      <c r="H263" s="3" t="str">
        <f t="shared" si="12"/>
        <v>GROEN</v>
      </c>
      <c r="I263" s="3" t="str">
        <f t="shared" si="13"/>
        <v>Louis</v>
      </c>
      <c r="J263" s="4" t="str">
        <f t="shared" si="14"/>
        <v>Stef D</v>
      </c>
    </row>
    <row r="264" spans="1:10" x14ac:dyDescent="0.25">
      <c r="A264" s="14">
        <v>264</v>
      </c>
      <c r="B264" s="19" t="s">
        <v>19</v>
      </c>
      <c r="C264" s="16" t="s">
        <v>6</v>
      </c>
      <c r="D264" s="20" t="s">
        <v>8</v>
      </c>
      <c r="E264" s="20" t="s">
        <v>7</v>
      </c>
      <c r="F264" s="4">
        <v>8</v>
      </c>
      <c r="G264" s="4">
        <v>11</v>
      </c>
      <c r="H264" s="3" t="str">
        <f t="shared" si="12"/>
        <v>GROEN</v>
      </c>
      <c r="I264" s="3" t="str">
        <f t="shared" si="13"/>
        <v>Louis</v>
      </c>
      <c r="J264" s="4" t="str">
        <f t="shared" si="14"/>
        <v>Tiemen</v>
      </c>
    </row>
    <row r="265" spans="1:10" x14ac:dyDescent="0.25">
      <c r="A265" s="14">
        <v>265</v>
      </c>
      <c r="B265" s="19" t="s">
        <v>3</v>
      </c>
      <c r="C265" s="16" t="s">
        <v>19</v>
      </c>
      <c r="D265" s="20" t="s">
        <v>7</v>
      </c>
      <c r="E265" s="20" t="s">
        <v>8</v>
      </c>
      <c r="F265" s="4">
        <v>10</v>
      </c>
      <c r="G265" s="4">
        <v>12</v>
      </c>
      <c r="H265" s="3" t="str">
        <f t="shared" si="12"/>
        <v>GROEN</v>
      </c>
      <c r="I265" s="3" t="str">
        <f t="shared" si="13"/>
        <v>Tiemen</v>
      </c>
      <c r="J265" s="4" t="str">
        <f t="shared" si="14"/>
        <v>Louis</v>
      </c>
    </row>
    <row r="266" spans="1:10" x14ac:dyDescent="0.25">
      <c r="A266" s="14">
        <v>266</v>
      </c>
      <c r="B266" s="19" t="s">
        <v>3</v>
      </c>
      <c r="C266" s="16" t="s">
        <v>2</v>
      </c>
      <c r="D266" s="20" t="s">
        <v>8</v>
      </c>
      <c r="E266" s="20" t="s">
        <v>6</v>
      </c>
      <c r="F266" s="4">
        <v>10</v>
      </c>
      <c r="G266" s="4">
        <v>12</v>
      </c>
      <c r="H266" s="3" t="str">
        <f t="shared" si="12"/>
        <v>GROEN</v>
      </c>
      <c r="I266" s="3" t="str">
        <f t="shared" si="13"/>
        <v>Louis</v>
      </c>
      <c r="J266" s="4" t="str">
        <f t="shared" si="14"/>
        <v>Stef D</v>
      </c>
    </row>
    <row r="267" spans="1:10" x14ac:dyDescent="0.25">
      <c r="A267" s="14">
        <v>267</v>
      </c>
      <c r="B267" s="19" t="s">
        <v>2</v>
      </c>
      <c r="C267" s="16" t="s">
        <v>19</v>
      </c>
      <c r="D267" s="20" t="s">
        <v>6</v>
      </c>
      <c r="E267" s="20" t="s">
        <v>7</v>
      </c>
      <c r="F267" s="4">
        <v>5</v>
      </c>
      <c r="G267" s="4">
        <v>11</v>
      </c>
      <c r="H267" s="3" t="str">
        <f t="shared" si="12"/>
        <v>GROEN</v>
      </c>
      <c r="I267" s="3" t="str">
        <f t="shared" si="13"/>
        <v>Stef D</v>
      </c>
      <c r="J267" s="4" t="str">
        <f t="shared" si="14"/>
        <v>Tiemen</v>
      </c>
    </row>
    <row r="268" spans="1:10" x14ac:dyDescent="0.25">
      <c r="A268" s="14">
        <v>268</v>
      </c>
      <c r="B268" s="19" t="s">
        <v>19</v>
      </c>
      <c r="C268" s="16" t="s">
        <v>13</v>
      </c>
      <c r="D268" s="20" t="s">
        <v>7</v>
      </c>
      <c r="E268" s="20" t="s">
        <v>2</v>
      </c>
      <c r="F268" s="4">
        <v>8</v>
      </c>
      <c r="G268" s="4">
        <v>11</v>
      </c>
      <c r="H268" s="3" t="str">
        <f t="shared" si="12"/>
        <v>GROEN</v>
      </c>
      <c r="I268" s="3" t="str">
        <f t="shared" si="13"/>
        <v>Tiemen</v>
      </c>
      <c r="J268" s="4" t="str">
        <f t="shared" si="14"/>
        <v>Tobias</v>
      </c>
    </row>
    <row r="269" spans="1:10" x14ac:dyDescent="0.25">
      <c r="A269" s="14">
        <v>269</v>
      </c>
      <c r="B269" s="19" t="s">
        <v>13</v>
      </c>
      <c r="C269" s="16" t="s">
        <v>7</v>
      </c>
      <c r="D269" s="20" t="s">
        <v>6</v>
      </c>
      <c r="E269" s="20" t="s">
        <v>2</v>
      </c>
      <c r="F269" s="4">
        <v>10</v>
      </c>
      <c r="G269" s="4">
        <v>12</v>
      </c>
      <c r="H269" s="3" t="str">
        <f t="shared" si="12"/>
        <v>GROEN</v>
      </c>
      <c r="I269" s="3" t="str">
        <f t="shared" si="13"/>
        <v>Stef D</v>
      </c>
      <c r="J269" s="4" t="str">
        <f t="shared" si="14"/>
        <v>Tobias</v>
      </c>
    </row>
    <row r="270" spans="1:10" x14ac:dyDescent="0.25">
      <c r="A270" s="14">
        <v>270</v>
      </c>
      <c r="B270" s="19" t="s">
        <v>6</v>
      </c>
      <c r="C270" s="16" t="s">
        <v>13</v>
      </c>
      <c r="D270" s="20" t="s">
        <v>7</v>
      </c>
      <c r="E270" s="20" t="s">
        <v>19</v>
      </c>
      <c r="F270" s="4">
        <v>11</v>
      </c>
      <c r="G270" s="4">
        <v>7</v>
      </c>
      <c r="H270" s="3" t="str">
        <f t="shared" si="12"/>
        <v>ROOD</v>
      </c>
      <c r="I270" s="3" t="str">
        <f t="shared" si="13"/>
        <v>Stef D</v>
      </c>
      <c r="J270" s="4" t="str">
        <f t="shared" si="14"/>
        <v>Bert</v>
      </c>
    </row>
    <row r="271" spans="1:10" x14ac:dyDescent="0.25">
      <c r="A271" s="14">
        <v>271</v>
      </c>
      <c r="B271" s="19" t="s">
        <v>19</v>
      </c>
      <c r="C271" s="16" t="s">
        <v>4</v>
      </c>
      <c r="D271" s="20" t="s">
        <v>11</v>
      </c>
      <c r="E271" s="20" t="s">
        <v>2</v>
      </c>
      <c r="F271" s="4">
        <v>11</v>
      </c>
      <c r="G271" s="4">
        <v>13</v>
      </c>
      <c r="H271" s="3" t="str">
        <f t="shared" si="12"/>
        <v>GROEN</v>
      </c>
      <c r="I271" s="3" t="str">
        <f t="shared" si="13"/>
        <v>Matthijs</v>
      </c>
      <c r="J271" s="4" t="str">
        <f t="shared" si="14"/>
        <v>Tobias</v>
      </c>
    </row>
    <row r="272" spans="1:10" x14ac:dyDescent="0.25">
      <c r="A272" s="14">
        <v>272</v>
      </c>
      <c r="B272" s="19" t="s">
        <v>7</v>
      </c>
      <c r="C272" s="16" t="s">
        <v>3</v>
      </c>
      <c r="D272" s="20" t="s">
        <v>8</v>
      </c>
      <c r="E272" s="20" t="s">
        <v>13</v>
      </c>
      <c r="F272" s="4">
        <v>11</v>
      </c>
      <c r="G272" s="4">
        <v>8</v>
      </c>
      <c r="H272" s="3" t="str">
        <f t="shared" si="12"/>
        <v>ROOD</v>
      </c>
      <c r="I272" s="3" t="str">
        <f t="shared" si="13"/>
        <v>Tiemen</v>
      </c>
      <c r="J272" s="4" t="str">
        <f t="shared" si="14"/>
        <v>Karel</v>
      </c>
    </row>
    <row r="273" spans="1:10" x14ac:dyDescent="0.25">
      <c r="A273" s="14">
        <v>273</v>
      </c>
      <c r="B273" s="19" t="s">
        <v>19</v>
      </c>
      <c r="C273" s="16" t="s">
        <v>8</v>
      </c>
      <c r="D273" s="20" t="s">
        <v>11</v>
      </c>
      <c r="E273" s="20" t="s">
        <v>6</v>
      </c>
      <c r="F273" s="4">
        <v>16</v>
      </c>
      <c r="G273" s="4">
        <v>18</v>
      </c>
      <c r="H273" s="3" t="str">
        <f t="shared" si="12"/>
        <v>GROEN</v>
      </c>
      <c r="I273" s="3" t="str">
        <f t="shared" si="13"/>
        <v>Matthijs</v>
      </c>
      <c r="J273" s="4" t="str">
        <f t="shared" si="14"/>
        <v>Stef D</v>
      </c>
    </row>
    <row r="274" spans="1:10" x14ac:dyDescent="0.25">
      <c r="A274" s="14">
        <v>274</v>
      </c>
      <c r="B274" s="19" t="s">
        <v>3</v>
      </c>
      <c r="C274" s="16" t="s">
        <v>11</v>
      </c>
      <c r="D274" s="20" t="s">
        <v>8</v>
      </c>
      <c r="E274" s="20" t="s">
        <v>6</v>
      </c>
      <c r="F274" s="4">
        <v>5</v>
      </c>
      <c r="G274" s="4">
        <v>11</v>
      </c>
      <c r="H274" s="3" t="str">
        <f t="shared" si="12"/>
        <v>GROEN</v>
      </c>
      <c r="I274" s="3" t="str">
        <f t="shared" si="13"/>
        <v>Louis</v>
      </c>
      <c r="J274" s="4" t="str">
        <f t="shared" si="14"/>
        <v>Stef D</v>
      </c>
    </row>
    <row r="275" spans="1:10" x14ac:dyDescent="0.25">
      <c r="A275" s="14">
        <v>275</v>
      </c>
      <c r="B275" s="19" t="s">
        <v>19</v>
      </c>
      <c r="C275" s="16" t="s">
        <v>8</v>
      </c>
      <c r="D275" s="20" t="s">
        <v>6</v>
      </c>
      <c r="E275" s="20" t="s">
        <v>3</v>
      </c>
      <c r="F275" s="4">
        <v>3</v>
      </c>
      <c r="G275" s="4">
        <v>11</v>
      </c>
      <c r="H275" s="3" t="str">
        <f t="shared" si="12"/>
        <v>GROEN</v>
      </c>
      <c r="I275" s="3" t="str">
        <f t="shared" si="13"/>
        <v>Stef D</v>
      </c>
      <c r="J275" s="4" t="str">
        <f t="shared" si="14"/>
        <v>Karel</v>
      </c>
    </row>
    <row r="276" spans="1:10" x14ac:dyDescent="0.25">
      <c r="A276" s="14">
        <v>276</v>
      </c>
      <c r="B276" s="19" t="s">
        <v>6</v>
      </c>
      <c r="C276" s="16" t="s">
        <v>3</v>
      </c>
      <c r="D276" s="20" t="s">
        <v>19</v>
      </c>
      <c r="E276" s="20" t="s">
        <v>8</v>
      </c>
      <c r="F276" s="4">
        <v>11</v>
      </c>
      <c r="G276" s="4">
        <v>6</v>
      </c>
      <c r="H276" s="3" t="str">
        <f t="shared" si="12"/>
        <v>ROOD</v>
      </c>
      <c r="I276" s="3" t="str">
        <f t="shared" si="13"/>
        <v>Stef D</v>
      </c>
      <c r="J276" s="4" t="str">
        <f t="shared" si="14"/>
        <v>Karel</v>
      </c>
    </row>
    <row r="277" spans="1:10" x14ac:dyDescent="0.25">
      <c r="A277" s="14">
        <v>277</v>
      </c>
      <c r="B277" s="19" t="s">
        <v>3</v>
      </c>
      <c r="C277" s="16" t="s">
        <v>6</v>
      </c>
      <c r="D277" s="20" t="s">
        <v>8</v>
      </c>
      <c r="E277" s="20" t="s">
        <v>0</v>
      </c>
      <c r="F277" s="4">
        <v>11</v>
      </c>
      <c r="G277" s="4">
        <v>7</v>
      </c>
      <c r="H277" s="3" t="str">
        <f t="shared" si="12"/>
        <v>ROOD</v>
      </c>
      <c r="I277" s="3" t="str">
        <f t="shared" si="13"/>
        <v>Karel</v>
      </c>
      <c r="J277" s="4" t="str">
        <f t="shared" si="14"/>
        <v>Stef D</v>
      </c>
    </row>
    <row r="278" spans="1:10" x14ac:dyDescent="0.25">
      <c r="A278" s="14">
        <v>278</v>
      </c>
      <c r="B278" s="19" t="s">
        <v>3</v>
      </c>
      <c r="C278" s="16" t="s">
        <v>19</v>
      </c>
      <c r="D278" s="20" t="s">
        <v>6</v>
      </c>
      <c r="E278" s="20" t="s">
        <v>0</v>
      </c>
      <c r="F278" s="4">
        <v>10</v>
      </c>
      <c r="G278" s="4">
        <v>12</v>
      </c>
      <c r="H278" s="3" t="str">
        <f t="shared" si="12"/>
        <v>GROEN</v>
      </c>
      <c r="I278" s="3" t="str">
        <f t="shared" si="13"/>
        <v>Stef D</v>
      </c>
      <c r="J278" s="4" t="str">
        <f t="shared" si="14"/>
        <v>Jonas</v>
      </c>
    </row>
    <row r="279" spans="1:10" x14ac:dyDescent="0.25">
      <c r="A279" s="14">
        <v>279</v>
      </c>
      <c r="B279" s="19" t="s">
        <v>19</v>
      </c>
      <c r="C279" s="16" t="s">
        <v>0</v>
      </c>
      <c r="D279" s="20" t="s">
        <v>8</v>
      </c>
      <c r="E279" s="20" t="s">
        <v>3</v>
      </c>
      <c r="F279" s="4">
        <v>2</v>
      </c>
      <c r="G279" s="4">
        <v>11</v>
      </c>
      <c r="H279" s="3" t="str">
        <f t="shared" si="12"/>
        <v>GROEN</v>
      </c>
      <c r="I279" s="3" t="str">
        <f t="shared" si="13"/>
        <v>Louis</v>
      </c>
      <c r="J279" s="4" t="str">
        <f t="shared" si="14"/>
        <v>Karel</v>
      </c>
    </row>
    <row r="280" spans="1:10" x14ac:dyDescent="0.25">
      <c r="A280" s="14">
        <v>280</v>
      </c>
      <c r="B280" s="19" t="s">
        <v>19</v>
      </c>
      <c r="C280" s="16" t="s">
        <v>6</v>
      </c>
      <c r="D280" s="20" t="s">
        <v>0</v>
      </c>
      <c r="E280" s="20" t="s">
        <v>3</v>
      </c>
      <c r="F280" s="4">
        <v>6</v>
      </c>
      <c r="G280" s="4">
        <v>11</v>
      </c>
      <c r="H280" s="3" t="str">
        <f t="shared" si="12"/>
        <v>GROEN</v>
      </c>
      <c r="I280" s="3" t="str">
        <f t="shared" si="13"/>
        <v>Jonas</v>
      </c>
      <c r="J280" s="4" t="str">
        <f t="shared" si="14"/>
        <v>Karel</v>
      </c>
    </row>
    <row r="281" spans="1:10" x14ac:dyDescent="0.25">
      <c r="A281" s="14">
        <v>281</v>
      </c>
      <c r="B281" s="19" t="s">
        <v>8</v>
      </c>
      <c r="C281" s="16" t="s">
        <v>6</v>
      </c>
      <c r="D281" s="20" t="s">
        <v>0</v>
      </c>
      <c r="E281" s="20" t="s">
        <v>3</v>
      </c>
      <c r="F281" s="4">
        <v>12</v>
      </c>
      <c r="G281" s="4">
        <v>14</v>
      </c>
      <c r="H281" s="3" t="str">
        <f t="shared" si="12"/>
        <v>GROEN</v>
      </c>
      <c r="I281" s="3" t="str">
        <f t="shared" si="13"/>
        <v>Jonas</v>
      </c>
      <c r="J281" s="4" t="str">
        <f t="shared" si="14"/>
        <v>Karel</v>
      </c>
    </row>
    <row r="282" spans="1:10" x14ac:dyDescent="0.25">
      <c r="A282" s="14">
        <v>282</v>
      </c>
      <c r="B282" s="19" t="s">
        <v>19</v>
      </c>
      <c r="C282" s="16" t="s">
        <v>8</v>
      </c>
      <c r="D282" s="20" t="s">
        <v>0</v>
      </c>
      <c r="E282" s="20" t="s">
        <v>6</v>
      </c>
      <c r="F282" s="4">
        <v>9</v>
      </c>
      <c r="G282" s="4">
        <v>11</v>
      </c>
      <c r="H282" s="3" t="str">
        <f t="shared" si="12"/>
        <v>GROEN</v>
      </c>
      <c r="I282" s="3" t="str">
        <f t="shared" si="13"/>
        <v>Jonas</v>
      </c>
      <c r="J282" s="4" t="str">
        <f t="shared" si="14"/>
        <v>Stef D</v>
      </c>
    </row>
    <row r="283" spans="1:10" x14ac:dyDescent="0.25">
      <c r="A283" s="14">
        <v>283</v>
      </c>
      <c r="B283" s="19" t="s">
        <v>19</v>
      </c>
      <c r="C283" s="16" t="s">
        <v>3</v>
      </c>
      <c r="D283" s="20" t="s">
        <v>8</v>
      </c>
      <c r="E283" s="20" t="s">
        <v>0</v>
      </c>
      <c r="F283" s="4">
        <v>8</v>
      </c>
      <c r="G283" s="4">
        <v>11</v>
      </c>
      <c r="H283" s="3" t="str">
        <f t="shared" si="12"/>
        <v>GROEN</v>
      </c>
      <c r="I283" s="3" t="str">
        <f t="shared" si="13"/>
        <v>Louis</v>
      </c>
      <c r="J283" s="4" t="str">
        <f t="shared" si="14"/>
        <v>Jonas</v>
      </c>
    </row>
    <row r="284" spans="1:10" x14ac:dyDescent="0.25">
      <c r="A284" s="14">
        <v>284</v>
      </c>
      <c r="B284" s="19" t="s">
        <v>0</v>
      </c>
      <c r="C284" s="16" t="s">
        <v>6</v>
      </c>
      <c r="D284" s="20" t="s">
        <v>8</v>
      </c>
      <c r="E284" s="20" t="s">
        <v>3</v>
      </c>
      <c r="F284" s="4">
        <v>11</v>
      </c>
      <c r="G284" s="4">
        <v>4</v>
      </c>
      <c r="H284" s="3" t="str">
        <f t="shared" si="12"/>
        <v>ROOD</v>
      </c>
      <c r="I284" s="3" t="str">
        <f t="shared" si="13"/>
        <v>Jonas</v>
      </c>
      <c r="J284" s="4" t="str">
        <f t="shared" si="14"/>
        <v>Stef D</v>
      </c>
    </row>
    <row r="285" spans="1:10" x14ac:dyDescent="0.25">
      <c r="A285" s="14">
        <v>285</v>
      </c>
      <c r="B285" s="19" t="s">
        <v>0</v>
      </c>
      <c r="C285" s="16" t="s">
        <v>19</v>
      </c>
      <c r="D285" s="20" t="s">
        <v>11</v>
      </c>
      <c r="E285" s="20" t="s">
        <v>3</v>
      </c>
      <c r="F285" s="4">
        <v>4</v>
      </c>
      <c r="G285" s="4">
        <v>11</v>
      </c>
      <c r="H285" s="3" t="str">
        <f t="shared" si="12"/>
        <v>GROEN</v>
      </c>
      <c r="I285" s="3" t="str">
        <f t="shared" si="13"/>
        <v>Matthijs</v>
      </c>
      <c r="J285" s="4" t="str">
        <f t="shared" si="14"/>
        <v>Karel</v>
      </c>
    </row>
    <row r="286" spans="1:10" x14ac:dyDescent="0.25">
      <c r="A286" s="14">
        <v>286</v>
      </c>
      <c r="B286" s="19" t="s">
        <v>19</v>
      </c>
      <c r="C286" s="16" t="s">
        <v>6</v>
      </c>
      <c r="D286" s="20" t="s">
        <v>3</v>
      </c>
      <c r="E286" s="20" t="s">
        <v>0</v>
      </c>
      <c r="F286" s="4">
        <v>6</v>
      </c>
      <c r="G286" s="4">
        <v>11</v>
      </c>
      <c r="H286" s="3" t="str">
        <f t="shared" si="12"/>
        <v>GROEN</v>
      </c>
      <c r="I286" s="3" t="str">
        <f t="shared" si="13"/>
        <v>Karel</v>
      </c>
      <c r="J286" s="4" t="str">
        <f t="shared" si="14"/>
        <v>Jonas</v>
      </c>
    </row>
    <row r="287" spans="1:10" x14ac:dyDescent="0.25">
      <c r="A287" s="14">
        <v>287</v>
      </c>
      <c r="B287" s="19" t="s">
        <v>6</v>
      </c>
      <c r="C287" s="16" t="s">
        <v>3</v>
      </c>
      <c r="D287" s="20" t="s">
        <v>11</v>
      </c>
      <c r="E287" s="20" t="s">
        <v>0</v>
      </c>
      <c r="F287" s="4">
        <v>11</v>
      </c>
      <c r="G287" s="4">
        <v>3</v>
      </c>
      <c r="H287" s="3" t="str">
        <f t="shared" si="12"/>
        <v>ROOD</v>
      </c>
      <c r="I287" s="3" t="str">
        <f t="shared" si="13"/>
        <v>Stef D</v>
      </c>
      <c r="J287" s="4" t="str">
        <f t="shared" si="14"/>
        <v>Karel</v>
      </c>
    </row>
    <row r="288" spans="1:10" x14ac:dyDescent="0.25">
      <c r="A288" s="14">
        <v>288</v>
      </c>
      <c r="B288" s="19" t="s">
        <v>11</v>
      </c>
      <c r="C288" s="16" t="s">
        <v>3</v>
      </c>
      <c r="D288" s="20" t="s">
        <v>19</v>
      </c>
      <c r="E288" s="20" t="s">
        <v>8</v>
      </c>
      <c r="F288" s="4">
        <v>11</v>
      </c>
      <c r="G288" s="4">
        <v>3</v>
      </c>
      <c r="H288" s="3" t="str">
        <f t="shared" si="12"/>
        <v>ROOD</v>
      </c>
      <c r="I288" s="3" t="str">
        <f t="shared" si="13"/>
        <v>Matthijs</v>
      </c>
      <c r="J288" s="4" t="str">
        <f t="shared" si="14"/>
        <v>Karel</v>
      </c>
    </row>
    <row r="289" spans="1:10" x14ac:dyDescent="0.25">
      <c r="A289" s="14">
        <v>289</v>
      </c>
      <c r="B289" s="19" t="s">
        <v>11</v>
      </c>
      <c r="C289" s="16" t="s">
        <v>19</v>
      </c>
      <c r="D289" s="20" t="s">
        <v>3</v>
      </c>
      <c r="E289" s="20" t="s">
        <v>0</v>
      </c>
      <c r="F289" s="4">
        <v>8</v>
      </c>
      <c r="G289" s="4">
        <v>11</v>
      </c>
      <c r="H289" s="3" t="str">
        <f t="shared" si="12"/>
        <v>GROEN</v>
      </c>
      <c r="I289" s="3" t="str">
        <f t="shared" si="13"/>
        <v>Karel</v>
      </c>
      <c r="J289" s="4" t="str">
        <f t="shared" si="14"/>
        <v>Jonas</v>
      </c>
    </row>
    <row r="290" spans="1:10" x14ac:dyDescent="0.25">
      <c r="A290" s="14">
        <v>290</v>
      </c>
      <c r="B290" s="19" t="s">
        <v>8</v>
      </c>
      <c r="C290" s="16" t="s">
        <v>6</v>
      </c>
      <c r="D290" s="20" t="s">
        <v>0</v>
      </c>
      <c r="E290" s="20" t="s">
        <v>3</v>
      </c>
      <c r="F290" s="4">
        <v>8</v>
      </c>
      <c r="G290" s="4">
        <v>11</v>
      </c>
      <c r="H290" s="3" t="str">
        <f t="shared" si="12"/>
        <v>GROEN</v>
      </c>
      <c r="I290" s="3" t="str">
        <f t="shared" si="13"/>
        <v>Jonas</v>
      </c>
      <c r="J290" s="4" t="str">
        <f t="shared" si="14"/>
        <v>Karel</v>
      </c>
    </row>
    <row r="291" spans="1:10" x14ac:dyDescent="0.25">
      <c r="A291" s="14">
        <v>291</v>
      </c>
      <c r="B291" s="19" t="s">
        <v>0</v>
      </c>
      <c r="C291" s="16" t="s">
        <v>8</v>
      </c>
      <c r="D291" s="20" t="s">
        <v>19</v>
      </c>
      <c r="E291" s="20" t="s">
        <v>6</v>
      </c>
      <c r="F291" s="4">
        <v>11</v>
      </c>
      <c r="G291" s="4">
        <v>3</v>
      </c>
      <c r="H291" s="3" t="str">
        <f t="shared" si="12"/>
        <v>ROOD</v>
      </c>
      <c r="I291" s="3" t="str">
        <f t="shared" si="13"/>
        <v>Jonas</v>
      </c>
      <c r="J291" s="4" t="str">
        <f t="shared" si="14"/>
        <v>Louis</v>
      </c>
    </row>
    <row r="292" spans="1:10" x14ac:dyDescent="0.25">
      <c r="A292" s="14">
        <v>292</v>
      </c>
      <c r="B292" s="19" t="s">
        <v>8</v>
      </c>
      <c r="C292" s="16" t="s">
        <v>11</v>
      </c>
      <c r="D292" s="20" t="s">
        <v>19</v>
      </c>
      <c r="E292" s="20" t="s">
        <v>6</v>
      </c>
      <c r="F292" s="4">
        <v>11</v>
      </c>
      <c r="G292" s="4">
        <v>13</v>
      </c>
      <c r="H292" s="3" t="str">
        <f t="shared" si="12"/>
        <v>GROEN</v>
      </c>
      <c r="I292" s="3" t="str">
        <f t="shared" si="13"/>
        <v>Nicolas</v>
      </c>
      <c r="J292" s="4" t="str">
        <f t="shared" si="14"/>
        <v>Stef D</v>
      </c>
    </row>
    <row r="293" spans="1:10" x14ac:dyDescent="0.25">
      <c r="A293" s="14">
        <v>293</v>
      </c>
      <c r="B293" s="19" t="s">
        <v>0</v>
      </c>
      <c r="C293" s="16" t="s">
        <v>6</v>
      </c>
      <c r="D293" s="20" t="s">
        <v>11</v>
      </c>
      <c r="E293" s="20" t="s">
        <v>3</v>
      </c>
      <c r="F293" s="4">
        <v>11</v>
      </c>
      <c r="G293" s="4">
        <v>9</v>
      </c>
      <c r="H293" s="3" t="str">
        <f t="shared" si="12"/>
        <v>ROOD</v>
      </c>
      <c r="I293" s="3" t="str">
        <f t="shared" si="13"/>
        <v>Jonas</v>
      </c>
      <c r="J293" s="4" t="str">
        <f t="shared" si="14"/>
        <v>Stef D</v>
      </c>
    </row>
    <row r="294" spans="1:10" x14ac:dyDescent="0.25">
      <c r="A294" s="14">
        <v>294</v>
      </c>
      <c r="B294" s="19" t="s">
        <v>3</v>
      </c>
      <c r="C294" s="16" t="s">
        <v>19</v>
      </c>
      <c r="D294" s="20" t="s">
        <v>6</v>
      </c>
      <c r="E294" s="20" t="s">
        <v>11</v>
      </c>
      <c r="F294" s="4">
        <v>7</v>
      </c>
      <c r="G294" s="4">
        <v>11</v>
      </c>
      <c r="H294" s="3" t="str">
        <f t="shared" si="12"/>
        <v>GROEN</v>
      </c>
      <c r="I294" s="3" t="str">
        <f t="shared" si="13"/>
        <v>Stef D</v>
      </c>
      <c r="J294" s="4" t="str">
        <f t="shared" si="14"/>
        <v>Matthijs</v>
      </c>
    </row>
    <row r="295" spans="1:10" x14ac:dyDescent="0.25">
      <c r="A295" s="14">
        <v>295</v>
      </c>
      <c r="B295" s="19" t="s">
        <v>19</v>
      </c>
      <c r="C295" s="16" t="s">
        <v>11</v>
      </c>
      <c r="D295" s="20" t="s">
        <v>3</v>
      </c>
      <c r="E295" s="20" t="s">
        <v>6</v>
      </c>
      <c r="F295" s="4">
        <v>3</v>
      </c>
      <c r="G295" s="4">
        <v>11</v>
      </c>
      <c r="H295" s="3" t="str">
        <f t="shared" si="12"/>
        <v>GROEN</v>
      </c>
      <c r="I295" s="3" t="str">
        <f t="shared" si="13"/>
        <v>Karel</v>
      </c>
      <c r="J295" s="4" t="str">
        <f t="shared" si="14"/>
        <v>Stef D</v>
      </c>
    </row>
    <row r="296" spans="1:10" x14ac:dyDescent="0.25">
      <c r="A296" s="14">
        <v>296</v>
      </c>
      <c r="B296" s="19" t="s">
        <v>19</v>
      </c>
      <c r="C296" s="16" t="s">
        <v>44</v>
      </c>
      <c r="D296" s="20" t="s">
        <v>11</v>
      </c>
      <c r="E296" s="20" t="s">
        <v>8</v>
      </c>
      <c r="F296" s="4">
        <v>5</v>
      </c>
      <c r="G296" s="4">
        <v>11</v>
      </c>
      <c r="H296" s="3" t="str">
        <f t="shared" si="12"/>
        <v>GROEN</v>
      </c>
      <c r="I296" s="3" t="str">
        <f t="shared" si="13"/>
        <v>Matthijs</v>
      </c>
      <c r="J296" s="4" t="str">
        <f t="shared" si="14"/>
        <v>Louis</v>
      </c>
    </row>
    <row r="297" spans="1:10" x14ac:dyDescent="0.25">
      <c r="A297" s="14">
        <v>297</v>
      </c>
      <c r="B297" s="19" t="s">
        <v>0</v>
      </c>
      <c r="C297" s="16" t="s">
        <v>6</v>
      </c>
      <c r="D297" s="20" t="s">
        <v>19</v>
      </c>
      <c r="E297" s="20" t="s">
        <v>8</v>
      </c>
      <c r="F297" s="4">
        <v>11</v>
      </c>
      <c r="G297" s="4">
        <v>6</v>
      </c>
      <c r="H297" s="3" t="str">
        <f t="shared" si="12"/>
        <v>ROOD</v>
      </c>
      <c r="I297" s="3" t="str">
        <f t="shared" si="13"/>
        <v>Jonas</v>
      </c>
      <c r="J297" s="4" t="str">
        <f t="shared" si="14"/>
        <v>Stef D</v>
      </c>
    </row>
    <row r="298" spans="1:10" x14ac:dyDescent="0.25">
      <c r="A298" s="14">
        <v>298</v>
      </c>
      <c r="B298" s="19" t="s">
        <v>0</v>
      </c>
      <c r="C298" s="16" t="s">
        <v>6</v>
      </c>
      <c r="D298" s="20" t="s">
        <v>11</v>
      </c>
      <c r="E298" s="20" t="s">
        <v>8</v>
      </c>
      <c r="F298" s="4">
        <v>11</v>
      </c>
      <c r="G298" s="4">
        <v>9</v>
      </c>
      <c r="H298" s="3" t="str">
        <f t="shared" si="12"/>
        <v>ROOD</v>
      </c>
      <c r="I298" s="3" t="str">
        <f t="shared" si="13"/>
        <v>Jonas</v>
      </c>
      <c r="J298" s="4" t="str">
        <f t="shared" si="14"/>
        <v>Stef D</v>
      </c>
    </row>
    <row r="299" spans="1:10" x14ac:dyDescent="0.25">
      <c r="A299" s="14">
        <v>299</v>
      </c>
      <c r="B299" s="19" t="s">
        <v>8</v>
      </c>
      <c r="C299" s="16" t="s">
        <v>11</v>
      </c>
      <c r="D299" s="20" t="s">
        <v>0</v>
      </c>
      <c r="E299" s="20" t="s">
        <v>19</v>
      </c>
      <c r="F299" s="4">
        <v>11</v>
      </c>
      <c r="G299" s="4">
        <v>8</v>
      </c>
      <c r="H299" s="3" t="str">
        <f t="shared" si="12"/>
        <v>ROOD</v>
      </c>
      <c r="I299" s="3" t="str">
        <f t="shared" si="13"/>
        <v>Louis</v>
      </c>
      <c r="J299" s="4" t="str">
        <f t="shared" si="14"/>
        <v>Matthijs</v>
      </c>
    </row>
    <row r="300" spans="1:10" x14ac:dyDescent="0.25">
      <c r="A300" s="14">
        <v>300</v>
      </c>
      <c r="B300" s="19" t="s">
        <v>19</v>
      </c>
      <c r="C300" s="16" t="s">
        <v>6</v>
      </c>
      <c r="D300" s="20" t="s">
        <v>11</v>
      </c>
      <c r="E300" s="20" t="s">
        <v>0</v>
      </c>
      <c r="F300" s="4">
        <v>11</v>
      </c>
      <c r="G300" s="4">
        <v>9</v>
      </c>
      <c r="H300" s="3" t="str">
        <f t="shared" si="12"/>
        <v>ROOD</v>
      </c>
      <c r="I300" s="3" t="str">
        <f t="shared" si="13"/>
        <v>Nicolas</v>
      </c>
      <c r="J300" s="4" t="str">
        <f t="shared" si="14"/>
        <v>Stef D</v>
      </c>
    </row>
    <row r="301" spans="1:10" x14ac:dyDescent="0.25">
      <c r="A301" s="14">
        <v>301</v>
      </c>
      <c r="B301" s="19" t="s">
        <v>11</v>
      </c>
      <c r="C301" s="16" t="s">
        <v>19</v>
      </c>
      <c r="D301" s="20" t="s">
        <v>6</v>
      </c>
      <c r="E301" s="20" t="s">
        <v>0</v>
      </c>
      <c r="F301" s="4">
        <v>4</v>
      </c>
      <c r="G301" s="4">
        <v>11</v>
      </c>
      <c r="H301" s="3" t="str">
        <f t="shared" si="12"/>
        <v>GROEN</v>
      </c>
      <c r="I301" s="3" t="str">
        <f t="shared" si="13"/>
        <v>Stef D</v>
      </c>
      <c r="J301" s="4" t="str">
        <f t="shared" si="14"/>
        <v>Jonas</v>
      </c>
    </row>
    <row r="302" spans="1:10" x14ac:dyDescent="0.25">
      <c r="A302" s="14">
        <v>302</v>
      </c>
      <c r="B302" s="19" t="s">
        <v>19</v>
      </c>
      <c r="C302" s="16" t="s">
        <v>11</v>
      </c>
      <c r="D302" s="20" t="s">
        <v>8</v>
      </c>
      <c r="E302" s="20" t="s">
        <v>6</v>
      </c>
      <c r="F302" s="4">
        <v>9</v>
      </c>
      <c r="G302" s="4">
        <v>11</v>
      </c>
      <c r="H302" s="3" t="str">
        <f t="shared" si="12"/>
        <v>GROEN</v>
      </c>
      <c r="I302" s="3" t="str">
        <f t="shared" si="13"/>
        <v>Louis</v>
      </c>
      <c r="J302" s="4" t="str">
        <f t="shared" si="14"/>
        <v>Stef D</v>
      </c>
    </row>
    <row r="303" spans="1:10" x14ac:dyDescent="0.25">
      <c r="A303" s="14">
        <v>303</v>
      </c>
      <c r="B303" s="19" t="s">
        <v>11</v>
      </c>
      <c r="C303" s="16" t="s">
        <v>6</v>
      </c>
      <c r="D303" s="20" t="s">
        <v>19</v>
      </c>
      <c r="E303" s="20" t="s">
        <v>8</v>
      </c>
      <c r="F303" s="4">
        <v>11</v>
      </c>
      <c r="G303" s="4">
        <v>3</v>
      </c>
      <c r="H303" s="3" t="str">
        <f t="shared" si="12"/>
        <v>ROOD</v>
      </c>
      <c r="I303" s="3" t="str">
        <f t="shared" si="13"/>
        <v>Matthijs</v>
      </c>
      <c r="J303" s="4" t="str">
        <f t="shared" si="14"/>
        <v>Stef D</v>
      </c>
    </row>
    <row r="304" spans="1:10" x14ac:dyDescent="0.25">
      <c r="A304" s="14">
        <v>304</v>
      </c>
      <c r="B304" s="19" t="s">
        <v>19</v>
      </c>
      <c r="C304" s="16" t="s">
        <v>6</v>
      </c>
      <c r="D304" s="20" t="s">
        <v>8</v>
      </c>
      <c r="E304" s="20" t="s">
        <v>11</v>
      </c>
      <c r="F304" s="4">
        <v>11</v>
      </c>
      <c r="G304" s="4">
        <v>7</v>
      </c>
      <c r="H304" s="3" t="str">
        <f t="shared" si="12"/>
        <v>ROOD</v>
      </c>
      <c r="I304" s="3" t="str">
        <f t="shared" si="13"/>
        <v>Nicolas</v>
      </c>
      <c r="J304" s="4" t="str">
        <f t="shared" si="14"/>
        <v>Stef D</v>
      </c>
    </row>
    <row r="305" spans="1:10" x14ac:dyDescent="0.25">
      <c r="A305" s="14">
        <v>305</v>
      </c>
      <c r="B305" s="19" t="s">
        <v>45</v>
      </c>
      <c r="C305" s="16" t="s">
        <v>6</v>
      </c>
      <c r="D305" s="20" t="s">
        <v>0</v>
      </c>
      <c r="E305" s="20" t="s">
        <v>7</v>
      </c>
      <c r="F305" s="4">
        <v>11</v>
      </c>
      <c r="G305" s="4">
        <v>9</v>
      </c>
      <c r="H305" s="3" t="str">
        <f t="shared" si="12"/>
        <v>ROOD</v>
      </c>
      <c r="I305" s="3" t="str">
        <f t="shared" si="13"/>
        <v xml:space="preserve">Stijn </v>
      </c>
      <c r="J305" s="4" t="str">
        <f t="shared" si="14"/>
        <v>Stef D</v>
      </c>
    </row>
    <row r="306" spans="1:10" x14ac:dyDescent="0.25">
      <c r="A306" s="14">
        <v>306</v>
      </c>
      <c r="B306" s="19" t="s">
        <v>15</v>
      </c>
      <c r="C306" s="16" t="s">
        <v>8</v>
      </c>
      <c r="D306" s="20" t="s">
        <v>7</v>
      </c>
      <c r="E306" s="20" t="s">
        <v>0</v>
      </c>
      <c r="F306" s="4">
        <v>8</v>
      </c>
      <c r="G306" s="4">
        <v>11</v>
      </c>
      <c r="H306" s="3" t="str">
        <f t="shared" si="12"/>
        <v>GROEN</v>
      </c>
      <c r="I306" s="3" t="str">
        <f t="shared" si="13"/>
        <v>Tiemen</v>
      </c>
      <c r="J306" s="4" t="str">
        <f t="shared" si="14"/>
        <v>Jonas</v>
      </c>
    </row>
    <row r="307" spans="1:10" x14ac:dyDescent="0.25">
      <c r="A307" s="14">
        <v>307</v>
      </c>
      <c r="B307" s="19" t="s">
        <v>6</v>
      </c>
      <c r="C307" s="16" t="s">
        <v>8</v>
      </c>
      <c r="D307" s="20" t="s">
        <v>15</v>
      </c>
      <c r="E307" s="20" t="s">
        <v>7</v>
      </c>
      <c r="F307" s="4">
        <v>11</v>
      </c>
      <c r="G307" s="4">
        <v>8</v>
      </c>
      <c r="H307" s="3" t="str">
        <f t="shared" si="12"/>
        <v>ROOD</v>
      </c>
      <c r="I307" s="3" t="str">
        <f t="shared" si="13"/>
        <v>Stef D</v>
      </c>
      <c r="J307" s="4" t="str">
        <f t="shared" si="14"/>
        <v>Louis</v>
      </c>
    </row>
    <row r="308" spans="1:10" x14ac:dyDescent="0.25">
      <c r="A308" s="14">
        <v>308</v>
      </c>
      <c r="B308" s="19" t="s">
        <v>8</v>
      </c>
      <c r="C308" s="16" t="s">
        <v>0</v>
      </c>
      <c r="D308" s="20" t="s">
        <v>6</v>
      </c>
      <c r="E308" s="20" t="s">
        <v>7</v>
      </c>
      <c r="F308" s="4">
        <v>13</v>
      </c>
      <c r="G308" s="4">
        <v>15</v>
      </c>
      <c r="H308" s="3" t="str">
        <f t="shared" si="12"/>
        <v>GROEN</v>
      </c>
      <c r="I308" s="3" t="str">
        <f t="shared" si="13"/>
        <v>Stef D</v>
      </c>
      <c r="J308" s="4" t="str">
        <f t="shared" si="14"/>
        <v>Tiemen</v>
      </c>
    </row>
    <row r="309" spans="1:10" x14ac:dyDescent="0.25">
      <c r="A309" s="14">
        <v>309</v>
      </c>
      <c r="B309" s="19" t="s">
        <v>0</v>
      </c>
      <c r="C309" s="16" t="s">
        <v>8</v>
      </c>
      <c r="D309" s="20" t="s">
        <v>7</v>
      </c>
      <c r="E309" s="20" t="s">
        <v>15</v>
      </c>
      <c r="F309" s="4">
        <v>11</v>
      </c>
      <c r="G309" s="4">
        <v>5</v>
      </c>
      <c r="H309" s="3" t="str">
        <f t="shared" si="12"/>
        <v>ROOD</v>
      </c>
      <c r="I309" s="3" t="str">
        <f t="shared" si="13"/>
        <v>Jonas</v>
      </c>
      <c r="J309" s="4" t="str">
        <f t="shared" si="14"/>
        <v>Louis</v>
      </c>
    </row>
    <row r="310" spans="1:10" x14ac:dyDescent="0.25">
      <c r="A310" s="14">
        <v>310</v>
      </c>
      <c r="B310" s="19" t="s">
        <v>6</v>
      </c>
      <c r="C310" s="16" t="s">
        <v>7</v>
      </c>
      <c r="D310" s="20" t="s">
        <v>0</v>
      </c>
      <c r="E310" s="20" t="s">
        <v>15</v>
      </c>
      <c r="F310" s="4">
        <v>9</v>
      </c>
      <c r="G310" s="4">
        <v>11</v>
      </c>
      <c r="H310" s="3" t="str">
        <f t="shared" si="12"/>
        <v>GROEN</v>
      </c>
      <c r="I310" s="3" t="str">
        <f t="shared" si="13"/>
        <v>Jonas</v>
      </c>
      <c r="J310" s="4" t="str">
        <f t="shared" si="14"/>
        <v>Stijn</v>
      </c>
    </row>
    <row r="311" spans="1:10" x14ac:dyDescent="0.25">
      <c r="A311" s="14">
        <v>311</v>
      </c>
      <c r="B311" s="19" t="s">
        <v>8</v>
      </c>
      <c r="C311" s="16" t="s">
        <v>15</v>
      </c>
      <c r="D311" s="20" t="s">
        <v>0</v>
      </c>
      <c r="E311" s="20" t="s">
        <v>6</v>
      </c>
      <c r="F311" s="4">
        <v>9</v>
      </c>
      <c r="G311" s="4">
        <v>11</v>
      </c>
      <c r="H311" s="3" t="str">
        <f t="shared" si="12"/>
        <v>GROEN</v>
      </c>
      <c r="I311" s="3" t="str">
        <f t="shared" si="13"/>
        <v>Jonas</v>
      </c>
      <c r="J311" s="4" t="str">
        <f t="shared" si="14"/>
        <v>Stef D</v>
      </c>
    </row>
    <row r="312" spans="1:10" x14ac:dyDescent="0.25">
      <c r="A312" s="14">
        <v>312</v>
      </c>
      <c r="B312" s="19" t="s">
        <v>8</v>
      </c>
      <c r="C312" s="16" t="s">
        <v>7</v>
      </c>
      <c r="D312" s="20" t="s">
        <v>15</v>
      </c>
      <c r="E312" s="20" t="s">
        <v>6</v>
      </c>
      <c r="F312" s="4">
        <v>8</v>
      </c>
      <c r="G312" s="4">
        <v>11</v>
      </c>
      <c r="H312" s="3" t="str">
        <f t="shared" si="12"/>
        <v>GROEN</v>
      </c>
      <c r="I312" s="3" t="str">
        <f t="shared" si="13"/>
        <v>Stijn</v>
      </c>
      <c r="J312" s="4" t="str">
        <f t="shared" si="14"/>
        <v>Stef D</v>
      </c>
    </row>
    <row r="313" spans="1:10" x14ac:dyDescent="0.25">
      <c r="A313" s="14">
        <v>313</v>
      </c>
      <c r="B313" s="19" t="s">
        <v>8</v>
      </c>
      <c r="C313" s="16" t="s">
        <v>0</v>
      </c>
      <c r="D313" s="20" t="s">
        <v>11</v>
      </c>
      <c r="E313" s="20" t="s">
        <v>3</v>
      </c>
      <c r="F313" s="4">
        <v>9</v>
      </c>
      <c r="G313" s="4">
        <v>11</v>
      </c>
      <c r="H313" s="3" t="str">
        <f t="shared" si="12"/>
        <v>GROEN</v>
      </c>
      <c r="I313" s="3" t="str">
        <f t="shared" si="13"/>
        <v>Matthijs</v>
      </c>
      <c r="J313" s="4" t="str">
        <f t="shared" si="14"/>
        <v>Karel</v>
      </c>
    </row>
    <row r="314" spans="1:10" x14ac:dyDescent="0.25">
      <c r="A314" s="14">
        <v>314</v>
      </c>
      <c r="B314" s="19" t="s">
        <v>11</v>
      </c>
      <c r="C314" s="16" t="s">
        <v>6</v>
      </c>
      <c r="D314" s="20" t="s">
        <v>3</v>
      </c>
      <c r="E314" s="20" t="s">
        <v>7</v>
      </c>
      <c r="F314" s="4">
        <v>11</v>
      </c>
      <c r="G314" s="4">
        <v>8</v>
      </c>
      <c r="H314" s="3" t="str">
        <f t="shared" si="12"/>
        <v>ROOD</v>
      </c>
      <c r="I314" s="3" t="str">
        <f t="shared" si="13"/>
        <v>Matthijs</v>
      </c>
      <c r="J314" s="4" t="str">
        <f t="shared" si="14"/>
        <v>Stef D</v>
      </c>
    </row>
    <row r="315" spans="1:10" x14ac:dyDescent="0.25">
      <c r="A315" s="14">
        <v>315</v>
      </c>
      <c r="B315" s="19" t="s">
        <v>15</v>
      </c>
      <c r="C315" s="16" t="s">
        <v>8</v>
      </c>
      <c r="D315" s="20" t="s">
        <v>0</v>
      </c>
      <c r="E315" s="20" t="s">
        <v>6</v>
      </c>
      <c r="F315" s="4">
        <v>10</v>
      </c>
      <c r="G315" s="4">
        <v>12</v>
      </c>
      <c r="H315" s="3" t="str">
        <f t="shared" si="12"/>
        <v>GROEN</v>
      </c>
      <c r="I315" s="3" t="str">
        <f t="shared" si="13"/>
        <v>Jonas</v>
      </c>
      <c r="J315" s="4" t="str">
        <f t="shared" si="14"/>
        <v>Stef D</v>
      </c>
    </row>
    <row r="316" spans="1:10" x14ac:dyDescent="0.25">
      <c r="A316" s="14">
        <v>316</v>
      </c>
      <c r="B316" s="19" t="s">
        <v>4</v>
      </c>
      <c r="C316" s="16" t="s">
        <v>3</v>
      </c>
      <c r="D316" s="20" t="s">
        <v>11</v>
      </c>
      <c r="E316" s="20" t="s">
        <v>15</v>
      </c>
      <c r="F316" s="4">
        <v>11</v>
      </c>
      <c r="G316" s="4">
        <v>5</v>
      </c>
      <c r="H316" s="3" t="str">
        <f t="shared" si="12"/>
        <v>ROOD</v>
      </c>
      <c r="I316" s="3" t="str">
        <f t="shared" si="13"/>
        <v>Stef</v>
      </c>
      <c r="J316" s="4" t="str">
        <f t="shared" si="14"/>
        <v>Karel</v>
      </c>
    </row>
    <row r="317" spans="1:10" x14ac:dyDescent="0.25">
      <c r="A317" s="14">
        <v>317</v>
      </c>
      <c r="B317" s="19" t="s">
        <v>8</v>
      </c>
      <c r="C317" s="16" t="s">
        <v>11</v>
      </c>
      <c r="D317" s="20" t="s">
        <v>15</v>
      </c>
      <c r="E317" s="20" t="s">
        <v>3</v>
      </c>
      <c r="F317" s="4">
        <v>11</v>
      </c>
      <c r="G317" s="4">
        <v>9</v>
      </c>
      <c r="H317" s="3" t="str">
        <f t="shared" si="12"/>
        <v>ROOD</v>
      </c>
      <c r="I317" s="3" t="str">
        <f t="shared" si="13"/>
        <v>Louis</v>
      </c>
      <c r="J317" s="4" t="str">
        <f t="shared" si="14"/>
        <v>Matthijs</v>
      </c>
    </row>
    <row r="318" spans="1:10" x14ac:dyDescent="0.25">
      <c r="A318" s="14">
        <v>318</v>
      </c>
      <c r="B318" s="19" t="s">
        <v>8</v>
      </c>
      <c r="C318" s="16" t="s">
        <v>6</v>
      </c>
      <c r="D318" s="20" t="s">
        <v>3</v>
      </c>
      <c r="E318" s="20" t="s">
        <v>15</v>
      </c>
      <c r="F318" s="4">
        <v>11</v>
      </c>
      <c r="G318" s="4">
        <v>6</v>
      </c>
      <c r="H318" s="3" t="str">
        <f t="shared" si="12"/>
        <v>ROOD</v>
      </c>
      <c r="I318" s="3" t="str">
        <f t="shared" si="13"/>
        <v>Louis</v>
      </c>
      <c r="J318" s="4" t="str">
        <f t="shared" si="14"/>
        <v>Stef D</v>
      </c>
    </row>
    <row r="319" spans="1:10" x14ac:dyDescent="0.25">
      <c r="A319" s="14">
        <v>319</v>
      </c>
      <c r="B319" s="19" t="s">
        <v>15</v>
      </c>
      <c r="C319" s="16" t="s">
        <v>8</v>
      </c>
      <c r="D319" s="20" t="s">
        <v>11</v>
      </c>
      <c r="E319" s="20" t="s">
        <v>6</v>
      </c>
      <c r="F319" s="4">
        <v>3</v>
      </c>
      <c r="G319" s="4">
        <v>11</v>
      </c>
      <c r="H319" s="3" t="str">
        <f t="shared" si="12"/>
        <v>GROEN</v>
      </c>
      <c r="I319" s="3" t="str">
        <f t="shared" si="13"/>
        <v>Matthijs</v>
      </c>
      <c r="J319" s="4" t="str">
        <f t="shared" si="14"/>
        <v>Stef D</v>
      </c>
    </row>
    <row r="320" spans="1:10" x14ac:dyDescent="0.25">
      <c r="A320" s="14">
        <v>320</v>
      </c>
      <c r="B320" s="19" t="s">
        <v>11</v>
      </c>
      <c r="C320" s="16" t="s">
        <v>0</v>
      </c>
      <c r="D320" s="20" t="s">
        <v>8</v>
      </c>
      <c r="E320" s="20" t="s">
        <v>6</v>
      </c>
      <c r="F320" s="4">
        <v>8</v>
      </c>
      <c r="G320" s="4">
        <v>11</v>
      </c>
      <c r="H320" s="3" t="str">
        <f t="shared" si="12"/>
        <v>GROEN</v>
      </c>
      <c r="I320" s="3" t="str">
        <f t="shared" si="13"/>
        <v>Louis</v>
      </c>
      <c r="J320" s="4" t="str">
        <f t="shared" si="14"/>
        <v>Stef D</v>
      </c>
    </row>
    <row r="321" spans="1:10" x14ac:dyDescent="0.25">
      <c r="A321" s="14">
        <v>321</v>
      </c>
      <c r="B321" s="19" t="s">
        <v>8</v>
      </c>
      <c r="C321" s="16" t="s">
        <v>11</v>
      </c>
      <c r="D321" s="20" t="s">
        <v>3</v>
      </c>
      <c r="E321" s="20" t="s">
        <v>6</v>
      </c>
      <c r="F321" s="4">
        <v>3</v>
      </c>
      <c r="G321" s="4">
        <v>11</v>
      </c>
      <c r="H321" s="3" t="str">
        <f t="shared" si="12"/>
        <v>GROEN</v>
      </c>
      <c r="I321" s="3" t="str">
        <f t="shared" si="13"/>
        <v>Karel</v>
      </c>
      <c r="J321" s="4" t="str">
        <f t="shared" si="14"/>
        <v>Stef D</v>
      </c>
    </row>
    <row r="322" spans="1:10" x14ac:dyDescent="0.25">
      <c r="A322" s="14">
        <v>322</v>
      </c>
      <c r="B322" s="19" t="s">
        <v>3</v>
      </c>
      <c r="C322" s="16" t="s">
        <v>13</v>
      </c>
      <c r="D322" s="20" t="s">
        <v>0</v>
      </c>
      <c r="E322" s="20" t="s">
        <v>11</v>
      </c>
      <c r="F322" s="4">
        <v>11</v>
      </c>
      <c r="G322" s="4">
        <v>8</v>
      </c>
      <c r="H322" s="3" t="str">
        <f t="shared" ref="H322:H343" si="15">IF(F322&gt;G322,"ROOD",IF(F322=G322,"","GROEN"))</f>
        <v>ROOD</v>
      </c>
      <c r="I322" s="3" t="str">
        <f t="shared" ref="I322:I343" si="16">IF(F322&gt;G322,B322,IF(F322=0,"",D322))</f>
        <v>Karel</v>
      </c>
      <c r="J322" s="4" t="str">
        <f t="shared" ref="J322:J343" si="17">IF(F322&gt;G322,C322,IF(F322=0,"",E322))</f>
        <v>Bert</v>
      </c>
    </row>
    <row r="323" spans="1:10" x14ac:dyDescent="0.25">
      <c r="A323" s="14">
        <v>323</v>
      </c>
      <c r="B323" s="19" t="s">
        <v>0</v>
      </c>
      <c r="C323" s="16" t="s">
        <v>6</v>
      </c>
      <c r="D323" s="20" t="s">
        <v>13</v>
      </c>
      <c r="E323" s="20" t="s">
        <v>8</v>
      </c>
      <c r="F323" s="4">
        <v>11</v>
      </c>
      <c r="G323" s="4">
        <v>9</v>
      </c>
      <c r="H323" s="3" t="str">
        <f t="shared" si="15"/>
        <v>ROOD</v>
      </c>
      <c r="I323" s="3" t="str">
        <f t="shared" si="16"/>
        <v>Jonas</v>
      </c>
      <c r="J323" s="4" t="str">
        <f t="shared" si="17"/>
        <v>Stef D</v>
      </c>
    </row>
    <row r="324" spans="1:10" x14ac:dyDescent="0.25">
      <c r="A324" s="14">
        <v>324</v>
      </c>
      <c r="B324" s="19" t="s">
        <v>0</v>
      </c>
      <c r="C324" s="16" t="s">
        <v>6</v>
      </c>
      <c r="D324" s="20" t="s">
        <v>8</v>
      </c>
      <c r="E324" s="20" t="s">
        <v>13</v>
      </c>
      <c r="F324" s="4">
        <v>7</v>
      </c>
      <c r="G324" s="4">
        <v>11</v>
      </c>
      <c r="H324" s="3" t="str">
        <f t="shared" si="15"/>
        <v>GROEN</v>
      </c>
      <c r="I324" s="3" t="str">
        <f t="shared" si="16"/>
        <v>Louis</v>
      </c>
      <c r="J324" s="4" t="str">
        <f t="shared" si="17"/>
        <v>Bert</v>
      </c>
    </row>
    <row r="325" spans="1:10" x14ac:dyDescent="0.25">
      <c r="A325" s="14">
        <v>325</v>
      </c>
      <c r="B325" s="19" t="s">
        <v>6</v>
      </c>
      <c r="C325" s="16" t="s">
        <v>11</v>
      </c>
      <c r="D325" s="20" t="s">
        <v>3</v>
      </c>
      <c r="E325" s="20" t="s">
        <v>0</v>
      </c>
      <c r="F325" s="4">
        <v>3</v>
      </c>
      <c r="G325" s="4">
        <v>11</v>
      </c>
      <c r="H325" s="3" t="str">
        <f t="shared" si="15"/>
        <v>GROEN</v>
      </c>
      <c r="I325" s="3" t="str">
        <f t="shared" si="16"/>
        <v>Karel</v>
      </c>
      <c r="J325" s="4" t="str">
        <f t="shared" si="17"/>
        <v>Jonas</v>
      </c>
    </row>
    <row r="326" spans="1:10" x14ac:dyDescent="0.25">
      <c r="A326" s="14">
        <v>326</v>
      </c>
      <c r="B326" s="19" t="s">
        <v>6</v>
      </c>
      <c r="C326" s="16" t="s">
        <v>19</v>
      </c>
      <c r="D326" s="20" t="s">
        <v>11</v>
      </c>
      <c r="E326" s="20" t="s">
        <v>0</v>
      </c>
      <c r="F326" s="4">
        <v>7</v>
      </c>
      <c r="G326" s="4">
        <v>11</v>
      </c>
      <c r="H326" s="3" t="str">
        <f t="shared" si="15"/>
        <v>GROEN</v>
      </c>
      <c r="I326" s="3" t="str">
        <f t="shared" si="16"/>
        <v>Matthijs</v>
      </c>
      <c r="J326" s="4" t="str">
        <f t="shared" si="17"/>
        <v>Jonas</v>
      </c>
    </row>
    <row r="327" spans="1:10" x14ac:dyDescent="0.25">
      <c r="A327" s="14">
        <v>327</v>
      </c>
      <c r="B327" s="19" t="s">
        <v>19</v>
      </c>
      <c r="C327" s="16" t="s">
        <v>8</v>
      </c>
      <c r="D327" s="20" t="s">
        <v>11</v>
      </c>
      <c r="E327" s="20" t="s">
        <v>3</v>
      </c>
      <c r="F327" s="4">
        <v>4</v>
      </c>
      <c r="G327" s="4">
        <v>11</v>
      </c>
      <c r="H327" s="3" t="str">
        <f t="shared" si="15"/>
        <v>GROEN</v>
      </c>
      <c r="I327" s="3" t="str">
        <f t="shared" si="16"/>
        <v>Matthijs</v>
      </c>
      <c r="J327" s="4" t="str">
        <f t="shared" si="17"/>
        <v>Karel</v>
      </c>
    </row>
    <row r="328" spans="1:10" x14ac:dyDescent="0.25">
      <c r="A328" s="14">
        <v>328</v>
      </c>
      <c r="B328" s="19" t="s">
        <v>19</v>
      </c>
      <c r="C328" s="16" t="s">
        <v>8</v>
      </c>
      <c r="D328" s="20" t="s">
        <v>0</v>
      </c>
      <c r="E328" s="20" t="s">
        <v>13</v>
      </c>
      <c r="F328" s="4">
        <v>6</v>
      </c>
      <c r="G328" s="4">
        <v>11</v>
      </c>
      <c r="H328" s="3" t="str">
        <f t="shared" si="15"/>
        <v>GROEN</v>
      </c>
      <c r="I328" s="3" t="str">
        <f t="shared" si="16"/>
        <v>Jonas</v>
      </c>
      <c r="J328" s="4" t="str">
        <f t="shared" si="17"/>
        <v>Bert</v>
      </c>
    </row>
    <row r="329" spans="1:10" x14ac:dyDescent="0.25">
      <c r="A329" s="14">
        <v>329</v>
      </c>
      <c r="B329" s="19" t="s">
        <v>13</v>
      </c>
      <c r="C329" s="16" t="s">
        <v>3</v>
      </c>
      <c r="D329" s="20" t="s">
        <v>11</v>
      </c>
      <c r="E329" s="20" t="s">
        <v>6</v>
      </c>
      <c r="F329" s="4">
        <v>11</v>
      </c>
      <c r="G329" s="4">
        <v>7</v>
      </c>
      <c r="H329" s="3" t="str">
        <f t="shared" si="15"/>
        <v>ROOD</v>
      </c>
      <c r="I329" s="3" t="str">
        <f t="shared" si="16"/>
        <v>Bert</v>
      </c>
      <c r="J329" s="4" t="str">
        <f t="shared" si="17"/>
        <v>Karel</v>
      </c>
    </row>
    <row r="330" spans="1:10" x14ac:dyDescent="0.25">
      <c r="A330" s="14">
        <v>330</v>
      </c>
      <c r="B330" s="19" t="s">
        <v>19</v>
      </c>
      <c r="C330" s="16" t="s">
        <v>8</v>
      </c>
      <c r="D330" s="20" t="s">
        <v>0</v>
      </c>
      <c r="E330" s="20" t="s">
        <v>6</v>
      </c>
      <c r="F330" s="4">
        <v>1</v>
      </c>
      <c r="G330" s="4">
        <v>11</v>
      </c>
      <c r="H330" s="3" t="s">
        <v>46</v>
      </c>
      <c r="I330" s="3" t="str">
        <f t="shared" si="16"/>
        <v>Jonas</v>
      </c>
      <c r="J330" s="4" t="str">
        <f t="shared" si="17"/>
        <v>Stef D</v>
      </c>
    </row>
    <row r="331" spans="1:10" x14ac:dyDescent="0.25">
      <c r="A331" s="14">
        <v>331</v>
      </c>
      <c r="B331" s="19" t="s">
        <v>11</v>
      </c>
      <c r="C331" s="16" t="s">
        <v>6</v>
      </c>
      <c r="D331" s="20" t="s">
        <v>0</v>
      </c>
      <c r="E331" s="20" t="s">
        <v>3</v>
      </c>
      <c r="F331" s="4">
        <v>11</v>
      </c>
      <c r="G331" s="4">
        <v>9</v>
      </c>
      <c r="H331" s="3" t="str">
        <f t="shared" si="15"/>
        <v>ROOD</v>
      </c>
      <c r="I331" s="3" t="str">
        <f t="shared" si="16"/>
        <v>Matthijs</v>
      </c>
      <c r="J331" s="4" t="str">
        <f t="shared" si="17"/>
        <v>Stef D</v>
      </c>
    </row>
    <row r="332" spans="1:10" x14ac:dyDescent="0.25">
      <c r="A332" s="14">
        <v>332</v>
      </c>
      <c r="B332" s="19" t="s">
        <v>19</v>
      </c>
      <c r="C332" s="16" t="s">
        <v>6</v>
      </c>
      <c r="D332" s="20" t="s">
        <v>3</v>
      </c>
      <c r="E332" s="20" t="s">
        <v>11</v>
      </c>
      <c r="F332" s="4">
        <v>11</v>
      </c>
      <c r="G332" s="4">
        <v>8</v>
      </c>
      <c r="H332" s="3" t="str">
        <f t="shared" si="15"/>
        <v>ROOD</v>
      </c>
      <c r="I332" s="3" t="str">
        <f t="shared" si="16"/>
        <v>Nicolas</v>
      </c>
      <c r="J332" s="4" t="str">
        <f t="shared" si="17"/>
        <v>Stef D</v>
      </c>
    </row>
    <row r="333" spans="1:10" x14ac:dyDescent="0.25">
      <c r="A333" s="14">
        <v>333</v>
      </c>
      <c r="B333" s="19" t="s">
        <v>12</v>
      </c>
      <c r="C333" s="16" t="s">
        <v>7</v>
      </c>
      <c r="D333" s="20" t="s">
        <v>0</v>
      </c>
      <c r="E333" s="20" t="s">
        <v>6</v>
      </c>
      <c r="F333" s="4">
        <v>4</v>
      </c>
      <c r="G333" s="4">
        <v>11</v>
      </c>
      <c r="H333" s="3" t="s">
        <v>46</v>
      </c>
      <c r="I333" s="3" t="str">
        <f t="shared" si="16"/>
        <v>Jonas</v>
      </c>
      <c r="J333" s="4" t="str">
        <f t="shared" si="17"/>
        <v>Stef D</v>
      </c>
    </row>
    <row r="334" spans="1:10" x14ac:dyDescent="0.25">
      <c r="A334" s="14">
        <v>334</v>
      </c>
      <c r="B334" s="19" t="s">
        <v>0</v>
      </c>
      <c r="C334" s="16" t="s">
        <v>7</v>
      </c>
      <c r="D334" s="20" t="s">
        <v>6</v>
      </c>
      <c r="E334" s="20" t="s">
        <v>12</v>
      </c>
      <c r="F334" s="4">
        <v>11</v>
      </c>
      <c r="G334" s="4">
        <v>9</v>
      </c>
      <c r="H334" s="3" t="str">
        <f t="shared" si="15"/>
        <v>ROOD</v>
      </c>
      <c r="I334" s="3" t="str">
        <f t="shared" si="16"/>
        <v>Jonas</v>
      </c>
      <c r="J334" s="4" t="str">
        <f t="shared" si="17"/>
        <v>Tiemen</v>
      </c>
    </row>
    <row r="335" spans="1:10" x14ac:dyDescent="0.25">
      <c r="A335" s="14">
        <v>335</v>
      </c>
      <c r="B335" s="19" t="s">
        <v>0</v>
      </c>
      <c r="C335" s="16" t="s">
        <v>13</v>
      </c>
      <c r="D335" s="20" t="s">
        <v>6</v>
      </c>
      <c r="E335" s="20" t="s">
        <v>12</v>
      </c>
      <c r="F335" s="4">
        <v>11</v>
      </c>
      <c r="G335" s="4">
        <v>7</v>
      </c>
      <c r="H335" s="3" t="str">
        <f t="shared" si="15"/>
        <v>ROOD</v>
      </c>
      <c r="I335" s="3" t="str">
        <f t="shared" si="16"/>
        <v>Jonas</v>
      </c>
      <c r="J335" s="4" t="str">
        <f t="shared" si="17"/>
        <v>Bert</v>
      </c>
    </row>
    <row r="336" spans="1:10" x14ac:dyDescent="0.25">
      <c r="A336" s="14">
        <v>336</v>
      </c>
      <c r="B336" s="19" t="s">
        <v>12</v>
      </c>
      <c r="C336" s="16" t="s">
        <v>13</v>
      </c>
      <c r="D336" s="20" t="s">
        <v>6</v>
      </c>
      <c r="E336" s="20" t="s">
        <v>7</v>
      </c>
      <c r="F336" s="4">
        <v>5</v>
      </c>
      <c r="G336" s="4">
        <v>11</v>
      </c>
      <c r="H336" s="3" t="str">
        <f t="shared" si="15"/>
        <v>GROEN</v>
      </c>
      <c r="I336" s="3" t="str">
        <f t="shared" si="16"/>
        <v>Stef D</v>
      </c>
      <c r="J336" s="4" t="str">
        <f t="shared" si="17"/>
        <v>Tiemen</v>
      </c>
    </row>
    <row r="337" spans="1:10" x14ac:dyDescent="0.25">
      <c r="A337" s="14">
        <v>337</v>
      </c>
      <c r="B337" s="19" t="s">
        <v>7</v>
      </c>
      <c r="C337" s="16" t="s">
        <v>13</v>
      </c>
      <c r="D337" s="20" t="s">
        <v>0</v>
      </c>
      <c r="E337" s="20" t="s">
        <v>6</v>
      </c>
      <c r="F337" s="4">
        <v>8</v>
      </c>
      <c r="G337" s="4">
        <v>11</v>
      </c>
      <c r="H337" s="3" t="str">
        <f t="shared" si="15"/>
        <v>GROEN</v>
      </c>
      <c r="I337" s="3" t="str">
        <f t="shared" si="16"/>
        <v>Jonas</v>
      </c>
      <c r="J337" s="4" t="str">
        <f t="shared" si="17"/>
        <v>Stef D</v>
      </c>
    </row>
    <row r="338" spans="1:10" x14ac:dyDescent="0.25">
      <c r="A338" s="14">
        <v>338</v>
      </c>
      <c r="B338" s="19" t="s">
        <v>13</v>
      </c>
      <c r="C338" s="16" t="s">
        <v>0</v>
      </c>
      <c r="D338" s="20" t="s">
        <v>6</v>
      </c>
      <c r="E338" s="20" t="s">
        <v>7</v>
      </c>
      <c r="F338" s="4">
        <v>12</v>
      </c>
      <c r="G338" s="4">
        <v>10</v>
      </c>
      <c r="H338" s="3" t="str">
        <f t="shared" si="15"/>
        <v>ROOD</v>
      </c>
      <c r="I338" s="3" t="str">
        <f t="shared" si="16"/>
        <v>Bert</v>
      </c>
      <c r="J338" s="4" t="str">
        <f t="shared" si="17"/>
        <v>Jonas</v>
      </c>
    </row>
    <row r="339" spans="1:10" x14ac:dyDescent="0.25">
      <c r="A339" s="14">
        <v>339</v>
      </c>
      <c r="B339" s="19" t="s">
        <v>0</v>
      </c>
      <c r="C339" s="16" t="s">
        <v>7</v>
      </c>
      <c r="D339" s="20" t="s">
        <v>13</v>
      </c>
      <c r="E339" s="20" t="s">
        <v>6</v>
      </c>
      <c r="F339" s="4">
        <v>11</v>
      </c>
      <c r="G339" s="4">
        <v>9</v>
      </c>
      <c r="H339" s="3" t="str">
        <f t="shared" si="15"/>
        <v>ROOD</v>
      </c>
      <c r="I339" s="3" t="str">
        <f t="shared" si="16"/>
        <v>Jonas</v>
      </c>
      <c r="J339" s="4" t="str">
        <f t="shared" si="17"/>
        <v>Tiemen</v>
      </c>
    </row>
    <row r="340" spans="1:10" x14ac:dyDescent="0.25">
      <c r="A340" s="14">
        <v>340</v>
      </c>
      <c r="B340" s="19" t="s">
        <v>7</v>
      </c>
      <c r="C340" s="16" t="s">
        <v>0</v>
      </c>
      <c r="D340" s="20" t="s">
        <v>11</v>
      </c>
      <c r="E340" s="20" t="s">
        <v>6</v>
      </c>
      <c r="F340" s="4">
        <v>11</v>
      </c>
      <c r="G340" s="4">
        <v>9</v>
      </c>
      <c r="H340" s="3" t="str">
        <f t="shared" si="15"/>
        <v>ROOD</v>
      </c>
      <c r="I340" s="3" t="str">
        <f t="shared" si="16"/>
        <v>Tiemen</v>
      </c>
      <c r="J340" s="4" t="str">
        <f t="shared" si="17"/>
        <v>Jonas</v>
      </c>
    </row>
    <row r="341" spans="1:10" x14ac:dyDescent="0.25">
      <c r="A341" s="14">
        <v>341</v>
      </c>
      <c r="B341" s="19" t="s">
        <v>8</v>
      </c>
      <c r="C341" s="16" t="s">
        <v>0</v>
      </c>
      <c r="D341" s="20" t="s">
        <v>6</v>
      </c>
      <c r="E341" s="20" t="s">
        <v>13</v>
      </c>
      <c r="F341" s="4">
        <v>11</v>
      </c>
      <c r="G341" s="4">
        <v>3</v>
      </c>
      <c r="H341" s="3" t="str">
        <f t="shared" si="15"/>
        <v>ROOD</v>
      </c>
      <c r="I341" s="3" t="str">
        <f t="shared" si="16"/>
        <v>Louis</v>
      </c>
      <c r="J341" s="4" t="str">
        <f t="shared" si="17"/>
        <v>Jonas</v>
      </c>
    </row>
    <row r="342" spans="1:10" x14ac:dyDescent="0.25">
      <c r="A342" s="14">
        <v>342</v>
      </c>
      <c r="B342" s="19" t="s">
        <v>11</v>
      </c>
      <c r="C342" s="16" t="s">
        <v>6</v>
      </c>
      <c r="D342" s="20" t="s">
        <v>0</v>
      </c>
      <c r="E342" s="20" t="s">
        <v>7</v>
      </c>
      <c r="F342" s="4">
        <v>11</v>
      </c>
      <c r="G342" s="4">
        <v>8</v>
      </c>
      <c r="H342" s="3" t="str">
        <f t="shared" si="15"/>
        <v>ROOD</v>
      </c>
      <c r="I342" s="3" t="str">
        <f t="shared" si="16"/>
        <v>Matthijs</v>
      </c>
      <c r="J342" s="4" t="str">
        <f t="shared" si="17"/>
        <v>Stef D</v>
      </c>
    </row>
    <row r="343" spans="1:10" x14ac:dyDescent="0.25">
      <c r="A343" s="14">
        <v>343</v>
      </c>
      <c r="B343" s="19"/>
      <c r="C343" s="16"/>
      <c r="D343" s="20"/>
      <c r="E343" s="20"/>
      <c r="F343" s="4"/>
      <c r="G343" s="4"/>
      <c r="H343" s="3" t="str">
        <f t="shared" si="15"/>
        <v/>
      </c>
      <c r="I343" s="3" t="str">
        <f t="shared" si="16"/>
        <v/>
      </c>
      <c r="J343" s="4" t="str">
        <f t="shared" si="17"/>
        <v/>
      </c>
    </row>
  </sheetData>
  <conditionalFormatting sqref="H116:H143">
    <cfRule type="containsText" dxfId="336" priority="1" operator="containsText" text="ROOD">
      <formula>NOT(ISERROR(SEARCH("ROOD",H116)))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335" priority="3" operator="containsText" text="GROEN">
      <formula>NOT(ISERROR(SEARCH("GROEN",H116)))</formula>
    </cfRule>
    <cfRule type="cellIs" dxfId="334" priority="4" operator="equal">
      <formula>"""GROEN"""</formula>
    </cfRule>
  </conditionalFormatting>
  <conditionalFormatting sqref="H2:H115 H144:H343">
    <cfRule type="containsText" dxfId="333" priority="28" operator="containsText" text="ROOD">
      <formula>NOT(ISERROR(SEARCH("ROOD",H2)))</formula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332" priority="30" operator="containsText" text="GROEN">
      <formula>NOT(ISERROR(SEARCH("GROEN",H2)))</formula>
    </cfRule>
    <cfRule type="cellIs" dxfId="331" priority="31" operator="equal">
      <formula>"""GROEN"""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I16"/>
  <sheetViews>
    <sheetView workbookViewId="0">
      <selection activeCell="B20" sqref="B20"/>
    </sheetView>
  </sheetViews>
  <sheetFormatPr defaultRowHeight="15" x14ac:dyDescent="0.25"/>
  <cols>
    <col min="2" max="2" width="21.85546875" bestFit="1" customWidth="1"/>
    <col min="3" max="3" width="20.140625" bestFit="1" customWidth="1"/>
    <col min="4" max="4" width="22.85546875" bestFit="1" customWidth="1"/>
    <col min="5" max="5" width="21.140625" bestFit="1" customWidth="1"/>
    <col min="6" max="6" width="14.7109375" bestFit="1" customWidth="1"/>
    <col min="7" max="7" width="11.28515625" bestFit="1" customWidth="1"/>
    <col min="8" max="8" width="12.5703125" bestFit="1" customWidth="1"/>
    <col min="9" max="9" width="14.85546875" customWidth="1"/>
  </cols>
  <sheetData>
    <row r="1" spans="1:9" ht="28.5" customHeight="1" thickBot="1" x14ac:dyDescent="0.3">
      <c r="A1" s="54" t="s">
        <v>33</v>
      </c>
      <c r="B1" s="55" t="s">
        <v>34</v>
      </c>
      <c r="C1" s="55" t="s">
        <v>35</v>
      </c>
      <c r="D1" s="56" t="s">
        <v>36</v>
      </c>
      <c r="E1" s="56" t="s">
        <v>37</v>
      </c>
      <c r="F1" s="57" t="s">
        <v>38</v>
      </c>
      <c r="G1" s="57" t="s">
        <v>39</v>
      </c>
      <c r="H1" s="57" t="s">
        <v>40</v>
      </c>
      <c r="I1" s="58" t="s">
        <v>48</v>
      </c>
    </row>
    <row r="2" spans="1:9" x14ac:dyDescent="0.25">
      <c r="A2" s="50" t="s">
        <v>41</v>
      </c>
      <c r="B2" s="51">
        <f>COUNTIF('Season 1'!B2:B15927,"Stef D")</f>
        <v>53</v>
      </c>
      <c r="C2" s="52">
        <f>COUNTIF('Season 1'!C2:C15927,"Stef D")</f>
        <v>100</v>
      </c>
      <c r="D2" s="52">
        <f>COUNTIF('Season 1'!D2:D15927,"Stef D")</f>
        <v>44</v>
      </c>
      <c r="E2" s="52">
        <f>COUNTIF('Season 1'!E2:E15927,"Stef D")</f>
        <v>73</v>
      </c>
      <c r="F2" s="52">
        <f t="shared" ref="F2:F14" si="0">SUM(B2:E2)</f>
        <v>270</v>
      </c>
      <c r="G2" s="52">
        <f>COUNTIF('Season 1'!$I$2:$J$15926,"Stef D")</f>
        <v>185</v>
      </c>
      <c r="H2" s="52">
        <f t="shared" ref="H2:H14" si="1">F2-G2</f>
        <v>85</v>
      </c>
      <c r="I2" s="53">
        <f t="shared" ref="I2:I8" si="2">IF(F2=0,"Geen info",G2/F2)</f>
        <v>0.68518518518518523</v>
      </c>
    </row>
    <row r="3" spans="1:9" x14ac:dyDescent="0.25">
      <c r="A3" s="46" t="s">
        <v>3</v>
      </c>
      <c r="B3" s="45">
        <f>COUNTIF('Season 1'!B2:B16920,"Karel")</f>
        <v>46</v>
      </c>
      <c r="C3" s="24">
        <f>COUNTIF('Season 1'!C2:C16920,"Karel")</f>
        <v>39</v>
      </c>
      <c r="D3" s="24">
        <f>COUNTIF('Season 1'!D2:D16920,"Karel")</f>
        <v>51</v>
      </c>
      <c r="E3" s="24">
        <f>COUNTIF('Season 1'!E2:E16920,"Karel")</f>
        <v>46</v>
      </c>
      <c r="F3" s="24">
        <f>SUM(B3:E3)</f>
        <v>182</v>
      </c>
      <c r="G3" s="24">
        <f>COUNTIF('Season 1'!$I$2:$J$15926,"Karel")</f>
        <v>102</v>
      </c>
      <c r="H3" s="24">
        <f>F3-G3</f>
        <v>80</v>
      </c>
      <c r="I3" s="25">
        <f>IF(F3=0,"Geen info",G3/F3)</f>
        <v>0.56043956043956045</v>
      </c>
    </row>
    <row r="4" spans="1:9" ht="15.75" thickBot="1" x14ac:dyDescent="0.3">
      <c r="A4" s="47" t="s">
        <v>21</v>
      </c>
      <c r="B4" s="29">
        <f>COUNTIF('Season 1'!B2:B16919,"Jonas")</f>
        <v>68</v>
      </c>
      <c r="C4" s="29">
        <f>COUNTIF('Season 1'!C2:C16919,"Jonas")</f>
        <v>33</v>
      </c>
      <c r="D4" s="29">
        <f>COUNTIF('Season 1'!D2:D16919,"Jonas")</f>
        <v>70</v>
      </c>
      <c r="E4" s="29">
        <f>COUNTIF('Season 1'!E2:E16919,"Jonas")</f>
        <v>38</v>
      </c>
      <c r="F4" s="29">
        <f>SUM(B4:E4)</f>
        <v>209</v>
      </c>
      <c r="G4" s="30">
        <f>COUNTIF('Season 1'!$I$2:$J$15926,"Jonas")</f>
        <v>112</v>
      </c>
      <c r="H4" s="30">
        <f>F4-G4</f>
        <v>97</v>
      </c>
      <c r="I4" s="31">
        <f>IF(F4=0,"Geen info",G4/F4)</f>
        <v>0.53588516746411485</v>
      </c>
    </row>
    <row r="5" spans="1:9" ht="16.5" thickTop="1" thickBot="1" x14ac:dyDescent="0.3">
      <c r="A5" s="48" t="s">
        <v>18</v>
      </c>
      <c r="B5" s="26">
        <f>COUNTIF('Season 1'!B2:B16923,"Bert")</f>
        <v>9</v>
      </c>
      <c r="C5" s="26">
        <f>COUNTIF('Season 1'!C2:C16923,"Bert")</f>
        <v>29</v>
      </c>
      <c r="D5" s="26">
        <f>COUNTIF('Season 1'!D2:D16923,"Bert")</f>
        <v>10</v>
      </c>
      <c r="E5" s="26">
        <f>COUNTIF('Season 1'!E2:E16923,"Bert")</f>
        <v>34</v>
      </c>
      <c r="F5" s="26">
        <f>SUM(B5:E5)</f>
        <v>82</v>
      </c>
      <c r="G5" s="27">
        <f>COUNTIF('Season 1'!$I$2:$J$11336,"Bert")</f>
        <v>43</v>
      </c>
      <c r="H5" s="27">
        <f>F5-G5</f>
        <v>39</v>
      </c>
      <c r="I5" s="28">
        <f>IF(F5=0,"Geen info",G5/F5)</f>
        <v>0.52439024390243905</v>
      </c>
    </row>
    <row r="6" spans="1:9" ht="16.5" thickTop="1" thickBot="1" x14ac:dyDescent="0.3">
      <c r="A6" s="48" t="s">
        <v>7</v>
      </c>
      <c r="B6" s="26">
        <f>COUNTIF('Season 1'!B2:B16922,"Tiemen")</f>
        <v>14</v>
      </c>
      <c r="C6" s="26">
        <f>COUNTIF('Season 1'!C2:C16922,"Tiemen")</f>
        <v>34</v>
      </c>
      <c r="D6" s="26">
        <f>COUNTIF('Season 1'!D2:D16922,"Tiemen")</f>
        <v>25</v>
      </c>
      <c r="E6" s="26">
        <f>COUNTIF('Season 1'!E2:E16922,"Tiemen")</f>
        <v>53</v>
      </c>
      <c r="F6" s="26">
        <f t="shared" si="0"/>
        <v>126</v>
      </c>
      <c r="G6" s="27">
        <f>COUNTIF('Season 1'!$I$2:$J$15926,"Tiemen")</f>
        <v>59</v>
      </c>
      <c r="H6" s="27">
        <f t="shared" si="1"/>
        <v>67</v>
      </c>
      <c r="I6" s="28">
        <f t="shared" si="2"/>
        <v>0.46825396825396826</v>
      </c>
    </row>
    <row r="7" spans="1:9" ht="16.5" thickTop="1" thickBot="1" x14ac:dyDescent="0.3">
      <c r="A7" s="47" t="s">
        <v>8</v>
      </c>
      <c r="B7" s="29">
        <f>COUNTIF('Season 1'!B$2:B$16921,"Louis")</f>
        <v>47</v>
      </c>
      <c r="C7" s="29">
        <f>COUNTIF('Season 1'!C$2:C$16921,"Louis")</f>
        <v>26</v>
      </c>
      <c r="D7" s="29">
        <f>COUNTIF('Season 1'!D$2:D$16921,"Louis")</f>
        <v>53</v>
      </c>
      <c r="E7" s="29">
        <f>COUNTIF('Season 1'!E$2:E$16921,"Louis")</f>
        <v>31</v>
      </c>
      <c r="F7" s="29">
        <f t="shared" si="0"/>
        <v>157</v>
      </c>
      <c r="G7" s="30">
        <f>COUNTIF('Season 1'!$I$2:$J$15926,"Louis")</f>
        <v>69</v>
      </c>
      <c r="H7" s="30">
        <f t="shared" si="1"/>
        <v>88</v>
      </c>
      <c r="I7" s="31">
        <f t="shared" si="2"/>
        <v>0.43949044585987262</v>
      </c>
    </row>
    <row r="8" spans="1:9" ht="16.5" thickTop="1" thickBot="1" x14ac:dyDescent="0.3">
      <c r="A8" s="48" t="s">
        <v>11</v>
      </c>
      <c r="B8" s="26">
        <f>COUNTIF('Season 1'!B2:B16924,"Matthijs")</f>
        <v>39</v>
      </c>
      <c r="C8" s="26">
        <f>COUNTIF('Season 1'!C2:C16924,"Matthijs")</f>
        <v>35</v>
      </c>
      <c r="D8" s="26">
        <f>COUNTIF('Season 1'!D2:D16924,"Matthijs")</f>
        <v>44</v>
      </c>
      <c r="E8" s="26">
        <f>COUNTIF('Season 1'!E2:E16924,"Matthijs")</f>
        <v>20</v>
      </c>
      <c r="F8" s="26">
        <f t="shared" si="0"/>
        <v>138</v>
      </c>
      <c r="G8" s="27">
        <f>COUNTIF('Season 1'!$I$2:$J$15926,"Matthijs")</f>
        <v>53</v>
      </c>
      <c r="H8" s="27">
        <f t="shared" si="1"/>
        <v>85</v>
      </c>
      <c r="I8" s="28">
        <f t="shared" si="2"/>
        <v>0.38405797101449274</v>
      </c>
    </row>
    <row r="9" spans="1:9" ht="16.5" thickTop="1" thickBot="1" x14ac:dyDescent="0.3">
      <c r="A9" s="47" t="s">
        <v>15</v>
      </c>
      <c r="B9" s="29">
        <f>COUNTIF('Season 1'!B3:B11347,"Stijn")</f>
        <v>9</v>
      </c>
      <c r="C9" s="29">
        <f>COUNTIF('Season 1'!C3:C16927,"Stijn")</f>
        <v>9</v>
      </c>
      <c r="D9" s="29">
        <f>COUNTIF('Season 1'!D3:D11347,"Stijn")</f>
        <v>4</v>
      </c>
      <c r="E9" s="29">
        <f>COUNTIF('Season 1'!E3:E16927,"Stijn")</f>
        <v>5</v>
      </c>
      <c r="F9" s="29">
        <f t="shared" si="0"/>
        <v>27</v>
      </c>
      <c r="G9" s="30">
        <f>COUNTIF('Season 1'!$I$2:$J$15926,"Stijn")</f>
        <v>6</v>
      </c>
      <c r="H9" s="30">
        <f t="shared" si="1"/>
        <v>21</v>
      </c>
      <c r="I9" s="31">
        <f>IF(F9&lt;15,0,IF(F9=0,"Geen info",G9/F9))</f>
        <v>0.22222222222222221</v>
      </c>
    </row>
    <row r="10" spans="1:9" ht="16.5" thickTop="1" thickBot="1" x14ac:dyDescent="0.3">
      <c r="A10" s="48" t="s">
        <v>12</v>
      </c>
      <c r="B10" s="26">
        <f>COUNTIF('Season 1'!B2:B16927,"Alexander")</f>
        <v>6</v>
      </c>
      <c r="C10" s="26">
        <f>COUNTIF('Season 1'!C3:C16927,"Alexander")</f>
        <v>4</v>
      </c>
      <c r="D10" s="26">
        <f>COUNTIF('Season 1'!D3:D11347,"Alexander")</f>
        <v>5</v>
      </c>
      <c r="E10" s="26">
        <f>COUNTIF('Season 1'!E3:E16927,"Alexander")</f>
        <v>9</v>
      </c>
      <c r="F10" s="26">
        <f t="shared" si="0"/>
        <v>24</v>
      </c>
      <c r="G10" s="27">
        <f>COUNTIF('Season 1'!$I$2:$J$15926,"Alexander")</f>
        <v>4</v>
      </c>
      <c r="H10" s="27">
        <f t="shared" si="1"/>
        <v>20</v>
      </c>
      <c r="I10" s="28">
        <f>IF(F10&lt;15,0,IF(F10=0,"Geen info",G10/F10))</f>
        <v>0.16666666666666666</v>
      </c>
    </row>
    <row r="11" spans="1:9" ht="16.5" thickTop="1" thickBot="1" x14ac:dyDescent="0.3">
      <c r="A11" s="47" t="s">
        <v>19</v>
      </c>
      <c r="B11" s="29">
        <f>COUNTIF('Season 1'!B3:B16919,"Nicolas")</f>
        <v>33</v>
      </c>
      <c r="C11" s="29">
        <f>COUNTIF('Season 1'!C2:C16918,"Nicolas")</f>
        <v>19</v>
      </c>
      <c r="D11" s="29">
        <f>COUNTIF('Season 1'!D3:D1519,"Nicolas")</f>
        <v>18</v>
      </c>
      <c r="E11" s="29">
        <f>COUNTIF('Season 1'!E3:E1479,"Nicolas")</f>
        <v>12</v>
      </c>
      <c r="F11" s="29">
        <f t="shared" si="0"/>
        <v>82</v>
      </c>
      <c r="G11" s="30">
        <f>COUNTIF('Season 1'!$I$2:$J$15926,"Nicolas")</f>
        <v>13</v>
      </c>
      <c r="H11" s="30">
        <f t="shared" si="1"/>
        <v>69</v>
      </c>
      <c r="I11" s="31">
        <f>IF(F11&lt;15,0,IF(F9=0,"Geen info",G11/F11))</f>
        <v>0.15853658536585366</v>
      </c>
    </row>
    <row r="12" spans="1:9" ht="16.5" thickTop="1" thickBot="1" x14ac:dyDescent="0.3">
      <c r="A12" s="48" t="s">
        <v>10</v>
      </c>
      <c r="B12" s="26">
        <f>COUNTIF('Season 1'!B2:B16926,"Maxim")</f>
        <v>1</v>
      </c>
      <c r="C12" s="26">
        <f>COUNTIF('Season 1'!C2:C16926,"Maxim")</f>
        <v>0</v>
      </c>
      <c r="D12" s="26">
        <f>COUNTIF('Season 1'!D2:D16926,"Maxim")</f>
        <v>1</v>
      </c>
      <c r="E12" s="26">
        <f>COUNTIF('Season 1'!E2:E16926,"Maxim")</f>
        <v>0</v>
      </c>
      <c r="F12" s="26">
        <f t="shared" si="0"/>
        <v>2</v>
      </c>
      <c r="G12" s="27">
        <f>COUNTIF('Season 1'!$I$2:$J$15926,"Maxim")</f>
        <v>0</v>
      </c>
      <c r="H12" s="27">
        <f t="shared" si="1"/>
        <v>2</v>
      </c>
      <c r="I12" s="28">
        <f>IF(F12=0,"Geen info",G12/F12)</f>
        <v>0</v>
      </c>
    </row>
    <row r="13" spans="1:9" ht="16.5" thickTop="1" thickBot="1" x14ac:dyDescent="0.3">
      <c r="A13" s="47" t="s">
        <v>9</v>
      </c>
      <c r="B13" s="29">
        <f>COUNTIF('Season 1'!B2:B171355,"Stan")</f>
        <v>0</v>
      </c>
      <c r="C13" s="29">
        <f>COUNTIF('Season 1'!C2:C1555,"Stan")</f>
        <v>0</v>
      </c>
      <c r="D13" s="29">
        <f>COUNTIF('Season 1'!D2:D16925,"Stan")</f>
        <v>1</v>
      </c>
      <c r="E13" s="29">
        <f>COUNTIF('Season 1'!E2:E16925,"Stan")</f>
        <v>1</v>
      </c>
      <c r="F13" s="29">
        <f t="shared" si="0"/>
        <v>2</v>
      </c>
      <c r="G13" s="30">
        <f>COUNTIF('Season 1'!$I$2:$J$168,"Stan")</f>
        <v>1</v>
      </c>
      <c r="H13" s="30">
        <f t="shared" si="1"/>
        <v>1</v>
      </c>
      <c r="I13" s="31">
        <f>IF(F13&lt;20,0,IF(F13=0,"Geen info",G13/F13))</f>
        <v>0</v>
      </c>
    </row>
    <row r="14" spans="1:9" ht="15.75" thickTop="1" x14ac:dyDescent="0.25">
      <c r="A14" s="48" t="s">
        <v>42</v>
      </c>
      <c r="B14" s="32">
        <f>COUNTIF('Season 1'!B2:B16988,"Stef c")</f>
        <v>5</v>
      </c>
      <c r="C14" s="33">
        <f>COUNTIF('Season 1'!C2:C16768,"Stef c")</f>
        <v>0</v>
      </c>
      <c r="D14" s="32">
        <f>COUNTIF('Season 1'!D2:D16768,"Stef C")</f>
        <v>4</v>
      </c>
      <c r="E14" s="32">
        <f>COUNTIF('Season 1'!E2:E175318,"Stef c")</f>
        <v>1</v>
      </c>
      <c r="F14" s="32">
        <f t="shared" si="0"/>
        <v>10</v>
      </c>
      <c r="G14" s="34">
        <f>COUNTIF('Season 1'!$I$2:$J$15926,"Stef C")</f>
        <v>6</v>
      </c>
      <c r="H14" s="34">
        <f t="shared" si="1"/>
        <v>4</v>
      </c>
      <c r="I14" s="35">
        <f>IF(F14 &lt; 15, 0, IF(F14=0,"Geen info",G14/F14))</f>
        <v>0</v>
      </c>
    </row>
    <row r="15" spans="1:9" ht="15.75" thickBot="1" x14ac:dyDescent="0.3">
      <c r="A15" s="49" t="s">
        <v>2</v>
      </c>
      <c r="B15" s="36">
        <f>COUNTIF('Season 1'!B2:B16988,"Tobias")</f>
        <v>4</v>
      </c>
      <c r="C15" s="37">
        <f>COUNTIF('Season 1'!C2:C16988,"Tobias")</f>
        <v>5</v>
      </c>
      <c r="D15" s="37">
        <f>COUNTIF('Season 1'!D2:D16988,"Tobias")</f>
        <v>3</v>
      </c>
      <c r="E15" s="37">
        <f>COUNTIF('Season 1'!E2:E16988,"Tobias")</f>
        <v>9</v>
      </c>
      <c r="F15" s="38">
        <f>SUM(B15:E15)</f>
        <v>21</v>
      </c>
      <c r="G15" s="38">
        <f>COUNTIF('Season 1'!$I$2:$J$15926,"Tobias")</f>
        <v>15</v>
      </c>
      <c r="H15" s="38">
        <f>F15-G15</f>
        <v>6</v>
      </c>
      <c r="I15" s="39">
        <f>IF(F15 &lt; 15, 0, IF(F15=0,"Geen info",G15/F15))</f>
        <v>0.7142857142857143</v>
      </c>
    </row>
    <row r="16" spans="1:9" x14ac:dyDescent="0.25">
      <c r="A16" s="408"/>
      <c r="B16" s="408"/>
    </row>
  </sheetData>
  <sortState xmlns:xlrd2="http://schemas.microsoft.com/office/spreadsheetml/2017/richdata2" ref="A3:I5">
    <sortCondition descending="1" ref="I5"/>
  </sortState>
  <mergeCells count="1">
    <mergeCell ref="A16:B16"/>
  </mergeCells>
  <conditionalFormatting sqref="I2:I1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{0BC36FE9-AE49-4CAC-990F-CC382663DA2B}</x14:id>
        </ext>
      </extLst>
    </cfRule>
  </conditionalFormatting>
  <conditionalFormatting sqref="I14:I1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{ECC40F39-A29B-4244-A8B1-25BCA4D8E6EC}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C36FE9-AE49-4CAC-990F-CC382663DA2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I2:I13</xm:sqref>
        </x14:conditionalFormatting>
        <x14:conditionalFormatting xmlns:xm="http://schemas.microsoft.com/office/excel/2006/main">
          <x14:cfRule type="dataBar" id="{ECC40F39-A29B-4244-A8B1-25BCA4D8E6E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I14:I15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EC8C-5061-405C-B3F9-107602E65101}">
  <sheetPr codeName="Blad5"/>
  <dimension ref="A1:BJ304"/>
  <sheetViews>
    <sheetView topLeftCell="G1" workbookViewId="0">
      <selection activeCell="X22" sqref="X22"/>
    </sheetView>
  </sheetViews>
  <sheetFormatPr defaultRowHeight="15" x14ac:dyDescent="0.25"/>
  <cols>
    <col min="1" max="1" width="11.42578125" style="125" bestFit="1" customWidth="1"/>
    <col min="2" max="2" width="12.7109375" style="129" bestFit="1" customWidth="1"/>
    <col min="3" max="3" width="15.85546875" style="129" bestFit="1" customWidth="1"/>
    <col min="4" max="4" width="7.42578125" style="75" customWidth="1"/>
    <col min="5" max="5" width="10.140625" style="75" customWidth="1"/>
    <col min="6" max="6" width="19" customWidth="1"/>
    <col min="7" max="7" width="10.42578125" style="77" bestFit="1" customWidth="1"/>
    <col min="8" max="8" width="15.140625" bestFit="1" customWidth="1"/>
    <col min="9" max="9" width="11.42578125" style="77" bestFit="1" customWidth="1"/>
    <col min="10" max="10" width="20" customWidth="1"/>
    <col min="11" max="11" width="9" style="77" customWidth="1"/>
    <col min="12" max="12" width="15.140625" customWidth="1"/>
    <col min="13" max="13" width="9" style="77" customWidth="1"/>
    <col min="14" max="14" width="13" style="83" customWidth="1"/>
    <col min="15" max="15" width="14" style="83" customWidth="1"/>
    <col min="16" max="16" width="15.42578125" style="70" customWidth="1"/>
    <col min="17" max="18" width="15.7109375" style="88" customWidth="1"/>
    <col min="19" max="19" width="13.140625" hidden="1" customWidth="1"/>
    <col min="20" max="21" width="0" hidden="1" customWidth="1"/>
    <col min="22" max="22" width="9.42578125" hidden="1" customWidth="1"/>
    <col min="23" max="23" width="17" hidden="1" customWidth="1"/>
    <col min="25" max="25" width="10.7109375" hidden="1" customWidth="1"/>
    <col min="26" max="29" width="0" hidden="1" customWidth="1"/>
    <col min="30" max="31" width="0" style="293" hidden="1" customWidth="1"/>
    <col min="32" max="32" width="0" hidden="1" customWidth="1"/>
    <col min="34" max="34" width="13.140625" customWidth="1"/>
    <col min="35" max="35" width="11.5703125" customWidth="1"/>
    <col min="36" max="36" width="16.85546875" hidden="1" customWidth="1"/>
    <col min="37" max="37" width="15.85546875" bestFit="1" customWidth="1"/>
    <col min="38" max="38" width="16.85546875" bestFit="1" customWidth="1"/>
    <col min="39" max="39" width="14.140625" bestFit="1" customWidth="1"/>
    <col min="40" max="40" width="15.140625" bestFit="1" customWidth="1"/>
    <col min="41" max="41" width="16.140625" bestFit="1" customWidth="1"/>
    <col min="42" max="42" width="13.42578125" bestFit="1" customWidth="1"/>
    <col min="43" max="43" width="17.28515625" bestFit="1" customWidth="1"/>
    <col min="44" max="44" width="18.42578125" bestFit="1" customWidth="1"/>
    <col min="45" max="45" width="14.5703125" bestFit="1" customWidth="1"/>
    <col min="46" max="46" width="23.140625" bestFit="1" customWidth="1"/>
    <col min="47" max="47" width="24.140625" bestFit="1" customWidth="1"/>
    <col min="48" max="48" width="20.85546875" bestFit="1" customWidth="1"/>
    <col min="49" max="49" width="21.140625" bestFit="1" customWidth="1"/>
    <col min="50" max="50" width="19.5703125" bestFit="1" customWidth="1"/>
    <col min="51" max="51" width="15.5703125" bestFit="1" customWidth="1"/>
    <col min="52" max="52" width="15.28515625" bestFit="1" customWidth="1"/>
    <col min="53" max="53" width="15.42578125" bestFit="1" customWidth="1"/>
    <col min="54" max="54" width="19.85546875" bestFit="1" customWidth="1"/>
    <col min="55" max="55" width="15.140625" bestFit="1" customWidth="1"/>
    <col min="56" max="56" width="20.85546875" bestFit="1" customWidth="1"/>
    <col min="57" max="57" width="13.85546875" bestFit="1" customWidth="1"/>
    <col min="58" max="58" width="15.28515625" bestFit="1" customWidth="1"/>
  </cols>
  <sheetData>
    <row r="1" spans="1:62" ht="30" customHeight="1" thickBot="1" x14ac:dyDescent="0.3">
      <c r="A1" s="130" t="s">
        <v>75</v>
      </c>
      <c r="B1" s="123" t="s">
        <v>77</v>
      </c>
      <c r="C1" s="123" t="s">
        <v>76</v>
      </c>
      <c r="D1" s="123" t="s">
        <v>78</v>
      </c>
      <c r="E1" s="114" t="s">
        <v>24</v>
      </c>
      <c r="F1" s="115" t="s">
        <v>25</v>
      </c>
      <c r="G1" s="116" t="s">
        <v>47</v>
      </c>
      <c r="H1" s="116" t="s">
        <v>26</v>
      </c>
      <c r="I1" s="116" t="s">
        <v>72</v>
      </c>
      <c r="J1" s="117" t="s">
        <v>27</v>
      </c>
      <c r="K1" s="117" t="s">
        <v>73</v>
      </c>
      <c r="L1" s="117" t="s">
        <v>1</v>
      </c>
      <c r="M1" s="117" t="s">
        <v>74</v>
      </c>
      <c r="N1" s="118" t="s">
        <v>28</v>
      </c>
      <c r="O1" s="119" t="s">
        <v>29</v>
      </c>
      <c r="P1" s="120" t="s">
        <v>30</v>
      </c>
      <c r="Q1" s="121" t="s">
        <v>31</v>
      </c>
      <c r="R1" s="122" t="s">
        <v>32</v>
      </c>
      <c r="S1" s="141" t="s">
        <v>84</v>
      </c>
      <c r="T1" s="141" t="s">
        <v>85</v>
      </c>
      <c r="U1" s="141" t="s">
        <v>86</v>
      </c>
      <c r="V1" s="141" t="s">
        <v>87</v>
      </c>
      <c r="W1" s="141" t="s">
        <v>88</v>
      </c>
      <c r="X1" s="112"/>
      <c r="Z1" s="92" t="s">
        <v>56</v>
      </c>
      <c r="AA1" s="92" t="s">
        <v>57</v>
      </c>
      <c r="AB1" s="93" t="s">
        <v>58</v>
      </c>
      <c r="AC1" s="93" t="s">
        <v>59</v>
      </c>
      <c r="AD1" s="307" t="s">
        <v>172</v>
      </c>
      <c r="AE1" s="307" t="s">
        <v>173</v>
      </c>
      <c r="AH1" s="143" t="s">
        <v>81</v>
      </c>
      <c r="AI1" s="144" t="s">
        <v>82</v>
      </c>
      <c r="AJ1" s="145" t="s">
        <v>83</v>
      </c>
      <c r="AK1" s="80" t="s">
        <v>95</v>
      </c>
      <c r="AL1" s="146" t="s">
        <v>96</v>
      </c>
      <c r="AM1" s="79" t="s">
        <v>97</v>
      </c>
      <c r="AN1" s="80" t="s">
        <v>89</v>
      </c>
      <c r="AO1" s="146" t="s">
        <v>90</v>
      </c>
      <c r="AP1" s="79" t="s">
        <v>91</v>
      </c>
      <c r="AQ1" s="80" t="s">
        <v>113</v>
      </c>
      <c r="AR1" s="146" t="s">
        <v>92</v>
      </c>
      <c r="AS1" s="79" t="s">
        <v>93</v>
      </c>
      <c r="AT1" s="80" t="s">
        <v>98</v>
      </c>
      <c r="AU1" s="146" t="s">
        <v>99</v>
      </c>
      <c r="AV1" s="79" t="s">
        <v>100</v>
      </c>
      <c r="AW1" s="161" t="s">
        <v>105</v>
      </c>
      <c r="AX1" s="81" t="s">
        <v>106</v>
      </c>
      <c r="AY1" s="82" t="s">
        <v>108</v>
      </c>
      <c r="AZ1" s="81" t="s">
        <v>107</v>
      </c>
      <c r="BA1" s="81" t="s">
        <v>109</v>
      </c>
      <c r="BB1" s="81" t="s">
        <v>112</v>
      </c>
      <c r="BC1" s="81" t="s">
        <v>110</v>
      </c>
      <c r="BD1" s="81" t="s">
        <v>114</v>
      </c>
      <c r="BE1" s="158" t="s">
        <v>94</v>
      </c>
      <c r="BF1" s="146" t="s">
        <v>111</v>
      </c>
      <c r="BG1" s="146" t="s">
        <v>101</v>
      </c>
      <c r="BH1" s="146" t="s">
        <v>102</v>
      </c>
      <c r="BI1" s="146" t="s">
        <v>103</v>
      </c>
      <c r="BJ1" s="151" t="s">
        <v>104</v>
      </c>
    </row>
    <row r="2" spans="1:62" x14ac:dyDescent="0.25">
      <c r="A2" s="124">
        <f ca="1">IF(Tabel158[[#This Row],[Rood Verdediging]]&lt;&gt;"",IF(A2="",NOW(),A2),"")</f>
        <v>43878.703278935187</v>
      </c>
      <c r="B2" s="128">
        <f ca="1">IF(Tabel158[[#This Row],[Rood Verdediging]]&lt;&gt;"",IF(B2="",NOW(),B2),"")</f>
        <v>43878.703278935187</v>
      </c>
      <c r="C2" s="126">
        <f ca="1">IF(Tabel158[[#This Row],[Score]]&lt;&gt;"",IF(C2="",NOW(),C2),"")</f>
        <v>43878.703296180553</v>
      </c>
      <c r="D2" s="127">
        <f ca="1">IF(OR(Tabel158[[#This Row],[Starttijd]]="",Tabel158[[#This Row],[Eindtijd]]=""),"",Tabel158[[#This Row],[Eindtijd]]-Tabel158[[#This Row],[Starttijd]])</f>
        <v>1.7245365597773343E-5</v>
      </c>
      <c r="E2" s="73">
        <v>1</v>
      </c>
      <c r="F2" s="207" t="s">
        <v>11</v>
      </c>
      <c r="G2" s="209">
        <v>6</v>
      </c>
      <c r="H2" s="207" t="s">
        <v>19</v>
      </c>
      <c r="I2" s="209">
        <v>3</v>
      </c>
      <c r="J2" s="208" t="s">
        <v>6</v>
      </c>
      <c r="K2" s="211">
        <v>2</v>
      </c>
      <c r="L2" s="208" t="s">
        <v>7</v>
      </c>
      <c r="M2" s="211">
        <v>9</v>
      </c>
      <c r="N2" s="79">
        <f t="shared" ref="N2:N63" si="0">IF(ISBLANK(F2),"",SUM(G2,I2))</f>
        <v>9</v>
      </c>
      <c r="O2" s="80">
        <f t="shared" ref="O2:O63" si="1">IF(ISBLANK(F2),"",SUM(K2,M2))</f>
        <v>11</v>
      </c>
      <c r="P2" s="71" t="str">
        <f t="shared" ref="P2:P65" si="2">IF(N2&gt;O2,"ROOD",IF(N2=O2,"","GROEN"))</f>
        <v>GROEN</v>
      </c>
      <c r="Q2" s="84" t="str">
        <f t="shared" ref="Q2:Q63" si="3">IF(N2&gt;O2,F2,IF(N2="","",J2))</f>
        <v>Stef D</v>
      </c>
      <c r="R2" s="85" t="str">
        <f t="shared" ref="R2:R63" si="4">IF(N2&gt;O2,H2,IF(N2="","",L2))</f>
        <v>Tiemen</v>
      </c>
      <c r="S2" t="str">
        <f>Tabel158[[#This Row],[Rood Verdediging]]&amp;Tabel158[[#This Row],[Rood Aanval]]</f>
        <v>MatthijsNicolas</v>
      </c>
      <c r="T2" t="str">
        <f>Tabel158[[#This Row],[Groen Verdediging]]&amp;Tabel158[[#This Row],[Groen Aanval]]</f>
        <v>Stef DTiemen</v>
      </c>
      <c r="U2" t="str">
        <f>Tabel158[[#This Row],[Winnaar 1]]&amp;Tabel158[[#This Row],[Winnaar 2]]</f>
        <v>Stef DTiemen</v>
      </c>
      <c r="V2" s="147" t="b">
        <f>IF(Tabel158[[#This Row],[Team Rood]]=Tabel158[[#This Row],[Winnaars]],Tabel158[[#This Row],[Team Rood]])</f>
        <v>0</v>
      </c>
      <c r="W2" s="147" t="str">
        <f>IF(Tabel158[[#This Row],[Team Groen]]=Tabel158[[#This Row],[Winnaars]],Tabel158[[#This Row],[Team Groen]])</f>
        <v>Stef DTiemen</v>
      </c>
      <c r="X2" s="147"/>
      <c r="Y2" s="91" t="s">
        <v>162</v>
      </c>
      <c r="Z2" s="180">
        <f t="shared" ref="Z2:Z14" ca="1" si="5">SUMIF($F$2:$G$304,Y2,$G$2:$G$304)</f>
        <v>109</v>
      </c>
      <c r="AA2" s="180">
        <f t="shared" ref="AA2:AA14" ca="1" si="6">SUMIF($H$2:$I$304,Y2,$I$2:$I$304)</f>
        <v>145</v>
      </c>
      <c r="AB2" s="179">
        <f t="shared" ref="AB2:AB14" ca="1" si="7">SUMIF($J$2:$K$304,Y2,$K$2:$K$304)</f>
        <v>72</v>
      </c>
      <c r="AC2" s="179">
        <f t="shared" ref="AC2:AC14" ca="1" si="8">SUMIF($L$2:$M$304,Y2,$M$2:$M$304)</f>
        <v>105</v>
      </c>
      <c r="AD2" s="308">
        <f ca="1">SUM(Z2:AA2)</f>
        <v>254</v>
      </c>
      <c r="AE2" s="308">
        <f ca="1">SUM(AB2:AC2)</f>
        <v>177</v>
      </c>
      <c r="AF2">
        <f ca="1">SUM(Z2:AC2)</f>
        <v>431</v>
      </c>
      <c r="AH2" s="251" t="s">
        <v>158</v>
      </c>
      <c r="AI2" s="233" t="s">
        <v>159</v>
      </c>
      <c r="AJ2" s="140" t="str">
        <f t="shared" ref="AJ2:AJ33" si="9">AH2&amp;AI2</f>
        <v>Arno*Jonas*</v>
      </c>
      <c r="AK2" s="160">
        <f>IF(Tabel59[[#This Row],[Aantal Games Rood]]=0,0,(Tabel59[[#This Row],[Wins Rood]])/Tabel59[[#This Row],[Aantal Games Rood]])</f>
        <v>0</v>
      </c>
      <c r="AL2" s="159">
        <f>IF(Tabel59[[#This Row],[Aantal Games Groen]]=0,0,(Tabel59[[#This Row],[Wins Groen]])/Tabel59[[#This Row],[Aantal Games Groen]])</f>
        <v>1</v>
      </c>
      <c r="AM2" s="156">
        <f>IF(Tabel59[[#This Row],[Aantal games Alg]]=0,0,(Tabel59[[#This Row],[Wins Alg]])/Tabel59[[#This Row],[Aantal games Alg]])</f>
        <v>1</v>
      </c>
      <c r="AN2" s="138">
        <f>COUNTIF(Tabel158[Winaar rood],Tabel59[[#This Row],[Team]])</f>
        <v>0</v>
      </c>
      <c r="AO2" s="134">
        <f>COUNTIF(Tabel158[Winnaar Groen],Tabel59[[#This Row],[Team]])</f>
        <v>1</v>
      </c>
      <c r="AP2">
        <f>COUNTIF(Tabel158[Winnaars],Tabel59[[#This Row],[Team]])</f>
        <v>1</v>
      </c>
      <c r="AQ2" s="135">
        <f>Tabel59[[#This Row],[Aantal Games Rood]]-Tabel59[[#This Row],[Wins Rood]]</f>
        <v>0</v>
      </c>
      <c r="AR2" s="136">
        <f>Tabel59[[#This Row],[Aantal Games Groen]]-Tabel59[[#This Row],[Wins Groen]]</f>
        <v>0</v>
      </c>
      <c r="AS2" s="137">
        <f>Tabel59[[#This Row],[Aantal games Alg]]-Tabel59[[#This Row],[Wins Alg]]</f>
        <v>0</v>
      </c>
      <c r="AT2" s="138">
        <f>COUNTIF(Tabel158[Team Rood],Tabel59[[#This Row],[Team]])</f>
        <v>0</v>
      </c>
      <c r="AU2" s="136">
        <f>COUNTIF(Tabel158[Team Groen],Tabel59[[#This Row],[Team]])</f>
        <v>1</v>
      </c>
      <c r="AV2" s="112">
        <f>Tabel59[[#This Row],[Aantal Games Rood]]+Tabel59[[#This Row],[Aantal Games Groen]]</f>
        <v>1</v>
      </c>
      <c r="AW2" s="138">
        <f>SUMIF(Tabel158[Team Rood],Tabel59[[#This Row],[Team]],Tabel158[Score])</f>
        <v>0</v>
      </c>
      <c r="AX2" s="157">
        <f>SUMIF(Tabel158[Team Rood],Tabel59[[#This Row],[Team]],Tabel158[Score2])</f>
        <v>0</v>
      </c>
      <c r="AY2" s="134">
        <f>SUMIF(Tabel158[Team Groen],Tabel59[[#This Row],[Team]],Tabel158[Score3])</f>
        <v>6</v>
      </c>
      <c r="AZ2" s="139">
        <f>SUMIF(Tabel158[Team Groen],Tabel59[[#This Row],[Team]],Tabel158[Score4])</f>
        <v>5</v>
      </c>
      <c r="BA2">
        <f>SUM(Tabel59[[#This Row],[Goals Verdediger]]+Tabel59[[#This Row],[Goals DefG]])</f>
        <v>6</v>
      </c>
      <c r="BB2">
        <f>IF(Tabel59[[#This Row],[Aantal games Alg]]=0,0,Tabel59[[#This Row],[Goals DefA]]/Tabel59[[#This Row],[Aantal games Alg]])</f>
        <v>6</v>
      </c>
      <c r="BC2">
        <f>SUM(Tabel59[[#This Row],[Goals Aanvaller]]+Tabel59[[#This Row],[Goals OffG]])</f>
        <v>5</v>
      </c>
      <c r="BD2">
        <f>IF(Tabel59[[#This Row],[Aantal games Alg]]=0,0,Tabel59[[#This Row],[Goals OffA]]/Tabel59[[#This Row],[Aantal games Alg]])</f>
        <v>5</v>
      </c>
      <c r="BE2" s="142">
        <f>Tabel59[[#This Row],[Goals DefA]]+Tabel59[[#This Row],[Goals OffA]]</f>
        <v>11</v>
      </c>
      <c r="BF2" s="112">
        <f>IF(Tabel59[[#This Row],[Aantal games Alg]]=0,0,Tabel59[[#This Row],[Goals Alg]]/Tabel59[[#This Row],[Aantal games Alg]])</f>
        <v>11</v>
      </c>
      <c r="BG2" s="148">
        <f>SUMIF(Tabel158[Team Rood],Tabel59[[#This Row],[Team]],Tabel158[ET])</f>
        <v>0</v>
      </c>
      <c r="BH2" s="149">
        <f ca="1">SUMIF(Tabel158[Team Groen],Tabel59[[#This Row],[Team]],Tabel158[ET])</f>
        <v>0</v>
      </c>
      <c r="BI2" s="152">
        <f ca="1">SUM(Tabel59[[#This Row],[ET Groen tot]],Tabel59[[#This Row],[ET Rood tot]])</f>
        <v>0</v>
      </c>
      <c r="BJ2" s="154">
        <f ca="1">IF(Tabel59[[#This Row],[Aantal games Alg]]=0,0,Tabel59[[#This Row],[ET tot]]/Tabel59[[#This Row],[Aantal games Alg]])</f>
        <v>0</v>
      </c>
    </row>
    <row r="3" spans="1:62" x14ac:dyDescent="0.25">
      <c r="A3" s="124">
        <f ca="1">IF(Tabel158[[#This Row],[Rood Verdediging]]&lt;&gt;"",IF(A3="",NOW(),A3),"")</f>
        <v>43878.70390601852</v>
      </c>
      <c r="B3" s="128">
        <f ca="1">IF(Tabel158[[#This Row],[Rood Verdediging]]&lt;&gt;"",IF(B3="",NOW(),B3),"")</f>
        <v>43878.70390601852</v>
      </c>
      <c r="C3" s="126">
        <f ca="1">IF(Tabel158[[#This Row],[Score]]&lt;&gt;"",IF(C3="",NOW(),C3),"")</f>
        <v>43878.704221412037</v>
      </c>
      <c r="D3" s="127">
        <f ca="1">IF(OR(Tabel158[[#This Row],[Starttijd]]="",Tabel158[[#This Row],[Eindtijd]]=""),"",Tabel158[[#This Row],[Eindtijd]]-Tabel158[[#This Row],[Starttijd]])</f>
        <v>3.15393517666962E-4</v>
      </c>
      <c r="E3" s="74">
        <v>2</v>
      </c>
      <c r="F3" s="205" t="s">
        <v>0</v>
      </c>
      <c r="G3" s="210">
        <v>6</v>
      </c>
      <c r="H3" s="205" t="s">
        <v>11</v>
      </c>
      <c r="I3" s="210">
        <v>5</v>
      </c>
      <c r="J3" s="206" t="s">
        <v>7</v>
      </c>
      <c r="K3" s="212">
        <v>3</v>
      </c>
      <c r="L3" s="206" t="s">
        <v>6</v>
      </c>
      <c r="M3" s="212">
        <v>6</v>
      </c>
      <c r="N3" s="81">
        <f t="shared" si="0"/>
        <v>11</v>
      </c>
      <c r="O3" s="82">
        <f t="shared" si="1"/>
        <v>9</v>
      </c>
      <c r="P3" s="70" t="str">
        <f t="shared" si="2"/>
        <v>ROOD</v>
      </c>
      <c r="Q3" s="86" t="str">
        <f t="shared" si="3"/>
        <v>Jonas</v>
      </c>
      <c r="R3" s="87" t="str">
        <f t="shared" si="4"/>
        <v>Matthijs</v>
      </c>
      <c r="S3" t="str">
        <f>Tabel158[[#This Row],[Rood Verdediging]]&amp;Tabel158[[#This Row],[Rood Aanval]]</f>
        <v>JonasMatthijs</v>
      </c>
      <c r="T3" t="str">
        <f>Tabel158[[#This Row],[Groen Verdediging]]&amp;Tabel158[[#This Row],[Groen Aanval]]</f>
        <v>TiemenStef D</v>
      </c>
      <c r="U3" t="str">
        <f>Tabel158[[#This Row],[Winnaar 1]]&amp;Tabel158[[#This Row],[Winnaar 2]]</f>
        <v>JonasMatthijs</v>
      </c>
      <c r="V3" s="147" t="str">
        <f>IF(Tabel158[[#This Row],[Team Rood]]=Tabel158[[#This Row],[Winnaars]],Tabel158[[#This Row],[Team Rood]])</f>
        <v>JonasMatthijs</v>
      </c>
      <c r="W3" s="147" t="b">
        <f>IF(Tabel158[[#This Row],[Team Groen]]=Tabel158[[#This Row],[Winnaars]],Tabel158[[#This Row],[Team Groen]])</f>
        <v>0</v>
      </c>
      <c r="X3" s="147"/>
      <c r="Y3" s="91" t="s">
        <v>170</v>
      </c>
      <c r="Z3" s="180">
        <f t="shared" ca="1" si="5"/>
        <v>58</v>
      </c>
      <c r="AA3" s="180">
        <f t="shared" ca="1" si="6"/>
        <v>116</v>
      </c>
      <c r="AB3" s="179">
        <f t="shared" ca="1" si="7"/>
        <v>59</v>
      </c>
      <c r="AC3" s="179">
        <f t="shared" ca="1" si="8"/>
        <v>115</v>
      </c>
      <c r="AD3" s="308">
        <f t="shared" ref="AD3:AD14" ca="1" si="10">SUM(Z3:AA3)</f>
        <v>174</v>
      </c>
      <c r="AE3" s="308">
        <f t="shared" ref="AE3:AE14" ca="1" si="11">SUM(AB3:AC3)</f>
        <v>174</v>
      </c>
      <c r="AF3" s="293">
        <f t="shared" ref="AF3:AF14" ca="1" si="12">SUM(Z3:AC3)</f>
        <v>348</v>
      </c>
      <c r="AH3" s="251" t="s">
        <v>163</v>
      </c>
      <c r="AI3" s="233" t="s">
        <v>159</v>
      </c>
      <c r="AJ3" s="140" t="str">
        <f t="shared" si="9"/>
        <v>Bert*Jonas*</v>
      </c>
      <c r="AK3" s="160">
        <f>IF(Tabel59[[#This Row],[Aantal Games Rood]]=0,0,(Tabel59[[#This Row],[Wins Rood]])/Tabel59[[#This Row],[Aantal Games Rood]])</f>
        <v>1</v>
      </c>
      <c r="AL3" s="159">
        <f>IF(Tabel59[[#This Row],[Aantal Games Groen]]=0,0,(Tabel59[[#This Row],[Wins Groen]])/Tabel59[[#This Row],[Aantal Games Groen]])</f>
        <v>0</v>
      </c>
      <c r="AM3" s="156">
        <f>IF(Tabel59[[#This Row],[Aantal games Alg]]=0,0,(Tabel59[[#This Row],[Wins Alg]])/Tabel59[[#This Row],[Aantal games Alg]])</f>
        <v>1</v>
      </c>
      <c r="AN3" s="133">
        <f>COUNTIF(Tabel158[Winaar rood],Tabel59[[#This Row],[Team]])</f>
        <v>1</v>
      </c>
      <c r="AO3" s="134">
        <f>COUNTIF(Tabel158[Winnaar Groen],Tabel59[[#This Row],[Team]])</f>
        <v>0</v>
      </c>
      <c r="AP3" s="293">
        <f>COUNTIF(Tabel158[Winnaars],Tabel59[[#This Row],[Team]])</f>
        <v>1</v>
      </c>
      <c r="AQ3" s="135">
        <f>Tabel59[[#This Row],[Aantal Games Rood]]-Tabel59[[#This Row],[Wins Rood]]</f>
        <v>0</v>
      </c>
      <c r="AR3" s="136">
        <f>Tabel59[[#This Row],[Aantal Games Groen]]-Tabel59[[#This Row],[Wins Groen]]</f>
        <v>0</v>
      </c>
      <c r="AS3" s="137">
        <f>Tabel59[[#This Row],[Aantal games Alg]]-Tabel59[[#This Row],[Wins Alg]]</f>
        <v>0</v>
      </c>
      <c r="AT3" s="138">
        <f>COUNTIF(Tabel158[Team Rood],Tabel59[[#This Row],[Team]])</f>
        <v>1</v>
      </c>
      <c r="AU3" s="136">
        <f>COUNTIF(Tabel158[Team Groen],Tabel59[[#This Row],[Team]])</f>
        <v>0</v>
      </c>
      <c r="AV3" s="214">
        <f>Tabel59[[#This Row],[Aantal Games Rood]]+Tabel59[[#This Row],[Aantal Games Groen]]</f>
        <v>1</v>
      </c>
      <c r="AW3" s="138">
        <f>SUMIF(Tabel158[Team Rood],Tabel59[[#This Row],[Team]],Tabel158[Score])</f>
        <v>3</v>
      </c>
      <c r="AX3" s="138">
        <f>SUMIF(Tabel158[Team Rood],Tabel59[[#This Row],[Team]],Tabel158[Score2])</f>
        <v>8</v>
      </c>
      <c r="AY3" s="134">
        <f>SUMIF(Tabel158[Team Groen],Tabel59[[#This Row],[Team]],Tabel158[Score3])</f>
        <v>0</v>
      </c>
      <c r="AZ3" s="136">
        <f>SUMIF(Tabel158[Team Groen],Tabel59[[#This Row],[Team]],Tabel158[Score4])</f>
        <v>0</v>
      </c>
      <c r="BA3" s="293">
        <f>SUM(Tabel59[[#This Row],[Goals Verdediger]]+Tabel59[[#This Row],[Goals DefG]])</f>
        <v>3</v>
      </c>
      <c r="BB3" s="293">
        <f>IF(Tabel59[[#This Row],[Aantal games Alg]]=0,0,Tabel59[[#This Row],[Goals DefA]]/Tabel59[[#This Row],[Aantal games Alg]])</f>
        <v>3</v>
      </c>
      <c r="BC3" s="293">
        <f>SUM(Tabel59[[#This Row],[Goals Aanvaller]]+Tabel59[[#This Row],[Goals OffG]])</f>
        <v>8</v>
      </c>
      <c r="BD3" s="293">
        <f>IF(Tabel59[[#This Row],[Aantal games Alg]]=0,0,Tabel59[[#This Row],[Goals OffA]]/Tabel59[[#This Row],[Aantal games Alg]])</f>
        <v>8</v>
      </c>
      <c r="BE3" s="214">
        <f>Tabel59[[#This Row],[Goals DefA]]+Tabel59[[#This Row],[Goals OffA]]</f>
        <v>11</v>
      </c>
      <c r="BF3" s="214">
        <f>IF(Tabel59[[#This Row],[Aantal games Alg]]=0,0,Tabel59[[#This Row],[Goals Alg]]/Tabel59[[#This Row],[Aantal games Alg]])</f>
        <v>11</v>
      </c>
      <c r="BG3" s="148">
        <f ca="1">SUMIF(Tabel158[Team Rood],Tabel59[[#This Row],[Team]],Tabel158[ET])</f>
        <v>0</v>
      </c>
      <c r="BH3" s="150">
        <f>SUMIF(Tabel158[Team Groen],Tabel59[[#This Row],[Team]],Tabel158[ET])</f>
        <v>0</v>
      </c>
      <c r="BI3" s="153">
        <f ca="1">SUM(Tabel59[[#This Row],[ET Groen tot]],Tabel59[[#This Row],[ET Rood tot]])</f>
        <v>0</v>
      </c>
      <c r="BJ3" s="155">
        <f ca="1">IF(Tabel59[[#This Row],[Aantal games Alg]]=0,0,Tabel59[[#This Row],[ET tot]]/Tabel59[[#This Row],[Aantal games Alg]])</f>
        <v>0</v>
      </c>
    </row>
    <row r="4" spans="1:62" x14ac:dyDescent="0.25">
      <c r="A4" s="124">
        <f ca="1">IF(Tabel158[[#This Row],[Rood Verdediging]]&lt;&gt;"",IF(A4="",NOW(),A4),"")</f>
        <v>43878.75837314815</v>
      </c>
      <c r="B4" s="128">
        <f ca="1">IF(Tabel158[[#This Row],[Rood Verdediging]]&lt;&gt;"",IF(B4="",NOW(),B4),"")</f>
        <v>43878.75837314815</v>
      </c>
      <c r="C4" s="126">
        <f ca="1">IF(Tabel158[[#This Row],[Score]]&lt;&gt;"",IF(C4="",NOW(),C4),"")</f>
        <v>43878.758985185188</v>
      </c>
      <c r="D4" s="127">
        <f ca="1">IF(OR(Tabel158[[#This Row],[Starttijd]]="",Tabel158[[#This Row],[Eindtijd]]=""),"",Tabel158[[#This Row],[Eindtijd]]-Tabel158[[#This Row],[Starttijd]])</f>
        <v>6.1203703808132559E-4</v>
      </c>
      <c r="E4" s="74">
        <v>3</v>
      </c>
      <c r="F4" s="205" t="s">
        <v>0</v>
      </c>
      <c r="G4" s="210">
        <v>3</v>
      </c>
      <c r="H4" s="205" t="s">
        <v>6</v>
      </c>
      <c r="I4" s="210">
        <v>8</v>
      </c>
      <c r="J4" s="206" t="s">
        <v>11</v>
      </c>
      <c r="K4" s="212">
        <v>2</v>
      </c>
      <c r="L4" s="206" t="s">
        <v>7</v>
      </c>
      <c r="M4" s="212">
        <v>4</v>
      </c>
      <c r="N4" s="81">
        <f t="shared" si="0"/>
        <v>11</v>
      </c>
      <c r="O4" s="82">
        <f t="shared" si="1"/>
        <v>6</v>
      </c>
      <c r="P4" s="70" t="str">
        <f t="shared" si="2"/>
        <v>ROOD</v>
      </c>
      <c r="Q4" s="86" t="str">
        <f t="shared" si="3"/>
        <v>Jonas</v>
      </c>
      <c r="R4" s="87" t="str">
        <f t="shared" si="4"/>
        <v>Stef D</v>
      </c>
      <c r="S4" t="str">
        <f>Tabel158[[#This Row],[Rood Verdediging]]&amp;Tabel158[[#This Row],[Rood Aanval]]</f>
        <v>JonasStef D</v>
      </c>
      <c r="T4" t="str">
        <f>Tabel158[[#This Row],[Groen Verdediging]]&amp;Tabel158[[#This Row],[Groen Aanval]]</f>
        <v>MatthijsTiemen</v>
      </c>
      <c r="U4" t="str">
        <f>Tabel158[[#This Row],[Winnaar 1]]&amp;Tabel158[[#This Row],[Winnaar 2]]</f>
        <v>JonasStef D</v>
      </c>
      <c r="V4" s="147" t="str">
        <f>IF(Tabel158[[#This Row],[Team Rood]]=Tabel158[[#This Row],[Winnaars]],Tabel158[[#This Row],[Team Rood]])</f>
        <v>JonasStef D</v>
      </c>
      <c r="W4" s="147" t="b">
        <f>IF(Tabel158[[#This Row],[Team Groen]]=Tabel158[[#This Row],[Winnaars]],Tabel158[[#This Row],[Team Groen]])</f>
        <v>0</v>
      </c>
      <c r="X4" s="147"/>
      <c r="Y4" s="91" t="s">
        <v>169</v>
      </c>
      <c r="Z4" s="180">
        <f t="shared" ca="1" si="5"/>
        <v>200</v>
      </c>
      <c r="AA4" s="180">
        <f t="shared" ca="1" si="6"/>
        <v>850</v>
      </c>
      <c r="AB4" s="179">
        <f t="shared" ca="1" si="7"/>
        <v>147</v>
      </c>
      <c r="AC4" s="179">
        <f t="shared" ca="1" si="8"/>
        <v>401</v>
      </c>
      <c r="AD4" s="308">
        <f t="shared" ca="1" si="10"/>
        <v>1050</v>
      </c>
      <c r="AE4" s="308">
        <f t="shared" ca="1" si="11"/>
        <v>548</v>
      </c>
      <c r="AF4" s="293">
        <f t="shared" ca="1" si="12"/>
        <v>1598</v>
      </c>
      <c r="AH4" s="251" t="s">
        <v>163</v>
      </c>
      <c r="AI4" s="233" t="s">
        <v>169</v>
      </c>
      <c r="AJ4" s="140" t="str">
        <f t="shared" si="9"/>
        <v>Bert*Stef*</v>
      </c>
      <c r="AK4" s="160">
        <f>IF(Tabel59[[#This Row],[Aantal Games Rood]]=0,0,(Tabel59[[#This Row],[Wins Rood]])/Tabel59[[#This Row],[Aantal Games Rood]])</f>
        <v>1</v>
      </c>
      <c r="AL4" s="159">
        <f>IF(Tabel59[[#This Row],[Aantal Games Groen]]=0,0,(Tabel59[[#This Row],[Wins Groen]])/Tabel59[[#This Row],[Aantal Games Groen]])</f>
        <v>1</v>
      </c>
      <c r="AM4" s="156">
        <f>IF(Tabel59[[#This Row],[Aantal games Alg]]=0,0,(Tabel59[[#This Row],[Wins Alg]])/Tabel59[[#This Row],[Aantal games Alg]])</f>
        <v>1</v>
      </c>
      <c r="AN4" s="133">
        <f>COUNTIF(Tabel158[Winaar rood],Tabel59[[#This Row],[Team]])</f>
        <v>2</v>
      </c>
      <c r="AO4" s="134">
        <f>COUNTIF(Tabel158[Winnaar Groen],Tabel59[[#This Row],[Team]])</f>
        <v>1</v>
      </c>
      <c r="AP4">
        <f>COUNTIF(Tabel158[Winnaars],Tabel59[[#This Row],[Team]])</f>
        <v>3</v>
      </c>
      <c r="AQ4" s="135">
        <f>Tabel59[[#This Row],[Aantal Games Rood]]-Tabel59[[#This Row],[Wins Rood]]</f>
        <v>0</v>
      </c>
      <c r="AR4" s="136">
        <f>Tabel59[[#This Row],[Aantal Games Groen]]-Tabel59[[#This Row],[Wins Groen]]</f>
        <v>0</v>
      </c>
      <c r="AS4" s="137">
        <f>Tabel59[[#This Row],[Aantal games Alg]]-Tabel59[[#This Row],[Wins Alg]]</f>
        <v>0</v>
      </c>
      <c r="AT4" s="138">
        <f>COUNTIF(Tabel158[Team Rood],Tabel59[[#This Row],[Team]])</f>
        <v>2</v>
      </c>
      <c r="AU4" s="136">
        <f>COUNTIF(Tabel158[Team Groen],Tabel59[[#This Row],[Team]])</f>
        <v>1</v>
      </c>
      <c r="AV4" s="112">
        <f>Tabel59[[#This Row],[Aantal Games Rood]]+Tabel59[[#This Row],[Aantal Games Groen]]</f>
        <v>3</v>
      </c>
      <c r="AW4" s="138">
        <f>SUMIF(Tabel158[Team Rood],Tabel59[[#This Row],[Team]],Tabel158[Score])</f>
        <v>7</v>
      </c>
      <c r="AX4" s="138">
        <f>SUMIF(Tabel158[Team Rood],Tabel59[[#This Row],[Team]],Tabel158[Score2])</f>
        <v>15</v>
      </c>
      <c r="AY4" s="134">
        <f>SUMIF(Tabel158[Team Groen],Tabel59[[#This Row],[Team]],Tabel158[Score3])</f>
        <v>5</v>
      </c>
      <c r="AZ4" s="136">
        <f>SUMIF(Tabel158[Team Groen],Tabel59[[#This Row],[Team]],Tabel158[Score4])</f>
        <v>6</v>
      </c>
      <c r="BA4">
        <f>SUM(Tabel59[[#This Row],[Goals Verdediger]]+Tabel59[[#This Row],[Goals DefG]])</f>
        <v>12</v>
      </c>
      <c r="BB4">
        <f>IF(Tabel59[[#This Row],[Aantal games Alg]]=0,0,Tabel59[[#This Row],[Goals DefA]]/Tabel59[[#This Row],[Aantal games Alg]])</f>
        <v>4</v>
      </c>
      <c r="BC4">
        <f>SUM(Tabel59[[#This Row],[Goals Aanvaller]]+Tabel59[[#This Row],[Goals OffG]])</f>
        <v>21</v>
      </c>
      <c r="BD4">
        <f>IF(Tabel59[[#This Row],[Aantal games Alg]]=0,0,Tabel59[[#This Row],[Goals OffA]]/Tabel59[[#This Row],[Aantal games Alg]])</f>
        <v>7</v>
      </c>
      <c r="BE4" s="214">
        <f>Tabel59[[#This Row],[Goals DefA]]+Tabel59[[#This Row],[Goals OffA]]</f>
        <v>33</v>
      </c>
      <c r="BF4" s="112">
        <f>IF(Tabel59[[#This Row],[Aantal games Alg]]=0,0,Tabel59[[#This Row],[Goals Alg]]/Tabel59[[#This Row],[Aantal games Alg]])</f>
        <v>11</v>
      </c>
      <c r="BG4" s="148">
        <f ca="1">SUMIF(Tabel158[Team Rood],Tabel59[[#This Row],[Team]],Tabel158[ET])</f>
        <v>0</v>
      </c>
      <c r="BH4" s="150">
        <f ca="1">SUMIF(Tabel158[Team Groen],Tabel59[[#This Row],[Team]],Tabel158[ET])</f>
        <v>0</v>
      </c>
      <c r="BI4" s="153">
        <f ca="1">SUM(Tabel59[[#This Row],[ET Groen tot]],Tabel59[[#This Row],[ET Rood tot]])</f>
        <v>0</v>
      </c>
      <c r="BJ4" s="155">
        <f ca="1">IF(Tabel59[[#This Row],[Aantal games Alg]]=0,0,Tabel59[[#This Row],[ET tot]]/Tabel59[[#This Row],[Aantal games Alg]])</f>
        <v>0</v>
      </c>
    </row>
    <row r="5" spans="1:62" x14ac:dyDescent="0.25">
      <c r="A5" s="124">
        <f ca="1">IF(Tabel158[[#This Row],[Rood Verdediging]]&lt;&gt;"",IF(A5="",NOW(),A5),"")</f>
        <v>43878.947694907409</v>
      </c>
      <c r="B5" s="128">
        <f ca="1">IF(Tabel158[[#This Row],[Rood Verdediging]]&lt;&gt;"",IF(B5="",NOW(),B5),"")</f>
        <v>43878.947694907409</v>
      </c>
      <c r="C5" s="126">
        <f ca="1">IF(Tabel158[[#This Row],[Score]]&lt;&gt;"",IF(C5="",NOW(),C5),"")</f>
        <v>43878.947694907409</v>
      </c>
      <c r="D5" s="127">
        <f ca="1">IF(OR(Tabel158[[#This Row],[Starttijd]]="",Tabel158[[#This Row],[Eindtijd]]=""),"",Tabel158[[#This Row],[Eindtijd]]-Tabel158[[#This Row],[Starttijd]])</f>
        <v>0</v>
      </c>
      <c r="E5" s="74">
        <v>4</v>
      </c>
      <c r="F5" s="205" t="s">
        <v>11</v>
      </c>
      <c r="G5" s="210">
        <v>0</v>
      </c>
      <c r="H5" s="205" t="s">
        <v>0</v>
      </c>
      <c r="I5" s="210">
        <v>11</v>
      </c>
      <c r="J5" s="206" t="s">
        <v>19</v>
      </c>
      <c r="K5" s="212">
        <v>0</v>
      </c>
      <c r="L5" s="206" t="s">
        <v>6</v>
      </c>
      <c r="M5" s="212">
        <v>9</v>
      </c>
      <c r="N5" s="81">
        <f t="shared" si="0"/>
        <v>11</v>
      </c>
      <c r="O5" s="82">
        <f t="shared" si="1"/>
        <v>9</v>
      </c>
      <c r="P5" s="70" t="str">
        <f t="shared" si="2"/>
        <v>ROOD</v>
      </c>
      <c r="Q5" s="86" t="str">
        <f t="shared" si="3"/>
        <v>Matthijs</v>
      </c>
      <c r="R5" s="87" t="str">
        <f t="shared" si="4"/>
        <v>Jonas</v>
      </c>
      <c r="S5" t="str">
        <f>Tabel158[[#This Row],[Rood Verdediging]]&amp;Tabel158[[#This Row],[Rood Aanval]]</f>
        <v>MatthijsJonas</v>
      </c>
      <c r="T5" t="str">
        <f>Tabel158[[#This Row],[Groen Verdediging]]&amp;Tabel158[[#This Row],[Groen Aanval]]</f>
        <v>NicolasStef D</v>
      </c>
      <c r="U5" t="str">
        <f>Tabel158[[#This Row],[Winnaar 1]]&amp;Tabel158[[#This Row],[Winnaar 2]]</f>
        <v>MatthijsJonas</v>
      </c>
      <c r="V5" s="147" t="str">
        <f>IF(Tabel158[[#This Row],[Team Rood]]=Tabel158[[#This Row],[Winnaars]],Tabel158[[#This Row],[Team Rood]])</f>
        <v>MatthijsJonas</v>
      </c>
      <c r="W5" s="147" t="b">
        <f>IF(Tabel158[[#This Row],[Team Groen]]=Tabel158[[#This Row],[Winnaars]],Tabel158[[#This Row],[Team Groen]])</f>
        <v>0</v>
      </c>
      <c r="X5" s="147"/>
      <c r="Y5" s="91" t="s">
        <v>159</v>
      </c>
      <c r="Z5" s="180">
        <f t="shared" ca="1" si="5"/>
        <v>196</v>
      </c>
      <c r="AA5" s="180">
        <f t="shared" ca="1" si="6"/>
        <v>138</v>
      </c>
      <c r="AB5" s="179">
        <f t="shared" ca="1" si="7"/>
        <v>175</v>
      </c>
      <c r="AC5" s="179">
        <f t="shared" ca="1" si="8"/>
        <v>229</v>
      </c>
      <c r="AD5" s="308">
        <f t="shared" ca="1" si="10"/>
        <v>334</v>
      </c>
      <c r="AE5" s="308">
        <f t="shared" ca="1" si="11"/>
        <v>404</v>
      </c>
      <c r="AF5" s="293">
        <f t="shared" ca="1" si="12"/>
        <v>738</v>
      </c>
      <c r="AH5" s="251" t="s">
        <v>163</v>
      </c>
      <c r="AI5" s="233" t="s">
        <v>160</v>
      </c>
      <c r="AJ5" s="140" t="str">
        <f t="shared" si="9"/>
        <v>Bert*Tiemen*</v>
      </c>
      <c r="AK5" s="160">
        <f>IF(Tabel59[[#This Row],[Aantal Games Rood]]=0,0,(Tabel59[[#This Row],[Wins Rood]])/Tabel59[[#This Row],[Aantal Games Rood]])</f>
        <v>1</v>
      </c>
      <c r="AL5" s="159">
        <f>IF(Tabel59[[#This Row],[Aantal Games Groen]]=0,0,(Tabel59[[#This Row],[Wins Groen]])/Tabel59[[#This Row],[Aantal Games Groen]])</f>
        <v>0</v>
      </c>
      <c r="AM5" s="156">
        <f>IF(Tabel59[[#This Row],[Aantal games Alg]]=0,0,(Tabel59[[#This Row],[Wins Alg]])/Tabel59[[#This Row],[Aantal games Alg]])</f>
        <v>1</v>
      </c>
      <c r="AN5" s="133">
        <f>COUNTIF(Tabel158[Winaar rood],Tabel59[[#This Row],[Team]])</f>
        <v>1</v>
      </c>
      <c r="AO5" s="134">
        <f>COUNTIF(Tabel158[Winnaar Groen],Tabel59[[#This Row],[Team]])</f>
        <v>0</v>
      </c>
      <c r="AP5">
        <f>COUNTIF(Tabel158[Winnaars],Tabel59[[#This Row],[Team]])</f>
        <v>1</v>
      </c>
      <c r="AQ5" s="135">
        <f>Tabel59[[#This Row],[Aantal Games Rood]]-Tabel59[[#This Row],[Wins Rood]]</f>
        <v>0</v>
      </c>
      <c r="AR5" s="136">
        <f>Tabel59[[#This Row],[Aantal Games Groen]]-Tabel59[[#This Row],[Wins Groen]]</f>
        <v>0</v>
      </c>
      <c r="AS5" s="137">
        <f>Tabel59[[#This Row],[Aantal games Alg]]-Tabel59[[#This Row],[Wins Alg]]</f>
        <v>0</v>
      </c>
      <c r="AT5" s="138">
        <f>COUNTIF(Tabel158[Team Rood],Tabel59[[#This Row],[Team]])</f>
        <v>1</v>
      </c>
      <c r="AU5" s="136">
        <f>COUNTIF(Tabel158[Team Groen],Tabel59[[#This Row],[Team]])</f>
        <v>0</v>
      </c>
      <c r="AV5" s="112">
        <f>Tabel59[[#This Row],[Aantal Games Rood]]+Tabel59[[#This Row],[Aantal Games Groen]]</f>
        <v>1</v>
      </c>
      <c r="AW5" s="138">
        <f>SUMIF(Tabel158[Team Rood],Tabel59[[#This Row],[Team]],Tabel158[Score])</f>
        <v>3</v>
      </c>
      <c r="AX5" s="138">
        <f>SUMIF(Tabel158[Team Rood],Tabel59[[#This Row],[Team]],Tabel158[Score2])</f>
        <v>8</v>
      </c>
      <c r="AY5" s="134">
        <f>SUMIF(Tabel158[Team Groen],Tabel59[[#This Row],[Team]],Tabel158[Score3])</f>
        <v>0</v>
      </c>
      <c r="AZ5" s="136">
        <f>SUMIF(Tabel158[Team Groen],Tabel59[[#This Row],[Team]],Tabel158[Score4])</f>
        <v>0</v>
      </c>
      <c r="BA5">
        <f>SUM(Tabel59[[#This Row],[Goals Verdediger]]+Tabel59[[#This Row],[Goals DefG]])</f>
        <v>3</v>
      </c>
      <c r="BB5">
        <f>IF(Tabel59[[#This Row],[Aantal games Alg]]=0,0,Tabel59[[#This Row],[Goals DefA]]/Tabel59[[#This Row],[Aantal games Alg]])</f>
        <v>3</v>
      </c>
      <c r="BC5">
        <f>SUM(Tabel59[[#This Row],[Goals Aanvaller]]+Tabel59[[#This Row],[Goals OffG]])</f>
        <v>8</v>
      </c>
      <c r="BD5">
        <f>IF(Tabel59[[#This Row],[Aantal games Alg]]=0,0,Tabel59[[#This Row],[Goals OffA]]/Tabel59[[#This Row],[Aantal games Alg]])</f>
        <v>8</v>
      </c>
      <c r="BE5" s="112">
        <f>Tabel59[[#This Row],[Goals DefA]]+Tabel59[[#This Row],[Goals OffA]]</f>
        <v>11</v>
      </c>
      <c r="BF5" s="112">
        <f>IF(Tabel59[[#This Row],[Aantal games Alg]]=0,0,Tabel59[[#This Row],[Goals Alg]]/Tabel59[[#This Row],[Aantal games Alg]])</f>
        <v>11</v>
      </c>
      <c r="BG5" s="148">
        <f ca="1">SUMIF(Tabel158[Team Rood],Tabel59[[#This Row],[Team]],Tabel158[ET])</f>
        <v>0</v>
      </c>
      <c r="BH5" s="150">
        <f>SUMIF(Tabel158[Team Groen],Tabel59[[#This Row],[Team]],Tabel158[ET])</f>
        <v>0</v>
      </c>
      <c r="BI5" s="153">
        <f ca="1">SUM(Tabel59[[#This Row],[ET Groen tot]],Tabel59[[#This Row],[ET Rood tot]])</f>
        <v>0</v>
      </c>
      <c r="BJ5" s="155">
        <f ca="1">IF(Tabel59[[#This Row],[Aantal games Alg]]=0,0,Tabel59[[#This Row],[ET tot]]/Tabel59[[#This Row],[Aantal games Alg]])</f>
        <v>0</v>
      </c>
    </row>
    <row r="6" spans="1:62" x14ac:dyDescent="0.25">
      <c r="A6" s="124">
        <f ca="1">IF(Tabel158[[#This Row],[Rood Verdediging]]&lt;&gt;"",IF(A6="",NOW(),A6),"")</f>
        <v>43878.947694907409</v>
      </c>
      <c r="B6" s="128">
        <f ca="1">IF(Tabel158[[#This Row],[Rood Verdediging]]&lt;&gt;"",IF(B6="",NOW(),B6),"")</f>
        <v>43878.947694907409</v>
      </c>
      <c r="C6" s="126">
        <f ca="1">IF(Tabel158[[#This Row],[Score]]&lt;&gt;"",IF(C6="",NOW(),C6),"")</f>
        <v>43878.947694907409</v>
      </c>
      <c r="D6" s="127">
        <f ca="1">IF(OR(Tabel158[[#This Row],[Starttijd]]="",Tabel158[[#This Row],[Eindtijd]]=""),"",Tabel158[[#This Row],[Eindtijd]]-Tabel158[[#This Row],[Starttijd]])</f>
        <v>0</v>
      </c>
      <c r="E6" s="74">
        <v>5</v>
      </c>
      <c r="F6" s="205" t="s">
        <v>8</v>
      </c>
      <c r="G6" s="210">
        <v>5</v>
      </c>
      <c r="H6" s="205" t="s">
        <v>7</v>
      </c>
      <c r="I6" s="210">
        <v>6</v>
      </c>
      <c r="J6" s="206" t="s">
        <v>6</v>
      </c>
      <c r="K6" s="212">
        <v>5</v>
      </c>
      <c r="L6" s="206" t="s">
        <v>13</v>
      </c>
      <c r="M6" s="212">
        <v>3</v>
      </c>
      <c r="N6" s="81">
        <f t="shared" si="0"/>
        <v>11</v>
      </c>
      <c r="O6" s="82">
        <f t="shared" si="1"/>
        <v>8</v>
      </c>
      <c r="P6" s="70" t="str">
        <f t="shared" si="2"/>
        <v>ROOD</v>
      </c>
      <c r="Q6" s="86" t="str">
        <f t="shared" si="3"/>
        <v>Louis</v>
      </c>
      <c r="R6" s="87" t="str">
        <f t="shared" si="4"/>
        <v>Tiemen</v>
      </c>
      <c r="S6" t="str">
        <f>Tabel158[[#This Row],[Rood Verdediging]]&amp;Tabel158[[#This Row],[Rood Aanval]]</f>
        <v>LouisTiemen</v>
      </c>
      <c r="T6" t="str">
        <f>Tabel158[[#This Row],[Groen Verdediging]]&amp;Tabel158[[#This Row],[Groen Aanval]]</f>
        <v>Stef DBert</v>
      </c>
      <c r="U6" t="str">
        <f>Tabel158[[#This Row],[Winnaar 1]]&amp;Tabel158[[#This Row],[Winnaar 2]]</f>
        <v>LouisTiemen</v>
      </c>
      <c r="V6" s="147" t="str">
        <f>IF(Tabel158[[#This Row],[Team Rood]]=Tabel158[[#This Row],[Winnaars]],Tabel158[[#This Row],[Team Rood]])</f>
        <v>LouisTiemen</v>
      </c>
      <c r="W6" s="147" t="b">
        <f>IF(Tabel158[[#This Row],[Team Groen]]=Tabel158[[#This Row],[Winnaars]],Tabel158[[#This Row],[Team Groen]])</f>
        <v>0</v>
      </c>
      <c r="X6" s="147"/>
      <c r="Y6" s="91" t="s">
        <v>164</v>
      </c>
      <c r="Z6" s="180">
        <f t="shared" ca="1" si="5"/>
        <v>126</v>
      </c>
      <c r="AA6" s="180">
        <f t="shared" ca="1" si="6"/>
        <v>263</v>
      </c>
      <c r="AB6" s="179">
        <f t="shared" ca="1" si="7"/>
        <v>120</v>
      </c>
      <c r="AC6" s="179">
        <f t="shared" ca="1" si="8"/>
        <v>352</v>
      </c>
      <c r="AD6" s="308">
        <f t="shared" ca="1" si="10"/>
        <v>389</v>
      </c>
      <c r="AE6" s="308">
        <f t="shared" ca="1" si="11"/>
        <v>472</v>
      </c>
      <c r="AF6" s="293">
        <f t="shared" ca="1" si="12"/>
        <v>861</v>
      </c>
      <c r="AH6" s="251" t="s">
        <v>168</v>
      </c>
      <c r="AI6" s="233" t="s">
        <v>162</v>
      </c>
      <c r="AJ6" s="140" t="str">
        <f t="shared" si="9"/>
        <v>Coghe*Matthijs*</v>
      </c>
      <c r="AK6" s="160">
        <f>IF(Tabel59[[#This Row],[Aantal Games Rood]]=0,0,(Tabel59[[#This Row],[Wins Rood]])/Tabel59[[#This Row],[Aantal Games Rood]])</f>
        <v>1</v>
      </c>
      <c r="AL6" s="159">
        <f>IF(Tabel59[[#This Row],[Aantal Games Groen]]=0,0,(Tabel59[[#This Row],[Wins Groen]])/Tabel59[[#This Row],[Aantal Games Groen]])</f>
        <v>0</v>
      </c>
      <c r="AM6" s="156">
        <f>IF(Tabel59[[#This Row],[Aantal games Alg]]=0,0,(Tabel59[[#This Row],[Wins Alg]])/Tabel59[[#This Row],[Aantal games Alg]])</f>
        <v>1</v>
      </c>
      <c r="AN6" s="171">
        <f>COUNTIF(Tabel158[Winaar rood],Tabel59[[#This Row],[Team]])</f>
        <v>1</v>
      </c>
      <c r="AO6" s="169">
        <f>COUNTIF(Tabel158[Winnaar Groen],Tabel59[[#This Row],[Team]])</f>
        <v>0</v>
      </c>
      <c r="AP6" s="170">
        <f>COUNTIF(Tabel158[Winnaars],Tabel59[[#This Row],[Team]])</f>
        <v>1</v>
      </c>
      <c r="AQ6" s="163">
        <f>Tabel59[[#This Row],[Aantal Games Rood]]-Tabel59[[#This Row],[Wins Rood]]</f>
        <v>0</v>
      </c>
      <c r="AR6" s="169">
        <f>Tabel59[[#This Row],[Aantal Games Groen]]-Tabel59[[#This Row],[Wins Groen]]</f>
        <v>0</v>
      </c>
      <c r="AS6" s="165">
        <f>Tabel59[[#This Row],[Aantal games Alg]]-Tabel59[[#This Row],[Wins Alg]]</f>
        <v>0</v>
      </c>
      <c r="AT6" s="171">
        <f>COUNTIF(Tabel158[Team Rood],Tabel59[[#This Row],[Team]])</f>
        <v>1</v>
      </c>
      <c r="AU6" s="169">
        <f>COUNTIF(Tabel158[Team Groen],Tabel59[[#This Row],[Team]])</f>
        <v>0</v>
      </c>
      <c r="AV6" s="170">
        <f>Tabel59[[#This Row],[Aantal Games Rood]]+Tabel59[[#This Row],[Aantal Games Groen]]</f>
        <v>1</v>
      </c>
      <c r="AW6" s="171">
        <f>SUMIF(Tabel158[Team Rood],Tabel59[[#This Row],[Team]],Tabel158[Score])</f>
        <v>4</v>
      </c>
      <c r="AX6" s="171">
        <f>SUMIF(Tabel158[Team Rood],Tabel59[[#This Row],[Team]],Tabel158[Score2])</f>
        <v>7</v>
      </c>
      <c r="AY6" s="136">
        <f>SUMIF(Tabel158[Team Groen],Tabel59[[#This Row],[Team]],Tabel158[Score3])</f>
        <v>0</v>
      </c>
      <c r="AZ6" s="169">
        <f>SUMIF(Tabel158[Team Groen],Tabel59[[#This Row],[Team]],Tabel158[Score4])</f>
        <v>0</v>
      </c>
      <c r="BA6" s="172">
        <f>SUM(Tabel59[[#This Row],[Goals Verdediger]]+Tabel59[[#This Row],[Goals DefG]])</f>
        <v>4</v>
      </c>
      <c r="BB6" s="170">
        <f>IF(Tabel59[[#This Row],[Aantal games Alg]]=0,0,Tabel59[[#This Row],[Goals DefA]]/Tabel59[[#This Row],[Aantal games Alg]])</f>
        <v>4</v>
      </c>
      <c r="BC6" s="172">
        <f>SUM(Tabel59[[#This Row],[Goals Aanvaller]]+Tabel59[[#This Row],[Goals OffG]])</f>
        <v>7</v>
      </c>
      <c r="BD6" s="170">
        <f>IF(Tabel59[[#This Row],[Aantal games Alg]]=0,0,Tabel59[[#This Row],[Goals OffA]]/Tabel59[[#This Row],[Aantal games Alg]])</f>
        <v>7</v>
      </c>
      <c r="BE6" s="170">
        <f>Tabel59[[#This Row],[Goals DefA]]+Tabel59[[#This Row],[Goals OffA]]</f>
        <v>11</v>
      </c>
      <c r="BF6" s="170">
        <f>IF(Tabel59[[#This Row],[Aantal games Alg]]=0,0,Tabel59[[#This Row],[Goals Alg]]/Tabel59[[#This Row],[Aantal games Alg]])</f>
        <v>11</v>
      </c>
      <c r="BG6" s="148">
        <f ca="1">SUMIF(Tabel158[Team Rood],Tabel59[[#This Row],[Team]],Tabel158[ET])</f>
        <v>0</v>
      </c>
      <c r="BH6" s="150">
        <f>SUMIF(Tabel158[Team Groen],Tabel59[[#This Row],[Team]],Tabel158[ET])</f>
        <v>0</v>
      </c>
      <c r="BI6" s="153">
        <f ca="1">SUM(Tabel59[[#This Row],[ET Groen tot]],Tabel59[[#This Row],[ET Rood tot]])</f>
        <v>0</v>
      </c>
      <c r="BJ6" s="155">
        <f ca="1">IF(Tabel59[[#This Row],[Aantal games Alg]]=0,0,Tabel59[[#This Row],[ET tot]]/Tabel59[[#This Row],[Aantal games Alg]])</f>
        <v>0</v>
      </c>
    </row>
    <row r="7" spans="1:62" x14ac:dyDescent="0.25">
      <c r="A7" s="124">
        <f ca="1">IF(Tabel158[[#This Row],[Rood Verdediging]]&lt;&gt;"",IF(A7="",NOW(),A7),"")</f>
        <v>43878.947694907409</v>
      </c>
      <c r="B7" s="128">
        <f ca="1">IF(Tabel158[[#This Row],[Rood Verdediging]]&lt;&gt;"",IF(B7="",NOW(),B7),"")</f>
        <v>43878.947694907409</v>
      </c>
      <c r="C7" s="126">
        <f ca="1">IF(Tabel158[[#This Row],[Score]]&lt;&gt;"",IF(C7="",NOW(),C7),"")</f>
        <v>43878.947694907409</v>
      </c>
      <c r="D7" s="127">
        <f ca="1">IF(OR(Tabel158[[#This Row],[Starttijd]]="",Tabel158[[#This Row],[Eindtijd]]=""),"",Tabel158[[#This Row],[Eindtijd]]-Tabel158[[#This Row],[Starttijd]])</f>
        <v>0</v>
      </c>
      <c r="E7" s="74">
        <v>6</v>
      </c>
      <c r="F7" s="205" t="s">
        <v>11</v>
      </c>
      <c r="G7" s="210">
        <v>4</v>
      </c>
      <c r="H7" s="205" t="s">
        <v>6</v>
      </c>
      <c r="I7" s="210">
        <v>7</v>
      </c>
      <c r="J7" s="206" t="s">
        <v>0</v>
      </c>
      <c r="K7" s="212">
        <v>2</v>
      </c>
      <c r="L7" s="206" t="s">
        <v>7</v>
      </c>
      <c r="M7" s="212">
        <v>4</v>
      </c>
      <c r="N7" s="81">
        <f t="shared" si="0"/>
        <v>11</v>
      </c>
      <c r="O7" s="82">
        <f t="shared" si="1"/>
        <v>6</v>
      </c>
      <c r="P7" s="70" t="str">
        <f t="shared" si="2"/>
        <v>ROOD</v>
      </c>
      <c r="Q7" s="86" t="str">
        <f t="shared" si="3"/>
        <v>Matthijs</v>
      </c>
      <c r="R7" s="87" t="str">
        <f t="shared" si="4"/>
        <v>Stef D</v>
      </c>
      <c r="S7" t="str">
        <f>Tabel158[[#This Row],[Rood Verdediging]]&amp;Tabel158[[#This Row],[Rood Aanval]]</f>
        <v>MatthijsStef D</v>
      </c>
      <c r="T7" t="str">
        <f>Tabel158[[#This Row],[Groen Verdediging]]&amp;Tabel158[[#This Row],[Groen Aanval]]</f>
        <v>JonasTiemen</v>
      </c>
      <c r="U7" t="str">
        <f>Tabel158[[#This Row],[Winnaar 1]]&amp;Tabel158[[#This Row],[Winnaar 2]]</f>
        <v>MatthijsStef D</v>
      </c>
      <c r="V7" s="147" t="str">
        <f>IF(Tabel158[[#This Row],[Team Rood]]=Tabel158[[#This Row],[Winnaars]],Tabel158[[#This Row],[Team Rood]])</f>
        <v>MatthijsStef D</v>
      </c>
      <c r="W7" s="147" t="b">
        <f>IF(Tabel158[[#This Row],[Team Groen]]=Tabel158[[#This Row],[Winnaars]],Tabel158[[#This Row],[Team Groen]])</f>
        <v>0</v>
      </c>
      <c r="X7" s="147"/>
      <c r="Y7" s="91" t="s">
        <v>160</v>
      </c>
      <c r="Z7" s="180">
        <f t="shared" ca="1" si="5"/>
        <v>87</v>
      </c>
      <c r="AA7" s="180">
        <f t="shared" ca="1" si="6"/>
        <v>210</v>
      </c>
      <c r="AB7" s="179">
        <f t="shared" ca="1" si="7"/>
        <v>95</v>
      </c>
      <c r="AC7" s="179">
        <f t="shared" ca="1" si="8"/>
        <v>215</v>
      </c>
      <c r="AD7" s="308">
        <f t="shared" ca="1" si="10"/>
        <v>297</v>
      </c>
      <c r="AE7" s="308">
        <f t="shared" ca="1" si="11"/>
        <v>310</v>
      </c>
      <c r="AF7" s="293">
        <f t="shared" ca="1" si="12"/>
        <v>607</v>
      </c>
      <c r="AH7" s="251" t="s">
        <v>168</v>
      </c>
      <c r="AI7" s="233" t="s">
        <v>160</v>
      </c>
      <c r="AJ7" s="140" t="str">
        <f t="shared" si="9"/>
        <v>Coghe*Tiemen*</v>
      </c>
      <c r="AK7" s="160">
        <f>IF(Tabel59[[#This Row],[Aantal Games Rood]]=0,0,(Tabel59[[#This Row],[Wins Rood]])/Tabel59[[#This Row],[Aantal Games Rood]])</f>
        <v>0</v>
      </c>
      <c r="AL7" s="162">
        <f>IF(Tabel59[[#This Row],[Aantal Games Groen]]=0,0,(Tabel59[[#This Row],[Wins Groen]])/Tabel59[[#This Row],[Aantal Games Groen]])</f>
        <v>1</v>
      </c>
      <c r="AM7" s="156">
        <f>IF(Tabel59[[#This Row],[Aantal games Alg]]=0,0,(Tabel59[[#This Row],[Wins Alg]])/Tabel59[[#This Row],[Aantal games Alg]])</f>
        <v>1</v>
      </c>
      <c r="AN7" s="171">
        <f>COUNTIF(Tabel158[Winaar rood],Tabel59[[#This Row],[Team]])</f>
        <v>0</v>
      </c>
      <c r="AO7" s="164">
        <f>COUNTIF(Tabel158[Winnaar Groen],Tabel59[[#This Row],[Team]])</f>
        <v>1</v>
      </c>
      <c r="AP7" s="147">
        <f>COUNTIF(Tabel158[Winnaars],Tabel59[[#This Row],[Team]])</f>
        <v>1</v>
      </c>
      <c r="AQ7" s="163">
        <f>Tabel59[[#This Row],[Aantal Games Rood]]-Tabel59[[#This Row],[Wins Rood]]</f>
        <v>0</v>
      </c>
      <c r="AR7" s="164">
        <f>Tabel59[[#This Row],[Aantal Games Groen]]-Tabel59[[#This Row],[Wins Groen]]</f>
        <v>0</v>
      </c>
      <c r="AS7" s="165">
        <f>Tabel59[[#This Row],[Aantal games Alg]]-Tabel59[[#This Row],[Wins Alg]]</f>
        <v>0</v>
      </c>
      <c r="AT7" s="166">
        <f>COUNTIF(Tabel158[Team Rood],Tabel59[[#This Row],[Team]])</f>
        <v>0</v>
      </c>
      <c r="AU7" s="164">
        <f>COUNTIF(Tabel158[Team Groen],Tabel59[[#This Row],[Team]])</f>
        <v>1</v>
      </c>
      <c r="AV7" s="170">
        <f>Tabel59[[#This Row],[Aantal Games Rood]]+Tabel59[[#This Row],[Aantal Games Groen]]</f>
        <v>1</v>
      </c>
      <c r="AW7" s="166">
        <f>SUMIF(Tabel158[Team Rood],Tabel59[[#This Row],[Team]],Tabel158[Score])</f>
        <v>0</v>
      </c>
      <c r="AX7" s="166">
        <f>SUMIF(Tabel158[Team Rood],Tabel59[[#This Row],[Team]],Tabel158[Score2])</f>
        <v>0</v>
      </c>
      <c r="AY7" s="134">
        <f>SUMIF(Tabel158[Team Groen],Tabel59[[#This Row],[Team]],Tabel158[Score3])</f>
        <v>3</v>
      </c>
      <c r="AZ7" s="164">
        <f>SUMIF(Tabel158[Team Groen],Tabel59[[#This Row],[Team]],Tabel158[Score4])</f>
        <v>9</v>
      </c>
      <c r="BA7" s="167">
        <f>SUM(Tabel59[[#This Row],[Goals Verdediger]]+Tabel59[[#This Row],[Goals DefG]])</f>
        <v>3</v>
      </c>
      <c r="BB7" s="147">
        <f>IF(Tabel59[[#This Row],[Aantal games Alg]]=0,0,Tabel59[[#This Row],[Goals DefA]]/Tabel59[[#This Row],[Aantal games Alg]])</f>
        <v>3</v>
      </c>
      <c r="BC7" s="167">
        <f>SUM(Tabel59[[#This Row],[Goals Aanvaller]]+Tabel59[[#This Row],[Goals OffG]])</f>
        <v>9</v>
      </c>
      <c r="BD7" s="147">
        <f>IF(Tabel59[[#This Row],[Aantal games Alg]]=0,0,Tabel59[[#This Row],[Goals OffA]]/Tabel59[[#This Row],[Aantal games Alg]])</f>
        <v>9</v>
      </c>
      <c r="BE7" s="147">
        <f>Tabel59[[#This Row],[Goals DefA]]+Tabel59[[#This Row],[Goals OffA]]</f>
        <v>12</v>
      </c>
      <c r="BF7" s="147">
        <f>IF(Tabel59[[#This Row],[Aantal games Alg]]=0,0,Tabel59[[#This Row],[Goals Alg]]/Tabel59[[#This Row],[Aantal games Alg]])</f>
        <v>12</v>
      </c>
      <c r="BG7" s="148">
        <f>SUMIF(Tabel158[Team Rood],Tabel59[[#This Row],[Team]],Tabel158[ET])</f>
        <v>0</v>
      </c>
      <c r="BH7" s="168">
        <f ca="1">SUMIF(Tabel158[Team Groen],Tabel59[[#This Row],[Team]],Tabel158[ET])</f>
        <v>0</v>
      </c>
      <c r="BI7" s="221">
        <f ca="1">SUM(Tabel59[[#This Row],[ET Groen tot]],Tabel59[[#This Row],[ET Rood tot]])</f>
        <v>0</v>
      </c>
      <c r="BJ7" s="155">
        <f ca="1">IF(Tabel59[[#This Row],[Aantal games Alg]]=0,0,Tabel59[[#This Row],[ET tot]]/Tabel59[[#This Row],[Aantal games Alg]])</f>
        <v>0</v>
      </c>
    </row>
    <row r="8" spans="1:62" x14ac:dyDescent="0.25">
      <c r="A8" s="124">
        <f ca="1">IF(Tabel158[[#This Row],[Rood Verdediging]]&lt;&gt;"",IF(A8="",NOW(),A8),"")</f>
        <v>43878.947694907409</v>
      </c>
      <c r="B8" s="128">
        <f ca="1">IF(Tabel158[[#This Row],[Rood Verdediging]]&lt;&gt;"",IF(B8="",NOW(),B8),"")</f>
        <v>43878.947694907409</v>
      </c>
      <c r="C8" s="126">
        <f ca="1">IF(Tabel158[[#This Row],[Score]]&lt;&gt;"",IF(C8="",NOW(),C8),"")</f>
        <v>43878.947694907409</v>
      </c>
      <c r="D8" s="127">
        <f ca="1">IF(OR(Tabel158[[#This Row],[Starttijd]]="",Tabel158[[#This Row],[Eindtijd]]=""),"",Tabel158[[#This Row],[Eindtijd]]-Tabel158[[#This Row],[Starttijd]])</f>
        <v>0</v>
      </c>
      <c r="E8" s="74">
        <v>7</v>
      </c>
      <c r="F8" s="205" t="s">
        <v>8</v>
      </c>
      <c r="G8" s="210">
        <v>1</v>
      </c>
      <c r="H8" s="205" t="s">
        <v>13</v>
      </c>
      <c r="I8" s="210">
        <v>7</v>
      </c>
      <c r="J8" s="206" t="s">
        <v>3</v>
      </c>
      <c r="K8" s="212">
        <v>1</v>
      </c>
      <c r="L8" s="206" t="s">
        <v>6</v>
      </c>
      <c r="M8" s="212">
        <v>10</v>
      </c>
      <c r="N8" s="81">
        <f t="shared" si="0"/>
        <v>8</v>
      </c>
      <c r="O8" s="82">
        <f t="shared" si="1"/>
        <v>11</v>
      </c>
      <c r="P8" s="70" t="str">
        <f t="shared" si="2"/>
        <v>GROEN</v>
      </c>
      <c r="Q8" s="86" t="str">
        <f t="shared" si="3"/>
        <v>Karel</v>
      </c>
      <c r="R8" s="87" t="str">
        <f t="shared" si="4"/>
        <v>Stef D</v>
      </c>
      <c r="S8" t="str">
        <f>Tabel158[[#This Row],[Rood Verdediging]]&amp;Tabel158[[#This Row],[Rood Aanval]]</f>
        <v>LouisBert</v>
      </c>
      <c r="T8" t="str">
        <f>Tabel158[[#This Row],[Groen Verdediging]]&amp;Tabel158[[#This Row],[Groen Aanval]]</f>
        <v>KarelStef D</v>
      </c>
      <c r="U8" t="str">
        <f>Tabel158[[#This Row],[Winnaar 1]]&amp;Tabel158[[#This Row],[Winnaar 2]]</f>
        <v>KarelStef D</v>
      </c>
      <c r="V8" s="147" t="b">
        <f>IF(Tabel158[[#This Row],[Team Rood]]=Tabel158[[#This Row],[Winnaars]],Tabel158[[#This Row],[Team Rood]])</f>
        <v>0</v>
      </c>
      <c r="W8" s="147" t="str">
        <f>IF(Tabel158[[#This Row],[Team Groen]]=Tabel158[[#This Row],[Winnaars]],Tabel158[[#This Row],[Team Groen]])</f>
        <v>KarelStef D</v>
      </c>
      <c r="X8" s="147"/>
      <c r="Y8" s="91" t="s">
        <v>161</v>
      </c>
      <c r="Z8" s="180">
        <f t="shared" ca="1" si="5"/>
        <v>127</v>
      </c>
      <c r="AA8" s="180">
        <f t="shared" ca="1" si="6"/>
        <v>63</v>
      </c>
      <c r="AB8" s="179">
        <f t="shared" ca="1" si="7"/>
        <v>148</v>
      </c>
      <c r="AC8" s="179">
        <f t="shared" ca="1" si="8"/>
        <v>109</v>
      </c>
      <c r="AD8" s="308">
        <f t="shared" ca="1" si="10"/>
        <v>190</v>
      </c>
      <c r="AE8" s="308">
        <f t="shared" ca="1" si="11"/>
        <v>257</v>
      </c>
      <c r="AF8" s="293">
        <f t="shared" ca="1" si="12"/>
        <v>447</v>
      </c>
      <c r="AH8" s="251" t="s">
        <v>161</v>
      </c>
      <c r="AI8" s="233" t="s">
        <v>158</v>
      </c>
      <c r="AJ8" s="140" t="str">
        <f t="shared" si="9"/>
        <v>Louis*Arno*</v>
      </c>
      <c r="AK8" s="160">
        <f>IF(Tabel59[[#This Row],[Aantal Games Rood]]=0,0,(Tabel59[[#This Row],[Wins Rood]])/Tabel59[[#This Row],[Aantal Games Rood]])</f>
        <v>1</v>
      </c>
      <c r="AL8" s="159">
        <f>IF(Tabel59[[#This Row],[Aantal Games Groen]]=0,0,(Tabel59[[#This Row],[Wins Groen]])/Tabel59[[#This Row],[Aantal Games Groen]])</f>
        <v>1</v>
      </c>
      <c r="AM8" s="156">
        <f>IF(Tabel59[[#This Row],[Aantal games Alg]]=0,0,(Tabel59[[#This Row],[Wins Alg]])/Tabel59[[#This Row],[Aantal games Alg]])</f>
        <v>1</v>
      </c>
      <c r="AN8" s="138">
        <f>COUNTIF(Tabel158[Winaar rood],Tabel59[[#This Row],[Team]])</f>
        <v>1</v>
      </c>
      <c r="AO8" s="134">
        <f>COUNTIF(Tabel158[Winnaar Groen],Tabel59[[#This Row],[Team]])</f>
        <v>1</v>
      </c>
      <c r="AP8">
        <f>COUNTIF(Tabel158[Winnaars],Tabel59[[#This Row],[Team]])</f>
        <v>2</v>
      </c>
      <c r="AQ8" s="135">
        <f>Tabel59[[#This Row],[Aantal Games Rood]]-Tabel59[[#This Row],[Wins Rood]]</f>
        <v>0</v>
      </c>
      <c r="AR8" s="136">
        <f>Tabel59[[#This Row],[Aantal Games Groen]]-Tabel59[[#This Row],[Wins Groen]]</f>
        <v>0</v>
      </c>
      <c r="AS8" s="137">
        <f>Tabel59[[#This Row],[Aantal games Alg]]-Tabel59[[#This Row],[Wins Alg]]</f>
        <v>0</v>
      </c>
      <c r="AT8" s="138">
        <f>COUNTIF(Tabel158[Team Rood],Tabel59[[#This Row],[Team]])</f>
        <v>1</v>
      </c>
      <c r="AU8" s="136">
        <f>COUNTIF(Tabel158[Team Groen],Tabel59[[#This Row],[Team]])</f>
        <v>1</v>
      </c>
      <c r="AV8" s="214">
        <f>Tabel59[[#This Row],[Aantal Games Rood]]+Tabel59[[#This Row],[Aantal Games Groen]]</f>
        <v>2</v>
      </c>
      <c r="AW8" s="138">
        <f>SUMIF(Tabel158[Team Rood],Tabel59[[#This Row],[Team]],Tabel158[Score])</f>
        <v>2</v>
      </c>
      <c r="AX8" s="138">
        <f>SUMIF(Tabel158[Team Rood],Tabel59[[#This Row],[Team]],Tabel158[Score2])</f>
        <v>9</v>
      </c>
      <c r="AY8" s="134">
        <f>SUMIF(Tabel158[Team Groen],Tabel59[[#This Row],[Team]],Tabel158[Score3])</f>
        <v>3</v>
      </c>
      <c r="AZ8" s="136">
        <f>SUMIF(Tabel158[Team Groen],Tabel59[[#This Row],[Team]],Tabel158[Score4])</f>
        <v>8</v>
      </c>
      <c r="BA8">
        <f>SUM(Tabel59[[#This Row],[Goals Verdediger]]+Tabel59[[#This Row],[Goals DefG]])</f>
        <v>5</v>
      </c>
      <c r="BB8">
        <f>IF(Tabel59[[#This Row],[Aantal games Alg]]=0,0,Tabel59[[#This Row],[Goals DefA]]/Tabel59[[#This Row],[Aantal games Alg]])</f>
        <v>2.5</v>
      </c>
      <c r="BC8">
        <f>SUM(Tabel59[[#This Row],[Goals Aanvaller]]+Tabel59[[#This Row],[Goals OffG]])</f>
        <v>17</v>
      </c>
      <c r="BD8">
        <f>IF(Tabel59[[#This Row],[Aantal games Alg]]=0,0,Tabel59[[#This Row],[Goals OffA]]/Tabel59[[#This Row],[Aantal games Alg]])</f>
        <v>8.5</v>
      </c>
      <c r="BE8" s="112">
        <f>Tabel59[[#This Row],[Goals DefA]]+Tabel59[[#This Row],[Goals OffA]]</f>
        <v>22</v>
      </c>
      <c r="BF8" s="112">
        <f>IF(Tabel59[[#This Row],[Aantal games Alg]]=0,0,Tabel59[[#This Row],[Goals Alg]]/Tabel59[[#This Row],[Aantal games Alg]])</f>
        <v>11</v>
      </c>
      <c r="BG8" s="148">
        <f ca="1">SUMIF(Tabel158[Team Rood],Tabel59[[#This Row],[Team]],Tabel158[ET])</f>
        <v>0</v>
      </c>
      <c r="BH8" s="150">
        <f ca="1">SUMIF(Tabel158[Team Groen],Tabel59[[#This Row],[Team]],Tabel158[ET])</f>
        <v>0</v>
      </c>
      <c r="BI8" s="153">
        <f ca="1">SUM(Tabel59[[#This Row],[ET Groen tot]],Tabel59[[#This Row],[ET Rood tot]])</f>
        <v>0</v>
      </c>
      <c r="BJ8" s="155">
        <f ca="1">IF(Tabel59[[#This Row],[Aantal games Alg]]=0,0,Tabel59[[#This Row],[ET tot]]/Tabel59[[#This Row],[Aantal games Alg]])</f>
        <v>0</v>
      </c>
    </row>
    <row r="9" spans="1:62" x14ac:dyDescent="0.25">
      <c r="A9" s="124">
        <f ca="1">IF(Tabel158[[#This Row],[Rood Verdediging]]&lt;&gt;"",IF(A9="",NOW(),A9),"")</f>
        <v>43878.947694907409</v>
      </c>
      <c r="B9" s="128">
        <f ca="1">IF(Tabel158[[#This Row],[Rood Verdediging]]&lt;&gt;"",IF(B9="",NOW(),B9),"")</f>
        <v>43878.947694907409</v>
      </c>
      <c r="C9" s="126">
        <f ca="1">IF(Tabel158[[#This Row],[Score]]&lt;&gt;"",IF(C9="",NOW(),C9),"")</f>
        <v>43878.947694907409</v>
      </c>
      <c r="D9" s="127">
        <f ca="1">IF(OR(Tabel158[[#This Row],[Starttijd]]="",Tabel158[[#This Row],[Eindtijd]]=""),"",Tabel158[[#This Row],[Eindtijd]]-Tabel158[[#This Row],[Starttijd]])</f>
        <v>0</v>
      </c>
      <c r="E9" s="74">
        <v>8</v>
      </c>
      <c r="F9" s="205" t="s">
        <v>7</v>
      </c>
      <c r="G9" s="210">
        <v>6</v>
      </c>
      <c r="H9" s="205" t="s">
        <v>0</v>
      </c>
      <c r="I9" s="210">
        <v>5</v>
      </c>
      <c r="J9" s="206" t="s">
        <v>11</v>
      </c>
      <c r="K9" s="212">
        <v>0</v>
      </c>
      <c r="L9" s="206" t="s">
        <v>19</v>
      </c>
      <c r="M9" s="212">
        <v>0</v>
      </c>
      <c r="N9" s="81">
        <f t="shared" si="0"/>
        <v>11</v>
      </c>
      <c r="O9" s="82">
        <f t="shared" si="1"/>
        <v>0</v>
      </c>
      <c r="P9" s="70" t="str">
        <f t="shared" si="2"/>
        <v>ROOD</v>
      </c>
      <c r="Q9" s="86" t="str">
        <f t="shared" si="3"/>
        <v>Tiemen</v>
      </c>
      <c r="R9" s="87" t="str">
        <f t="shared" si="4"/>
        <v>Jonas</v>
      </c>
      <c r="S9" t="str">
        <f>Tabel158[[#This Row],[Rood Verdediging]]&amp;Tabel158[[#This Row],[Rood Aanval]]</f>
        <v>TiemenJonas</v>
      </c>
      <c r="T9" t="str">
        <f>Tabel158[[#This Row],[Groen Verdediging]]&amp;Tabel158[[#This Row],[Groen Aanval]]</f>
        <v>MatthijsNicolas</v>
      </c>
      <c r="U9" t="str">
        <f>Tabel158[[#This Row],[Winnaar 1]]&amp;Tabel158[[#This Row],[Winnaar 2]]</f>
        <v>TiemenJonas</v>
      </c>
      <c r="V9" s="147" t="str">
        <f>IF(Tabel158[[#This Row],[Team Rood]]=Tabel158[[#This Row],[Winnaars]],Tabel158[[#This Row],[Team Rood]])</f>
        <v>TiemenJonas</v>
      </c>
      <c r="W9" s="147" t="b">
        <f>IF(Tabel158[[#This Row],[Team Groen]]=Tabel158[[#This Row],[Winnaars]],Tabel158[[#This Row],[Team Groen]])</f>
        <v>0</v>
      </c>
      <c r="X9" s="147"/>
      <c r="Y9" s="91" t="s">
        <v>163</v>
      </c>
      <c r="Z9" s="180">
        <f t="shared" ca="1" si="5"/>
        <v>14</v>
      </c>
      <c r="AA9" s="180">
        <f t="shared" ca="1" si="6"/>
        <v>129</v>
      </c>
      <c r="AB9" s="179">
        <f t="shared" ca="1" si="7"/>
        <v>12</v>
      </c>
      <c r="AC9" s="179">
        <f t="shared" ca="1" si="8"/>
        <v>165</v>
      </c>
      <c r="AD9" s="308">
        <f t="shared" ca="1" si="10"/>
        <v>143</v>
      </c>
      <c r="AE9" s="308">
        <f t="shared" ca="1" si="11"/>
        <v>177</v>
      </c>
      <c r="AF9" s="293">
        <f t="shared" ca="1" si="12"/>
        <v>320</v>
      </c>
      <c r="AH9" s="251" t="s">
        <v>161</v>
      </c>
      <c r="AI9" s="233" t="s">
        <v>67</v>
      </c>
      <c r="AJ9" s="140" t="str">
        <f t="shared" si="9"/>
        <v>Louis*Lawrence</v>
      </c>
      <c r="AK9" s="160">
        <f>IF(Tabel59[[#This Row],[Aantal Games Rood]]=0,0,(Tabel59[[#This Row],[Wins Rood]])/Tabel59[[#This Row],[Aantal Games Rood]])</f>
        <v>0</v>
      </c>
      <c r="AL9" s="159">
        <f>IF(Tabel59[[#This Row],[Aantal Games Groen]]=0,0,(Tabel59[[#This Row],[Wins Groen]])/Tabel59[[#This Row],[Aantal Games Groen]])</f>
        <v>1</v>
      </c>
      <c r="AM9" s="156">
        <f>IF(Tabel59[[#This Row],[Aantal games Alg]]=0,0,(Tabel59[[#This Row],[Wins Alg]])/Tabel59[[#This Row],[Aantal games Alg]])</f>
        <v>1</v>
      </c>
      <c r="AN9" s="138">
        <f>COUNTIF(Tabel158[Winaar rood],Tabel59[[#This Row],[Team]])</f>
        <v>0</v>
      </c>
      <c r="AO9" s="134">
        <f>COUNTIF(Tabel158[Winnaar Groen],Tabel59[[#This Row],[Team]])</f>
        <v>1</v>
      </c>
      <c r="AP9">
        <f>COUNTIF(Tabel158[Winnaars],Tabel59[[#This Row],[Team]])</f>
        <v>1</v>
      </c>
      <c r="AQ9" s="135">
        <f>Tabel59[[#This Row],[Aantal Games Rood]]-Tabel59[[#This Row],[Wins Rood]]</f>
        <v>0</v>
      </c>
      <c r="AR9" s="136">
        <f>Tabel59[[#This Row],[Aantal Games Groen]]-Tabel59[[#This Row],[Wins Groen]]</f>
        <v>0</v>
      </c>
      <c r="AS9" s="137">
        <f>Tabel59[[#This Row],[Aantal games Alg]]-Tabel59[[#This Row],[Wins Alg]]</f>
        <v>0</v>
      </c>
      <c r="AT9" s="138">
        <f>COUNTIF(Tabel158[Team Rood],Tabel59[[#This Row],[Team]])</f>
        <v>0</v>
      </c>
      <c r="AU9" s="136">
        <f>COUNTIF(Tabel158[Team Groen],Tabel59[[#This Row],[Team]])</f>
        <v>1</v>
      </c>
      <c r="AV9" s="214">
        <f>Tabel59[[#This Row],[Aantal Games Rood]]+Tabel59[[#This Row],[Aantal Games Groen]]</f>
        <v>1</v>
      </c>
      <c r="AW9" s="138">
        <f>SUMIF(Tabel158[Team Rood],Tabel59[[#This Row],[Team]],Tabel158[Score])</f>
        <v>0</v>
      </c>
      <c r="AX9" s="138">
        <f>SUMIF(Tabel158[Team Rood],Tabel59[[#This Row],[Team]],Tabel158[Score2])</f>
        <v>0</v>
      </c>
      <c r="AY9" s="134">
        <f>SUMIF(Tabel158[Team Groen],Tabel59[[#This Row],[Team]],Tabel158[Score3])</f>
        <v>3</v>
      </c>
      <c r="AZ9" s="136">
        <f>SUMIF(Tabel158[Team Groen],Tabel59[[#This Row],[Team]],Tabel158[Score4])</f>
        <v>8</v>
      </c>
      <c r="BA9">
        <f>SUM(Tabel59[[#This Row],[Goals Verdediger]]+Tabel59[[#This Row],[Goals DefG]])</f>
        <v>3</v>
      </c>
      <c r="BB9">
        <f>IF(Tabel59[[#This Row],[Aantal games Alg]]=0,0,Tabel59[[#This Row],[Goals DefA]]/Tabel59[[#This Row],[Aantal games Alg]])</f>
        <v>3</v>
      </c>
      <c r="BC9">
        <f>SUM(Tabel59[[#This Row],[Goals Aanvaller]]+Tabel59[[#This Row],[Goals OffG]])</f>
        <v>8</v>
      </c>
      <c r="BD9">
        <f>IF(Tabel59[[#This Row],[Aantal games Alg]]=0,0,Tabel59[[#This Row],[Goals OffA]]/Tabel59[[#This Row],[Aantal games Alg]])</f>
        <v>8</v>
      </c>
      <c r="BE9" s="112">
        <f>Tabel59[[#This Row],[Goals DefA]]+Tabel59[[#This Row],[Goals OffA]]</f>
        <v>11</v>
      </c>
      <c r="BF9" s="112">
        <f>IF(Tabel59[[#This Row],[Aantal games Alg]]=0,0,Tabel59[[#This Row],[Goals Alg]]/Tabel59[[#This Row],[Aantal games Alg]])</f>
        <v>11</v>
      </c>
      <c r="BG9" s="148">
        <f>SUMIF(Tabel158[Team Rood],Tabel59[[#This Row],[Team]],Tabel158[ET])</f>
        <v>0</v>
      </c>
      <c r="BH9" s="150">
        <f ca="1">SUMIF(Tabel158[Team Groen],Tabel59[[#This Row],[Team]],Tabel158[ET])</f>
        <v>0</v>
      </c>
      <c r="BI9" s="153">
        <f ca="1">SUM(Tabel59[[#This Row],[ET Groen tot]],Tabel59[[#This Row],[ET Rood tot]])</f>
        <v>0</v>
      </c>
      <c r="BJ9" s="155">
        <f ca="1">IF(Tabel59[[#This Row],[Aantal games Alg]]=0,0,Tabel59[[#This Row],[ET tot]]/Tabel59[[#This Row],[Aantal games Alg]])</f>
        <v>0</v>
      </c>
    </row>
    <row r="10" spans="1:62" x14ac:dyDescent="0.25">
      <c r="A10" s="124">
        <f ca="1">IF(Tabel158[[#This Row],[Rood Verdediging]]&lt;&gt;"",IF(A10="",NOW(),A10),"")</f>
        <v>43878.947694907409</v>
      </c>
      <c r="B10" s="128">
        <f ca="1">IF(Tabel158[[#This Row],[Rood Verdediging]]&lt;&gt;"",IF(B10="",NOW(),B10),"")</f>
        <v>43878.947694907409</v>
      </c>
      <c r="C10" s="126">
        <f ca="1">IF(Tabel158[[#This Row],[Score]]&lt;&gt;"",IF(C10="",NOW(),C10),"")</f>
        <v>43878.947694907409</v>
      </c>
      <c r="D10" s="127">
        <f ca="1">IF(OR(Tabel158[[#This Row],[Starttijd]]="",Tabel158[[#This Row],[Eindtijd]]=""),"",Tabel158[[#This Row],[Eindtijd]]-Tabel158[[#This Row],[Starttijd]])</f>
        <v>0</v>
      </c>
      <c r="E10" s="74">
        <v>9</v>
      </c>
      <c r="F10" s="205" t="s">
        <v>0</v>
      </c>
      <c r="G10" s="210">
        <v>2</v>
      </c>
      <c r="H10" s="205" t="s">
        <v>3</v>
      </c>
      <c r="I10" s="210">
        <v>6</v>
      </c>
      <c r="J10" s="206" t="s">
        <v>8</v>
      </c>
      <c r="K10" s="212">
        <v>3</v>
      </c>
      <c r="L10" s="206" t="s">
        <v>6</v>
      </c>
      <c r="M10" s="212">
        <v>8</v>
      </c>
      <c r="N10" s="81">
        <f t="shared" si="0"/>
        <v>8</v>
      </c>
      <c r="O10" s="82">
        <f t="shared" si="1"/>
        <v>11</v>
      </c>
      <c r="P10" s="70" t="str">
        <f t="shared" si="2"/>
        <v>GROEN</v>
      </c>
      <c r="Q10" s="86" t="str">
        <f t="shared" si="3"/>
        <v>Louis</v>
      </c>
      <c r="R10" s="87" t="str">
        <f t="shared" si="4"/>
        <v>Stef D</v>
      </c>
      <c r="S10" t="str">
        <f>Tabel158[[#This Row],[Rood Verdediging]]&amp;Tabel158[[#This Row],[Rood Aanval]]</f>
        <v>JonasKarel</v>
      </c>
      <c r="T10" t="str">
        <f>Tabel158[[#This Row],[Groen Verdediging]]&amp;Tabel158[[#This Row],[Groen Aanval]]</f>
        <v>LouisStef D</v>
      </c>
      <c r="U10" t="str">
        <f>Tabel158[[#This Row],[Winnaar 1]]&amp;Tabel158[[#This Row],[Winnaar 2]]</f>
        <v>LouisStef D</v>
      </c>
      <c r="V10" s="147" t="b">
        <f>IF(Tabel158[[#This Row],[Team Rood]]=Tabel158[[#This Row],[Winnaars]],Tabel158[[#This Row],[Team Rood]])</f>
        <v>0</v>
      </c>
      <c r="W10" s="147" t="str">
        <f>IF(Tabel158[[#This Row],[Team Groen]]=Tabel158[[#This Row],[Winnaars]],Tabel158[[#This Row],[Team Groen]])</f>
        <v>LouisStef D</v>
      </c>
      <c r="X10" s="147"/>
      <c r="Y10" s="91" t="s">
        <v>166</v>
      </c>
      <c r="Z10" s="180">
        <f t="shared" ca="1" si="5"/>
        <v>0</v>
      </c>
      <c r="AA10" s="180">
        <f t="shared" ca="1" si="6"/>
        <v>14</v>
      </c>
      <c r="AB10" s="179">
        <f t="shared" ca="1" si="7"/>
        <v>17</v>
      </c>
      <c r="AC10" s="179">
        <f t="shared" ca="1" si="8"/>
        <v>26</v>
      </c>
      <c r="AD10" s="308">
        <f t="shared" ca="1" si="10"/>
        <v>14</v>
      </c>
      <c r="AE10" s="308">
        <f t="shared" ca="1" si="11"/>
        <v>43</v>
      </c>
      <c r="AF10" s="293">
        <f t="shared" ca="1" si="12"/>
        <v>57</v>
      </c>
      <c r="AH10" s="251" t="s">
        <v>170</v>
      </c>
      <c r="AI10" s="233" t="s">
        <v>158</v>
      </c>
      <c r="AJ10" s="140" t="str">
        <f t="shared" si="9"/>
        <v>Nico*Arno*</v>
      </c>
      <c r="AK10" s="160">
        <f>IF(Tabel59[[#This Row],[Aantal Games Rood]]=0,0,(Tabel59[[#This Row],[Wins Rood]])/Tabel59[[#This Row],[Aantal Games Rood]])</f>
        <v>1</v>
      </c>
      <c r="AL10" s="159">
        <f>IF(Tabel59[[#This Row],[Aantal Games Groen]]=0,0,(Tabel59[[#This Row],[Wins Groen]])/Tabel59[[#This Row],[Aantal Games Groen]])</f>
        <v>0</v>
      </c>
      <c r="AM10" s="156">
        <f>IF(Tabel59[[#This Row],[Aantal games Alg]]=0,0,(Tabel59[[#This Row],[Wins Alg]])/Tabel59[[#This Row],[Aantal games Alg]])</f>
        <v>1</v>
      </c>
      <c r="AN10" s="138">
        <f>COUNTIF(Tabel158[Winaar rood],Tabel59[[#This Row],[Team]])</f>
        <v>1</v>
      </c>
      <c r="AO10" s="134">
        <f>COUNTIF(Tabel158[Winnaar Groen],Tabel59[[#This Row],[Team]])</f>
        <v>0</v>
      </c>
      <c r="AP10">
        <f>COUNTIF(Tabel158[Winnaars],Tabel59[[#This Row],[Team]])</f>
        <v>1</v>
      </c>
      <c r="AQ10" s="135">
        <f>Tabel59[[#This Row],[Aantal Games Rood]]-Tabel59[[#This Row],[Wins Rood]]</f>
        <v>0</v>
      </c>
      <c r="AR10" s="136">
        <f>Tabel59[[#This Row],[Aantal Games Groen]]-Tabel59[[#This Row],[Wins Groen]]</f>
        <v>0</v>
      </c>
      <c r="AS10" s="137">
        <f>Tabel59[[#This Row],[Aantal games Alg]]-Tabel59[[#This Row],[Wins Alg]]</f>
        <v>0</v>
      </c>
      <c r="AT10" s="138">
        <f>COUNTIF(Tabel158[Team Rood],Tabel59[[#This Row],[Team]])</f>
        <v>1</v>
      </c>
      <c r="AU10" s="136">
        <f>COUNTIF(Tabel158[Team Groen],Tabel59[[#This Row],[Team]])</f>
        <v>0</v>
      </c>
      <c r="AV10" s="112">
        <f>Tabel59[[#This Row],[Aantal Games Rood]]+Tabel59[[#This Row],[Aantal Games Groen]]</f>
        <v>1</v>
      </c>
      <c r="AW10" s="138">
        <f>SUMIF(Tabel158[Team Rood],Tabel59[[#This Row],[Team]],Tabel158[Score])</f>
        <v>4</v>
      </c>
      <c r="AX10" s="138">
        <f>SUMIF(Tabel158[Team Rood],Tabel59[[#This Row],[Team]],Tabel158[Score2])</f>
        <v>8</v>
      </c>
      <c r="AY10" s="134">
        <f>SUMIF(Tabel158[Team Groen],Tabel59[[#This Row],[Team]],Tabel158[Score3])</f>
        <v>0</v>
      </c>
      <c r="AZ10" s="136">
        <f>SUMIF(Tabel158[Team Groen],Tabel59[[#This Row],[Team]],Tabel158[Score4])</f>
        <v>0</v>
      </c>
      <c r="BA10">
        <f>SUM(Tabel59[[#This Row],[Goals Verdediger]]+Tabel59[[#This Row],[Goals DefG]])</f>
        <v>4</v>
      </c>
      <c r="BB10">
        <f>IF(Tabel59[[#This Row],[Aantal games Alg]]=0,0,Tabel59[[#This Row],[Goals DefA]]/Tabel59[[#This Row],[Aantal games Alg]])</f>
        <v>4</v>
      </c>
      <c r="BC10">
        <f>SUM(Tabel59[[#This Row],[Goals Aanvaller]]+Tabel59[[#This Row],[Goals OffG]])</f>
        <v>8</v>
      </c>
      <c r="BD10">
        <f>IF(Tabel59[[#This Row],[Aantal games Alg]]=0,0,Tabel59[[#This Row],[Goals OffA]]/Tabel59[[#This Row],[Aantal games Alg]])</f>
        <v>8</v>
      </c>
      <c r="BE10" s="112">
        <f>Tabel59[[#This Row],[Goals DefA]]+Tabel59[[#This Row],[Goals OffA]]</f>
        <v>12</v>
      </c>
      <c r="BF10" s="112">
        <f>IF(Tabel59[[#This Row],[Aantal games Alg]]=0,0,Tabel59[[#This Row],[Goals Alg]]/Tabel59[[#This Row],[Aantal games Alg]])</f>
        <v>12</v>
      </c>
      <c r="BG10" s="148">
        <f ca="1">SUMIF(Tabel158[Team Rood],Tabel59[[#This Row],[Team]],Tabel158[ET])</f>
        <v>0</v>
      </c>
      <c r="BH10" s="150">
        <f>SUMIF(Tabel158[Team Groen],Tabel59[[#This Row],[Team]],Tabel158[ET])</f>
        <v>0</v>
      </c>
      <c r="BI10" s="153">
        <f ca="1">SUM(Tabel59[[#This Row],[ET Groen tot]],Tabel59[[#This Row],[ET Rood tot]])</f>
        <v>0</v>
      </c>
      <c r="BJ10" s="155">
        <f ca="1">IF(Tabel59[[#This Row],[Aantal games Alg]]=0,0,Tabel59[[#This Row],[ET tot]]/Tabel59[[#This Row],[Aantal games Alg]])</f>
        <v>0</v>
      </c>
    </row>
    <row r="11" spans="1:62" x14ac:dyDescent="0.25">
      <c r="A11" s="124">
        <f ca="1">IF(Tabel158[[#This Row],[Rood Verdediging]]&lt;&gt;"",IF(A11="",NOW(),A11),"")</f>
        <v>43878.947694907409</v>
      </c>
      <c r="B11" s="128">
        <f ca="1">IF(Tabel158[[#This Row],[Rood Verdediging]]&lt;&gt;"",IF(B11="",NOW(),B11),"")</f>
        <v>43878.947694907409</v>
      </c>
      <c r="C11" s="126">
        <f ca="1">IF(Tabel158[[#This Row],[Score]]&lt;&gt;"",IF(C11="",NOW(),C11),"")</f>
        <v>43878.947694907409</v>
      </c>
      <c r="D11" s="127">
        <f ca="1">IF(OR(Tabel158[[#This Row],[Starttijd]]="",Tabel158[[#This Row],[Eindtijd]]=""),"",Tabel158[[#This Row],[Eindtijd]]-Tabel158[[#This Row],[Starttijd]])</f>
        <v>0</v>
      </c>
      <c r="E11" s="74">
        <v>10</v>
      </c>
      <c r="F11" s="205" t="s">
        <v>7</v>
      </c>
      <c r="G11" s="210">
        <v>1</v>
      </c>
      <c r="H11" s="205" t="s">
        <v>6</v>
      </c>
      <c r="I11" s="210">
        <v>8</v>
      </c>
      <c r="J11" s="206" t="s">
        <v>11</v>
      </c>
      <c r="K11" s="212">
        <v>2</v>
      </c>
      <c r="L11" s="206" t="s">
        <v>3</v>
      </c>
      <c r="M11" s="212">
        <v>9</v>
      </c>
      <c r="N11" s="81">
        <f t="shared" si="0"/>
        <v>9</v>
      </c>
      <c r="O11" s="82">
        <f t="shared" si="1"/>
        <v>11</v>
      </c>
      <c r="P11" s="70" t="str">
        <f t="shared" si="2"/>
        <v>GROEN</v>
      </c>
      <c r="Q11" s="86" t="str">
        <f t="shared" si="3"/>
        <v>Matthijs</v>
      </c>
      <c r="R11" s="87" t="str">
        <f t="shared" si="4"/>
        <v>Karel</v>
      </c>
      <c r="S11" t="str">
        <f>Tabel158[[#This Row],[Rood Verdediging]]&amp;Tabel158[[#This Row],[Rood Aanval]]</f>
        <v>TiemenStef D</v>
      </c>
      <c r="T11" t="str">
        <f>Tabel158[[#This Row],[Groen Verdediging]]&amp;Tabel158[[#This Row],[Groen Aanval]]</f>
        <v>MatthijsKarel</v>
      </c>
      <c r="U11" t="str">
        <f>Tabel158[[#This Row],[Winnaar 1]]&amp;Tabel158[[#This Row],[Winnaar 2]]</f>
        <v>MatthijsKarel</v>
      </c>
      <c r="V11" s="147" t="b">
        <f>IF(Tabel158[[#This Row],[Team Rood]]=Tabel158[[#This Row],[Winnaars]],Tabel158[[#This Row],[Team Rood]])</f>
        <v>0</v>
      </c>
      <c r="W11" s="147" t="str">
        <f>IF(Tabel158[[#This Row],[Team Groen]]=Tabel158[[#This Row],[Winnaars]],Tabel158[[#This Row],[Team Groen]])</f>
        <v>MatthijsKarel</v>
      </c>
      <c r="X11" s="147"/>
      <c r="Y11" s="91" t="s">
        <v>171</v>
      </c>
      <c r="Z11" s="180">
        <f t="shared" ca="1" si="5"/>
        <v>1</v>
      </c>
      <c r="AA11" s="180">
        <f t="shared" ca="1" si="6"/>
        <v>8</v>
      </c>
      <c r="AB11" s="179">
        <f t="shared" ca="1" si="7"/>
        <v>1</v>
      </c>
      <c r="AC11" s="179">
        <f t="shared" ca="1" si="8"/>
        <v>35</v>
      </c>
      <c r="AD11" s="308">
        <f t="shared" ca="1" si="10"/>
        <v>9</v>
      </c>
      <c r="AE11" s="308">
        <f t="shared" ca="1" si="11"/>
        <v>36</v>
      </c>
      <c r="AF11" s="293">
        <f t="shared" ca="1" si="12"/>
        <v>45</v>
      </c>
      <c r="AH11" s="251" t="s">
        <v>169</v>
      </c>
      <c r="AI11" s="233" t="s">
        <v>67</v>
      </c>
      <c r="AJ11" s="140" t="str">
        <f t="shared" si="9"/>
        <v>Stef*Lawrence</v>
      </c>
      <c r="AK11" s="160">
        <f>IF(Tabel59[[#This Row],[Aantal Games Rood]]=0,0,(Tabel59[[#This Row],[Wins Rood]])/Tabel59[[#This Row],[Aantal Games Rood]])</f>
        <v>0</v>
      </c>
      <c r="AL11" s="159">
        <f>IF(Tabel59[[#This Row],[Aantal Games Groen]]=0,0,(Tabel59[[#This Row],[Wins Groen]])/Tabel59[[#This Row],[Aantal Games Groen]])</f>
        <v>1</v>
      </c>
      <c r="AM11" s="156">
        <f>IF(Tabel59[[#This Row],[Aantal games Alg]]=0,0,(Tabel59[[#This Row],[Wins Alg]])/Tabel59[[#This Row],[Aantal games Alg]])</f>
        <v>1</v>
      </c>
      <c r="AN11" s="133">
        <f>COUNTIF(Tabel158[Winaar rood],Tabel59[[#This Row],[Team]])</f>
        <v>0</v>
      </c>
      <c r="AO11" s="134">
        <f>COUNTIF(Tabel158[Winnaar Groen],Tabel59[[#This Row],[Team]])</f>
        <v>1</v>
      </c>
      <c r="AP11">
        <f>COUNTIF(Tabel158[Winnaars],Tabel59[[#This Row],[Team]])</f>
        <v>1</v>
      </c>
      <c r="AQ11" s="135">
        <f>Tabel59[[#This Row],[Aantal Games Rood]]-Tabel59[[#This Row],[Wins Rood]]</f>
        <v>0</v>
      </c>
      <c r="AR11" s="136">
        <f>Tabel59[[#This Row],[Aantal Games Groen]]-Tabel59[[#This Row],[Wins Groen]]</f>
        <v>0</v>
      </c>
      <c r="AS11" s="137">
        <f>Tabel59[[#This Row],[Aantal games Alg]]-Tabel59[[#This Row],[Wins Alg]]</f>
        <v>0</v>
      </c>
      <c r="AT11" s="138">
        <f>COUNTIF(Tabel158[Team Rood],Tabel59[[#This Row],[Team]])</f>
        <v>0</v>
      </c>
      <c r="AU11" s="136">
        <f>COUNTIF(Tabel158[Team Groen],Tabel59[[#This Row],[Team]])</f>
        <v>1</v>
      </c>
      <c r="AV11" s="112">
        <f>Tabel59[[#This Row],[Aantal Games Rood]]+Tabel59[[#This Row],[Aantal Games Groen]]</f>
        <v>1</v>
      </c>
      <c r="AW11" s="138">
        <f>SUMIF(Tabel158[Team Rood],Tabel59[[#This Row],[Team]],Tabel158[Score])</f>
        <v>0</v>
      </c>
      <c r="AX11" s="138">
        <f>SUMIF(Tabel158[Team Rood],Tabel59[[#This Row],[Team]],Tabel158[Score2])</f>
        <v>0</v>
      </c>
      <c r="AY11" s="134">
        <f>SUMIF(Tabel158[Team Groen],Tabel59[[#This Row],[Team]],Tabel158[Score3])</f>
        <v>4</v>
      </c>
      <c r="AZ11" s="136">
        <f>SUMIF(Tabel158[Team Groen],Tabel59[[#This Row],[Team]],Tabel158[Score4])</f>
        <v>7</v>
      </c>
      <c r="BA11">
        <f>SUM(Tabel59[[#This Row],[Goals Verdediger]]+Tabel59[[#This Row],[Goals DefG]])</f>
        <v>4</v>
      </c>
      <c r="BB11">
        <f>IF(Tabel59[[#This Row],[Aantal games Alg]]=0,0,Tabel59[[#This Row],[Goals DefA]]/Tabel59[[#This Row],[Aantal games Alg]])</f>
        <v>4</v>
      </c>
      <c r="BC11">
        <f>SUM(Tabel59[[#This Row],[Goals Aanvaller]]+Tabel59[[#This Row],[Goals OffG]])</f>
        <v>7</v>
      </c>
      <c r="BD11">
        <f>IF(Tabel59[[#This Row],[Aantal games Alg]]=0,0,Tabel59[[#This Row],[Goals OffA]]/Tabel59[[#This Row],[Aantal games Alg]])</f>
        <v>7</v>
      </c>
      <c r="BE11" s="112">
        <f>Tabel59[[#This Row],[Goals DefA]]+Tabel59[[#This Row],[Goals OffA]]</f>
        <v>11</v>
      </c>
      <c r="BF11" s="112">
        <f>IF(Tabel59[[#This Row],[Aantal games Alg]]=0,0,Tabel59[[#This Row],[Goals Alg]]/Tabel59[[#This Row],[Aantal games Alg]])</f>
        <v>11</v>
      </c>
      <c r="BG11" s="148">
        <f>SUMIF(Tabel158[Team Rood],Tabel59[[#This Row],[Team]],Tabel158[ET])</f>
        <v>0</v>
      </c>
      <c r="BH11" s="150">
        <f ca="1">SUMIF(Tabel158[Team Groen],Tabel59[[#This Row],[Team]],Tabel158[ET])</f>
        <v>0</v>
      </c>
      <c r="BI11" s="153">
        <f ca="1">SUM(Tabel59[[#This Row],[ET Groen tot]],Tabel59[[#This Row],[ET Rood tot]])</f>
        <v>0</v>
      </c>
      <c r="BJ11" s="155">
        <f ca="1">IF(Tabel59[[#This Row],[Aantal games Alg]]=0,0,Tabel59[[#This Row],[ET tot]]/Tabel59[[#This Row],[Aantal games Alg]])</f>
        <v>0</v>
      </c>
    </row>
    <row r="12" spans="1:62" x14ac:dyDescent="0.25">
      <c r="A12" s="124">
        <f ca="1">IF(Tabel158[[#This Row],[Rood Verdediging]]&lt;&gt;"",IF(A12="",NOW(),A12),"")</f>
        <v>43878.947694907409</v>
      </c>
      <c r="B12" s="128">
        <f ca="1">IF(Tabel158[[#This Row],[Rood Verdediging]]&lt;&gt;"",IF(B12="",NOW(),B12),"")</f>
        <v>43878.947694907409</v>
      </c>
      <c r="C12" s="126">
        <f ca="1">IF(Tabel158[[#This Row],[Score]]&lt;&gt;"",IF(C12="",NOW(),C12),"")</f>
        <v>43878.947694907409</v>
      </c>
      <c r="D12" s="127">
        <f ca="1">IF(OR(Tabel158[[#This Row],[Starttijd]]="",Tabel158[[#This Row],[Eindtijd]]=""),"",Tabel158[[#This Row],[Eindtijd]]-Tabel158[[#This Row],[Starttijd]])</f>
        <v>0</v>
      </c>
      <c r="E12" s="74">
        <v>11</v>
      </c>
      <c r="F12" s="205" t="s">
        <v>13</v>
      </c>
      <c r="G12" s="210">
        <v>3</v>
      </c>
      <c r="H12" s="205" t="s">
        <v>0</v>
      </c>
      <c r="I12" s="210">
        <v>8</v>
      </c>
      <c r="J12" s="206" t="s">
        <v>19</v>
      </c>
      <c r="K12" s="212">
        <v>0</v>
      </c>
      <c r="L12" s="206" t="s">
        <v>6</v>
      </c>
      <c r="M12" s="212">
        <v>9</v>
      </c>
      <c r="N12" s="81">
        <f t="shared" si="0"/>
        <v>11</v>
      </c>
      <c r="O12" s="82">
        <f t="shared" si="1"/>
        <v>9</v>
      </c>
      <c r="P12" s="70" t="str">
        <f t="shared" si="2"/>
        <v>ROOD</v>
      </c>
      <c r="Q12" s="86" t="str">
        <f t="shared" si="3"/>
        <v>Bert</v>
      </c>
      <c r="R12" s="87" t="str">
        <f t="shared" si="4"/>
        <v>Jonas</v>
      </c>
      <c r="S12" t="str">
        <f>Tabel158[[#This Row],[Rood Verdediging]]&amp;Tabel158[[#This Row],[Rood Aanval]]</f>
        <v>BertJonas</v>
      </c>
      <c r="T12" t="str">
        <f>Tabel158[[#This Row],[Groen Verdediging]]&amp;Tabel158[[#This Row],[Groen Aanval]]</f>
        <v>NicolasStef D</v>
      </c>
      <c r="U12" t="str">
        <f>Tabel158[[#This Row],[Winnaar 1]]&amp;Tabel158[[#This Row],[Winnaar 2]]</f>
        <v>BertJonas</v>
      </c>
      <c r="V12" s="147" t="str">
        <f>IF(Tabel158[[#This Row],[Team Rood]]=Tabel158[[#This Row],[Winnaars]],Tabel158[[#This Row],[Team Rood]])</f>
        <v>BertJonas</v>
      </c>
      <c r="W12" s="147" t="b">
        <f>IF(Tabel158[[#This Row],[Team Groen]]=Tabel158[[#This Row],[Winnaars]],Tabel158[[#This Row],[Team Groen]])</f>
        <v>0</v>
      </c>
      <c r="X12" s="147"/>
      <c r="Y12" s="132" t="s">
        <v>157</v>
      </c>
      <c r="Z12" s="175">
        <f t="shared" ca="1" si="5"/>
        <v>0</v>
      </c>
      <c r="AA12" s="175">
        <f t="shared" ca="1" si="6"/>
        <v>0</v>
      </c>
      <c r="AB12" s="176">
        <f t="shared" ca="1" si="7"/>
        <v>0</v>
      </c>
      <c r="AC12" s="176">
        <f t="shared" ca="1" si="8"/>
        <v>6</v>
      </c>
      <c r="AD12" s="308">
        <f t="shared" ca="1" si="10"/>
        <v>0</v>
      </c>
      <c r="AE12" s="308">
        <f t="shared" ca="1" si="11"/>
        <v>6</v>
      </c>
      <c r="AF12" s="293">
        <f t="shared" ca="1" si="12"/>
        <v>6</v>
      </c>
      <c r="AH12" s="251" t="s">
        <v>166</v>
      </c>
      <c r="AI12" s="233" t="s">
        <v>163</v>
      </c>
      <c r="AJ12" s="140" t="str">
        <f t="shared" si="9"/>
        <v>Stijn*Bert*</v>
      </c>
      <c r="AK12" s="160">
        <f>IF(Tabel59[[#This Row],[Aantal Games Rood]]=0,0,(Tabel59[[#This Row],[Wins Rood]])/Tabel59[[#This Row],[Aantal Games Rood]])</f>
        <v>0</v>
      </c>
      <c r="AL12" s="159">
        <f>IF(Tabel59[[#This Row],[Aantal Games Groen]]=0,0,(Tabel59[[#This Row],[Wins Groen]])/Tabel59[[#This Row],[Aantal Games Groen]])</f>
        <v>1</v>
      </c>
      <c r="AM12" s="156">
        <f>IF(Tabel59[[#This Row],[Aantal games Alg]]=0,0,(Tabel59[[#This Row],[Wins Alg]])/Tabel59[[#This Row],[Aantal games Alg]])</f>
        <v>1</v>
      </c>
      <c r="AN12" s="133">
        <f>COUNTIF(Tabel158[Winaar rood],Tabel59[[#This Row],[Team]])</f>
        <v>0</v>
      </c>
      <c r="AO12" s="134">
        <f>COUNTIF(Tabel158[Winnaar Groen],Tabel59[[#This Row],[Team]])</f>
        <v>1</v>
      </c>
      <c r="AP12" s="293">
        <f>COUNTIF(Tabel158[Winnaars],Tabel59[[#This Row],[Team]])</f>
        <v>1</v>
      </c>
      <c r="AQ12" s="135">
        <f>Tabel59[[#This Row],[Aantal Games Rood]]-Tabel59[[#This Row],[Wins Rood]]</f>
        <v>0</v>
      </c>
      <c r="AR12" s="136">
        <f>Tabel59[[#This Row],[Aantal Games Groen]]-Tabel59[[#This Row],[Wins Groen]]</f>
        <v>0</v>
      </c>
      <c r="AS12" s="137">
        <f>Tabel59[[#This Row],[Aantal games Alg]]-Tabel59[[#This Row],[Wins Alg]]</f>
        <v>0</v>
      </c>
      <c r="AT12" s="138">
        <f>COUNTIF(Tabel158[Team Rood],Tabel59[[#This Row],[Team]])</f>
        <v>0</v>
      </c>
      <c r="AU12" s="136">
        <f>COUNTIF(Tabel158[Team Groen],Tabel59[[#This Row],[Team]])</f>
        <v>1</v>
      </c>
      <c r="AV12" s="214">
        <f>Tabel59[[#This Row],[Aantal Games Rood]]+Tabel59[[#This Row],[Aantal Games Groen]]</f>
        <v>1</v>
      </c>
      <c r="AW12" s="138">
        <f>SUMIF(Tabel158[Team Rood],Tabel59[[#This Row],[Team]],Tabel158[Score])</f>
        <v>0</v>
      </c>
      <c r="AX12" s="138">
        <f>SUMIF(Tabel158[Team Rood],Tabel59[[#This Row],[Team]],Tabel158[Score2])</f>
        <v>0</v>
      </c>
      <c r="AY12" s="134">
        <f>SUMIF(Tabel158[Team Groen],Tabel59[[#This Row],[Team]],Tabel158[Score3])</f>
        <v>3</v>
      </c>
      <c r="AZ12" s="136">
        <f>SUMIF(Tabel158[Team Groen],Tabel59[[#This Row],[Team]],Tabel158[Score4])</f>
        <v>9</v>
      </c>
      <c r="BA12" s="293">
        <f>SUM(Tabel59[[#This Row],[Goals Verdediger]]+Tabel59[[#This Row],[Goals DefG]])</f>
        <v>3</v>
      </c>
      <c r="BB12" s="293">
        <f>IF(Tabel59[[#This Row],[Aantal games Alg]]=0,0,Tabel59[[#This Row],[Goals DefA]]/Tabel59[[#This Row],[Aantal games Alg]])</f>
        <v>3</v>
      </c>
      <c r="BC12" s="293">
        <f>SUM(Tabel59[[#This Row],[Goals Aanvaller]]+Tabel59[[#This Row],[Goals OffG]])</f>
        <v>9</v>
      </c>
      <c r="BD12" s="293">
        <f>IF(Tabel59[[#This Row],[Aantal games Alg]]=0,0,Tabel59[[#This Row],[Goals OffA]]/Tabel59[[#This Row],[Aantal games Alg]])</f>
        <v>9</v>
      </c>
      <c r="BE12" s="214">
        <f>Tabel59[[#This Row],[Goals DefA]]+Tabel59[[#This Row],[Goals OffA]]</f>
        <v>12</v>
      </c>
      <c r="BF12" s="214">
        <f>IF(Tabel59[[#This Row],[Aantal games Alg]]=0,0,Tabel59[[#This Row],[Goals Alg]]/Tabel59[[#This Row],[Aantal games Alg]])</f>
        <v>12</v>
      </c>
      <c r="BG12" s="148">
        <f>SUMIF(Tabel158[Team Rood],Tabel59[[#This Row],[Team]],Tabel158[ET])</f>
        <v>0</v>
      </c>
      <c r="BH12" s="150">
        <f ca="1">SUMIF(Tabel158[Team Groen],Tabel59[[#This Row],[Team]],Tabel158[ET])</f>
        <v>0</v>
      </c>
      <c r="BI12" s="153">
        <f ca="1">SUM(Tabel59[[#This Row],[ET Groen tot]],Tabel59[[#This Row],[ET Rood tot]])</f>
        <v>0</v>
      </c>
      <c r="BJ12" s="155">
        <f ca="1">IF(Tabel59[[#This Row],[Aantal games Alg]]=0,0,Tabel59[[#This Row],[ET tot]]/Tabel59[[#This Row],[Aantal games Alg]])</f>
        <v>0</v>
      </c>
    </row>
    <row r="13" spans="1:62" x14ac:dyDescent="0.25">
      <c r="A13" s="124">
        <f ca="1">IF(Tabel158[[#This Row],[Rood Verdediging]]&lt;&gt;"",IF(A13="",NOW(),A13),"")</f>
        <v>43878.947694907409</v>
      </c>
      <c r="B13" s="128">
        <f ca="1">IF(Tabel158[[#This Row],[Rood Verdediging]]&lt;&gt;"",IF(B13="",NOW(),B13),"")</f>
        <v>43878.947694907409</v>
      </c>
      <c r="C13" s="126">
        <f ca="1">IF(Tabel158[[#This Row],[Score]]&lt;&gt;"",IF(C13="",NOW(),C13),"")</f>
        <v>43878.947694907409</v>
      </c>
      <c r="D13" s="127">
        <f ca="1">IF(OR(Tabel158[[#This Row],[Starttijd]]="",Tabel158[[#This Row],[Eindtijd]]=""),"",Tabel158[[#This Row],[Eindtijd]]-Tabel158[[#This Row],[Starttijd]])</f>
        <v>0</v>
      </c>
      <c r="E13" s="74">
        <v>12</v>
      </c>
      <c r="F13" s="205" t="s">
        <v>0</v>
      </c>
      <c r="G13" s="210">
        <v>4</v>
      </c>
      <c r="H13" s="205" t="s">
        <v>19</v>
      </c>
      <c r="I13" s="210">
        <v>2</v>
      </c>
      <c r="J13" s="206" t="s">
        <v>3</v>
      </c>
      <c r="K13" s="212">
        <v>7</v>
      </c>
      <c r="L13" s="206" t="s">
        <v>6</v>
      </c>
      <c r="M13" s="212">
        <v>4</v>
      </c>
      <c r="N13" s="81">
        <f t="shared" si="0"/>
        <v>6</v>
      </c>
      <c r="O13" s="82">
        <f t="shared" si="1"/>
        <v>11</v>
      </c>
      <c r="P13" s="70" t="str">
        <f t="shared" si="2"/>
        <v>GROEN</v>
      </c>
      <c r="Q13" s="86" t="str">
        <f t="shared" si="3"/>
        <v>Karel</v>
      </c>
      <c r="R13" s="87" t="str">
        <f t="shared" si="4"/>
        <v>Stef D</v>
      </c>
      <c r="S13" t="str">
        <f>Tabel158[[#This Row],[Rood Verdediging]]&amp;Tabel158[[#This Row],[Rood Aanval]]</f>
        <v>JonasNicolas</v>
      </c>
      <c r="T13" t="str">
        <f>Tabel158[[#This Row],[Groen Verdediging]]&amp;Tabel158[[#This Row],[Groen Aanval]]</f>
        <v>KarelStef D</v>
      </c>
      <c r="U13" t="str">
        <f>Tabel158[[#This Row],[Winnaar 1]]&amp;Tabel158[[#This Row],[Winnaar 2]]</f>
        <v>KarelStef D</v>
      </c>
      <c r="V13" s="147" t="b">
        <f>IF(Tabel158[[#This Row],[Team Rood]]=Tabel158[[#This Row],[Winnaars]],Tabel158[[#This Row],[Team Rood]])</f>
        <v>0</v>
      </c>
      <c r="W13" s="147" t="str">
        <f>IF(Tabel158[[#This Row],[Team Groen]]=Tabel158[[#This Row],[Winnaars]],Tabel158[[#This Row],[Team Groen]])</f>
        <v>KarelStef D</v>
      </c>
      <c r="X13" s="147"/>
      <c r="Y13" s="132" t="s">
        <v>158</v>
      </c>
      <c r="Z13" s="175">
        <f t="shared" ca="1" si="5"/>
        <v>64</v>
      </c>
      <c r="AA13" s="175">
        <f t="shared" ca="1" si="6"/>
        <v>65</v>
      </c>
      <c r="AB13" s="176">
        <f t="shared" ca="1" si="7"/>
        <v>23</v>
      </c>
      <c r="AC13" s="176">
        <f t="shared" ca="1" si="8"/>
        <v>72</v>
      </c>
      <c r="AD13" s="308">
        <f t="shared" ca="1" si="10"/>
        <v>129</v>
      </c>
      <c r="AE13" s="308">
        <f t="shared" ca="1" si="11"/>
        <v>95</v>
      </c>
      <c r="AF13" s="293">
        <f t="shared" ca="1" si="12"/>
        <v>224</v>
      </c>
      <c r="AH13" s="251" t="s">
        <v>160</v>
      </c>
      <c r="AI13" s="233" t="s">
        <v>158</v>
      </c>
      <c r="AJ13" s="140" t="str">
        <f t="shared" si="9"/>
        <v>Tiemen*Arno*</v>
      </c>
      <c r="AK13" s="160">
        <f>IF(Tabel59[[#This Row],[Aantal Games Rood]]=0,0,(Tabel59[[#This Row],[Wins Rood]])/Tabel59[[#This Row],[Aantal Games Rood]])</f>
        <v>1</v>
      </c>
      <c r="AL13" s="159">
        <f>IF(Tabel59[[#This Row],[Aantal Games Groen]]=0,0,(Tabel59[[#This Row],[Wins Groen]])/Tabel59[[#This Row],[Aantal Games Groen]])</f>
        <v>0</v>
      </c>
      <c r="AM13" s="156">
        <f>IF(Tabel59[[#This Row],[Aantal games Alg]]=0,0,(Tabel59[[#This Row],[Wins Alg]])/Tabel59[[#This Row],[Aantal games Alg]])</f>
        <v>1</v>
      </c>
      <c r="AN13" s="138">
        <f>COUNTIF(Tabel158[Winaar rood],Tabel59[[#This Row],[Team]])</f>
        <v>2</v>
      </c>
      <c r="AO13" s="134">
        <f>COUNTIF(Tabel158[Winnaar Groen],Tabel59[[#This Row],[Team]])</f>
        <v>0</v>
      </c>
      <c r="AP13">
        <f>COUNTIF(Tabel158[Winnaars],Tabel59[[#This Row],[Team]])</f>
        <v>2</v>
      </c>
      <c r="AQ13" s="135">
        <f>Tabel59[[#This Row],[Aantal Games Rood]]-Tabel59[[#This Row],[Wins Rood]]</f>
        <v>0</v>
      </c>
      <c r="AR13" s="136">
        <f>Tabel59[[#This Row],[Aantal Games Groen]]-Tabel59[[#This Row],[Wins Groen]]</f>
        <v>0</v>
      </c>
      <c r="AS13" s="137">
        <f>Tabel59[[#This Row],[Aantal games Alg]]-Tabel59[[#This Row],[Wins Alg]]</f>
        <v>0</v>
      </c>
      <c r="AT13" s="138">
        <f>COUNTIF(Tabel158[Team Rood],Tabel59[[#This Row],[Team]])</f>
        <v>2</v>
      </c>
      <c r="AU13" s="136">
        <f>COUNTIF(Tabel158[Team Groen],Tabel59[[#This Row],[Team]])</f>
        <v>0</v>
      </c>
      <c r="AV13" s="112">
        <f>Tabel59[[#This Row],[Aantal Games Rood]]+Tabel59[[#This Row],[Aantal Games Groen]]</f>
        <v>2</v>
      </c>
      <c r="AW13" s="138">
        <f>SUMIF(Tabel158[Team Rood],Tabel59[[#This Row],[Team]],Tabel158[Score])</f>
        <v>2</v>
      </c>
      <c r="AX13" s="138">
        <f>SUMIF(Tabel158[Team Rood],Tabel59[[#This Row],[Team]],Tabel158[Score2])</f>
        <v>20</v>
      </c>
      <c r="AY13" s="134">
        <f>SUMIF(Tabel158[Team Groen],Tabel59[[#This Row],[Team]],Tabel158[Score3])</f>
        <v>0</v>
      </c>
      <c r="AZ13" s="136">
        <f>SUMIF(Tabel158[Team Groen],Tabel59[[#This Row],[Team]],Tabel158[Score4])</f>
        <v>0</v>
      </c>
      <c r="BA13">
        <f>SUM(Tabel59[[#This Row],[Goals Verdediger]]+Tabel59[[#This Row],[Goals DefG]])</f>
        <v>2</v>
      </c>
      <c r="BB13">
        <f>IF(Tabel59[[#This Row],[Aantal games Alg]]=0,0,Tabel59[[#This Row],[Goals DefA]]/Tabel59[[#This Row],[Aantal games Alg]])</f>
        <v>1</v>
      </c>
      <c r="BC13">
        <f>SUM(Tabel59[[#This Row],[Goals Aanvaller]]+Tabel59[[#This Row],[Goals OffG]])</f>
        <v>20</v>
      </c>
      <c r="BD13">
        <f>IF(Tabel59[[#This Row],[Aantal games Alg]]=0,0,Tabel59[[#This Row],[Goals OffA]]/Tabel59[[#This Row],[Aantal games Alg]])</f>
        <v>10</v>
      </c>
      <c r="BE13" s="112">
        <f>Tabel59[[#This Row],[Goals DefA]]+Tabel59[[#This Row],[Goals OffA]]</f>
        <v>22</v>
      </c>
      <c r="BF13" s="112">
        <f>IF(Tabel59[[#This Row],[Aantal games Alg]]=0,0,Tabel59[[#This Row],[Goals Alg]]/Tabel59[[#This Row],[Aantal games Alg]])</f>
        <v>11</v>
      </c>
      <c r="BG13" s="148">
        <f ca="1">SUMIF(Tabel158[Team Rood],Tabel59[[#This Row],[Team]],Tabel158[ET])</f>
        <v>0</v>
      </c>
      <c r="BH13" s="150">
        <f>SUMIF(Tabel158[Team Groen],Tabel59[[#This Row],[Team]],Tabel158[ET])</f>
        <v>0</v>
      </c>
      <c r="BI13" s="153">
        <f ca="1">SUM(Tabel59[[#This Row],[ET Groen tot]],Tabel59[[#This Row],[ET Rood tot]])</f>
        <v>0</v>
      </c>
      <c r="BJ13" s="155">
        <f ca="1">IF(Tabel59[[#This Row],[Aantal games Alg]]=0,0,Tabel59[[#This Row],[ET tot]]/Tabel59[[#This Row],[Aantal games Alg]])</f>
        <v>0</v>
      </c>
    </row>
    <row r="14" spans="1:62" x14ac:dyDescent="0.25">
      <c r="A14" s="124">
        <f ca="1">IF(Tabel158[[#This Row],[Rood Verdediging]]&lt;&gt;"",IF(A14="",NOW(),A14),"")</f>
        <v>43878.947694907409</v>
      </c>
      <c r="B14" s="128">
        <f ca="1">IF(Tabel158[[#This Row],[Rood Verdediging]]&lt;&gt;"",IF(B14="",NOW(),B14),"")</f>
        <v>43878.947694907409</v>
      </c>
      <c r="C14" s="126">
        <f ca="1">IF(Tabel158[[#This Row],[Score]]&lt;&gt;"",IF(C14="",NOW(),C14),"")</f>
        <v>43878.947694907409</v>
      </c>
      <c r="D14" s="127">
        <f ca="1">IF(OR(Tabel158[[#This Row],[Starttijd]]="",Tabel158[[#This Row],[Eindtijd]]=""),"",Tabel158[[#This Row],[Eindtijd]]-Tabel158[[#This Row],[Starttijd]])</f>
        <v>0</v>
      </c>
      <c r="E14" s="74">
        <v>13</v>
      </c>
      <c r="F14" s="205" t="s">
        <v>11</v>
      </c>
      <c r="G14" s="210">
        <v>1</v>
      </c>
      <c r="H14" s="205" t="s">
        <v>0</v>
      </c>
      <c r="I14" s="210">
        <v>7</v>
      </c>
      <c r="J14" s="206" t="s">
        <v>7</v>
      </c>
      <c r="K14" s="212">
        <v>1</v>
      </c>
      <c r="L14" s="206" t="s">
        <v>3</v>
      </c>
      <c r="M14" s="212">
        <v>10</v>
      </c>
      <c r="N14" s="81">
        <f t="shared" si="0"/>
        <v>8</v>
      </c>
      <c r="O14" s="82">
        <f t="shared" si="1"/>
        <v>11</v>
      </c>
      <c r="P14" s="70" t="str">
        <f t="shared" si="2"/>
        <v>GROEN</v>
      </c>
      <c r="Q14" s="86" t="str">
        <f t="shared" si="3"/>
        <v>Tiemen</v>
      </c>
      <c r="R14" s="87" t="str">
        <f t="shared" si="4"/>
        <v>Karel</v>
      </c>
      <c r="S14" t="str">
        <f>Tabel158[[#This Row],[Rood Verdediging]]&amp;Tabel158[[#This Row],[Rood Aanval]]</f>
        <v>MatthijsJonas</v>
      </c>
      <c r="T14" t="str">
        <f>Tabel158[[#This Row],[Groen Verdediging]]&amp;Tabel158[[#This Row],[Groen Aanval]]</f>
        <v>TiemenKarel</v>
      </c>
      <c r="U14" t="str">
        <f>Tabel158[[#This Row],[Winnaar 1]]&amp;Tabel158[[#This Row],[Winnaar 2]]</f>
        <v>TiemenKarel</v>
      </c>
      <c r="V14" s="147" t="b">
        <f>IF(Tabel158[[#This Row],[Team Rood]]=Tabel158[[#This Row],[Winnaars]],Tabel158[[#This Row],[Team Rood]])</f>
        <v>0</v>
      </c>
      <c r="W14" s="147" t="str">
        <f>IF(Tabel158[[#This Row],[Team Groen]]=Tabel158[[#This Row],[Winnaars]],Tabel158[[#This Row],[Team Groen]])</f>
        <v>TiemenKarel</v>
      </c>
      <c r="X14" s="147"/>
      <c r="Y14" s="132" t="s">
        <v>168</v>
      </c>
      <c r="Z14" s="175">
        <f t="shared" ca="1" si="5"/>
        <v>4</v>
      </c>
      <c r="AA14" s="175">
        <f t="shared" ca="1" si="6"/>
        <v>0</v>
      </c>
      <c r="AB14" s="176">
        <f t="shared" ca="1" si="7"/>
        <v>3</v>
      </c>
      <c r="AC14" s="176">
        <f t="shared" ca="1" si="8"/>
        <v>0</v>
      </c>
      <c r="AD14" s="308">
        <f t="shared" ca="1" si="10"/>
        <v>4</v>
      </c>
      <c r="AE14" s="308">
        <f t="shared" ca="1" si="11"/>
        <v>3</v>
      </c>
      <c r="AF14" s="293">
        <f t="shared" ca="1" si="12"/>
        <v>7</v>
      </c>
      <c r="AH14" s="251" t="s">
        <v>160</v>
      </c>
      <c r="AI14" s="233" t="s">
        <v>67</v>
      </c>
      <c r="AJ14" s="140" t="str">
        <f t="shared" si="9"/>
        <v>Tiemen*Lawrence</v>
      </c>
      <c r="AK14" s="160">
        <f>IF(Tabel59[[#This Row],[Aantal Games Rood]]=0,0,(Tabel59[[#This Row],[Wins Rood]])/Tabel59[[#This Row],[Aantal Games Rood]])</f>
        <v>0</v>
      </c>
      <c r="AL14" s="159">
        <f>IF(Tabel59[[#This Row],[Aantal Games Groen]]=0,0,(Tabel59[[#This Row],[Wins Groen]])/Tabel59[[#This Row],[Aantal Games Groen]])</f>
        <v>1</v>
      </c>
      <c r="AM14" s="156">
        <f>IF(Tabel59[[#This Row],[Aantal games Alg]]=0,0,(Tabel59[[#This Row],[Wins Alg]])/Tabel59[[#This Row],[Aantal games Alg]])</f>
        <v>1</v>
      </c>
      <c r="AN14" s="138">
        <f>COUNTIF(Tabel158[Winaar rood],Tabel59[[#This Row],[Team]])</f>
        <v>0</v>
      </c>
      <c r="AO14" s="134">
        <f>COUNTIF(Tabel158[Winnaar Groen],Tabel59[[#This Row],[Team]])</f>
        <v>1</v>
      </c>
      <c r="AP14">
        <f>COUNTIF(Tabel158[Winnaars],Tabel59[[#This Row],[Team]])</f>
        <v>1</v>
      </c>
      <c r="AQ14" s="135">
        <f>Tabel59[[#This Row],[Aantal Games Rood]]-Tabel59[[#This Row],[Wins Rood]]</f>
        <v>0</v>
      </c>
      <c r="AR14" s="136">
        <f>Tabel59[[#This Row],[Aantal Games Groen]]-Tabel59[[#This Row],[Wins Groen]]</f>
        <v>0</v>
      </c>
      <c r="AS14" s="137">
        <f>Tabel59[[#This Row],[Aantal games Alg]]-Tabel59[[#This Row],[Wins Alg]]</f>
        <v>0</v>
      </c>
      <c r="AT14" s="138">
        <f>COUNTIF(Tabel158[Team Rood],Tabel59[[#This Row],[Team]])</f>
        <v>0</v>
      </c>
      <c r="AU14" s="136">
        <f>COUNTIF(Tabel158[Team Groen],Tabel59[[#This Row],[Team]])</f>
        <v>1</v>
      </c>
      <c r="AV14" s="214">
        <f>Tabel59[[#This Row],[Aantal Games Rood]]+Tabel59[[#This Row],[Aantal Games Groen]]</f>
        <v>1</v>
      </c>
      <c r="AW14" s="138">
        <f>SUMIF(Tabel158[Team Rood],Tabel59[[#This Row],[Team]],Tabel158[Score])</f>
        <v>0</v>
      </c>
      <c r="AX14" s="138">
        <f>SUMIF(Tabel158[Team Rood],Tabel59[[#This Row],[Team]],Tabel158[Score2])</f>
        <v>0</v>
      </c>
      <c r="AY14" s="134">
        <f>SUMIF(Tabel158[Team Groen],Tabel59[[#This Row],[Team]],Tabel158[Score3])</f>
        <v>4</v>
      </c>
      <c r="AZ14" s="136">
        <f>SUMIF(Tabel158[Team Groen],Tabel59[[#This Row],[Team]],Tabel158[Score4])</f>
        <v>7</v>
      </c>
      <c r="BA14">
        <f>SUM(Tabel59[[#This Row],[Goals Verdediger]]+Tabel59[[#This Row],[Goals DefG]])</f>
        <v>4</v>
      </c>
      <c r="BB14">
        <f>IF(Tabel59[[#This Row],[Aantal games Alg]]=0,0,Tabel59[[#This Row],[Goals DefA]]/Tabel59[[#This Row],[Aantal games Alg]])</f>
        <v>4</v>
      </c>
      <c r="BC14">
        <f>SUM(Tabel59[[#This Row],[Goals Aanvaller]]+Tabel59[[#This Row],[Goals OffG]])</f>
        <v>7</v>
      </c>
      <c r="BD14">
        <f>IF(Tabel59[[#This Row],[Aantal games Alg]]=0,0,Tabel59[[#This Row],[Goals OffA]]/Tabel59[[#This Row],[Aantal games Alg]])</f>
        <v>7</v>
      </c>
      <c r="BE14" s="112">
        <f>Tabel59[[#This Row],[Goals DefA]]+Tabel59[[#This Row],[Goals OffA]]</f>
        <v>11</v>
      </c>
      <c r="BF14" s="112">
        <f>IF(Tabel59[[#This Row],[Aantal games Alg]]=0,0,Tabel59[[#This Row],[Goals Alg]]/Tabel59[[#This Row],[Aantal games Alg]])</f>
        <v>11</v>
      </c>
      <c r="BG14" s="148">
        <f>SUMIF(Tabel158[Team Rood],Tabel59[[#This Row],[Team]],Tabel158[ET])</f>
        <v>0</v>
      </c>
      <c r="BH14" s="150">
        <f ca="1">SUMIF(Tabel158[Team Groen],Tabel59[[#This Row],[Team]],Tabel158[ET])</f>
        <v>0</v>
      </c>
      <c r="BI14" s="153">
        <f ca="1">SUM(Tabel59[[#This Row],[ET Groen tot]],Tabel59[[#This Row],[ET Rood tot]])</f>
        <v>0</v>
      </c>
      <c r="BJ14" s="155">
        <f ca="1">IF(Tabel59[[#This Row],[Aantal games Alg]]=0,0,Tabel59[[#This Row],[ET tot]]/Tabel59[[#This Row],[Aantal games Alg]])</f>
        <v>0</v>
      </c>
    </row>
    <row r="15" spans="1:62" x14ac:dyDescent="0.25">
      <c r="A15" s="124">
        <f ca="1">IF(Tabel158[[#This Row],[Rood Verdediging]]&lt;&gt;"",IF(A15="",NOW(),A15),"")</f>
        <v>43878.947694907409</v>
      </c>
      <c r="B15" s="128">
        <f ca="1">IF(Tabel158[[#This Row],[Rood Verdediging]]&lt;&gt;"",IF(B15="",NOW(),B15),"")</f>
        <v>43878.947694907409</v>
      </c>
      <c r="C15" s="126">
        <f ca="1">IF(Tabel158[[#This Row],[Score]]&lt;&gt;"",IF(C15="",NOW(),C15),"")</f>
        <v>43878.947694907409</v>
      </c>
      <c r="D15" s="127">
        <f ca="1">IF(OR(Tabel158[[#This Row],[Starttijd]]="",Tabel158[[#This Row],[Eindtijd]]=""),"",Tabel158[[#This Row],[Eindtijd]]-Tabel158[[#This Row],[Starttijd]])</f>
        <v>0</v>
      </c>
      <c r="E15" s="74">
        <v>14</v>
      </c>
      <c r="F15" s="205" t="s">
        <v>8</v>
      </c>
      <c r="G15" s="210">
        <v>0</v>
      </c>
      <c r="H15" s="205" t="s">
        <v>6</v>
      </c>
      <c r="I15" s="210">
        <v>11</v>
      </c>
      <c r="J15" s="206" t="s">
        <v>3</v>
      </c>
      <c r="K15" s="212">
        <v>2</v>
      </c>
      <c r="L15" s="206" t="s">
        <v>13</v>
      </c>
      <c r="M15" s="212">
        <v>6</v>
      </c>
      <c r="N15" s="81">
        <f t="shared" si="0"/>
        <v>11</v>
      </c>
      <c r="O15" s="82">
        <f t="shared" si="1"/>
        <v>8</v>
      </c>
      <c r="P15" s="70" t="str">
        <f t="shared" si="2"/>
        <v>ROOD</v>
      </c>
      <c r="Q15" s="86" t="str">
        <f t="shared" si="3"/>
        <v>Louis</v>
      </c>
      <c r="R15" s="87" t="str">
        <f t="shared" si="4"/>
        <v>Stef D</v>
      </c>
      <c r="S15" t="str">
        <f>Tabel158[[#This Row],[Rood Verdediging]]&amp;Tabel158[[#This Row],[Rood Aanval]]</f>
        <v>LouisStef D</v>
      </c>
      <c r="T15" t="str">
        <f>Tabel158[[#This Row],[Groen Verdediging]]&amp;Tabel158[[#This Row],[Groen Aanval]]</f>
        <v>KarelBert</v>
      </c>
      <c r="U15" t="str">
        <f>Tabel158[[#This Row],[Winnaar 1]]&amp;Tabel158[[#This Row],[Winnaar 2]]</f>
        <v>LouisStef D</v>
      </c>
      <c r="V15" s="147" t="str">
        <f>IF(Tabel158[[#This Row],[Team Rood]]=Tabel158[[#This Row],[Winnaars]],Tabel158[[#This Row],[Team Rood]])</f>
        <v>LouisStef D</v>
      </c>
      <c r="W15" s="147" t="b">
        <f>IF(Tabel158[[#This Row],[Team Groen]]=Tabel158[[#This Row],[Winnaars]],Tabel158[[#This Row],[Team Groen]])</f>
        <v>0</v>
      </c>
      <c r="X15" s="147"/>
      <c r="AH15" s="251" t="s">
        <v>161</v>
      </c>
      <c r="AI15" s="233" t="s">
        <v>169</v>
      </c>
      <c r="AJ15" s="140" t="str">
        <f t="shared" si="9"/>
        <v>Louis*Stef*</v>
      </c>
      <c r="AK15" s="160">
        <f>IF(Tabel59[[#This Row],[Aantal Games Rood]]=0,0,(Tabel59[[#This Row],[Wins Rood]])/Tabel59[[#This Row],[Aantal Games Rood]])</f>
        <v>0.93333333333333335</v>
      </c>
      <c r="AL15" s="159">
        <f>IF(Tabel59[[#This Row],[Aantal Games Groen]]=0,0,(Tabel59[[#This Row],[Wins Groen]])/Tabel59[[#This Row],[Aantal Games Groen]])</f>
        <v>0.83333333333333337</v>
      </c>
      <c r="AM15" s="156">
        <f>IF(Tabel59[[#This Row],[Aantal games Alg]]=0,0,(Tabel59[[#This Row],[Wins Alg]])/Tabel59[[#This Row],[Aantal games Alg]])</f>
        <v>0.88888888888888884</v>
      </c>
      <c r="AN15" s="133">
        <f>COUNTIF(Tabel158[Winaar rood],Tabel59[[#This Row],[Team]])</f>
        <v>14</v>
      </c>
      <c r="AO15" s="134">
        <f>COUNTIF(Tabel158[Winnaar Groen],Tabel59[[#This Row],[Team]])</f>
        <v>10</v>
      </c>
      <c r="AP15" s="293">
        <f>COUNTIF(Tabel158[Winnaars],Tabel59[[#This Row],[Team]])</f>
        <v>24</v>
      </c>
      <c r="AQ15" s="135">
        <f>Tabel59[[#This Row],[Aantal Games Rood]]-Tabel59[[#This Row],[Wins Rood]]</f>
        <v>1</v>
      </c>
      <c r="AR15" s="136">
        <f>Tabel59[[#This Row],[Aantal Games Groen]]-Tabel59[[#This Row],[Wins Groen]]</f>
        <v>2</v>
      </c>
      <c r="AS15" s="137">
        <f>Tabel59[[#This Row],[Aantal games Alg]]-Tabel59[[#This Row],[Wins Alg]]</f>
        <v>3</v>
      </c>
      <c r="AT15" s="138">
        <f>COUNTIF(Tabel158[Team Rood],Tabel59[[#This Row],[Team]])</f>
        <v>15</v>
      </c>
      <c r="AU15" s="136">
        <f>COUNTIF(Tabel158[Team Groen],Tabel59[[#This Row],[Team]])</f>
        <v>12</v>
      </c>
      <c r="AV15" s="214">
        <f>Tabel59[[#This Row],[Aantal Games Rood]]+Tabel59[[#This Row],[Aantal Games Groen]]</f>
        <v>27</v>
      </c>
      <c r="AW15" s="138">
        <f>SUMIF(Tabel158[Team Rood],Tabel59[[#This Row],[Team]],Tabel158[Score])</f>
        <v>50</v>
      </c>
      <c r="AX15" s="138">
        <f>SUMIF(Tabel158[Team Rood],Tabel59[[#This Row],[Team]],Tabel158[Score2])</f>
        <v>113</v>
      </c>
      <c r="AY15" s="134">
        <f>SUMIF(Tabel158[Team Groen],Tabel59[[#This Row],[Team]],Tabel158[Score3])</f>
        <v>48</v>
      </c>
      <c r="AZ15" s="136">
        <f>SUMIF(Tabel158[Team Groen],Tabel59[[#This Row],[Team]],Tabel158[Score4])</f>
        <v>88</v>
      </c>
      <c r="BA15" s="293">
        <f>SUM(Tabel59[[#This Row],[Goals Verdediger]]+Tabel59[[#This Row],[Goals DefG]])</f>
        <v>98</v>
      </c>
      <c r="BB15" s="293">
        <f>IF(Tabel59[[#This Row],[Aantal games Alg]]=0,0,Tabel59[[#This Row],[Goals DefA]]/Tabel59[[#This Row],[Aantal games Alg]])</f>
        <v>3.6296296296296298</v>
      </c>
      <c r="BC15" s="293">
        <f>SUM(Tabel59[[#This Row],[Goals Aanvaller]]+Tabel59[[#This Row],[Goals OffG]])</f>
        <v>201</v>
      </c>
      <c r="BD15" s="293">
        <f>IF(Tabel59[[#This Row],[Aantal games Alg]]=0,0,Tabel59[[#This Row],[Goals OffA]]/Tabel59[[#This Row],[Aantal games Alg]])</f>
        <v>7.4444444444444446</v>
      </c>
      <c r="BE15" s="214">
        <f>Tabel59[[#This Row],[Goals DefA]]+Tabel59[[#This Row],[Goals OffA]]</f>
        <v>299</v>
      </c>
      <c r="BF15" s="214">
        <f>IF(Tabel59[[#This Row],[Aantal games Alg]]=0,0,Tabel59[[#This Row],[Goals Alg]]/Tabel59[[#This Row],[Aantal games Alg]])</f>
        <v>11.074074074074074</v>
      </c>
      <c r="BG15" s="148">
        <f ca="1">SUMIF(Tabel158[Team Rood],Tabel59[[#This Row],[Team]],Tabel158[ET])</f>
        <v>0</v>
      </c>
      <c r="BH15" s="150">
        <f ca="1">SUMIF(Tabel158[Team Groen],Tabel59[[#This Row],[Team]],Tabel158[ET])</f>
        <v>0</v>
      </c>
      <c r="BI15" s="153">
        <f ca="1">SUM(Tabel59[[#This Row],[ET Groen tot]],Tabel59[[#This Row],[ET Rood tot]])</f>
        <v>0</v>
      </c>
      <c r="BJ15" s="155">
        <f ca="1">IF(Tabel59[[#This Row],[Aantal games Alg]]=0,0,Tabel59[[#This Row],[ET tot]]/Tabel59[[#This Row],[Aantal games Alg]])</f>
        <v>0</v>
      </c>
    </row>
    <row r="16" spans="1:62" x14ac:dyDescent="0.25">
      <c r="A16" s="124">
        <f ca="1">IF(Tabel158[[#This Row],[Rood Verdediging]]&lt;&gt;"",IF(A16="",NOW(),A16),"")</f>
        <v>43878.947694907409</v>
      </c>
      <c r="B16" s="128">
        <f ca="1">IF(Tabel158[[#This Row],[Rood Verdediging]]&lt;&gt;"",IF(B16="",NOW(),B16),"")</f>
        <v>43878.947694907409</v>
      </c>
      <c r="C16" s="126">
        <f ca="1">IF(Tabel158[[#This Row],[Score]]&lt;&gt;"",IF(C16="",NOW(),C16),"")</f>
        <v>43878.947694907409</v>
      </c>
      <c r="D16" s="127">
        <f ca="1">IF(OR(Tabel158[[#This Row],[Starttijd]]="",Tabel158[[#This Row],[Eindtijd]]=""),"",Tabel158[[#This Row],[Eindtijd]]-Tabel158[[#This Row],[Starttijd]])</f>
        <v>0</v>
      </c>
      <c r="E16" s="74">
        <v>15</v>
      </c>
      <c r="F16" s="205" t="s">
        <v>19</v>
      </c>
      <c r="G16" s="210">
        <v>1</v>
      </c>
      <c r="H16" s="205" t="s">
        <v>7</v>
      </c>
      <c r="I16" s="210">
        <v>5</v>
      </c>
      <c r="J16" s="206" t="s">
        <v>0</v>
      </c>
      <c r="K16" s="212">
        <v>2</v>
      </c>
      <c r="L16" s="206" t="s">
        <v>6</v>
      </c>
      <c r="M16" s="212">
        <v>9</v>
      </c>
      <c r="N16" s="81">
        <f t="shared" si="0"/>
        <v>6</v>
      </c>
      <c r="O16" s="82">
        <f t="shared" si="1"/>
        <v>11</v>
      </c>
      <c r="P16" s="70" t="str">
        <f t="shared" si="2"/>
        <v>GROEN</v>
      </c>
      <c r="Q16" s="86" t="str">
        <f t="shared" si="3"/>
        <v>Jonas</v>
      </c>
      <c r="R16" s="87" t="str">
        <f t="shared" si="4"/>
        <v>Stef D</v>
      </c>
      <c r="S16" t="str">
        <f>Tabel158[[#This Row],[Rood Verdediging]]&amp;Tabel158[[#This Row],[Rood Aanval]]</f>
        <v>NicolasTiemen</v>
      </c>
      <c r="T16" t="str">
        <f>Tabel158[[#This Row],[Groen Verdediging]]&amp;Tabel158[[#This Row],[Groen Aanval]]</f>
        <v>JonasStef D</v>
      </c>
      <c r="U16" t="str">
        <f>Tabel158[[#This Row],[Winnaar 1]]&amp;Tabel158[[#This Row],[Winnaar 2]]</f>
        <v>JonasStef D</v>
      </c>
      <c r="V16" s="147" t="b">
        <f>IF(Tabel158[[#This Row],[Team Rood]]=Tabel158[[#This Row],[Winnaars]],Tabel158[[#This Row],[Team Rood]])</f>
        <v>0</v>
      </c>
      <c r="W16" s="147" t="str">
        <f>IF(Tabel158[[#This Row],[Team Groen]]=Tabel158[[#This Row],[Winnaars]],Tabel158[[#This Row],[Team Groen]])</f>
        <v>JonasStef D</v>
      </c>
      <c r="X16" s="147"/>
      <c r="AH16" s="251" t="s">
        <v>159</v>
      </c>
      <c r="AI16" s="233" t="s">
        <v>163</v>
      </c>
      <c r="AJ16" s="140" t="str">
        <f t="shared" si="9"/>
        <v>Jonas*Bert*</v>
      </c>
      <c r="AK16" s="160">
        <f>IF(Tabel59[[#This Row],[Aantal Games Rood]]=0,0,(Tabel59[[#This Row],[Wins Rood]])/Tabel59[[#This Row],[Aantal Games Rood]])</f>
        <v>1</v>
      </c>
      <c r="AL16" s="159">
        <f>IF(Tabel59[[#This Row],[Aantal Games Groen]]=0,0,(Tabel59[[#This Row],[Wins Groen]])/Tabel59[[#This Row],[Aantal Games Groen]])</f>
        <v>0.8</v>
      </c>
      <c r="AM16" s="156">
        <f>IF(Tabel59[[#This Row],[Aantal games Alg]]=0,0,(Tabel59[[#This Row],[Wins Alg]])/Tabel59[[#This Row],[Aantal games Alg]])</f>
        <v>0.8571428571428571</v>
      </c>
      <c r="AN16" s="133">
        <f>COUNTIF(Tabel158[Winaar rood],Tabel59[[#This Row],[Team]])</f>
        <v>2</v>
      </c>
      <c r="AO16" s="134">
        <f>COUNTIF(Tabel158[Winnaar Groen],Tabel59[[#This Row],[Team]])</f>
        <v>4</v>
      </c>
      <c r="AP16">
        <f>COUNTIF(Tabel158[Winnaars],Tabel59[[#This Row],[Team]])</f>
        <v>6</v>
      </c>
      <c r="AQ16" s="135">
        <f>Tabel59[[#This Row],[Aantal Games Rood]]-Tabel59[[#This Row],[Wins Rood]]</f>
        <v>0</v>
      </c>
      <c r="AR16" s="136">
        <f>Tabel59[[#This Row],[Aantal Games Groen]]-Tabel59[[#This Row],[Wins Groen]]</f>
        <v>1</v>
      </c>
      <c r="AS16" s="137">
        <f>Tabel59[[#This Row],[Aantal games Alg]]-Tabel59[[#This Row],[Wins Alg]]</f>
        <v>1</v>
      </c>
      <c r="AT16" s="138">
        <f>COUNTIF(Tabel158[Team Rood],Tabel59[[#This Row],[Team]])</f>
        <v>2</v>
      </c>
      <c r="AU16" s="136">
        <f>COUNTIF(Tabel158[Team Groen],Tabel59[[#This Row],[Team]])</f>
        <v>5</v>
      </c>
      <c r="AV16" s="112">
        <f>Tabel59[[#This Row],[Aantal Games Rood]]+Tabel59[[#This Row],[Aantal Games Groen]]</f>
        <v>7</v>
      </c>
      <c r="AW16" s="138">
        <f>SUMIF(Tabel158[Team Rood],Tabel59[[#This Row],[Team]],Tabel158[Score])</f>
        <v>7</v>
      </c>
      <c r="AX16" s="138">
        <f>SUMIF(Tabel158[Team Rood],Tabel59[[#This Row],[Team]],Tabel158[Score2])</f>
        <v>17</v>
      </c>
      <c r="AY16" s="134">
        <f>SUMIF(Tabel158[Team Groen],Tabel59[[#This Row],[Team]],Tabel158[Score3])</f>
        <v>17</v>
      </c>
      <c r="AZ16" s="136">
        <f>SUMIF(Tabel158[Team Groen],Tabel59[[#This Row],[Team]],Tabel158[Score4])</f>
        <v>38</v>
      </c>
      <c r="BA16">
        <f>SUM(Tabel59[[#This Row],[Goals Verdediger]]+Tabel59[[#This Row],[Goals DefG]])</f>
        <v>24</v>
      </c>
      <c r="BB16">
        <f>IF(Tabel59[[#This Row],[Aantal games Alg]]=0,0,Tabel59[[#This Row],[Goals DefA]]/Tabel59[[#This Row],[Aantal games Alg]])</f>
        <v>3.4285714285714284</v>
      </c>
      <c r="BC16">
        <f>SUM(Tabel59[[#This Row],[Goals Aanvaller]]+Tabel59[[#This Row],[Goals OffG]])</f>
        <v>55</v>
      </c>
      <c r="BD16">
        <f>IF(Tabel59[[#This Row],[Aantal games Alg]]=0,0,Tabel59[[#This Row],[Goals OffA]]/Tabel59[[#This Row],[Aantal games Alg]])</f>
        <v>7.8571428571428568</v>
      </c>
      <c r="BE16" s="112">
        <f>Tabel59[[#This Row],[Goals DefA]]+Tabel59[[#This Row],[Goals OffA]]</f>
        <v>79</v>
      </c>
      <c r="BF16" s="112">
        <f>IF(Tabel59[[#This Row],[Aantal games Alg]]=0,0,Tabel59[[#This Row],[Goals Alg]]/Tabel59[[#This Row],[Aantal games Alg]])</f>
        <v>11.285714285714286</v>
      </c>
      <c r="BG16" s="148">
        <f ca="1">SUMIF(Tabel158[Team Rood],Tabel59[[#This Row],[Team]],Tabel158[ET])</f>
        <v>0</v>
      </c>
      <c r="BH16" s="150">
        <f ca="1">SUMIF(Tabel158[Team Groen],Tabel59[[#This Row],[Team]],Tabel158[ET])</f>
        <v>0</v>
      </c>
      <c r="BI16" s="153">
        <f ca="1">SUM(Tabel59[[#This Row],[ET Groen tot]],Tabel59[[#This Row],[ET Rood tot]])</f>
        <v>0</v>
      </c>
      <c r="BJ16" s="155">
        <f ca="1">IF(Tabel59[[#This Row],[Aantal games Alg]]=0,0,Tabel59[[#This Row],[ET tot]]/Tabel59[[#This Row],[Aantal games Alg]])</f>
        <v>0</v>
      </c>
    </row>
    <row r="17" spans="1:62" x14ac:dyDescent="0.25">
      <c r="A17" s="124">
        <f ca="1">IF(Tabel158[[#This Row],[Rood Verdediging]]&lt;&gt;"",IF(A17="",NOW(),A17),"")</f>
        <v>43878.947694907409</v>
      </c>
      <c r="B17" s="128">
        <f ca="1">IF(Tabel158[[#This Row],[Rood Verdediging]]&lt;&gt;"",IF(B17="",NOW(),B17),"")</f>
        <v>43878.947694907409</v>
      </c>
      <c r="C17" s="126">
        <f ca="1">IF(Tabel158[[#This Row],[Score]]&lt;&gt;"",IF(C17="",NOW(),C17),"")</f>
        <v>43878.947694907409</v>
      </c>
      <c r="D17" s="127">
        <f ca="1">IF(OR(Tabel158[[#This Row],[Starttijd]]="",Tabel158[[#This Row],[Eindtijd]]=""),"",Tabel158[[#This Row],[Eindtijd]]-Tabel158[[#This Row],[Starttijd]])</f>
        <v>0</v>
      </c>
      <c r="E17" s="74">
        <v>16</v>
      </c>
      <c r="F17" s="205" t="s">
        <v>7</v>
      </c>
      <c r="G17" s="210">
        <v>0</v>
      </c>
      <c r="H17" s="205" t="s">
        <v>19</v>
      </c>
      <c r="I17" s="210">
        <v>3</v>
      </c>
      <c r="J17" s="206" t="s">
        <v>6</v>
      </c>
      <c r="K17" s="212">
        <v>4</v>
      </c>
      <c r="L17" s="206" t="s">
        <v>0</v>
      </c>
      <c r="M17" s="212">
        <v>7</v>
      </c>
      <c r="N17" s="81">
        <f t="shared" si="0"/>
        <v>3</v>
      </c>
      <c r="O17" s="82">
        <f t="shared" si="1"/>
        <v>11</v>
      </c>
      <c r="P17" s="70" t="str">
        <f t="shared" si="2"/>
        <v>GROEN</v>
      </c>
      <c r="Q17" s="86" t="str">
        <f t="shared" si="3"/>
        <v>Stef D</v>
      </c>
      <c r="R17" s="87" t="str">
        <f t="shared" si="4"/>
        <v>Jonas</v>
      </c>
      <c r="S17" t="str">
        <f>Tabel158[[#This Row],[Rood Verdediging]]&amp;Tabel158[[#This Row],[Rood Aanval]]</f>
        <v>TiemenNicolas</v>
      </c>
      <c r="T17" t="str">
        <f>Tabel158[[#This Row],[Groen Verdediging]]&amp;Tabel158[[#This Row],[Groen Aanval]]</f>
        <v>Stef DJonas</v>
      </c>
      <c r="U17" t="str">
        <f>Tabel158[[#This Row],[Winnaar 1]]&amp;Tabel158[[#This Row],[Winnaar 2]]</f>
        <v>Stef DJonas</v>
      </c>
      <c r="V17" s="147" t="b">
        <f>IF(Tabel158[[#This Row],[Team Rood]]=Tabel158[[#This Row],[Winnaars]],Tabel158[[#This Row],[Team Rood]])</f>
        <v>0</v>
      </c>
      <c r="W17" s="147" t="str">
        <f>IF(Tabel158[[#This Row],[Team Groen]]=Tabel158[[#This Row],[Winnaars]],Tabel158[[#This Row],[Team Groen]])</f>
        <v>Stef DJonas</v>
      </c>
      <c r="X17" s="147"/>
      <c r="AH17" s="251" t="s">
        <v>159</v>
      </c>
      <c r="AI17" s="233" t="s">
        <v>169</v>
      </c>
      <c r="AJ17" s="140" t="str">
        <f t="shared" si="9"/>
        <v>Jonas*Stef*</v>
      </c>
      <c r="AK17" s="160">
        <f>IF(Tabel59[[#This Row],[Aantal Games Rood]]=0,0,(Tabel59[[#This Row],[Wins Rood]])/Tabel59[[#This Row],[Aantal Games Rood]])</f>
        <v>0.88888888888888884</v>
      </c>
      <c r="AL17" s="159">
        <f>IF(Tabel59[[#This Row],[Aantal Games Groen]]=0,0,(Tabel59[[#This Row],[Wins Groen]])/Tabel59[[#This Row],[Aantal Games Groen]])</f>
        <v>0.72727272727272729</v>
      </c>
      <c r="AM17" s="156">
        <f>IF(Tabel59[[#This Row],[Aantal games Alg]]=0,0,(Tabel59[[#This Row],[Wins Alg]])/Tabel59[[#This Row],[Aantal games Alg]])</f>
        <v>0.82758620689655171</v>
      </c>
      <c r="AN17" s="133">
        <f>COUNTIF(Tabel158[Winaar rood],Tabel59[[#This Row],[Team]])</f>
        <v>16</v>
      </c>
      <c r="AO17" s="134">
        <f>COUNTIF(Tabel158[Winnaar Groen],Tabel59[[#This Row],[Team]])</f>
        <v>8</v>
      </c>
      <c r="AP17">
        <f>COUNTIF(Tabel158[Winnaars],Tabel59[[#This Row],[Team]])</f>
        <v>24</v>
      </c>
      <c r="AQ17" s="135">
        <f>Tabel59[[#This Row],[Aantal Games Rood]]-Tabel59[[#This Row],[Wins Rood]]</f>
        <v>2</v>
      </c>
      <c r="AR17" s="136">
        <f>Tabel59[[#This Row],[Aantal Games Groen]]-Tabel59[[#This Row],[Wins Groen]]</f>
        <v>3</v>
      </c>
      <c r="AS17" s="137">
        <f>Tabel59[[#This Row],[Aantal games Alg]]-Tabel59[[#This Row],[Wins Alg]]</f>
        <v>5</v>
      </c>
      <c r="AT17" s="138">
        <f>COUNTIF(Tabel158[Team Rood],Tabel59[[#This Row],[Team]])</f>
        <v>18</v>
      </c>
      <c r="AU17" s="136">
        <f>COUNTIF(Tabel158[Team Groen],Tabel59[[#This Row],[Team]])</f>
        <v>11</v>
      </c>
      <c r="AV17" s="112">
        <f>Tabel59[[#This Row],[Aantal Games Rood]]+Tabel59[[#This Row],[Aantal Games Groen]]</f>
        <v>29</v>
      </c>
      <c r="AW17" s="138">
        <f>SUMIF(Tabel158[Team Rood],Tabel59[[#This Row],[Team]],Tabel158[Score])</f>
        <v>62</v>
      </c>
      <c r="AX17" s="138">
        <f>SUMIF(Tabel158[Team Rood],Tabel59[[#This Row],[Team]],Tabel158[Score2])</f>
        <v>133</v>
      </c>
      <c r="AY17" s="134">
        <f>SUMIF(Tabel158[Team Groen],Tabel59[[#This Row],[Team]],Tabel158[Score3])</f>
        <v>43</v>
      </c>
      <c r="AZ17" s="136">
        <f>SUMIF(Tabel158[Team Groen],Tabel59[[#This Row],[Team]],Tabel158[Score4])</f>
        <v>70</v>
      </c>
      <c r="BA17">
        <f>SUM(Tabel59[[#This Row],[Goals Verdediger]]+Tabel59[[#This Row],[Goals DefG]])</f>
        <v>105</v>
      </c>
      <c r="BB17">
        <f>IF(Tabel59[[#This Row],[Aantal games Alg]]=0,0,Tabel59[[#This Row],[Goals DefA]]/Tabel59[[#This Row],[Aantal games Alg]])</f>
        <v>3.6206896551724137</v>
      </c>
      <c r="BC17">
        <f>SUM(Tabel59[[#This Row],[Goals Aanvaller]]+Tabel59[[#This Row],[Goals OffG]])</f>
        <v>203</v>
      </c>
      <c r="BD17">
        <f>IF(Tabel59[[#This Row],[Aantal games Alg]]=0,0,Tabel59[[#This Row],[Goals OffA]]/Tabel59[[#This Row],[Aantal games Alg]])</f>
        <v>7</v>
      </c>
      <c r="BE17" s="112">
        <f>Tabel59[[#This Row],[Goals DefA]]+Tabel59[[#This Row],[Goals OffA]]</f>
        <v>308</v>
      </c>
      <c r="BF17" s="112">
        <f>IF(Tabel59[[#This Row],[Aantal games Alg]]=0,0,Tabel59[[#This Row],[Goals Alg]]/Tabel59[[#This Row],[Aantal games Alg]])</f>
        <v>10.620689655172415</v>
      </c>
      <c r="BG17" s="148">
        <f ca="1">SUMIF(Tabel158[Team Rood],Tabel59[[#This Row],[Team]],Tabel158[ET])</f>
        <v>6.1203703808132559E-4</v>
      </c>
      <c r="BH17" s="150">
        <f ca="1">SUMIF(Tabel158[Team Groen],Tabel59[[#This Row],[Team]],Tabel158[ET])</f>
        <v>0</v>
      </c>
      <c r="BI17" s="153">
        <f ca="1">SUM(Tabel59[[#This Row],[ET Groen tot]],Tabel59[[#This Row],[ET Rood tot]])</f>
        <v>6.1203703808132559E-4</v>
      </c>
      <c r="BJ17" s="155">
        <f ca="1">IF(Tabel59[[#This Row],[Aantal games Alg]]=0,0,Tabel59[[#This Row],[ET tot]]/Tabel59[[#This Row],[Aantal games Alg]])</f>
        <v>2.1104725451080193E-5</v>
      </c>
    </row>
    <row r="18" spans="1:62" x14ac:dyDescent="0.25">
      <c r="A18" s="124">
        <f ca="1">IF(Tabel158[[#This Row],[Rood Verdediging]]&lt;&gt;"",IF(A18="",NOW(),A18),"")</f>
        <v>43878.947694907409</v>
      </c>
      <c r="B18" s="128">
        <f ca="1">IF(Tabel158[[#This Row],[Rood Verdediging]]&lt;&gt;"",IF(B18="",NOW(),B18),"")</f>
        <v>43878.947694907409</v>
      </c>
      <c r="C18" s="126">
        <f ca="1">IF(Tabel158[[#This Row],[Score]]&lt;&gt;"",IF(C18="",NOW(),C18),"")</f>
        <v>43878.947694907409</v>
      </c>
      <c r="D18" s="127">
        <f ca="1">IF(OR(Tabel158[[#This Row],[Starttijd]]="",Tabel158[[#This Row],[Eindtijd]]=""),"",Tabel158[[#This Row],[Eindtijd]]-Tabel158[[#This Row],[Starttijd]])</f>
        <v>0</v>
      </c>
      <c r="E18" s="74">
        <v>17</v>
      </c>
      <c r="F18" s="205" t="s">
        <v>0</v>
      </c>
      <c r="G18" s="210">
        <v>3</v>
      </c>
      <c r="H18" s="205" t="s">
        <v>7</v>
      </c>
      <c r="I18" s="210">
        <v>8</v>
      </c>
      <c r="J18" s="206" t="s">
        <v>6</v>
      </c>
      <c r="K18" s="212">
        <v>6</v>
      </c>
      <c r="L18" s="206" t="s">
        <v>19</v>
      </c>
      <c r="M18" s="212">
        <v>3</v>
      </c>
      <c r="N18" s="81">
        <f t="shared" si="0"/>
        <v>11</v>
      </c>
      <c r="O18" s="82">
        <f t="shared" si="1"/>
        <v>9</v>
      </c>
      <c r="P18" s="70" t="str">
        <f t="shared" si="2"/>
        <v>ROOD</v>
      </c>
      <c r="Q18" s="86" t="str">
        <f t="shared" si="3"/>
        <v>Jonas</v>
      </c>
      <c r="R18" s="87" t="str">
        <f t="shared" si="4"/>
        <v>Tiemen</v>
      </c>
      <c r="S18" t="str">
        <f>Tabel158[[#This Row],[Rood Verdediging]]&amp;Tabel158[[#This Row],[Rood Aanval]]</f>
        <v>JonasTiemen</v>
      </c>
      <c r="T18" t="str">
        <f>Tabel158[[#This Row],[Groen Verdediging]]&amp;Tabel158[[#This Row],[Groen Aanval]]</f>
        <v>Stef DNicolas</v>
      </c>
      <c r="U18" t="str">
        <f>Tabel158[[#This Row],[Winnaar 1]]&amp;Tabel158[[#This Row],[Winnaar 2]]</f>
        <v>JonasTiemen</v>
      </c>
      <c r="V18" s="147" t="str">
        <f>IF(Tabel158[[#This Row],[Team Rood]]=Tabel158[[#This Row],[Winnaars]],Tabel158[[#This Row],[Team Rood]])</f>
        <v>JonasTiemen</v>
      </c>
      <c r="W18" s="147" t="b">
        <f>IF(Tabel158[[#This Row],[Team Groen]]=Tabel158[[#This Row],[Winnaars]],Tabel158[[#This Row],[Team Groen]])</f>
        <v>0</v>
      </c>
      <c r="X18" s="147"/>
      <c r="AH18" s="251" t="s">
        <v>169</v>
      </c>
      <c r="AI18" s="233" t="s">
        <v>164</v>
      </c>
      <c r="AJ18" s="140" t="str">
        <f t="shared" si="9"/>
        <v>Stef*Karel*</v>
      </c>
      <c r="AK18" s="160">
        <f>IF(Tabel59[[#This Row],[Aantal Games Rood]]=0,0,(Tabel59[[#This Row],[Wins Rood]])/Tabel59[[#This Row],[Aantal Games Rood]])</f>
        <v>0.8571428571428571</v>
      </c>
      <c r="AL18" s="159">
        <f>IF(Tabel59[[#This Row],[Aantal Games Groen]]=0,0,(Tabel59[[#This Row],[Wins Groen]])/Tabel59[[#This Row],[Aantal Games Groen]])</f>
        <v>0.66666666666666663</v>
      </c>
      <c r="AM18" s="156">
        <f>IF(Tabel59[[#This Row],[Aantal games Alg]]=0,0,(Tabel59[[#This Row],[Wins Alg]])/Tabel59[[#This Row],[Aantal games Alg]])</f>
        <v>0.8</v>
      </c>
      <c r="AN18" s="133">
        <f>COUNTIF(Tabel158[Winaar rood],Tabel59[[#This Row],[Team]])</f>
        <v>12</v>
      </c>
      <c r="AO18" s="134">
        <f>COUNTIF(Tabel158[Winnaar Groen],Tabel59[[#This Row],[Team]])</f>
        <v>4</v>
      </c>
      <c r="AP18">
        <f>COUNTIF(Tabel158[Winnaars],Tabel59[[#This Row],[Team]])</f>
        <v>16</v>
      </c>
      <c r="AQ18" s="135">
        <f>Tabel59[[#This Row],[Aantal Games Rood]]-Tabel59[[#This Row],[Wins Rood]]</f>
        <v>2</v>
      </c>
      <c r="AR18" s="136">
        <f>Tabel59[[#This Row],[Aantal Games Groen]]-Tabel59[[#This Row],[Wins Groen]]</f>
        <v>2</v>
      </c>
      <c r="AS18" s="137">
        <f>Tabel59[[#This Row],[Aantal games Alg]]-Tabel59[[#This Row],[Wins Alg]]</f>
        <v>4</v>
      </c>
      <c r="AT18" s="138">
        <f>COUNTIF(Tabel158[Team Rood],Tabel59[[#This Row],[Team]])</f>
        <v>14</v>
      </c>
      <c r="AU18" s="136">
        <f>COUNTIF(Tabel158[Team Groen],Tabel59[[#This Row],[Team]])</f>
        <v>6</v>
      </c>
      <c r="AV18" s="112">
        <f>Tabel59[[#This Row],[Aantal Games Rood]]+Tabel59[[#This Row],[Aantal Games Groen]]</f>
        <v>20</v>
      </c>
      <c r="AW18" s="138">
        <f>SUMIF(Tabel158[Team Rood],Tabel59[[#This Row],[Team]],Tabel158[Score])</f>
        <v>40</v>
      </c>
      <c r="AX18" s="138">
        <f>SUMIF(Tabel158[Team Rood],Tabel59[[#This Row],[Team]],Tabel158[Score2])</f>
        <v>111</v>
      </c>
      <c r="AY18" s="134">
        <f>SUMIF(Tabel158[Team Groen],Tabel59[[#This Row],[Team]],Tabel158[Score3])</f>
        <v>19</v>
      </c>
      <c r="AZ18" s="136">
        <f>SUMIF(Tabel158[Team Groen],Tabel59[[#This Row],[Team]],Tabel158[Score4])</f>
        <v>41</v>
      </c>
      <c r="BA18">
        <f>SUM(Tabel59[[#This Row],[Goals Verdediger]]+Tabel59[[#This Row],[Goals DefG]])</f>
        <v>59</v>
      </c>
      <c r="BB18">
        <f>IF(Tabel59[[#This Row],[Aantal games Alg]]=0,0,Tabel59[[#This Row],[Goals DefA]]/Tabel59[[#This Row],[Aantal games Alg]])</f>
        <v>2.95</v>
      </c>
      <c r="BC18">
        <f>SUM(Tabel59[[#This Row],[Goals Aanvaller]]+Tabel59[[#This Row],[Goals OffG]])</f>
        <v>152</v>
      </c>
      <c r="BD18">
        <f>IF(Tabel59[[#This Row],[Aantal games Alg]]=0,0,Tabel59[[#This Row],[Goals OffA]]/Tabel59[[#This Row],[Aantal games Alg]])</f>
        <v>7.6</v>
      </c>
      <c r="BE18" s="112">
        <f>Tabel59[[#This Row],[Goals DefA]]+Tabel59[[#This Row],[Goals OffA]]</f>
        <v>211</v>
      </c>
      <c r="BF18" s="112">
        <f>IF(Tabel59[[#This Row],[Aantal games Alg]]=0,0,Tabel59[[#This Row],[Goals Alg]]/Tabel59[[#This Row],[Aantal games Alg]])</f>
        <v>10.55</v>
      </c>
      <c r="BG18" s="148">
        <f ca="1">SUMIF(Tabel158[Team Rood],Tabel59[[#This Row],[Team]],Tabel158[ET])</f>
        <v>0</v>
      </c>
      <c r="BH18" s="150">
        <f ca="1">SUMIF(Tabel158[Team Groen],Tabel59[[#This Row],[Team]],Tabel158[ET])</f>
        <v>0</v>
      </c>
      <c r="BI18" s="153">
        <f ca="1">SUM(Tabel59[[#This Row],[ET Groen tot]],Tabel59[[#This Row],[ET Rood tot]])</f>
        <v>0</v>
      </c>
      <c r="BJ18" s="155">
        <f ca="1">IF(Tabel59[[#This Row],[Aantal games Alg]]=0,0,Tabel59[[#This Row],[ET tot]]/Tabel59[[#This Row],[Aantal games Alg]])</f>
        <v>0</v>
      </c>
    </row>
    <row r="19" spans="1:62" x14ac:dyDescent="0.25">
      <c r="A19" s="124">
        <f ca="1">IF(Tabel158[[#This Row],[Rood Verdediging]]&lt;&gt;"",IF(A19="",NOW(),A19),"")</f>
        <v>43878.947694907409</v>
      </c>
      <c r="B19" s="128">
        <f ca="1">IF(Tabel158[[#This Row],[Rood Verdediging]]&lt;&gt;"",IF(B19="",NOW(),B19),"")</f>
        <v>43878.947694907409</v>
      </c>
      <c r="C19" s="126">
        <f ca="1">IF(Tabel158[[#This Row],[Score]]&lt;&gt;"",IF(C19="",NOW(),C19),"")</f>
        <v>43878.947694907409</v>
      </c>
      <c r="D19" s="127">
        <f ca="1">IF(OR(Tabel158[[#This Row],[Starttijd]]="",Tabel158[[#This Row],[Eindtijd]]=""),"",Tabel158[[#This Row],[Eindtijd]]-Tabel158[[#This Row],[Starttijd]])</f>
        <v>0</v>
      </c>
      <c r="E19" s="74">
        <v>18</v>
      </c>
      <c r="F19" s="205" t="s">
        <v>8</v>
      </c>
      <c r="G19" s="210">
        <v>3</v>
      </c>
      <c r="H19" s="205" t="s">
        <v>7</v>
      </c>
      <c r="I19" s="210">
        <v>8</v>
      </c>
      <c r="J19" s="206" t="s">
        <v>19</v>
      </c>
      <c r="K19" s="212">
        <v>2</v>
      </c>
      <c r="L19" s="206" t="s">
        <v>6</v>
      </c>
      <c r="M19" s="212">
        <v>11</v>
      </c>
      <c r="N19" s="81">
        <f t="shared" si="0"/>
        <v>11</v>
      </c>
      <c r="O19" s="82">
        <f t="shared" si="1"/>
        <v>13</v>
      </c>
      <c r="P19" s="70" t="str">
        <f t="shared" si="2"/>
        <v>GROEN</v>
      </c>
      <c r="Q19" s="86" t="str">
        <f t="shared" si="3"/>
        <v>Nicolas</v>
      </c>
      <c r="R19" s="87" t="str">
        <f t="shared" si="4"/>
        <v>Stef D</v>
      </c>
      <c r="S19" t="str">
        <f>Tabel158[[#This Row],[Rood Verdediging]]&amp;Tabel158[[#This Row],[Rood Aanval]]</f>
        <v>LouisTiemen</v>
      </c>
      <c r="T19" t="str">
        <f>Tabel158[[#This Row],[Groen Verdediging]]&amp;Tabel158[[#This Row],[Groen Aanval]]</f>
        <v>NicolasStef D</v>
      </c>
      <c r="U19" t="str">
        <f>Tabel158[[#This Row],[Winnaar 1]]&amp;Tabel158[[#This Row],[Winnaar 2]]</f>
        <v>NicolasStef D</v>
      </c>
      <c r="V19" s="147" t="b">
        <f>IF(Tabel158[[#This Row],[Team Rood]]=Tabel158[[#This Row],[Winnaars]],Tabel158[[#This Row],[Team Rood]])</f>
        <v>0</v>
      </c>
      <c r="W19" s="147" t="str">
        <f>IF(Tabel158[[#This Row],[Team Groen]]=Tabel158[[#This Row],[Winnaars]],Tabel158[[#This Row],[Team Groen]])</f>
        <v>NicolasStef D</v>
      </c>
      <c r="X19" s="147"/>
      <c r="AH19" s="251" t="s">
        <v>164</v>
      </c>
      <c r="AI19" s="233" t="s">
        <v>169</v>
      </c>
      <c r="AJ19" s="140" t="str">
        <f t="shared" si="9"/>
        <v>Karel*Stef*</v>
      </c>
      <c r="AK19" s="160">
        <f>IF(Tabel59[[#This Row],[Aantal Games Rood]]=0,0,(Tabel59[[#This Row],[Wins Rood]])/Tabel59[[#This Row],[Aantal Games Rood]])</f>
        <v>0.69230769230769229</v>
      </c>
      <c r="AL19" s="159">
        <f>IF(Tabel59[[#This Row],[Aantal Games Groen]]=0,0,(Tabel59[[#This Row],[Wins Groen]])/Tabel59[[#This Row],[Aantal Games Groen]])</f>
        <v>0.90909090909090906</v>
      </c>
      <c r="AM19" s="156">
        <f>IF(Tabel59[[#This Row],[Aantal games Alg]]=0,0,(Tabel59[[#This Row],[Wins Alg]])/Tabel59[[#This Row],[Aantal games Alg]])</f>
        <v>0.79166666666666663</v>
      </c>
      <c r="AN19" s="133">
        <f>COUNTIF(Tabel158[Winaar rood],Tabel59[[#This Row],[Team]])</f>
        <v>9</v>
      </c>
      <c r="AO19" s="134">
        <f>COUNTIF(Tabel158[Winnaar Groen],Tabel59[[#This Row],[Team]])</f>
        <v>10</v>
      </c>
      <c r="AP19">
        <f>COUNTIF(Tabel158[Winnaars],Tabel59[[#This Row],[Team]])</f>
        <v>19</v>
      </c>
      <c r="AQ19" s="135">
        <f>Tabel59[[#This Row],[Aantal Games Rood]]-Tabel59[[#This Row],[Wins Rood]]</f>
        <v>4</v>
      </c>
      <c r="AR19" s="136">
        <f>Tabel59[[#This Row],[Aantal Games Groen]]-Tabel59[[#This Row],[Wins Groen]]</f>
        <v>1</v>
      </c>
      <c r="AS19" s="137">
        <f>Tabel59[[#This Row],[Aantal games Alg]]-Tabel59[[#This Row],[Wins Alg]]</f>
        <v>5</v>
      </c>
      <c r="AT19" s="138">
        <f>COUNTIF(Tabel158[Team Rood],Tabel59[[#This Row],[Team]])</f>
        <v>13</v>
      </c>
      <c r="AU19" s="136">
        <f>COUNTIF(Tabel158[Team Groen],Tabel59[[#This Row],[Team]])</f>
        <v>11</v>
      </c>
      <c r="AV19" s="214">
        <f>Tabel59[[#This Row],[Aantal Games Rood]]+Tabel59[[#This Row],[Aantal Games Groen]]</f>
        <v>24</v>
      </c>
      <c r="AW19" s="138">
        <f>SUMIF(Tabel158[Team Rood],Tabel59[[#This Row],[Team]],Tabel158[Score])</f>
        <v>41</v>
      </c>
      <c r="AX19" s="138">
        <f>SUMIF(Tabel158[Team Rood],Tabel59[[#This Row],[Team]],Tabel158[Score2])</f>
        <v>101</v>
      </c>
      <c r="AY19" s="134">
        <f>SUMIF(Tabel158[Team Groen],Tabel59[[#This Row],[Team]],Tabel158[Score3])</f>
        <v>40</v>
      </c>
      <c r="AZ19" s="136">
        <f>SUMIF(Tabel158[Team Groen],Tabel59[[#This Row],[Team]],Tabel158[Score4])</f>
        <v>80</v>
      </c>
      <c r="BA19">
        <f>SUM(Tabel59[[#This Row],[Goals Verdediger]]+Tabel59[[#This Row],[Goals DefG]])</f>
        <v>81</v>
      </c>
      <c r="BB19">
        <f>IF(Tabel59[[#This Row],[Aantal games Alg]]=0,0,Tabel59[[#This Row],[Goals DefA]]/Tabel59[[#This Row],[Aantal games Alg]])</f>
        <v>3.375</v>
      </c>
      <c r="BC19">
        <f>SUM(Tabel59[[#This Row],[Goals Aanvaller]]+Tabel59[[#This Row],[Goals OffG]])</f>
        <v>181</v>
      </c>
      <c r="BD19">
        <f>IF(Tabel59[[#This Row],[Aantal games Alg]]=0,0,Tabel59[[#This Row],[Goals OffA]]/Tabel59[[#This Row],[Aantal games Alg]])</f>
        <v>7.541666666666667</v>
      </c>
      <c r="BE19" s="112">
        <f>Tabel59[[#This Row],[Goals DefA]]+Tabel59[[#This Row],[Goals OffA]]</f>
        <v>262</v>
      </c>
      <c r="BF19" s="112">
        <f>IF(Tabel59[[#This Row],[Aantal games Alg]]=0,0,Tabel59[[#This Row],[Goals Alg]]/Tabel59[[#This Row],[Aantal games Alg]])</f>
        <v>10.916666666666666</v>
      </c>
      <c r="BG19" s="148">
        <f ca="1">SUMIF(Tabel158[Team Rood],Tabel59[[#This Row],[Team]],Tabel158[ET])</f>
        <v>0</v>
      </c>
      <c r="BH19" s="150">
        <f ca="1">SUMIF(Tabel158[Team Groen],Tabel59[[#This Row],[Team]],Tabel158[ET])</f>
        <v>0</v>
      </c>
      <c r="BI19" s="153">
        <f ca="1">SUM(Tabel59[[#This Row],[ET Groen tot]],Tabel59[[#This Row],[ET Rood tot]])</f>
        <v>0</v>
      </c>
      <c r="BJ19" s="155">
        <f ca="1">IF(Tabel59[[#This Row],[Aantal games Alg]]=0,0,Tabel59[[#This Row],[ET tot]]/Tabel59[[#This Row],[Aantal games Alg]])</f>
        <v>0</v>
      </c>
    </row>
    <row r="20" spans="1:62" x14ac:dyDescent="0.25">
      <c r="A20" s="124">
        <f ca="1">IF(Tabel158[[#This Row],[Rood Verdediging]]&lt;&gt;"",IF(A20="",NOW(),A20),"")</f>
        <v>43878.947694907409</v>
      </c>
      <c r="B20" s="128">
        <f ca="1">IF(Tabel158[[#This Row],[Rood Verdediging]]&lt;&gt;"",IF(B20="",NOW(),B20),"")</f>
        <v>43878.947694907409</v>
      </c>
      <c r="C20" s="126">
        <f ca="1">IF(Tabel158[[#This Row],[Score]]&lt;&gt;"",IF(C20="",NOW(),C20),"")</f>
        <v>43878.947694907409</v>
      </c>
      <c r="D20" s="127">
        <f ca="1">IF(OR(Tabel158[[#This Row],[Starttijd]]="",Tabel158[[#This Row],[Eindtijd]]=""),"",Tabel158[[#This Row],[Eindtijd]]-Tabel158[[#This Row],[Starttijd]])</f>
        <v>0</v>
      </c>
      <c r="E20" s="74">
        <v>19</v>
      </c>
      <c r="F20" s="205" t="s">
        <v>19</v>
      </c>
      <c r="G20" s="210">
        <v>1</v>
      </c>
      <c r="H20" s="205" t="s">
        <v>6</v>
      </c>
      <c r="I20" s="210">
        <v>8</v>
      </c>
      <c r="J20" s="206" t="s">
        <v>7</v>
      </c>
      <c r="K20" s="212">
        <v>2</v>
      </c>
      <c r="L20" s="206" t="s">
        <v>0</v>
      </c>
      <c r="M20" s="212">
        <v>9</v>
      </c>
      <c r="N20" s="81">
        <f t="shared" si="0"/>
        <v>9</v>
      </c>
      <c r="O20" s="82">
        <f t="shared" si="1"/>
        <v>11</v>
      </c>
      <c r="P20" s="70" t="str">
        <f t="shared" si="2"/>
        <v>GROEN</v>
      </c>
      <c r="Q20" s="86" t="str">
        <f t="shared" si="3"/>
        <v>Tiemen</v>
      </c>
      <c r="R20" s="87" t="str">
        <f t="shared" si="4"/>
        <v>Jonas</v>
      </c>
      <c r="S20" t="str">
        <f>Tabel158[[#This Row],[Rood Verdediging]]&amp;Tabel158[[#This Row],[Rood Aanval]]</f>
        <v>NicolasStef D</v>
      </c>
      <c r="T20" t="str">
        <f>Tabel158[[#This Row],[Groen Verdediging]]&amp;Tabel158[[#This Row],[Groen Aanval]]</f>
        <v>TiemenJonas</v>
      </c>
      <c r="U20" t="str">
        <f>Tabel158[[#This Row],[Winnaar 1]]&amp;Tabel158[[#This Row],[Winnaar 2]]</f>
        <v>TiemenJonas</v>
      </c>
      <c r="V20" s="147" t="b">
        <f>IF(Tabel158[[#This Row],[Team Rood]]=Tabel158[[#This Row],[Winnaars]],Tabel158[[#This Row],[Team Rood]])</f>
        <v>0</v>
      </c>
      <c r="W20" s="147" t="str">
        <f>IF(Tabel158[[#This Row],[Team Groen]]=Tabel158[[#This Row],[Winnaars]],Tabel158[[#This Row],[Team Groen]])</f>
        <v>TiemenJonas</v>
      </c>
      <c r="X20" s="147"/>
      <c r="AH20" s="251" t="s">
        <v>158</v>
      </c>
      <c r="AI20" s="233" t="s">
        <v>169</v>
      </c>
      <c r="AJ20" s="140" t="str">
        <f t="shared" si="9"/>
        <v>Arno*Stef*</v>
      </c>
      <c r="AK20" s="160">
        <f>IF(Tabel59[[#This Row],[Aantal Games Rood]]=0,0,(Tabel59[[#This Row],[Wins Rood]])/Tabel59[[#This Row],[Aantal Games Rood]])</f>
        <v>0.7142857142857143</v>
      </c>
      <c r="AL20" s="159">
        <f>IF(Tabel59[[#This Row],[Aantal Games Groen]]=0,0,(Tabel59[[#This Row],[Wins Groen]])/Tabel59[[#This Row],[Aantal Games Groen]])</f>
        <v>1</v>
      </c>
      <c r="AM20" s="156">
        <f>IF(Tabel59[[#This Row],[Aantal games Alg]]=0,0,(Tabel59[[#This Row],[Wins Alg]])/Tabel59[[#This Row],[Aantal games Alg]])</f>
        <v>0.77777777777777779</v>
      </c>
      <c r="AN20" s="138">
        <f>COUNTIF(Tabel158[Winaar rood],Tabel59[[#This Row],[Team]])</f>
        <v>5</v>
      </c>
      <c r="AO20" s="134">
        <f>COUNTIF(Tabel158[Winnaar Groen],Tabel59[[#This Row],[Team]])</f>
        <v>2</v>
      </c>
      <c r="AP20">
        <f>COUNTIF(Tabel158[Winnaars],Tabel59[[#This Row],[Team]])</f>
        <v>7</v>
      </c>
      <c r="AQ20" s="135">
        <f>Tabel59[[#This Row],[Aantal Games Rood]]-Tabel59[[#This Row],[Wins Rood]]</f>
        <v>2</v>
      </c>
      <c r="AR20" s="136">
        <f>Tabel59[[#This Row],[Aantal Games Groen]]-Tabel59[[#This Row],[Wins Groen]]</f>
        <v>0</v>
      </c>
      <c r="AS20" s="137">
        <f>Tabel59[[#This Row],[Aantal games Alg]]-Tabel59[[#This Row],[Wins Alg]]</f>
        <v>2</v>
      </c>
      <c r="AT20" s="138">
        <f>COUNTIF(Tabel158[Team Rood],Tabel59[[#This Row],[Team]])</f>
        <v>7</v>
      </c>
      <c r="AU20" s="136">
        <f>COUNTIF(Tabel158[Team Groen],Tabel59[[#This Row],[Team]])</f>
        <v>2</v>
      </c>
      <c r="AV20" s="112">
        <f>Tabel59[[#This Row],[Aantal Games Rood]]+Tabel59[[#This Row],[Aantal Games Groen]]</f>
        <v>9</v>
      </c>
      <c r="AW20" s="138">
        <f>SUMIF(Tabel158[Team Rood],Tabel59[[#This Row],[Team]],Tabel158[Score])</f>
        <v>37</v>
      </c>
      <c r="AX20" s="138">
        <f>SUMIF(Tabel158[Team Rood],Tabel59[[#This Row],[Team]],Tabel158[Score2])</f>
        <v>38</v>
      </c>
      <c r="AY20" s="134">
        <f>SUMIF(Tabel158[Team Groen],Tabel59[[#This Row],[Team]],Tabel158[Score3])</f>
        <v>14</v>
      </c>
      <c r="AZ20" s="136">
        <f>SUMIF(Tabel158[Team Groen],Tabel59[[#This Row],[Team]],Tabel158[Score4])</f>
        <v>8</v>
      </c>
      <c r="BA20">
        <f>SUM(Tabel59[[#This Row],[Goals Verdediger]]+Tabel59[[#This Row],[Goals DefG]])</f>
        <v>51</v>
      </c>
      <c r="BB20">
        <f>IF(Tabel59[[#This Row],[Aantal games Alg]]=0,0,Tabel59[[#This Row],[Goals DefA]]/Tabel59[[#This Row],[Aantal games Alg]])</f>
        <v>5.666666666666667</v>
      </c>
      <c r="BC20">
        <f>SUM(Tabel59[[#This Row],[Goals Aanvaller]]+Tabel59[[#This Row],[Goals OffG]])</f>
        <v>46</v>
      </c>
      <c r="BD20">
        <f>IF(Tabel59[[#This Row],[Aantal games Alg]]=0,0,Tabel59[[#This Row],[Goals OffA]]/Tabel59[[#This Row],[Aantal games Alg]])</f>
        <v>5.1111111111111107</v>
      </c>
      <c r="BE20" s="112">
        <f>Tabel59[[#This Row],[Goals DefA]]+Tabel59[[#This Row],[Goals OffA]]</f>
        <v>97</v>
      </c>
      <c r="BF20" s="112">
        <f>IF(Tabel59[[#This Row],[Aantal games Alg]]=0,0,Tabel59[[#This Row],[Goals Alg]]/Tabel59[[#This Row],[Aantal games Alg]])</f>
        <v>10.777777777777779</v>
      </c>
      <c r="BG20" s="148">
        <f ca="1">SUMIF(Tabel158[Team Rood],Tabel59[[#This Row],[Team]],Tabel158[ET])</f>
        <v>0</v>
      </c>
      <c r="BH20" s="150">
        <f ca="1">SUMIF(Tabel158[Team Groen],Tabel59[[#This Row],[Team]],Tabel158[ET])</f>
        <v>0</v>
      </c>
      <c r="BI20" s="153">
        <f ca="1">SUM(Tabel59[[#This Row],[ET Groen tot]],Tabel59[[#This Row],[ET Rood tot]])</f>
        <v>0</v>
      </c>
      <c r="BJ20" s="155">
        <f ca="1">IF(Tabel59[[#This Row],[Aantal games Alg]]=0,0,Tabel59[[#This Row],[ET tot]]/Tabel59[[#This Row],[Aantal games Alg]])</f>
        <v>0</v>
      </c>
    </row>
    <row r="21" spans="1:62" x14ac:dyDescent="0.25">
      <c r="A21" s="124">
        <f ca="1">IF(Tabel158[[#This Row],[Rood Verdediging]]&lt;&gt;"",IF(A21="",NOW(),A21),"")</f>
        <v>43878.947694907409</v>
      </c>
      <c r="B21" s="128">
        <f ca="1">IF(Tabel158[[#This Row],[Rood Verdediging]]&lt;&gt;"",IF(B21="",NOW(),B21),"")</f>
        <v>43878.947694907409</v>
      </c>
      <c r="C21" s="126">
        <f ca="1">IF(Tabel158[[#This Row],[Score]]&lt;&gt;"",IF(C21="",NOW(),C21),"")</f>
        <v>43878.947694907409</v>
      </c>
      <c r="D21" s="127">
        <f ca="1">IF(OR(Tabel158[[#This Row],[Starttijd]]="",Tabel158[[#This Row],[Eindtijd]]=""),"",Tabel158[[#This Row],[Eindtijd]]-Tabel158[[#This Row],[Starttijd]])</f>
        <v>0</v>
      </c>
      <c r="E21" s="74">
        <v>20</v>
      </c>
      <c r="F21" s="205" t="s">
        <v>7</v>
      </c>
      <c r="G21" s="210">
        <v>4</v>
      </c>
      <c r="H21" s="205" t="s">
        <v>6</v>
      </c>
      <c r="I21" s="210">
        <v>7</v>
      </c>
      <c r="J21" s="206" t="s">
        <v>0</v>
      </c>
      <c r="K21" s="212">
        <v>1</v>
      </c>
      <c r="L21" s="206" t="s">
        <v>19</v>
      </c>
      <c r="M21" s="212">
        <v>0</v>
      </c>
      <c r="N21" s="81">
        <f t="shared" si="0"/>
        <v>11</v>
      </c>
      <c r="O21" s="82">
        <f t="shared" si="1"/>
        <v>1</v>
      </c>
      <c r="P21" s="70" t="str">
        <f t="shared" si="2"/>
        <v>ROOD</v>
      </c>
      <c r="Q21" s="86" t="str">
        <f t="shared" si="3"/>
        <v>Tiemen</v>
      </c>
      <c r="R21" s="87" t="str">
        <f t="shared" si="4"/>
        <v>Stef D</v>
      </c>
      <c r="S21" t="str">
        <f>Tabel158[[#This Row],[Rood Verdediging]]&amp;Tabel158[[#This Row],[Rood Aanval]]</f>
        <v>TiemenStef D</v>
      </c>
      <c r="T21" t="str">
        <f>Tabel158[[#This Row],[Groen Verdediging]]&amp;Tabel158[[#This Row],[Groen Aanval]]</f>
        <v>JonasNicolas</v>
      </c>
      <c r="U21" t="str">
        <f>Tabel158[[#This Row],[Winnaar 1]]&amp;Tabel158[[#This Row],[Winnaar 2]]</f>
        <v>TiemenStef D</v>
      </c>
      <c r="V21" s="147" t="str">
        <f>IF(Tabel158[[#This Row],[Team Rood]]=Tabel158[[#This Row],[Winnaars]],Tabel158[[#This Row],[Team Rood]])</f>
        <v>TiemenStef D</v>
      </c>
      <c r="W21" s="147" t="b">
        <f>IF(Tabel158[[#This Row],[Team Groen]]=Tabel158[[#This Row],[Winnaars]],Tabel158[[#This Row],[Team Groen]])</f>
        <v>0</v>
      </c>
      <c r="X21" s="147"/>
      <c r="AH21" s="251" t="s">
        <v>169</v>
      </c>
      <c r="AI21" s="233" t="s">
        <v>161</v>
      </c>
      <c r="AJ21" s="140" t="str">
        <f t="shared" si="9"/>
        <v>Stef*Louis*</v>
      </c>
      <c r="AK21" s="160">
        <f>IF(Tabel59[[#This Row],[Aantal Games Rood]]=0,0,(Tabel59[[#This Row],[Wins Rood]])/Tabel59[[#This Row],[Aantal Games Rood]])</f>
        <v>0.8</v>
      </c>
      <c r="AL21" s="159">
        <f>IF(Tabel59[[#This Row],[Aantal Games Groen]]=0,0,(Tabel59[[#This Row],[Wins Groen]])/Tabel59[[#This Row],[Aantal Games Groen]])</f>
        <v>0.75</v>
      </c>
      <c r="AM21" s="156">
        <f>IF(Tabel59[[#This Row],[Aantal games Alg]]=0,0,(Tabel59[[#This Row],[Wins Alg]])/Tabel59[[#This Row],[Aantal games Alg]])</f>
        <v>0.77777777777777779</v>
      </c>
      <c r="AN21" s="133">
        <f>COUNTIF(Tabel158[Winaar rood],Tabel59[[#This Row],[Team]])</f>
        <v>4</v>
      </c>
      <c r="AO21" s="134">
        <f>COUNTIF(Tabel158[Winnaar Groen],Tabel59[[#This Row],[Team]])</f>
        <v>3</v>
      </c>
      <c r="AP21">
        <f>COUNTIF(Tabel158[Winnaars],Tabel59[[#This Row],[Team]])</f>
        <v>7</v>
      </c>
      <c r="AQ21" s="135">
        <f>Tabel59[[#This Row],[Aantal Games Rood]]-Tabel59[[#This Row],[Wins Rood]]</f>
        <v>1</v>
      </c>
      <c r="AR21" s="136">
        <f>Tabel59[[#This Row],[Aantal Games Groen]]-Tabel59[[#This Row],[Wins Groen]]</f>
        <v>1</v>
      </c>
      <c r="AS21" s="137">
        <f>Tabel59[[#This Row],[Aantal games Alg]]-Tabel59[[#This Row],[Wins Alg]]</f>
        <v>2</v>
      </c>
      <c r="AT21" s="138">
        <f>COUNTIF(Tabel158[Team Rood],Tabel59[[#This Row],[Team]])</f>
        <v>5</v>
      </c>
      <c r="AU21" s="136">
        <f>COUNTIF(Tabel158[Team Groen],Tabel59[[#This Row],[Team]])</f>
        <v>4</v>
      </c>
      <c r="AV21" s="112">
        <f>Tabel59[[#This Row],[Aantal Games Rood]]+Tabel59[[#This Row],[Aantal Games Groen]]</f>
        <v>9</v>
      </c>
      <c r="AW21" s="138">
        <f>SUMIF(Tabel158[Team Rood],Tabel59[[#This Row],[Team]],Tabel158[Score])</f>
        <v>33</v>
      </c>
      <c r="AX21" s="138">
        <f>SUMIF(Tabel158[Team Rood],Tabel59[[#This Row],[Team]],Tabel158[Score2])</f>
        <v>18</v>
      </c>
      <c r="AY21" s="134">
        <f>SUMIF(Tabel158[Team Groen],Tabel59[[#This Row],[Team]],Tabel158[Score3])</f>
        <v>20</v>
      </c>
      <c r="AZ21" s="136">
        <f>SUMIF(Tabel158[Team Groen],Tabel59[[#This Row],[Team]],Tabel158[Score4])</f>
        <v>23</v>
      </c>
      <c r="BA21">
        <f>SUM(Tabel59[[#This Row],[Goals Verdediger]]+Tabel59[[#This Row],[Goals DefG]])</f>
        <v>53</v>
      </c>
      <c r="BB21">
        <f>IF(Tabel59[[#This Row],[Aantal games Alg]]=0,0,Tabel59[[#This Row],[Goals DefA]]/Tabel59[[#This Row],[Aantal games Alg]])</f>
        <v>5.8888888888888893</v>
      </c>
      <c r="BC21">
        <f>SUM(Tabel59[[#This Row],[Goals Aanvaller]]+Tabel59[[#This Row],[Goals OffG]])</f>
        <v>41</v>
      </c>
      <c r="BD21">
        <f>IF(Tabel59[[#This Row],[Aantal games Alg]]=0,0,Tabel59[[#This Row],[Goals OffA]]/Tabel59[[#This Row],[Aantal games Alg]])</f>
        <v>4.5555555555555554</v>
      </c>
      <c r="BE21" s="112">
        <f>Tabel59[[#This Row],[Goals DefA]]+Tabel59[[#This Row],[Goals OffA]]</f>
        <v>94</v>
      </c>
      <c r="BF21" s="112">
        <f>IF(Tabel59[[#This Row],[Aantal games Alg]]=0,0,Tabel59[[#This Row],[Goals Alg]]/Tabel59[[#This Row],[Aantal games Alg]])</f>
        <v>10.444444444444445</v>
      </c>
      <c r="BG21" s="148">
        <f ca="1">SUMIF(Tabel158[Team Rood],Tabel59[[#This Row],[Team]],Tabel158[ET])</f>
        <v>0</v>
      </c>
      <c r="BH21" s="150">
        <f ca="1">SUMIF(Tabel158[Team Groen],Tabel59[[#This Row],[Team]],Tabel158[ET])</f>
        <v>0</v>
      </c>
      <c r="BI21" s="153">
        <f ca="1">SUM(Tabel59[[#This Row],[ET Groen tot]],Tabel59[[#This Row],[ET Rood tot]])</f>
        <v>0</v>
      </c>
      <c r="BJ21" s="155">
        <f ca="1">IF(Tabel59[[#This Row],[Aantal games Alg]]=0,0,Tabel59[[#This Row],[ET tot]]/Tabel59[[#This Row],[Aantal games Alg]])</f>
        <v>0</v>
      </c>
    </row>
    <row r="22" spans="1:62" x14ac:dyDescent="0.25">
      <c r="A22" s="124">
        <f ca="1">IF(Tabel158[[#This Row],[Rood Verdediging]]&lt;&gt;"",IF(A22="",NOW(),A22),"")</f>
        <v>43878.947694907409</v>
      </c>
      <c r="B22" s="128">
        <f ca="1">IF(Tabel158[[#This Row],[Rood Verdediging]]&lt;&gt;"",IF(B22="",NOW(),B22),"")</f>
        <v>43878.947694907409</v>
      </c>
      <c r="C22" s="126">
        <f ca="1">IF(Tabel158[[#This Row],[Score]]&lt;&gt;"",IF(C22="",NOW(),C22),"")</f>
        <v>43878.947694907409</v>
      </c>
      <c r="D22" s="127">
        <f ca="1">IF(OR(Tabel158[[#This Row],[Starttijd]]="",Tabel158[[#This Row],[Eindtijd]]=""),"",Tabel158[[#This Row],[Eindtijd]]-Tabel158[[#This Row],[Starttijd]])</f>
        <v>0</v>
      </c>
      <c r="E22" s="74">
        <v>21</v>
      </c>
      <c r="F22" s="205" t="s">
        <v>6</v>
      </c>
      <c r="G22" s="210">
        <v>2</v>
      </c>
      <c r="H22" s="205" t="s">
        <v>7</v>
      </c>
      <c r="I22" s="210">
        <v>7</v>
      </c>
      <c r="J22" s="206" t="s">
        <v>0</v>
      </c>
      <c r="K22" s="212">
        <v>4</v>
      </c>
      <c r="L22" s="206" t="s">
        <v>13</v>
      </c>
      <c r="M22" s="212">
        <v>7</v>
      </c>
      <c r="N22" s="81">
        <f t="shared" si="0"/>
        <v>9</v>
      </c>
      <c r="O22" s="82">
        <f t="shared" si="1"/>
        <v>11</v>
      </c>
      <c r="P22" s="70" t="str">
        <f t="shared" si="2"/>
        <v>GROEN</v>
      </c>
      <c r="Q22" s="86" t="str">
        <f t="shared" si="3"/>
        <v>Jonas</v>
      </c>
      <c r="R22" s="87" t="str">
        <f t="shared" si="4"/>
        <v>Bert</v>
      </c>
      <c r="S22" t="str">
        <f>Tabel158[[#This Row],[Rood Verdediging]]&amp;Tabel158[[#This Row],[Rood Aanval]]</f>
        <v>Stef DTiemen</v>
      </c>
      <c r="T22" t="str">
        <f>Tabel158[[#This Row],[Groen Verdediging]]&amp;Tabel158[[#This Row],[Groen Aanval]]</f>
        <v>JonasBert</v>
      </c>
      <c r="U22" t="str">
        <f>Tabel158[[#This Row],[Winnaar 1]]&amp;Tabel158[[#This Row],[Winnaar 2]]</f>
        <v>JonasBert</v>
      </c>
      <c r="V22" s="147" t="b">
        <f>IF(Tabel158[[#This Row],[Team Rood]]=Tabel158[[#This Row],[Winnaars]],Tabel158[[#This Row],[Team Rood]])</f>
        <v>0</v>
      </c>
      <c r="W22" s="147" t="str">
        <f>IF(Tabel158[[#This Row],[Team Groen]]=Tabel158[[#This Row],[Winnaars]],Tabel158[[#This Row],[Team Groen]])</f>
        <v>JonasBert</v>
      </c>
      <c r="X22" s="147"/>
      <c r="AH22" s="251" t="s">
        <v>161</v>
      </c>
      <c r="AI22" s="233" t="s">
        <v>160</v>
      </c>
      <c r="AJ22" s="140" t="str">
        <f t="shared" si="9"/>
        <v>Louis*Tiemen*</v>
      </c>
      <c r="AK22" s="160">
        <f>IF(Tabel59[[#This Row],[Aantal Games Rood]]=0,0,(Tabel59[[#This Row],[Wins Rood]])/Tabel59[[#This Row],[Aantal Games Rood]])</f>
        <v>0.66666666666666663</v>
      </c>
      <c r="AL22" s="159">
        <f>IF(Tabel59[[#This Row],[Aantal Games Groen]]=0,0,(Tabel59[[#This Row],[Wins Groen]])/Tabel59[[#This Row],[Aantal Games Groen]])</f>
        <v>1</v>
      </c>
      <c r="AM22" s="156">
        <f>IF(Tabel59[[#This Row],[Aantal games Alg]]=0,0,(Tabel59[[#This Row],[Wins Alg]])/Tabel59[[#This Row],[Aantal games Alg]])</f>
        <v>0.75</v>
      </c>
      <c r="AN22" s="133">
        <f>COUNTIF(Tabel158[Winaar rood],Tabel59[[#This Row],[Team]])</f>
        <v>2</v>
      </c>
      <c r="AO22" s="134">
        <f>COUNTIF(Tabel158[Winnaar Groen],Tabel59[[#This Row],[Team]])</f>
        <v>1</v>
      </c>
      <c r="AP22">
        <f>COUNTIF(Tabel158[Winnaars],Tabel59[[#This Row],[Team]])</f>
        <v>3</v>
      </c>
      <c r="AQ22" s="135">
        <f>Tabel59[[#This Row],[Aantal Games Rood]]-Tabel59[[#This Row],[Wins Rood]]</f>
        <v>1</v>
      </c>
      <c r="AR22" s="136">
        <f>Tabel59[[#This Row],[Aantal Games Groen]]-Tabel59[[#This Row],[Wins Groen]]</f>
        <v>0</v>
      </c>
      <c r="AS22" s="137">
        <f>Tabel59[[#This Row],[Aantal games Alg]]-Tabel59[[#This Row],[Wins Alg]]</f>
        <v>1</v>
      </c>
      <c r="AT22" s="138">
        <f>COUNTIF(Tabel158[Team Rood],Tabel59[[#This Row],[Team]])</f>
        <v>3</v>
      </c>
      <c r="AU22" s="136">
        <f>COUNTIF(Tabel158[Team Groen],Tabel59[[#This Row],[Team]])</f>
        <v>1</v>
      </c>
      <c r="AV22" s="112">
        <f>Tabel59[[#This Row],[Aantal Games Rood]]+Tabel59[[#This Row],[Aantal Games Groen]]</f>
        <v>4</v>
      </c>
      <c r="AW22" s="138">
        <f>SUMIF(Tabel158[Team Rood],Tabel59[[#This Row],[Team]],Tabel158[Score])</f>
        <v>13</v>
      </c>
      <c r="AX22" s="138">
        <f>SUMIF(Tabel158[Team Rood],Tabel59[[#This Row],[Team]],Tabel158[Score2])</f>
        <v>21</v>
      </c>
      <c r="AY22" s="134">
        <f>SUMIF(Tabel158[Team Groen],Tabel59[[#This Row],[Team]],Tabel158[Score3])</f>
        <v>5</v>
      </c>
      <c r="AZ22" s="136">
        <f>SUMIF(Tabel158[Team Groen],Tabel59[[#This Row],[Team]],Tabel158[Score4])</f>
        <v>7</v>
      </c>
      <c r="BA22">
        <f>SUM(Tabel59[[#This Row],[Goals Verdediger]]+Tabel59[[#This Row],[Goals DefG]])</f>
        <v>18</v>
      </c>
      <c r="BB22">
        <f>IF(Tabel59[[#This Row],[Aantal games Alg]]=0,0,Tabel59[[#This Row],[Goals DefA]]/Tabel59[[#This Row],[Aantal games Alg]])</f>
        <v>4.5</v>
      </c>
      <c r="BC22">
        <f>SUM(Tabel59[[#This Row],[Goals Aanvaller]]+Tabel59[[#This Row],[Goals OffG]])</f>
        <v>28</v>
      </c>
      <c r="BD22">
        <f>IF(Tabel59[[#This Row],[Aantal games Alg]]=0,0,Tabel59[[#This Row],[Goals OffA]]/Tabel59[[#This Row],[Aantal games Alg]])</f>
        <v>7</v>
      </c>
      <c r="BE22" s="112">
        <f>Tabel59[[#This Row],[Goals DefA]]+Tabel59[[#This Row],[Goals OffA]]</f>
        <v>46</v>
      </c>
      <c r="BF22" s="112">
        <f>IF(Tabel59[[#This Row],[Aantal games Alg]]=0,0,Tabel59[[#This Row],[Goals Alg]]/Tabel59[[#This Row],[Aantal games Alg]])</f>
        <v>11.5</v>
      </c>
      <c r="BG22" s="148">
        <f ca="1">SUMIF(Tabel158[Team Rood],Tabel59[[#This Row],[Team]],Tabel158[ET])</f>
        <v>0</v>
      </c>
      <c r="BH22" s="150">
        <f ca="1">SUMIF(Tabel158[Team Groen],Tabel59[[#This Row],[Team]],Tabel158[ET])</f>
        <v>0</v>
      </c>
      <c r="BI22" s="153">
        <f ca="1">SUM(Tabel59[[#This Row],[ET Groen tot]],Tabel59[[#This Row],[ET Rood tot]])</f>
        <v>0</v>
      </c>
      <c r="BJ22" s="155">
        <f ca="1">IF(Tabel59[[#This Row],[Aantal games Alg]]=0,0,Tabel59[[#This Row],[ET tot]]/Tabel59[[#This Row],[Aantal games Alg]])</f>
        <v>0</v>
      </c>
    </row>
    <row r="23" spans="1:62" x14ac:dyDescent="0.25">
      <c r="A23" s="124">
        <f ca="1">IF(Tabel158[[#This Row],[Rood Verdediging]]&lt;&gt;"",IF(A23="",NOW(),A23),"")</f>
        <v>43878.947694907409</v>
      </c>
      <c r="B23" s="128">
        <f ca="1">IF(Tabel158[[#This Row],[Rood Verdediging]]&lt;&gt;"",IF(B23="",NOW(),B23),"")</f>
        <v>43878.947694907409</v>
      </c>
      <c r="C23" s="126">
        <f ca="1">IF(Tabel158[[#This Row],[Score]]&lt;&gt;"",IF(C23="",NOW(),C23),"")</f>
        <v>43878.947694907409</v>
      </c>
      <c r="D23" s="127">
        <f ca="1">IF(OR(Tabel158[[#This Row],[Starttijd]]="",Tabel158[[#This Row],[Eindtijd]]=""),"",Tabel158[[#This Row],[Eindtijd]]-Tabel158[[#This Row],[Starttijd]])</f>
        <v>0</v>
      </c>
      <c r="E23" s="74">
        <v>22</v>
      </c>
      <c r="F23" s="205" t="s">
        <v>6</v>
      </c>
      <c r="G23" s="210">
        <v>0</v>
      </c>
      <c r="H23" s="205" t="s">
        <v>7</v>
      </c>
      <c r="I23" s="210">
        <v>11</v>
      </c>
      <c r="J23" s="206" t="s">
        <v>19</v>
      </c>
      <c r="K23" s="212">
        <v>1</v>
      </c>
      <c r="L23" s="206" t="s">
        <v>0</v>
      </c>
      <c r="M23" s="212">
        <v>6</v>
      </c>
      <c r="N23" s="81">
        <f t="shared" si="0"/>
        <v>11</v>
      </c>
      <c r="O23" s="82">
        <f t="shared" si="1"/>
        <v>7</v>
      </c>
      <c r="P23" s="70" t="str">
        <f t="shared" si="2"/>
        <v>ROOD</v>
      </c>
      <c r="Q23" s="86" t="str">
        <f t="shared" si="3"/>
        <v>Stef D</v>
      </c>
      <c r="R23" s="87" t="str">
        <f t="shared" si="4"/>
        <v>Tiemen</v>
      </c>
      <c r="S23" t="str">
        <f>Tabel158[[#This Row],[Rood Verdediging]]&amp;Tabel158[[#This Row],[Rood Aanval]]</f>
        <v>Stef DTiemen</v>
      </c>
      <c r="T23" t="str">
        <f>Tabel158[[#This Row],[Groen Verdediging]]&amp;Tabel158[[#This Row],[Groen Aanval]]</f>
        <v>NicolasJonas</v>
      </c>
      <c r="U23" t="str">
        <f>Tabel158[[#This Row],[Winnaar 1]]&amp;Tabel158[[#This Row],[Winnaar 2]]</f>
        <v>Stef DTiemen</v>
      </c>
      <c r="V23" s="147" t="str">
        <f>IF(Tabel158[[#This Row],[Team Rood]]=Tabel158[[#This Row],[Winnaars]],Tabel158[[#This Row],[Team Rood]])</f>
        <v>Stef DTiemen</v>
      </c>
      <c r="W23" s="147" t="b">
        <f>IF(Tabel158[[#This Row],[Team Groen]]=Tabel158[[#This Row],[Winnaars]],Tabel158[[#This Row],[Team Groen]])</f>
        <v>0</v>
      </c>
      <c r="X23" s="147"/>
      <c r="AH23" s="251" t="s">
        <v>160</v>
      </c>
      <c r="AI23" s="233" t="s">
        <v>169</v>
      </c>
      <c r="AJ23" s="140" t="str">
        <f t="shared" si="9"/>
        <v>Tiemen*Stef*</v>
      </c>
      <c r="AK23" s="160">
        <f>IF(Tabel59[[#This Row],[Aantal Games Rood]]=0,0,(Tabel59[[#This Row],[Wins Rood]])/Tabel59[[#This Row],[Aantal Games Rood]])</f>
        <v>0.72222222222222221</v>
      </c>
      <c r="AL23" s="159">
        <f>IF(Tabel59[[#This Row],[Aantal Games Groen]]=0,0,(Tabel59[[#This Row],[Wins Groen]])/Tabel59[[#This Row],[Aantal Games Groen]])</f>
        <v>0.75</v>
      </c>
      <c r="AM23" s="156">
        <f>IF(Tabel59[[#This Row],[Aantal games Alg]]=0,0,(Tabel59[[#This Row],[Wins Alg]])/Tabel59[[#This Row],[Aantal games Alg]])</f>
        <v>0.72727272727272729</v>
      </c>
      <c r="AN23" s="138">
        <f>COUNTIF(Tabel158[Winaar rood],Tabel59[[#This Row],[Team]])</f>
        <v>13</v>
      </c>
      <c r="AO23" s="134">
        <f>COUNTIF(Tabel158[Winnaar Groen],Tabel59[[#This Row],[Team]])</f>
        <v>3</v>
      </c>
      <c r="AP23">
        <f>COUNTIF(Tabel158[Winnaars],Tabel59[[#This Row],[Team]])</f>
        <v>16</v>
      </c>
      <c r="AQ23" s="135">
        <f>Tabel59[[#This Row],[Aantal Games Rood]]-Tabel59[[#This Row],[Wins Rood]]</f>
        <v>5</v>
      </c>
      <c r="AR23" s="136">
        <f>Tabel59[[#This Row],[Aantal Games Groen]]-Tabel59[[#This Row],[Wins Groen]]</f>
        <v>1</v>
      </c>
      <c r="AS23" s="137">
        <f>Tabel59[[#This Row],[Aantal games Alg]]-Tabel59[[#This Row],[Wins Alg]]</f>
        <v>6</v>
      </c>
      <c r="AT23" s="138">
        <f>COUNTIF(Tabel158[Team Rood],Tabel59[[#This Row],[Team]])</f>
        <v>18</v>
      </c>
      <c r="AU23" s="136">
        <f>COUNTIF(Tabel158[Team Groen],Tabel59[[#This Row],[Team]])</f>
        <v>4</v>
      </c>
      <c r="AV23" s="214">
        <f>Tabel59[[#This Row],[Aantal Games Rood]]+Tabel59[[#This Row],[Aantal Games Groen]]</f>
        <v>22</v>
      </c>
      <c r="AW23" s="138">
        <f>SUMIF(Tabel158[Team Rood],Tabel59[[#This Row],[Team]],Tabel158[Score])</f>
        <v>49</v>
      </c>
      <c r="AX23" s="138">
        <f>SUMIF(Tabel158[Team Rood],Tabel59[[#This Row],[Team]],Tabel158[Score2])</f>
        <v>133</v>
      </c>
      <c r="AY23" s="134">
        <f>SUMIF(Tabel158[Team Groen],Tabel59[[#This Row],[Team]],Tabel158[Score3])</f>
        <v>13</v>
      </c>
      <c r="AZ23" s="136">
        <f>SUMIF(Tabel158[Team Groen],Tabel59[[#This Row],[Team]],Tabel158[Score4])</f>
        <v>34</v>
      </c>
      <c r="BA23">
        <f>SUM(Tabel59[[#This Row],[Goals Verdediger]]+Tabel59[[#This Row],[Goals DefG]])</f>
        <v>62</v>
      </c>
      <c r="BB23">
        <f>IF(Tabel59[[#This Row],[Aantal games Alg]]=0,0,Tabel59[[#This Row],[Goals DefA]]/Tabel59[[#This Row],[Aantal games Alg]])</f>
        <v>2.8181818181818183</v>
      </c>
      <c r="BC23">
        <f>SUM(Tabel59[[#This Row],[Goals Aanvaller]]+Tabel59[[#This Row],[Goals OffG]])</f>
        <v>167</v>
      </c>
      <c r="BD23">
        <f>IF(Tabel59[[#This Row],[Aantal games Alg]]=0,0,Tabel59[[#This Row],[Goals OffA]]/Tabel59[[#This Row],[Aantal games Alg]])</f>
        <v>7.5909090909090908</v>
      </c>
      <c r="BE23" s="112">
        <f>Tabel59[[#This Row],[Goals DefA]]+Tabel59[[#This Row],[Goals OffA]]</f>
        <v>229</v>
      </c>
      <c r="BF23" s="112">
        <f>IF(Tabel59[[#This Row],[Aantal games Alg]]=0,0,Tabel59[[#This Row],[Goals Alg]]/Tabel59[[#This Row],[Aantal games Alg]])</f>
        <v>10.409090909090908</v>
      </c>
      <c r="BG23" s="148">
        <f ca="1">SUMIF(Tabel158[Team Rood],Tabel59[[#This Row],[Team]],Tabel158[ET])</f>
        <v>0</v>
      </c>
      <c r="BH23" s="150">
        <f ca="1">SUMIF(Tabel158[Team Groen],Tabel59[[#This Row],[Team]],Tabel158[ET])</f>
        <v>3.15393517666962E-4</v>
      </c>
      <c r="BI23" s="153">
        <f ca="1">SUM(Tabel59[[#This Row],[ET Groen tot]],Tabel59[[#This Row],[ET Rood tot]])</f>
        <v>3.15393517666962E-4</v>
      </c>
      <c r="BJ23" s="155">
        <f ca="1">IF(Tabel59[[#This Row],[Aantal games Alg]]=0,0,Tabel59[[#This Row],[ET tot]]/Tabel59[[#This Row],[Aantal games Alg]])</f>
        <v>1.4336068984861909E-5</v>
      </c>
    </row>
    <row r="24" spans="1:62" x14ac:dyDescent="0.25">
      <c r="A24" s="124">
        <f ca="1">IF(Tabel158[[#This Row],[Rood Verdediging]]&lt;&gt;"",IF(A24="",NOW(),A24),"")</f>
        <v>43878.947694907409</v>
      </c>
      <c r="B24" s="128">
        <f ca="1">IF(Tabel158[[#This Row],[Rood Verdediging]]&lt;&gt;"",IF(B24="",NOW(),B24),"")</f>
        <v>43878.947694907409</v>
      </c>
      <c r="C24" s="126">
        <f ca="1">IF(Tabel158[[#This Row],[Score]]&lt;&gt;"",IF(C24="",NOW(),C24),"")</f>
        <v>43878.947694907409</v>
      </c>
      <c r="D24" s="127">
        <f ca="1">IF(OR(Tabel158[[#This Row],[Starttijd]]="",Tabel158[[#This Row],[Eindtijd]]=""),"",Tabel158[[#This Row],[Eindtijd]]-Tabel158[[#This Row],[Starttijd]])</f>
        <v>0</v>
      </c>
      <c r="E24" s="74">
        <v>23</v>
      </c>
      <c r="F24" s="205" t="s">
        <v>3</v>
      </c>
      <c r="G24" s="210">
        <v>2</v>
      </c>
      <c r="H24" s="205" t="s">
        <v>6</v>
      </c>
      <c r="I24" s="210">
        <v>9</v>
      </c>
      <c r="J24" s="206" t="s">
        <v>11</v>
      </c>
      <c r="K24" s="212">
        <v>3</v>
      </c>
      <c r="L24" s="206" t="s">
        <v>7</v>
      </c>
      <c r="M24" s="212">
        <v>10</v>
      </c>
      <c r="N24" s="81">
        <f t="shared" si="0"/>
        <v>11</v>
      </c>
      <c r="O24" s="82">
        <f t="shared" si="1"/>
        <v>13</v>
      </c>
      <c r="P24" s="70" t="str">
        <f t="shared" si="2"/>
        <v>GROEN</v>
      </c>
      <c r="Q24" s="86" t="str">
        <f t="shared" si="3"/>
        <v>Matthijs</v>
      </c>
      <c r="R24" s="87" t="str">
        <f t="shared" si="4"/>
        <v>Tiemen</v>
      </c>
      <c r="S24" t="str">
        <f>Tabel158[[#This Row],[Rood Verdediging]]&amp;Tabel158[[#This Row],[Rood Aanval]]</f>
        <v>KarelStef D</v>
      </c>
      <c r="T24" t="str">
        <f>Tabel158[[#This Row],[Groen Verdediging]]&amp;Tabel158[[#This Row],[Groen Aanval]]</f>
        <v>MatthijsTiemen</v>
      </c>
      <c r="U24" t="str">
        <f>Tabel158[[#This Row],[Winnaar 1]]&amp;Tabel158[[#This Row],[Winnaar 2]]</f>
        <v>MatthijsTiemen</v>
      </c>
      <c r="V24" s="147" t="b">
        <f>IF(Tabel158[[#This Row],[Team Rood]]=Tabel158[[#This Row],[Winnaars]],Tabel158[[#This Row],[Team Rood]])</f>
        <v>0</v>
      </c>
      <c r="W24" s="147" t="str">
        <f>IF(Tabel158[[#This Row],[Team Groen]]=Tabel158[[#This Row],[Winnaars]],Tabel158[[#This Row],[Team Groen]])</f>
        <v>MatthijsTiemen</v>
      </c>
      <c r="X24" s="147"/>
      <c r="AH24" s="251" t="s">
        <v>169</v>
      </c>
      <c r="AI24" s="233" t="s">
        <v>160</v>
      </c>
      <c r="AJ24" s="140" t="str">
        <f t="shared" si="9"/>
        <v>Stef*Tiemen*</v>
      </c>
      <c r="AK24" s="160">
        <f>IF(Tabel59[[#This Row],[Aantal Games Rood]]=0,0,(Tabel59[[#This Row],[Wins Rood]])/Tabel59[[#This Row],[Aantal Games Rood]])</f>
        <v>0.66666666666666663</v>
      </c>
      <c r="AL24" s="159">
        <f>IF(Tabel59[[#This Row],[Aantal Games Groen]]=0,0,(Tabel59[[#This Row],[Wins Groen]])/Tabel59[[#This Row],[Aantal Games Groen]])</f>
        <v>0.75</v>
      </c>
      <c r="AM24" s="156">
        <f>IF(Tabel59[[#This Row],[Aantal games Alg]]=0,0,(Tabel59[[#This Row],[Wins Alg]])/Tabel59[[#This Row],[Aantal games Alg]])</f>
        <v>0.7142857142857143</v>
      </c>
      <c r="AN24" s="133">
        <f>COUNTIF(Tabel158[Winaar rood],Tabel59[[#This Row],[Team]])</f>
        <v>4</v>
      </c>
      <c r="AO24" s="134">
        <f>COUNTIF(Tabel158[Winnaar Groen],Tabel59[[#This Row],[Team]])</f>
        <v>6</v>
      </c>
      <c r="AP24">
        <f>COUNTIF(Tabel158[Winnaars],Tabel59[[#This Row],[Team]])</f>
        <v>10</v>
      </c>
      <c r="AQ24" s="135">
        <f>Tabel59[[#This Row],[Aantal Games Rood]]-Tabel59[[#This Row],[Wins Rood]]</f>
        <v>2</v>
      </c>
      <c r="AR24" s="136">
        <f>Tabel59[[#This Row],[Aantal Games Groen]]-Tabel59[[#This Row],[Wins Groen]]</f>
        <v>2</v>
      </c>
      <c r="AS24" s="137">
        <f>Tabel59[[#This Row],[Aantal games Alg]]-Tabel59[[#This Row],[Wins Alg]]</f>
        <v>4</v>
      </c>
      <c r="AT24" s="138">
        <f>COUNTIF(Tabel158[Team Rood],Tabel59[[#This Row],[Team]])</f>
        <v>6</v>
      </c>
      <c r="AU24" s="136">
        <f>COUNTIF(Tabel158[Team Groen],Tabel59[[#This Row],[Team]])</f>
        <v>8</v>
      </c>
      <c r="AV24" s="112">
        <f>Tabel59[[#This Row],[Aantal Games Rood]]+Tabel59[[#This Row],[Aantal Games Groen]]</f>
        <v>14</v>
      </c>
      <c r="AW24" s="138">
        <f>SUMIF(Tabel158[Team Rood],Tabel59[[#This Row],[Team]],Tabel158[Score])</f>
        <v>16</v>
      </c>
      <c r="AX24" s="138">
        <f>SUMIF(Tabel158[Team Rood],Tabel59[[#This Row],[Team]],Tabel158[Score2])</f>
        <v>47</v>
      </c>
      <c r="AY24" s="134">
        <f>SUMIF(Tabel158[Team Groen],Tabel59[[#This Row],[Team]],Tabel158[Score3])</f>
        <v>25</v>
      </c>
      <c r="AZ24" s="136">
        <f>SUMIF(Tabel158[Team Groen],Tabel59[[#This Row],[Team]],Tabel158[Score4])</f>
        <v>53</v>
      </c>
      <c r="BA24">
        <f>SUM(Tabel59[[#This Row],[Goals Verdediger]]+Tabel59[[#This Row],[Goals DefG]])</f>
        <v>41</v>
      </c>
      <c r="BB24">
        <f>IF(Tabel59[[#This Row],[Aantal games Alg]]=0,0,Tabel59[[#This Row],[Goals DefA]]/Tabel59[[#This Row],[Aantal games Alg]])</f>
        <v>2.9285714285714284</v>
      </c>
      <c r="BC24">
        <f>SUM(Tabel59[[#This Row],[Goals Aanvaller]]+Tabel59[[#This Row],[Goals OffG]])</f>
        <v>100</v>
      </c>
      <c r="BD24">
        <f>IF(Tabel59[[#This Row],[Aantal games Alg]]=0,0,Tabel59[[#This Row],[Goals OffA]]/Tabel59[[#This Row],[Aantal games Alg]])</f>
        <v>7.1428571428571432</v>
      </c>
      <c r="BE24" s="112">
        <f>Tabel59[[#This Row],[Goals DefA]]+Tabel59[[#This Row],[Goals OffA]]</f>
        <v>141</v>
      </c>
      <c r="BF24" s="112">
        <f>IF(Tabel59[[#This Row],[Aantal games Alg]]=0,0,Tabel59[[#This Row],[Goals Alg]]/Tabel59[[#This Row],[Aantal games Alg]])</f>
        <v>10.071428571428571</v>
      </c>
      <c r="BG24" s="148">
        <f ca="1">SUMIF(Tabel158[Team Rood],Tabel59[[#This Row],[Team]],Tabel158[ET])</f>
        <v>0</v>
      </c>
      <c r="BH24" s="150">
        <f ca="1">SUMIF(Tabel158[Team Groen],Tabel59[[#This Row],[Team]],Tabel158[ET])</f>
        <v>1.7245365597773343E-5</v>
      </c>
      <c r="BI24" s="153">
        <f ca="1">SUM(Tabel59[[#This Row],[ET Groen tot]],Tabel59[[#This Row],[ET Rood tot]])</f>
        <v>1.7245365597773343E-5</v>
      </c>
      <c r="BJ24" s="155">
        <f ca="1">IF(Tabel59[[#This Row],[Aantal games Alg]]=0,0,Tabel59[[#This Row],[ET tot]]/Tabel59[[#This Row],[Aantal games Alg]])</f>
        <v>1.2318118284123817E-6</v>
      </c>
    </row>
    <row r="25" spans="1:62" x14ac:dyDescent="0.25">
      <c r="A25" s="124">
        <f ca="1">IF(Tabel158[[#This Row],[Rood Verdediging]]&lt;&gt;"",IF(A25="",NOW(),A25),"")</f>
        <v>43878.947694907409</v>
      </c>
      <c r="B25" s="128">
        <f ca="1">IF(Tabel158[[#This Row],[Rood Verdediging]]&lt;&gt;"",IF(B25="",NOW(),B25),"")</f>
        <v>43878.947694907409</v>
      </c>
      <c r="C25" s="126">
        <f ca="1">IF(Tabel158[[#This Row],[Score]]&lt;&gt;"",IF(C25="",NOW(),C25),"")</f>
        <v>43878.947694907409</v>
      </c>
      <c r="D25" s="127">
        <f ca="1">IF(OR(Tabel158[[#This Row],[Starttijd]]="",Tabel158[[#This Row],[Eindtijd]]=""),"",Tabel158[[#This Row],[Eindtijd]]-Tabel158[[#This Row],[Starttijd]])</f>
        <v>0</v>
      </c>
      <c r="E25" s="74">
        <v>24</v>
      </c>
      <c r="F25" s="205" t="s">
        <v>6</v>
      </c>
      <c r="G25" s="210">
        <v>0</v>
      </c>
      <c r="H25" s="205" t="s">
        <v>3</v>
      </c>
      <c r="I25" s="210">
        <v>9</v>
      </c>
      <c r="J25" s="206" t="s">
        <v>7</v>
      </c>
      <c r="K25" s="212">
        <v>6</v>
      </c>
      <c r="L25" s="206" t="s">
        <v>11</v>
      </c>
      <c r="M25" s="212">
        <v>5</v>
      </c>
      <c r="N25" s="81">
        <f t="shared" si="0"/>
        <v>9</v>
      </c>
      <c r="O25" s="82">
        <f t="shared" si="1"/>
        <v>11</v>
      </c>
      <c r="P25" s="70" t="str">
        <f t="shared" si="2"/>
        <v>GROEN</v>
      </c>
      <c r="Q25" s="86" t="str">
        <f t="shared" si="3"/>
        <v>Tiemen</v>
      </c>
      <c r="R25" s="87" t="str">
        <f t="shared" si="4"/>
        <v>Matthijs</v>
      </c>
      <c r="S25" t="str">
        <f>Tabel158[[#This Row],[Rood Verdediging]]&amp;Tabel158[[#This Row],[Rood Aanval]]</f>
        <v>Stef DKarel</v>
      </c>
      <c r="T25" t="str">
        <f>Tabel158[[#This Row],[Groen Verdediging]]&amp;Tabel158[[#This Row],[Groen Aanval]]</f>
        <v>TiemenMatthijs</v>
      </c>
      <c r="U25" t="str">
        <f>Tabel158[[#This Row],[Winnaar 1]]&amp;Tabel158[[#This Row],[Winnaar 2]]</f>
        <v>TiemenMatthijs</v>
      </c>
      <c r="V25" s="147" t="b">
        <f>IF(Tabel158[[#This Row],[Team Rood]]=Tabel158[[#This Row],[Winnaars]],Tabel158[[#This Row],[Team Rood]])</f>
        <v>0</v>
      </c>
      <c r="W25" s="147" t="str">
        <f>IF(Tabel158[[#This Row],[Team Groen]]=Tabel158[[#This Row],[Winnaars]],Tabel158[[#This Row],[Team Groen]])</f>
        <v>TiemenMatthijs</v>
      </c>
      <c r="X25" s="147"/>
      <c r="AH25" s="251" t="s">
        <v>162</v>
      </c>
      <c r="AI25" s="233" t="s">
        <v>158</v>
      </c>
      <c r="AJ25" s="140" t="str">
        <f t="shared" si="9"/>
        <v>Matthijs*Arno*</v>
      </c>
      <c r="AK25" s="160">
        <f>IF(Tabel59[[#This Row],[Aantal Games Rood]]=0,0,(Tabel59[[#This Row],[Wins Rood]])/Tabel59[[#This Row],[Aantal Games Rood]])</f>
        <v>0</v>
      </c>
      <c r="AL25" s="159">
        <f>IF(Tabel59[[#This Row],[Aantal Games Groen]]=0,0,(Tabel59[[#This Row],[Wins Groen]])/Tabel59[[#This Row],[Aantal Games Groen]])</f>
        <v>0.66666666666666663</v>
      </c>
      <c r="AM25" s="156">
        <f>IF(Tabel59[[#This Row],[Aantal games Alg]]=0,0,(Tabel59[[#This Row],[Wins Alg]])/Tabel59[[#This Row],[Aantal games Alg]])</f>
        <v>0.66666666666666663</v>
      </c>
      <c r="AN25" s="138">
        <f>COUNTIF(Tabel158[Winaar rood],Tabel59[[#This Row],[Team]])</f>
        <v>0</v>
      </c>
      <c r="AO25" s="134">
        <f>COUNTIF(Tabel158[Winnaar Groen],Tabel59[[#This Row],[Team]])</f>
        <v>2</v>
      </c>
      <c r="AP25">
        <f>COUNTIF(Tabel158[Winnaars],Tabel59[[#This Row],[Team]])</f>
        <v>2</v>
      </c>
      <c r="AQ25" s="135">
        <f>Tabel59[[#This Row],[Aantal Games Rood]]-Tabel59[[#This Row],[Wins Rood]]</f>
        <v>0</v>
      </c>
      <c r="AR25" s="136">
        <f>Tabel59[[#This Row],[Aantal Games Groen]]-Tabel59[[#This Row],[Wins Groen]]</f>
        <v>1</v>
      </c>
      <c r="AS25" s="137">
        <f>Tabel59[[#This Row],[Aantal games Alg]]-Tabel59[[#This Row],[Wins Alg]]</f>
        <v>1</v>
      </c>
      <c r="AT25" s="138">
        <f>COUNTIF(Tabel158[Team Rood],Tabel59[[#This Row],[Team]])</f>
        <v>0</v>
      </c>
      <c r="AU25" s="136">
        <f>COUNTIF(Tabel158[Team Groen],Tabel59[[#This Row],[Team]])</f>
        <v>3</v>
      </c>
      <c r="AV25" s="112">
        <f>Tabel59[[#This Row],[Aantal Games Rood]]+Tabel59[[#This Row],[Aantal Games Groen]]</f>
        <v>3</v>
      </c>
      <c r="AW25" s="138">
        <f>SUMIF(Tabel158[Team Rood],Tabel59[[#This Row],[Team]],Tabel158[Score])</f>
        <v>0</v>
      </c>
      <c r="AX25" s="138">
        <f>SUMIF(Tabel158[Team Rood],Tabel59[[#This Row],[Team]],Tabel158[Score2])</f>
        <v>0</v>
      </c>
      <c r="AY25" s="134">
        <f>SUMIF(Tabel158[Team Groen],Tabel59[[#This Row],[Team]],Tabel158[Score3])</f>
        <v>11</v>
      </c>
      <c r="AZ25" s="136">
        <f>SUMIF(Tabel158[Team Groen],Tabel59[[#This Row],[Team]],Tabel158[Score4])</f>
        <v>22</v>
      </c>
      <c r="BA25">
        <f>SUM(Tabel59[[#This Row],[Goals Verdediger]]+Tabel59[[#This Row],[Goals DefG]])</f>
        <v>11</v>
      </c>
      <c r="BB25">
        <f>IF(Tabel59[[#This Row],[Aantal games Alg]]=0,0,Tabel59[[#This Row],[Goals DefA]]/Tabel59[[#This Row],[Aantal games Alg]])</f>
        <v>3.6666666666666665</v>
      </c>
      <c r="BC25">
        <f>SUM(Tabel59[[#This Row],[Goals Aanvaller]]+Tabel59[[#This Row],[Goals OffG]])</f>
        <v>22</v>
      </c>
      <c r="BD25">
        <f>IF(Tabel59[[#This Row],[Aantal games Alg]]=0,0,Tabel59[[#This Row],[Goals OffA]]/Tabel59[[#This Row],[Aantal games Alg]])</f>
        <v>7.333333333333333</v>
      </c>
      <c r="BE25" s="112">
        <f>Tabel59[[#This Row],[Goals DefA]]+Tabel59[[#This Row],[Goals OffA]]</f>
        <v>33</v>
      </c>
      <c r="BF25" s="112">
        <f>IF(Tabel59[[#This Row],[Aantal games Alg]]=0,0,Tabel59[[#This Row],[Goals Alg]]/Tabel59[[#This Row],[Aantal games Alg]])</f>
        <v>11</v>
      </c>
      <c r="BG25" s="148">
        <f>SUMIF(Tabel158[Team Rood],Tabel59[[#This Row],[Team]],Tabel158[ET])</f>
        <v>0</v>
      </c>
      <c r="BH25" s="150">
        <f ca="1">SUMIF(Tabel158[Team Groen],Tabel59[[#This Row],[Team]],Tabel158[ET])</f>
        <v>0</v>
      </c>
      <c r="BI25" s="153">
        <f ca="1">SUM(Tabel59[[#This Row],[ET Groen tot]],Tabel59[[#This Row],[ET Rood tot]])</f>
        <v>0</v>
      </c>
      <c r="BJ25" s="155">
        <f ca="1">IF(Tabel59[[#This Row],[Aantal games Alg]]=0,0,Tabel59[[#This Row],[ET tot]]/Tabel59[[#This Row],[Aantal games Alg]])</f>
        <v>0</v>
      </c>
    </row>
    <row r="26" spans="1:62" x14ac:dyDescent="0.25">
      <c r="A26" s="124">
        <f ca="1">IF(Tabel158[[#This Row],[Rood Verdediging]]&lt;&gt;"",IF(A26="",NOW(),A26),"")</f>
        <v>43878.947694907409</v>
      </c>
      <c r="B26" s="128">
        <f ca="1">IF(Tabel158[[#This Row],[Rood Verdediging]]&lt;&gt;"",IF(B26="",NOW(),B26),"")</f>
        <v>43878.947694907409</v>
      </c>
      <c r="C26" s="126">
        <f ca="1">IF(Tabel158[[#This Row],[Score]]&lt;&gt;"",IF(C26="",NOW(),C26),"")</f>
        <v>43878.947694907409</v>
      </c>
      <c r="D26" s="127">
        <f ca="1">IF(OR(Tabel158[[#This Row],[Starttijd]]="",Tabel158[[#This Row],[Eindtijd]]=""),"",Tabel158[[#This Row],[Eindtijd]]-Tabel158[[#This Row],[Starttijd]])</f>
        <v>0</v>
      </c>
      <c r="E26" s="74">
        <v>25</v>
      </c>
      <c r="F26" s="205" t="s">
        <v>7</v>
      </c>
      <c r="G26" s="210">
        <v>4</v>
      </c>
      <c r="H26" s="205" t="s">
        <v>6</v>
      </c>
      <c r="I26" s="210">
        <v>7</v>
      </c>
      <c r="J26" s="206" t="s">
        <v>3</v>
      </c>
      <c r="K26" s="212">
        <v>4</v>
      </c>
      <c r="L26" s="206" t="s">
        <v>11</v>
      </c>
      <c r="M26" s="212">
        <v>3</v>
      </c>
      <c r="N26" s="81">
        <f t="shared" si="0"/>
        <v>11</v>
      </c>
      <c r="O26" s="82">
        <f t="shared" si="1"/>
        <v>7</v>
      </c>
      <c r="P26" s="70" t="str">
        <f t="shared" si="2"/>
        <v>ROOD</v>
      </c>
      <c r="Q26" s="86" t="str">
        <f t="shared" si="3"/>
        <v>Tiemen</v>
      </c>
      <c r="R26" s="87" t="str">
        <f t="shared" si="4"/>
        <v>Stef D</v>
      </c>
      <c r="S26" t="str">
        <f>Tabel158[[#This Row],[Rood Verdediging]]&amp;Tabel158[[#This Row],[Rood Aanval]]</f>
        <v>TiemenStef D</v>
      </c>
      <c r="T26" t="str">
        <f>Tabel158[[#This Row],[Groen Verdediging]]&amp;Tabel158[[#This Row],[Groen Aanval]]</f>
        <v>KarelMatthijs</v>
      </c>
      <c r="U26" t="str">
        <f>Tabel158[[#This Row],[Winnaar 1]]&amp;Tabel158[[#This Row],[Winnaar 2]]</f>
        <v>TiemenStef D</v>
      </c>
      <c r="V26" s="147" t="str">
        <f>IF(Tabel158[[#This Row],[Team Rood]]=Tabel158[[#This Row],[Winnaars]],Tabel158[[#This Row],[Team Rood]])</f>
        <v>TiemenStef D</v>
      </c>
      <c r="W26" s="147" t="b">
        <f>IF(Tabel158[[#This Row],[Team Groen]]=Tabel158[[#This Row],[Winnaars]],Tabel158[[#This Row],[Team Groen]])</f>
        <v>0</v>
      </c>
      <c r="X26" s="147"/>
      <c r="AH26" s="251" t="s">
        <v>169</v>
      </c>
      <c r="AI26" s="233" t="s">
        <v>163</v>
      </c>
      <c r="AJ26" s="140" t="str">
        <f t="shared" si="9"/>
        <v>Stef*Bert*</v>
      </c>
      <c r="AK26" s="160">
        <f>IF(Tabel59[[#This Row],[Aantal Games Rood]]=0,0,(Tabel59[[#This Row],[Wins Rood]])/Tabel59[[#This Row],[Aantal Games Rood]])</f>
        <v>0.6</v>
      </c>
      <c r="AL26" s="159">
        <f>IF(Tabel59[[#This Row],[Aantal Games Groen]]=0,0,(Tabel59[[#This Row],[Wins Groen]])/Tabel59[[#This Row],[Aantal Games Groen]])</f>
        <v>0.75</v>
      </c>
      <c r="AM26" s="156">
        <f>IF(Tabel59[[#This Row],[Aantal games Alg]]=0,0,(Tabel59[[#This Row],[Wins Alg]])/Tabel59[[#This Row],[Aantal games Alg]])</f>
        <v>0.66666666666666663</v>
      </c>
      <c r="AN26" s="133">
        <f>COUNTIF(Tabel158[Winaar rood],Tabel59[[#This Row],[Team]])</f>
        <v>3</v>
      </c>
      <c r="AO26" s="134">
        <f>COUNTIF(Tabel158[Winnaar Groen],Tabel59[[#This Row],[Team]])</f>
        <v>3</v>
      </c>
      <c r="AP26" s="293">
        <f>COUNTIF(Tabel158[Winnaars],Tabel59[[#This Row],[Team]])</f>
        <v>6</v>
      </c>
      <c r="AQ26" s="135">
        <f>Tabel59[[#This Row],[Aantal Games Rood]]-Tabel59[[#This Row],[Wins Rood]]</f>
        <v>2</v>
      </c>
      <c r="AR26" s="136">
        <f>Tabel59[[#This Row],[Aantal Games Groen]]-Tabel59[[#This Row],[Wins Groen]]</f>
        <v>1</v>
      </c>
      <c r="AS26" s="137">
        <f>Tabel59[[#This Row],[Aantal games Alg]]-Tabel59[[#This Row],[Wins Alg]]</f>
        <v>3</v>
      </c>
      <c r="AT26" s="138">
        <f>COUNTIF(Tabel158[Team Rood],Tabel59[[#This Row],[Team]])</f>
        <v>5</v>
      </c>
      <c r="AU26" s="136">
        <f>COUNTIF(Tabel158[Team Groen],Tabel59[[#This Row],[Team]])</f>
        <v>4</v>
      </c>
      <c r="AV26" s="214">
        <f>Tabel59[[#This Row],[Aantal Games Rood]]+Tabel59[[#This Row],[Aantal Games Groen]]</f>
        <v>9</v>
      </c>
      <c r="AW26" s="138">
        <f>SUMIF(Tabel158[Team Rood],Tabel59[[#This Row],[Team]],Tabel158[Score])</f>
        <v>19</v>
      </c>
      <c r="AX26" s="138">
        <f>SUMIF(Tabel158[Team Rood],Tabel59[[#This Row],[Team]],Tabel158[Score2])</f>
        <v>28</v>
      </c>
      <c r="AY26" s="134">
        <f>SUMIF(Tabel158[Team Groen],Tabel59[[#This Row],[Team]],Tabel158[Score3])</f>
        <v>14</v>
      </c>
      <c r="AZ26" s="136">
        <f>SUMIF(Tabel158[Team Groen],Tabel59[[#This Row],[Team]],Tabel158[Score4])</f>
        <v>27</v>
      </c>
      <c r="BA26" s="293">
        <f>SUM(Tabel59[[#This Row],[Goals Verdediger]]+Tabel59[[#This Row],[Goals DefG]])</f>
        <v>33</v>
      </c>
      <c r="BB26" s="293">
        <f>IF(Tabel59[[#This Row],[Aantal games Alg]]=0,0,Tabel59[[#This Row],[Goals DefA]]/Tabel59[[#This Row],[Aantal games Alg]])</f>
        <v>3.6666666666666665</v>
      </c>
      <c r="BC26" s="293">
        <f>SUM(Tabel59[[#This Row],[Goals Aanvaller]]+Tabel59[[#This Row],[Goals OffG]])</f>
        <v>55</v>
      </c>
      <c r="BD26" s="293">
        <f>IF(Tabel59[[#This Row],[Aantal games Alg]]=0,0,Tabel59[[#This Row],[Goals OffA]]/Tabel59[[#This Row],[Aantal games Alg]])</f>
        <v>6.1111111111111107</v>
      </c>
      <c r="BE26" s="214">
        <f>Tabel59[[#This Row],[Goals DefA]]+Tabel59[[#This Row],[Goals OffA]]</f>
        <v>88</v>
      </c>
      <c r="BF26" s="214">
        <f>IF(Tabel59[[#This Row],[Aantal games Alg]]=0,0,Tabel59[[#This Row],[Goals Alg]]/Tabel59[[#This Row],[Aantal games Alg]])</f>
        <v>9.7777777777777786</v>
      </c>
      <c r="BG26" s="148">
        <f ca="1">SUMIF(Tabel158[Team Rood],Tabel59[[#This Row],[Team]],Tabel158[ET])</f>
        <v>0</v>
      </c>
      <c r="BH26" s="150">
        <f ca="1">SUMIF(Tabel158[Team Groen],Tabel59[[#This Row],[Team]],Tabel158[ET])</f>
        <v>0</v>
      </c>
      <c r="BI26" s="153">
        <f ca="1">SUM(Tabel59[[#This Row],[ET Groen tot]],Tabel59[[#This Row],[ET Rood tot]])</f>
        <v>0</v>
      </c>
      <c r="BJ26" s="155">
        <f ca="1">IF(Tabel59[[#This Row],[Aantal games Alg]]=0,0,Tabel59[[#This Row],[ET tot]]/Tabel59[[#This Row],[Aantal games Alg]])</f>
        <v>0</v>
      </c>
    </row>
    <row r="27" spans="1:62" x14ac:dyDescent="0.25">
      <c r="A27" s="124">
        <f ca="1">IF(Tabel158[[#This Row],[Rood Verdediging]]&lt;&gt;"",IF(A27="",NOW(),A27),"")</f>
        <v>43878.947694907409</v>
      </c>
      <c r="B27" s="128">
        <f ca="1">IF(Tabel158[[#This Row],[Rood Verdediging]]&lt;&gt;"",IF(B27="",NOW(),B27),"")</f>
        <v>43878.947694907409</v>
      </c>
      <c r="C27" s="126">
        <f ca="1">IF(Tabel158[[#This Row],[Score]]&lt;&gt;"",IF(C27="",NOW(),C27),"")</f>
        <v>43878.947694907409</v>
      </c>
      <c r="D27" s="127">
        <f ca="1">IF(OR(Tabel158[[#This Row],[Starttijd]]="",Tabel158[[#This Row],[Eindtijd]]=""),"",Tabel158[[#This Row],[Eindtijd]]-Tabel158[[#This Row],[Starttijd]])</f>
        <v>0</v>
      </c>
      <c r="E27" s="74">
        <v>26</v>
      </c>
      <c r="F27" s="205" t="s">
        <v>6</v>
      </c>
      <c r="G27" s="210">
        <v>5</v>
      </c>
      <c r="H27" s="205" t="s">
        <v>7</v>
      </c>
      <c r="I27" s="210">
        <v>4</v>
      </c>
      <c r="J27" s="206" t="s">
        <v>11</v>
      </c>
      <c r="K27" s="212">
        <v>5</v>
      </c>
      <c r="L27" s="206" t="s">
        <v>3</v>
      </c>
      <c r="M27" s="212">
        <v>6</v>
      </c>
      <c r="N27" s="81">
        <f t="shared" si="0"/>
        <v>9</v>
      </c>
      <c r="O27" s="82">
        <f t="shared" si="1"/>
        <v>11</v>
      </c>
      <c r="P27" s="70" t="str">
        <f t="shared" si="2"/>
        <v>GROEN</v>
      </c>
      <c r="Q27" s="86" t="str">
        <f t="shared" si="3"/>
        <v>Matthijs</v>
      </c>
      <c r="R27" s="87" t="str">
        <f t="shared" si="4"/>
        <v>Karel</v>
      </c>
      <c r="S27" t="str">
        <f>Tabel158[[#This Row],[Rood Verdediging]]&amp;Tabel158[[#This Row],[Rood Aanval]]</f>
        <v>Stef DTiemen</v>
      </c>
      <c r="T27" t="str">
        <f>Tabel158[[#This Row],[Groen Verdediging]]&amp;Tabel158[[#This Row],[Groen Aanval]]</f>
        <v>MatthijsKarel</v>
      </c>
      <c r="U27" t="str">
        <f>Tabel158[[#This Row],[Winnaar 1]]&amp;Tabel158[[#This Row],[Winnaar 2]]</f>
        <v>MatthijsKarel</v>
      </c>
      <c r="V27" s="147" t="b">
        <f>IF(Tabel158[[#This Row],[Team Rood]]=Tabel158[[#This Row],[Winnaars]],Tabel158[[#This Row],[Team Rood]])</f>
        <v>0</v>
      </c>
      <c r="W27" s="147" t="str">
        <f>IF(Tabel158[[#This Row],[Team Groen]]=Tabel158[[#This Row],[Winnaars]],Tabel158[[#This Row],[Team Groen]])</f>
        <v>MatthijsKarel</v>
      </c>
      <c r="X27" s="147"/>
      <c r="AH27" s="251" t="s">
        <v>159</v>
      </c>
      <c r="AI27" s="233" t="s">
        <v>160</v>
      </c>
      <c r="AJ27" s="140" t="str">
        <f t="shared" si="9"/>
        <v>Jonas*Tiemen*</v>
      </c>
      <c r="AK27" s="160">
        <f>IF(Tabel59[[#This Row],[Aantal Games Rood]]=0,0,(Tabel59[[#This Row],[Wins Rood]])/Tabel59[[#This Row],[Aantal Games Rood]])</f>
        <v>0.75</v>
      </c>
      <c r="AL27" s="159">
        <f>IF(Tabel59[[#This Row],[Aantal Games Groen]]=0,0,(Tabel59[[#This Row],[Wins Groen]])/Tabel59[[#This Row],[Aantal Games Groen]])</f>
        <v>0.55555555555555558</v>
      </c>
      <c r="AM27" s="156">
        <f>IF(Tabel59[[#This Row],[Aantal games Alg]]=0,0,(Tabel59[[#This Row],[Wins Alg]])/Tabel59[[#This Row],[Aantal games Alg]])</f>
        <v>0.6470588235294118</v>
      </c>
      <c r="AN27" s="138">
        <f>COUNTIF(Tabel158[Winaar rood],Tabel59[[#This Row],[Team]])</f>
        <v>6</v>
      </c>
      <c r="AO27" s="136">
        <f>COUNTIF(Tabel158[Winnaar Groen],Tabel59[[#This Row],[Team]])</f>
        <v>5</v>
      </c>
      <c r="AP27" s="214">
        <f>COUNTIF(Tabel158[Winnaars],Tabel59[[#This Row],[Team]])</f>
        <v>11</v>
      </c>
      <c r="AQ27" s="135">
        <f>Tabel59[[#This Row],[Aantal Games Rood]]-Tabel59[[#This Row],[Wins Rood]]</f>
        <v>2</v>
      </c>
      <c r="AR27" s="136">
        <f>Tabel59[[#This Row],[Aantal Games Groen]]-Tabel59[[#This Row],[Wins Groen]]</f>
        <v>4</v>
      </c>
      <c r="AS27" s="137">
        <f>Tabel59[[#This Row],[Aantal games Alg]]-Tabel59[[#This Row],[Wins Alg]]</f>
        <v>6</v>
      </c>
      <c r="AT27" s="138">
        <f>COUNTIF(Tabel158[Team Rood],Tabel59[[#This Row],[Team]])</f>
        <v>8</v>
      </c>
      <c r="AU27" s="136">
        <f>COUNTIF(Tabel158[Team Groen],Tabel59[[#This Row],[Team]])</f>
        <v>9</v>
      </c>
      <c r="AV27" s="214">
        <f>Tabel59[[#This Row],[Aantal Games Rood]]+Tabel59[[#This Row],[Aantal Games Groen]]</f>
        <v>17</v>
      </c>
      <c r="AW27" s="138">
        <f>SUMIF(Tabel158[Team Rood],Tabel59[[#This Row],[Team]],Tabel158[Score])</f>
        <v>40</v>
      </c>
      <c r="AX27" s="138">
        <f>SUMIF(Tabel158[Team Rood],Tabel59[[#This Row],[Team]],Tabel158[Score2])</f>
        <v>48</v>
      </c>
      <c r="AY27" s="134">
        <f>SUMIF(Tabel158[Team Groen],Tabel59[[#This Row],[Team]],Tabel158[Score3])</f>
        <v>27</v>
      </c>
      <c r="AZ27" s="136">
        <f>SUMIF(Tabel158[Team Groen],Tabel59[[#This Row],[Team]],Tabel158[Score4])</f>
        <v>58</v>
      </c>
      <c r="BA27" s="293">
        <f>SUM(Tabel59[[#This Row],[Goals Verdediger]]+Tabel59[[#This Row],[Goals DefG]])</f>
        <v>67</v>
      </c>
      <c r="BB27" s="293">
        <f>IF(Tabel59[[#This Row],[Aantal games Alg]]=0,0,Tabel59[[#This Row],[Goals DefA]]/Tabel59[[#This Row],[Aantal games Alg]])</f>
        <v>3.9411764705882355</v>
      </c>
      <c r="BC27" s="293">
        <f>SUM(Tabel59[[#This Row],[Goals Aanvaller]]+Tabel59[[#This Row],[Goals OffG]])</f>
        <v>106</v>
      </c>
      <c r="BD27" s="293">
        <f>IF(Tabel59[[#This Row],[Aantal games Alg]]=0,0,Tabel59[[#This Row],[Goals OffA]]/Tabel59[[#This Row],[Aantal games Alg]])</f>
        <v>6.2352941176470589</v>
      </c>
      <c r="BE27" s="214">
        <f>Tabel59[[#This Row],[Goals DefA]]+Tabel59[[#This Row],[Goals OffA]]</f>
        <v>173</v>
      </c>
      <c r="BF27" s="214">
        <f>IF(Tabel59[[#This Row],[Aantal games Alg]]=0,0,Tabel59[[#This Row],[Goals Alg]]/Tabel59[[#This Row],[Aantal games Alg]])</f>
        <v>10.176470588235293</v>
      </c>
      <c r="BG27" s="148">
        <f ca="1">SUMIF(Tabel158[Team Rood],Tabel59[[#This Row],[Team]],Tabel158[ET])</f>
        <v>0</v>
      </c>
      <c r="BH27" s="150">
        <f ca="1">SUMIF(Tabel158[Team Groen],Tabel59[[#This Row],[Team]],Tabel158[ET])</f>
        <v>0</v>
      </c>
      <c r="BI27" s="153">
        <f ca="1">SUM(Tabel59[[#This Row],[ET Groen tot]],Tabel59[[#This Row],[ET Rood tot]])</f>
        <v>0</v>
      </c>
      <c r="BJ27" s="155">
        <f ca="1">IF(Tabel59[[#This Row],[Aantal games Alg]]=0,0,Tabel59[[#This Row],[ET tot]]/Tabel59[[#This Row],[Aantal games Alg]])</f>
        <v>0</v>
      </c>
    </row>
    <row r="28" spans="1:62" x14ac:dyDescent="0.25">
      <c r="A28" s="124">
        <f ca="1">IF(Tabel158[[#This Row],[Rood Verdediging]]&lt;&gt;"",IF(A28="",NOW(),A28),"")</f>
        <v>43878.947694907409</v>
      </c>
      <c r="B28" s="128">
        <f ca="1">IF(Tabel158[[#This Row],[Rood Verdediging]]&lt;&gt;"",IF(B28="",NOW(),B28),"")</f>
        <v>43878.947694907409</v>
      </c>
      <c r="C28" s="126">
        <f ca="1">IF(Tabel158[[#This Row],[Score]]&lt;&gt;"",IF(C28="",NOW(),C28),"")</f>
        <v>43878.947694907409</v>
      </c>
      <c r="D28" s="127">
        <f ca="1">IF(OR(Tabel158[[#This Row],[Starttijd]]="",Tabel158[[#This Row],[Eindtijd]]=""),"",Tabel158[[#This Row],[Eindtijd]]-Tabel158[[#This Row],[Starttijd]])</f>
        <v>0</v>
      </c>
      <c r="E28" s="74">
        <v>27</v>
      </c>
      <c r="F28" s="205" t="s">
        <v>7</v>
      </c>
      <c r="G28" s="210">
        <v>1</v>
      </c>
      <c r="H28" s="205" t="s">
        <v>3</v>
      </c>
      <c r="I28" s="210">
        <v>3</v>
      </c>
      <c r="J28" s="206" t="s">
        <v>11</v>
      </c>
      <c r="K28" s="212">
        <v>5</v>
      </c>
      <c r="L28" s="206" t="s">
        <v>6</v>
      </c>
      <c r="M28" s="212">
        <v>6</v>
      </c>
      <c r="N28" s="81">
        <f t="shared" si="0"/>
        <v>4</v>
      </c>
      <c r="O28" s="82">
        <f t="shared" si="1"/>
        <v>11</v>
      </c>
      <c r="P28" s="70" t="str">
        <f t="shared" si="2"/>
        <v>GROEN</v>
      </c>
      <c r="Q28" s="86" t="str">
        <f t="shared" si="3"/>
        <v>Matthijs</v>
      </c>
      <c r="R28" s="87" t="str">
        <f t="shared" si="4"/>
        <v>Stef D</v>
      </c>
      <c r="S28" t="str">
        <f>Tabel158[[#This Row],[Rood Verdediging]]&amp;Tabel158[[#This Row],[Rood Aanval]]</f>
        <v>TiemenKarel</v>
      </c>
      <c r="T28" t="str">
        <f>Tabel158[[#This Row],[Groen Verdediging]]&amp;Tabel158[[#This Row],[Groen Aanval]]</f>
        <v>MatthijsStef D</v>
      </c>
      <c r="U28" t="str">
        <f>Tabel158[[#This Row],[Winnaar 1]]&amp;Tabel158[[#This Row],[Winnaar 2]]</f>
        <v>MatthijsStef D</v>
      </c>
      <c r="V28" s="147" t="b">
        <f>IF(Tabel158[[#This Row],[Team Rood]]=Tabel158[[#This Row],[Winnaars]],Tabel158[[#This Row],[Team Rood]])</f>
        <v>0</v>
      </c>
      <c r="W28" s="147" t="str">
        <f>IF(Tabel158[[#This Row],[Team Groen]]=Tabel158[[#This Row],[Winnaars]],Tabel158[[#This Row],[Team Groen]])</f>
        <v>MatthijsStef D</v>
      </c>
      <c r="X28" s="147"/>
      <c r="AH28" s="251" t="s">
        <v>160</v>
      </c>
      <c r="AI28" s="233" t="s">
        <v>164</v>
      </c>
      <c r="AJ28" s="140" t="str">
        <f t="shared" si="9"/>
        <v>Tiemen*Karel*</v>
      </c>
      <c r="AK28" s="160">
        <f>IF(Tabel59[[#This Row],[Aantal Games Rood]]=0,0,(Tabel59[[#This Row],[Wins Rood]])/Tabel59[[#This Row],[Aantal Games Rood]])</f>
        <v>0.83333333333333337</v>
      </c>
      <c r="AL28" s="159">
        <f>IF(Tabel59[[#This Row],[Aantal Games Groen]]=0,0,(Tabel59[[#This Row],[Wins Groen]])/Tabel59[[#This Row],[Aantal Games Groen]])</f>
        <v>0.5</v>
      </c>
      <c r="AM28" s="156">
        <f>IF(Tabel59[[#This Row],[Aantal games Alg]]=0,0,(Tabel59[[#This Row],[Wins Alg]])/Tabel59[[#This Row],[Aantal games Alg]])</f>
        <v>0.6428571428571429</v>
      </c>
      <c r="AN28" s="138">
        <f>COUNTIF(Tabel158[Winaar rood],Tabel59[[#This Row],[Team]])</f>
        <v>5</v>
      </c>
      <c r="AO28" s="134">
        <f>COUNTIF(Tabel158[Winnaar Groen],Tabel59[[#This Row],[Team]])</f>
        <v>4</v>
      </c>
      <c r="AP28" s="293">
        <f>COUNTIF(Tabel158[Winnaars],Tabel59[[#This Row],[Team]])</f>
        <v>9</v>
      </c>
      <c r="AQ28" s="135">
        <f>Tabel59[[#This Row],[Aantal Games Rood]]-Tabel59[[#This Row],[Wins Rood]]</f>
        <v>1</v>
      </c>
      <c r="AR28" s="136">
        <f>Tabel59[[#This Row],[Aantal Games Groen]]-Tabel59[[#This Row],[Wins Groen]]</f>
        <v>4</v>
      </c>
      <c r="AS28" s="137">
        <f>Tabel59[[#This Row],[Aantal games Alg]]-Tabel59[[#This Row],[Wins Alg]]</f>
        <v>5</v>
      </c>
      <c r="AT28" s="138">
        <f>COUNTIF(Tabel158[Team Rood],Tabel59[[#This Row],[Team]])</f>
        <v>6</v>
      </c>
      <c r="AU28" s="136">
        <f>COUNTIF(Tabel158[Team Groen],Tabel59[[#This Row],[Team]])</f>
        <v>8</v>
      </c>
      <c r="AV28" s="214">
        <f>Tabel59[[#This Row],[Aantal Games Rood]]+Tabel59[[#This Row],[Aantal Games Groen]]</f>
        <v>14</v>
      </c>
      <c r="AW28" s="138">
        <f>SUMIF(Tabel158[Team Rood],Tabel59[[#This Row],[Team]],Tabel158[Score])</f>
        <v>14</v>
      </c>
      <c r="AX28" s="138">
        <f>SUMIF(Tabel158[Team Rood],Tabel59[[#This Row],[Team]],Tabel158[Score2])</f>
        <v>45</v>
      </c>
      <c r="AY28" s="134">
        <f>SUMIF(Tabel158[Team Groen],Tabel59[[#This Row],[Team]],Tabel158[Score3])</f>
        <v>31</v>
      </c>
      <c r="AZ28" s="136">
        <f>SUMIF(Tabel158[Team Groen],Tabel59[[#This Row],[Team]],Tabel158[Score4])</f>
        <v>49</v>
      </c>
      <c r="BA28" s="293">
        <f>SUM(Tabel59[[#This Row],[Goals Verdediger]]+Tabel59[[#This Row],[Goals DefG]])</f>
        <v>45</v>
      </c>
      <c r="BB28" s="293">
        <f>IF(Tabel59[[#This Row],[Aantal games Alg]]=0,0,Tabel59[[#This Row],[Goals DefA]]/Tabel59[[#This Row],[Aantal games Alg]])</f>
        <v>3.2142857142857144</v>
      </c>
      <c r="BC28" s="293">
        <f>SUM(Tabel59[[#This Row],[Goals Aanvaller]]+Tabel59[[#This Row],[Goals OffG]])</f>
        <v>94</v>
      </c>
      <c r="BD28" s="293">
        <f>IF(Tabel59[[#This Row],[Aantal games Alg]]=0,0,Tabel59[[#This Row],[Goals OffA]]/Tabel59[[#This Row],[Aantal games Alg]])</f>
        <v>6.7142857142857144</v>
      </c>
      <c r="BE28" s="214">
        <f>Tabel59[[#This Row],[Goals DefA]]+Tabel59[[#This Row],[Goals OffA]]</f>
        <v>139</v>
      </c>
      <c r="BF28" s="214">
        <f>IF(Tabel59[[#This Row],[Aantal games Alg]]=0,0,Tabel59[[#This Row],[Goals Alg]]/Tabel59[[#This Row],[Aantal games Alg]])</f>
        <v>9.9285714285714288</v>
      </c>
      <c r="BG28" s="148">
        <f ca="1">SUMIF(Tabel158[Team Rood],Tabel59[[#This Row],[Team]],Tabel158[ET])</f>
        <v>0</v>
      </c>
      <c r="BH28" s="150">
        <f ca="1">SUMIF(Tabel158[Team Groen],Tabel59[[#This Row],[Team]],Tabel158[ET])</f>
        <v>0</v>
      </c>
      <c r="BI28" s="153">
        <f ca="1">SUM(Tabel59[[#This Row],[ET Groen tot]],Tabel59[[#This Row],[ET Rood tot]])</f>
        <v>0</v>
      </c>
      <c r="BJ28" s="155">
        <f ca="1">IF(Tabel59[[#This Row],[Aantal games Alg]]=0,0,Tabel59[[#This Row],[ET tot]]/Tabel59[[#This Row],[Aantal games Alg]])</f>
        <v>0</v>
      </c>
    </row>
    <row r="29" spans="1:62" x14ac:dyDescent="0.25">
      <c r="A29" s="124">
        <f ca="1">IF(Tabel158[[#This Row],[Rood Verdediging]]&lt;&gt;"",IF(A29="",NOW(),A29),"")</f>
        <v>43878.947694907409</v>
      </c>
      <c r="B29" s="128">
        <f ca="1">IF(Tabel158[[#This Row],[Rood Verdediging]]&lt;&gt;"",IF(B29="",NOW(),B29),"")</f>
        <v>43878.947694907409</v>
      </c>
      <c r="C29" s="126">
        <f ca="1">IF(Tabel158[[#This Row],[Score]]&lt;&gt;"",IF(C29="",NOW(),C29),"")</f>
        <v>43878.947694907409</v>
      </c>
      <c r="D29" s="127">
        <f ca="1">IF(OR(Tabel158[[#This Row],[Starttijd]]="",Tabel158[[#This Row],[Eindtijd]]=""),"",Tabel158[[#This Row],[Eindtijd]]-Tabel158[[#This Row],[Starttijd]])</f>
        <v>0</v>
      </c>
      <c r="E29" s="74">
        <v>28</v>
      </c>
      <c r="F29" s="205" t="s">
        <v>3</v>
      </c>
      <c r="G29" s="210">
        <v>4</v>
      </c>
      <c r="H29" s="205" t="s">
        <v>7</v>
      </c>
      <c r="I29" s="210">
        <v>7</v>
      </c>
      <c r="J29" s="206" t="s">
        <v>6</v>
      </c>
      <c r="K29" s="212">
        <v>5</v>
      </c>
      <c r="L29" s="206" t="s">
        <v>11</v>
      </c>
      <c r="M29" s="212">
        <v>3</v>
      </c>
      <c r="N29" s="81">
        <f t="shared" si="0"/>
        <v>11</v>
      </c>
      <c r="O29" s="82">
        <f t="shared" si="1"/>
        <v>8</v>
      </c>
      <c r="P29" s="70" t="str">
        <f t="shared" si="2"/>
        <v>ROOD</v>
      </c>
      <c r="Q29" s="86" t="str">
        <f t="shared" si="3"/>
        <v>Karel</v>
      </c>
      <c r="R29" s="87" t="str">
        <f t="shared" si="4"/>
        <v>Tiemen</v>
      </c>
      <c r="S29" t="str">
        <f>Tabel158[[#This Row],[Rood Verdediging]]&amp;Tabel158[[#This Row],[Rood Aanval]]</f>
        <v>KarelTiemen</v>
      </c>
      <c r="T29" t="str">
        <f>Tabel158[[#This Row],[Groen Verdediging]]&amp;Tabel158[[#This Row],[Groen Aanval]]</f>
        <v>Stef DMatthijs</v>
      </c>
      <c r="U29" t="str">
        <f>Tabel158[[#This Row],[Winnaar 1]]&amp;Tabel158[[#This Row],[Winnaar 2]]</f>
        <v>KarelTiemen</v>
      </c>
      <c r="V29" s="147" t="str">
        <f>IF(Tabel158[[#This Row],[Team Rood]]=Tabel158[[#This Row],[Winnaars]],Tabel158[[#This Row],[Team Rood]])</f>
        <v>KarelTiemen</v>
      </c>
      <c r="W29" s="147" t="b">
        <f>IF(Tabel158[[#This Row],[Team Groen]]=Tabel158[[#This Row],[Winnaars]],Tabel158[[#This Row],[Team Groen]])</f>
        <v>0</v>
      </c>
      <c r="X29" s="147"/>
      <c r="AH29" s="251" t="s">
        <v>159</v>
      </c>
      <c r="AI29" s="233" t="s">
        <v>164</v>
      </c>
      <c r="AJ29" s="140" t="str">
        <f t="shared" si="9"/>
        <v>Jonas*Karel*</v>
      </c>
      <c r="AK29" s="160">
        <f>IF(Tabel59[[#This Row],[Aantal Games Rood]]=0,0,(Tabel59[[#This Row],[Wins Rood]])/Tabel59[[#This Row],[Aantal Games Rood]])</f>
        <v>0.5</v>
      </c>
      <c r="AL29" s="159">
        <f>IF(Tabel59[[#This Row],[Aantal Games Groen]]=0,0,(Tabel59[[#This Row],[Wins Groen]])/Tabel59[[#This Row],[Aantal Games Groen]])</f>
        <v>0.66666666666666663</v>
      </c>
      <c r="AM29" s="156">
        <f>IF(Tabel59[[#This Row],[Aantal games Alg]]=0,0,(Tabel59[[#This Row],[Wins Alg]])/Tabel59[[#This Row],[Aantal games Alg]])</f>
        <v>0.625</v>
      </c>
      <c r="AN29" s="133">
        <f>COUNTIF(Tabel158[Winaar rood],Tabel59[[#This Row],[Team]])</f>
        <v>2</v>
      </c>
      <c r="AO29" s="134">
        <f>COUNTIF(Tabel158[Winnaar Groen],Tabel59[[#This Row],[Team]])</f>
        <v>8</v>
      </c>
      <c r="AP29" s="293">
        <f>COUNTIF(Tabel158[Winnaars],Tabel59[[#This Row],[Team]])</f>
        <v>10</v>
      </c>
      <c r="AQ29" s="135">
        <f>Tabel59[[#This Row],[Aantal Games Rood]]-Tabel59[[#This Row],[Wins Rood]]</f>
        <v>2</v>
      </c>
      <c r="AR29" s="136">
        <f>Tabel59[[#This Row],[Aantal Games Groen]]-Tabel59[[#This Row],[Wins Groen]]</f>
        <v>4</v>
      </c>
      <c r="AS29" s="137">
        <f>Tabel59[[#This Row],[Aantal games Alg]]-Tabel59[[#This Row],[Wins Alg]]</f>
        <v>6</v>
      </c>
      <c r="AT29" s="138">
        <f>COUNTIF(Tabel158[Team Rood],Tabel59[[#This Row],[Team]])</f>
        <v>4</v>
      </c>
      <c r="AU29" s="136">
        <f>COUNTIF(Tabel158[Team Groen],Tabel59[[#This Row],[Team]])</f>
        <v>12</v>
      </c>
      <c r="AV29" s="214">
        <f>Tabel59[[#This Row],[Aantal Games Rood]]+Tabel59[[#This Row],[Aantal Games Groen]]</f>
        <v>16</v>
      </c>
      <c r="AW29" s="138">
        <f>SUMIF(Tabel158[Team Rood],Tabel59[[#This Row],[Team]],Tabel158[Score])</f>
        <v>11</v>
      </c>
      <c r="AX29" s="138">
        <f>SUMIF(Tabel158[Team Rood],Tabel59[[#This Row],[Team]],Tabel158[Score2])</f>
        <v>22</v>
      </c>
      <c r="AY29" s="134">
        <f>SUMIF(Tabel158[Team Groen],Tabel59[[#This Row],[Team]],Tabel158[Score3])</f>
        <v>34</v>
      </c>
      <c r="AZ29" s="136">
        <f>SUMIF(Tabel158[Team Groen],Tabel59[[#This Row],[Team]],Tabel158[Score4])</f>
        <v>97</v>
      </c>
      <c r="BA29" s="293">
        <f>SUM(Tabel59[[#This Row],[Goals Verdediger]]+Tabel59[[#This Row],[Goals DefG]])</f>
        <v>45</v>
      </c>
      <c r="BB29" s="293">
        <f>IF(Tabel59[[#This Row],[Aantal games Alg]]=0,0,Tabel59[[#This Row],[Goals DefA]]/Tabel59[[#This Row],[Aantal games Alg]])</f>
        <v>2.8125</v>
      </c>
      <c r="BC29" s="293">
        <f>SUM(Tabel59[[#This Row],[Goals Aanvaller]]+Tabel59[[#This Row],[Goals OffG]])</f>
        <v>119</v>
      </c>
      <c r="BD29" s="293">
        <f>IF(Tabel59[[#This Row],[Aantal games Alg]]=0,0,Tabel59[[#This Row],[Goals OffA]]/Tabel59[[#This Row],[Aantal games Alg]])</f>
        <v>7.4375</v>
      </c>
      <c r="BE29" s="214">
        <f>Tabel59[[#This Row],[Goals DefA]]+Tabel59[[#This Row],[Goals OffA]]</f>
        <v>164</v>
      </c>
      <c r="BF29" s="214">
        <f>IF(Tabel59[[#This Row],[Aantal games Alg]]=0,0,Tabel59[[#This Row],[Goals Alg]]/Tabel59[[#This Row],[Aantal games Alg]])</f>
        <v>10.25</v>
      </c>
      <c r="BG29" s="148">
        <f ca="1">SUMIF(Tabel158[Team Rood],Tabel59[[#This Row],[Team]],Tabel158[ET])</f>
        <v>0</v>
      </c>
      <c r="BH29" s="150">
        <f ca="1">SUMIF(Tabel158[Team Groen],Tabel59[[#This Row],[Team]],Tabel158[ET])</f>
        <v>0</v>
      </c>
      <c r="BI29" s="153">
        <f ca="1">SUM(Tabel59[[#This Row],[ET Groen tot]],Tabel59[[#This Row],[ET Rood tot]])</f>
        <v>0</v>
      </c>
      <c r="BJ29" s="155">
        <f ca="1">IF(Tabel59[[#This Row],[Aantal games Alg]]=0,0,Tabel59[[#This Row],[ET tot]]/Tabel59[[#This Row],[Aantal games Alg]])</f>
        <v>0</v>
      </c>
    </row>
    <row r="30" spans="1:62" x14ac:dyDescent="0.25">
      <c r="A30" s="124">
        <f ca="1">IF(Tabel158[[#This Row],[Rood Verdediging]]&lt;&gt;"",IF(A30="",NOW(),A30),"")</f>
        <v>43878.947694907409</v>
      </c>
      <c r="B30" s="128">
        <f ca="1">IF(Tabel158[[#This Row],[Rood Verdediging]]&lt;&gt;"",IF(B30="",NOW(),B30),"")</f>
        <v>43878.947694907409</v>
      </c>
      <c r="C30" s="126">
        <f ca="1">IF(Tabel158[[#This Row],[Score]]&lt;&gt;"",IF(C30="",NOW(),C30),"")</f>
        <v>43878.947694907409</v>
      </c>
      <c r="D30" s="127">
        <f ca="1">IF(OR(Tabel158[[#This Row],[Starttijd]]="",Tabel158[[#This Row],[Eindtijd]]=""),"",Tabel158[[#This Row],[Eindtijd]]-Tabel158[[#This Row],[Starttijd]])</f>
        <v>0</v>
      </c>
      <c r="E30" s="74">
        <v>29</v>
      </c>
      <c r="F30" s="205" t="s">
        <v>6</v>
      </c>
      <c r="G30" s="210">
        <v>0</v>
      </c>
      <c r="H30" s="205" t="s">
        <v>3</v>
      </c>
      <c r="I30" s="210">
        <v>11</v>
      </c>
      <c r="J30" s="206" t="s">
        <v>11</v>
      </c>
      <c r="K30" s="212">
        <v>1</v>
      </c>
      <c r="L30" s="206" t="s">
        <v>7</v>
      </c>
      <c r="M30" s="212">
        <v>8</v>
      </c>
      <c r="N30" s="81">
        <f t="shared" si="0"/>
        <v>11</v>
      </c>
      <c r="O30" s="82">
        <f t="shared" si="1"/>
        <v>9</v>
      </c>
      <c r="P30" s="70" t="str">
        <f t="shared" si="2"/>
        <v>ROOD</v>
      </c>
      <c r="Q30" s="86" t="str">
        <f t="shared" si="3"/>
        <v>Stef D</v>
      </c>
      <c r="R30" s="87" t="str">
        <f t="shared" si="4"/>
        <v>Karel</v>
      </c>
      <c r="S30" t="str">
        <f>Tabel158[[#This Row],[Rood Verdediging]]&amp;Tabel158[[#This Row],[Rood Aanval]]</f>
        <v>Stef DKarel</v>
      </c>
      <c r="T30" t="str">
        <f>Tabel158[[#This Row],[Groen Verdediging]]&amp;Tabel158[[#This Row],[Groen Aanval]]</f>
        <v>MatthijsTiemen</v>
      </c>
      <c r="U30" t="str">
        <f>Tabel158[[#This Row],[Winnaar 1]]&amp;Tabel158[[#This Row],[Winnaar 2]]</f>
        <v>Stef DKarel</v>
      </c>
      <c r="V30" s="147" t="str">
        <f>IF(Tabel158[[#This Row],[Team Rood]]=Tabel158[[#This Row],[Winnaars]],Tabel158[[#This Row],[Team Rood]])</f>
        <v>Stef DKarel</v>
      </c>
      <c r="W30" s="147" t="b">
        <f>IF(Tabel158[[#This Row],[Team Groen]]=Tabel158[[#This Row],[Winnaars]],Tabel158[[#This Row],[Team Groen]])</f>
        <v>0</v>
      </c>
      <c r="X30" s="147"/>
      <c r="AH30" s="251" t="s">
        <v>162</v>
      </c>
      <c r="AI30" s="233" t="s">
        <v>169</v>
      </c>
      <c r="AJ30" s="140" t="str">
        <f t="shared" si="9"/>
        <v>Matthijs*Stef*</v>
      </c>
      <c r="AK30" s="160">
        <f>IF(Tabel59[[#This Row],[Aantal Games Rood]]=0,0,(Tabel59[[#This Row],[Wins Rood]])/Tabel59[[#This Row],[Aantal Games Rood]])</f>
        <v>0.7142857142857143</v>
      </c>
      <c r="AL30" s="159">
        <f>IF(Tabel59[[#This Row],[Aantal Games Groen]]=0,0,(Tabel59[[#This Row],[Wins Groen]])/Tabel59[[#This Row],[Aantal Games Groen]])</f>
        <v>0.2</v>
      </c>
      <c r="AM30" s="156">
        <f>IF(Tabel59[[#This Row],[Aantal games Alg]]=0,0,(Tabel59[[#This Row],[Wins Alg]])/Tabel59[[#This Row],[Aantal games Alg]])</f>
        <v>0.61538461538461542</v>
      </c>
      <c r="AN30" s="133">
        <f>COUNTIF(Tabel158[Winaar rood],Tabel59[[#This Row],[Team]])</f>
        <v>15</v>
      </c>
      <c r="AO30" s="134">
        <f>COUNTIF(Tabel158[Winnaar Groen],Tabel59[[#This Row],[Team]])</f>
        <v>1</v>
      </c>
      <c r="AP30" s="293">
        <f>COUNTIF(Tabel158[Winnaars],Tabel59[[#This Row],[Team]])</f>
        <v>16</v>
      </c>
      <c r="AQ30" s="135">
        <f>Tabel59[[#This Row],[Aantal Games Rood]]-Tabel59[[#This Row],[Wins Rood]]</f>
        <v>6</v>
      </c>
      <c r="AR30" s="136">
        <f>Tabel59[[#This Row],[Aantal Games Groen]]-Tabel59[[#This Row],[Wins Groen]]</f>
        <v>4</v>
      </c>
      <c r="AS30" s="137">
        <f>Tabel59[[#This Row],[Aantal games Alg]]-Tabel59[[#This Row],[Wins Alg]]</f>
        <v>10</v>
      </c>
      <c r="AT30" s="138">
        <f>COUNTIF(Tabel158[Team Rood],Tabel59[[#This Row],[Team]])</f>
        <v>21</v>
      </c>
      <c r="AU30" s="136">
        <f>COUNTIF(Tabel158[Team Groen],Tabel59[[#This Row],[Team]])</f>
        <v>5</v>
      </c>
      <c r="AV30" s="214">
        <f>Tabel59[[#This Row],[Aantal Games Rood]]+Tabel59[[#This Row],[Aantal Games Groen]]</f>
        <v>26</v>
      </c>
      <c r="AW30" s="138">
        <f>SUMIF(Tabel158[Team Rood],Tabel59[[#This Row],[Team]],Tabel158[Score])</f>
        <v>58</v>
      </c>
      <c r="AX30" s="138">
        <f>SUMIF(Tabel158[Team Rood],Tabel59[[#This Row],[Team]],Tabel158[Score2])</f>
        <v>173</v>
      </c>
      <c r="AY30" s="134">
        <f>SUMIF(Tabel158[Team Groen],Tabel59[[#This Row],[Team]],Tabel158[Score3])</f>
        <v>11</v>
      </c>
      <c r="AZ30" s="136">
        <f>SUMIF(Tabel158[Team Groen],Tabel59[[#This Row],[Team]],Tabel158[Score4])</f>
        <v>25</v>
      </c>
      <c r="BA30" s="293">
        <f>SUM(Tabel59[[#This Row],[Goals Verdediger]]+Tabel59[[#This Row],[Goals DefG]])</f>
        <v>69</v>
      </c>
      <c r="BB30" s="293">
        <f>IF(Tabel59[[#This Row],[Aantal games Alg]]=0,0,Tabel59[[#This Row],[Goals DefA]]/Tabel59[[#This Row],[Aantal games Alg]])</f>
        <v>2.6538461538461537</v>
      </c>
      <c r="BC30" s="293">
        <f>SUM(Tabel59[[#This Row],[Goals Aanvaller]]+Tabel59[[#This Row],[Goals OffG]])</f>
        <v>198</v>
      </c>
      <c r="BD30" s="293">
        <f>IF(Tabel59[[#This Row],[Aantal games Alg]]=0,0,Tabel59[[#This Row],[Goals OffA]]/Tabel59[[#This Row],[Aantal games Alg]])</f>
        <v>7.615384615384615</v>
      </c>
      <c r="BE30" s="214">
        <f>Tabel59[[#This Row],[Goals DefA]]+Tabel59[[#This Row],[Goals OffA]]</f>
        <v>267</v>
      </c>
      <c r="BF30" s="214">
        <f>IF(Tabel59[[#This Row],[Aantal games Alg]]=0,0,Tabel59[[#This Row],[Goals Alg]]/Tabel59[[#This Row],[Aantal games Alg]])</f>
        <v>10.26923076923077</v>
      </c>
      <c r="BG30" s="148">
        <f ca="1">SUMIF(Tabel158[Team Rood],Tabel59[[#This Row],[Team]],Tabel158[ET])</f>
        <v>0</v>
      </c>
      <c r="BH30" s="150">
        <f ca="1">SUMIF(Tabel158[Team Groen],Tabel59[[#This Row],[Team]],Tabel158[ET])</f>
        <v>0</v>
      </c>
      <c r="BI30" s="153">
        <f ca="1">SUM(Tabel59[[#This Row],[ET Groen tot]],Tabel59[[#This Row],[ET Rood tot]])</f>
        <v>0</v>
      </c>
      <c r="BJ30" s="155">
        <f ca="1">IF(Tabel59[[#This Row],[Aantal games Alg]]=0,0,Tabel59[[#This Row],[ET tot]]/Tabel59[[#This Row],[Aantal games Alg]])</f>
        <v>0</v>
      </c>
    </row>
    <row r="31" spans="1:62" x14ac:dyDescent="0.25">
      <c r="A31" s="124">
        <f ca="1">IF(Tabel158[[#This Row],[Rood Verdediging]]&lt;&gt;"",IF(A31="",NOW(),A31),"")</f>
        <v>43878.947694907409</v>
      </c>
      <c r="B31" s="128">
        <f ca="1">IF(Tabel158[[#This Row],[Rood Verdediging]]&lt;&gt;"",IF(B31="",NOW(),B31),"")</f>
        <v>43878.947694907409</v>
      </c>
      <c r="C31" s="126">
        <f ca="1">IF(Tabel158[[#This Row],[Score]]&lt;&gt;"",IF(C31="",NOW(),C31),"")</f>
        <v>43878.947694907409</v>
      </c>
      <c r="D31" s="127">
        <f ca="1">IF(OR(Tabel158[[#This Row],[Starttijd]]="",Tabel158[[#This Row],[Eindtijd]]=""),"",Tabel158[[#This Row],[Eindtijd]]-Tabel158[[#This Row],[Starttijd]])</f>
        <v>0</v>
      </c>
      <c r="E31" s="74">
        <v>30</v>
      </c>
      <c r="F31" s="205" t="s">
        <v>3</v>
      </c>
      <c r="G31" s="210">
        <v>6</v>
      </c>
      <c r="H31" s="205" t="s">
        <v>6</v>
      </c>
      <c r="I31" s="210">
        <v>5</v>
      </c>
      <c r="J31" s="206" t="s">
        <v>7</v>
      </c>
      <c r="K31" s="212">
        <v>3</v>
      </c>
      <c r="L31" s="206" t="s">
        <v>11</v>
      </c>
      <c r="M31" s="212">
        <v>5</v>
      </c>
      <c r="N31" s="81">
        <f t="shared" si="0"/>
        <v>11</v>
      </c>
      <c r="O31" s="82">
        <f t="shared" si="1"/>
        <v>8</v>
      </c>
      <c r="P31" s="70" t="str">
        <f t="shared" si="2"/>
        <v>ROOD</v>
      </c>
      <c r="Q31" s="86" t="str">
        <f t="shared" si="3"/>
        <v>Karel</v>
      </c>
      <c r="R31" s="87" t="str">
        <f t="shared" si="4"/>
        <v>Stef D</v>
      </c>
      <c r="S31" t="str">
        <f>Tabel158[[#This Row],[Rood Verdediging]]&amp;Tabel158[[#This Row],[Rood Aanval]]</f>
        <v>KarelStef D</v>
      </c>
      <c r="T31" t="str">
        <f>Tabel158[[#This Row],[Groen Verdediging]]&amp;Tabel158[[#This Row],[Groen Aanval]]</f>
        <v>TiemenMatthijs</v>
      </c>
      <c r="U31" t="str">
        <f>Tabel158[[#This Row],[Winnaar 1]]&amp;Tabel158[[#This Row],[Winnaar 2]]</f>
        <v>KarelStef D</v>
      </c>
      <c r="V31" s="147" t="str">
        <f>IF(Tabel158[[#This Row],[Team Rood]]=Tabel158[[#This Row],[Winnaars]],Tabel158[[#This Row],[Team Rood]])</f>
        <v>KarelStef D</v>
      </c>
      <c r="W31" s="147" t="b">
        <f>IF(Tabel158[[#This Row],[Team Groen]]=Tabel158[[#This Row],[Winnaars]],Tabel158[[#This Row],[Team Groen]])</f>
        <v>0</v>
      </c>
      <c r="X31" s="147"/>
      <c r="AH31" s="251" t="s">
        <v>164</v>
      </c>
      <c r="AI31" s="233" t="s">
        <v>163</v>
      </c>
      <c r="AJ31" s="140" t="str">
        <f t="shared" si="9"/>
        <v>Karel*Bert*</v>
      </c>
      <c r="AK31" s="160">
        <f>IF(Tabel59[[#This Row],[Aantal Games Rood]]=0,0,(Tabel59[[#This Row],[Wins Rood]])/Tabel59[[#This Row],[Aantal Games Rood]])</f>
        <v>0.66666666666666663</v>
      </c>
      <c r="AL31" s="159">
        <f>IF(Tabel59[[#This Row],[Aantal Games Groen]]=0,0,(Tabel59[[#This Row],[Wins Groen]])/Tabel59[[#This Row],[Aantal Games Groen]])</f>
        <v>0.5</v>
      </c>
      <c r="AM31" s="156">
        <f>IF(Tabel59[[#This Row],[Aantal games Alg]]=0,0,(Tabel59[[#This Row],[Wins Alg]])/Tabel59[[#This Row],[Aantal games Alg]])</f>
        <v>0.6</v>
      </c>
      <c r="AN31" s="133">
        <f>COUNTIF(Tabel158[Winaar rood],Tabel59[[#This Row],[Team]])</f>
        <v>2</v>
      </c>
      <c r="AO31" s="134">
        <f>COUNTIF(Tabel158[Winnaar Groen],Tabel59[[#This Row],[Team]])</f>
        <v>1</v>
      </c>
      <c r="AP31" s="293">
        <f>COUNTIF(Tabel158[Winnaars],Tabel59[[#This Row],[Team]])</f>
        <v>3</v>
      </c>
      <c r="AQ31" s="135">
        <f>Tabel59[[#This Row],[Aantal Games Rood]]-Tabel59[[#This Row],[Wins Rood]]</f>
        <v>1</v>
      </c>
      <c r="AR31" s="136">
        <f>Tabel59[[#This Row],[Aantal Games Groen]]-Tabel59[[#This Row],[Wins Groen]]</f>
        <v>1</v>
      </c>
      <c r="AS31" s="137">
        <f>Tabel59[[#This Row],[Aantal games Alg]]-Tabel59[[#This Row],[Wins Alg]]</f>
        <v>2</v>
      </c>
      <c r="AT31" s="138">
        <f>COUNTIF(Tabel158[Team Rood],Tabel59[[#This Row],[Team]])</f>
        <v>3</v>
      </c>
      <c r="AU31" s="136">
        <f>COUNTIF(Tabel158[Team Groen],Tabel59[[#This Row],[Team]])</f>
        <v>2</v>
      </c>
      <c r="AV31" s="214">
        <f>Tabel59[[#This Row],[Aantal Games Rood]]+Tabel59[[#This Row],[Aantal Games Groen]]</f>
        <v>5</v>
      </c>
      <c r="AW31" s="138">
        <f>SUMIF(Tabel158[Team Rood],Tabel59[[#This Row],[Team]],Tabel158[Score])</f>
        <v>16</v>
      </c>
      <c r="AX31" s="138">
        <f>SUMIF(Tabel158[Team Rood],Tabel59[[#This Row],[Team]],Tabel158[Score2])</f>
        <v>20</v>
      </c>
      <c r="AY31" s="134">
        <f>SUMIF(Tabel158[Team Groen],Tabel59[[#This Row],[Team]],Tabel158[Score3])</f>
        <v>4</v>
      </c>
      <c r="AZ31" s="136">
        <f>SUMIF(Tabel158[Team Groen],Tabel59[[#This Row],[Team]],Tabel158[Score4])</f>
        <v>15</v>
      </c>
      <c r="BA31" s="293">
        <f>SUM(Tabel59[[#This Row],[Goals Verdediger]]+Tabel59[[#This Row],[Goals DefG]])</f>
        <v>20</v>
      </c>
      <c r="BB31" s="293">
        <f>IF(Tabel59[[#This Row],[Aantal games Alg]]=0,0,Tabel59[[#This Row],[Goals DefA]]/Tabel59[[#This Row],[Aantal games Alg]])</f>
        <v>4</v>
      </c>
      <c r="BC31" s="293">
        <f>SUM(Tabel59[[#This Row],[Goals Aanvaller]]+Tabel59[[#This Row],[Goals OffG]])</f>
        <v>35</v>
      </c>
      <c r="BD31" s="293">
        <f>IF(Tabel59[[#This Row],[Aantal games Alg]]=0,0,Tabel59[[#This Row],[Goals OffA]]/Tabel59[[#This Row],[Aantal games Alg]])</f>
        <v>7</v>
      </c>
      <c r="BE31" s="214">
        <f>Tabel59[[#This Row],[Goals DefA]]+Tabel59[[#This Row],[Goals OffA]]</f>
        <v>55</v>
      </c>
      <c r="BF31" s="214">
        <f>IF(Tabel59[[#This Row],[Aantal games Alg]]=0,0,Tabel59[[#This Row],[Goals Alg]]/Tabel59[[#This Row],[Aantal games Alg]])</f>
        <v>11</v>
      </c>
      <c r="BG31" s="148">
        <f ca="1">SUMIF(Tabel158[Team Rood],Tabel59[[#This Row],[Team]],Tabel158[ET])</f>
        <v>0</v>
      </c>
      <c r="BH31" s="150">
        <f ca="1">SUMIF(Tabel158[Team Groen],Tabel59[[#This Row],[Team]],Tabel158[ET])</f>
        <v>0</v>
      </c>
      <c r="BI31" s="153">
        <f ca="1">SUM(Tabel59[[#This Row],[ET Groen tot]],Tabel59[[#This Row],[ET Rood tot]])</f>
        <v>0</v>
      </c>
      <c r="BJ31" s="155">
        <f ca="1">IF(Tabel59[[#This Row],[Aantal games Alg]]=0,0,Tabel59[[#This Row],[ET tot]]/Tabel59[[#This Row],[Aantal games Alg]])</f>
        <v>0</v>
      </c>
    </row>
    <row r="32" spans="1:62" x14ac:dyDescent="0.25">
      <c r="A32" s="124">
        <f ca="1">IF(Tabel158[[#This Row],[Rood Verdediging]]&lt;&gt;"",IF(A32="",NOW(),A32),"")</f>
        <v>43878.947694907409</v>
      </c>
      <c r="B32" s="128">
        <f ca="1">IF(Tabel158[[#This Row],[Rood Verdediging]]&lt;&gt;"",IF(B32="",NOW(),B32),"")</f>
        <v>43878.947694907409</v>
      </c>
      <c r="C32" s="126">
        <f ca="1">IF(Tabel158[[#This Row],[Score]]&lt;&gt;"",IF(C32="",NOW(),C32),"")</f>
        <v>43878.947694907409</v>
      </c>
      <c r="D32" s="127">
        <f ca="1">IF(OR(Tabel158[[#This Row],[Starttijd]]="",Tabel158[[#This Row],[Eindtijd]]=""),"",Tabel158[[#This Row],[Eindtijd]]-Tabel158[[#This Row],[Starttijd]])</f>
        <v>0</v>
      </c>
      <c r="E32" s="74">
        <v>31</v>
      </c>
      <c r="F32" s="205" t="s">
        <v>6</v>
      </c>
      <c r="G32" s="210">
        <v>3</v>
      </c>
      <c r="H32" s="205" t="s">
        <v>7</v>
      </c>
      <c r="I32" s="210">
        <v>8</v>
      </c>
      <c r="J32" s="206" t="s">
        <v>11</v>
      </c>
      <c r="K32" s="212">
        <v>0</v>
      </c>
      <c r="L32" s="206" t="s">
        <v>3</v>
      </c>
      <c r="M32" s="212">
        <v>9</v>
      </c>
      <c r="N32" s="81">
        <f t="shared" si="0"/>
        <v>11</v>
      </c>
      <c r="O32" s="82">
        <f t="shared" si="1"/>
        <v>9</v>
      </c>
      <c r="P32" s="70" t="str">
        <f t="shared" si="2"/>
        <v>ROOD</v>
      </c>
      <c r="Q32" s="86" t="str">
        <f t="shared" si="3"/>
        <v>Stef D</v>
      </c>
      <c r="R32" s="87" t="str">
        <f t="shared" si="4"/>
        <v>Tiemen</v>
      </c>
      <c r="S32" t="str">
        <f>Tabel158[[#This Row],[Rood Verdediging]]&amp;Tabel158[[#This Row],[Rood Aanval]]</f>
        <v>Stef DTiemen</v>
      </c>
      <c r="T32" t="str">
        <f>Tabel158[[#This Row],[Groen Verdediging]]&amp;Tabel158[[#This Row],[Groen Aanval]]</f>
        <v>MatthijsKarel</v>
      </c>
      <c r="U32" t="str">
        <f>Tabel158[[#This Row],[Winnaar 1]]&amp;Tabel158[[#This Row],[Winnaar 2]]</f>
        <v>Stef DTiemen</v>
      </c>
      <c r="V32" s="147" t="str">
        <f>IF(Tabel158[[#This Row],[Team Rood]]=Tabel158[[#This Row],[Winnaars]],Tabel158[[#This Row],[Team Rood]])</f>
        <v>Stef DTiemen</v>
      </c>
      <c r="W32" s="147" t="b">
        <f>IF(Tabel158[[#This Row],[Team Groen]]=Tabel158[[#This Row],[Winnaars]],Tabel158[[#This Row],[Team Groen]])</f>
        <v>0</v>
      </c>
      <c r="X32" s="147"/>
      <c r="AH32" s="251" t="s">
        <v>169</v>
      </c>
      <c r="AI32" s="233" t="s">
        <v>158</v>
      </c>
      <c r="AJ32" s="140" t="str">
        <f t="shared" si="9"/>
        <v>Stef*Arno*</v>
      </c>
      <c r="AK32" s="160">
        <f>IF(Tabel59[[#This Row],[Aantal Games Rood]]=0,0,(Tabel59[[#This Row],[Wins Rood]])/Tabel59[[#This Row],[Aantal Games Rood]])</f>
        <v>1</v>
      </c>
      <c r="AL32" s="159">
        <f>IF(Tabel59[[#This Row],[Aantal Games Groen]]=0,0,(Tabel59[[#This Row],[Wins Groen]])/Tabel59[[#This Row],[Aantal Games Groen]])</f>
        <v>0.33333333333333331</v>
      </c>
      <c r="AM32" s="156">
        <f>IF(Tabel59[[#This Row],[Aantal games Alg]]=0,0,(Tabel59[[#This Row],[Wins Alg]])/Tabel59[[#This Row],[Aantal games Alg]])</f>
        <v>0.6</v>
      </c>
      <c r="AN32" s="138">
        <f>COUNTIF(Tabel158[Winaar rood],Tabel59[[#This Row],[Team]])</f>
        <v>2</v>
      </c>
      <c r="AO32" s="134">
        <f>COUNTIF(Tabel158[Winnaar Groen],Tabel59[[#This Row],[Team]])</f>
        <v>1</v>
      </c>
      <c r="AP32" s="293">
        <f>COUNTIF(Tabel158[Winnaars],Tabel59[[#This Row],[Team]])</f>
        <v>3</v>
      </c>
      <c r="AQ32" s="135">
        <f>Tabel59[[#This Row],[Aantal Games Rood]]-Tabel59[[#This Row],[Wins Rood]]</f>
        <v>0</v>
      </c>
      <c r="AR32" s="136">
        <f>Tabel59[[#This Row],[Aantal Games Groen]]-Tabel59[[#This Row],[Wins Groen]]</f>
        <v>2</v>
      </c>
      <c r="AS32" s="137">
        <f>Tabel59[[#This Row],[Aantal games Alg]]-Tabel59[[#This Row],[Wins Alg]]</f>
        <v>2</v>
      </c>
      <c r="AT32" s="138">
        <f>COUNTIF(Tabel158[Team Rood],Tabel59[[#This Row],[Team]])</f>
        <v>2</v>
      </c>
      <c r="AU32" s="136">
        <f>COUNTIF(Tabel158[Team Groen],Tabel59[[#This Row],[Team]])</f>
        <v>3</v>
      </c>
      <c r="AV32" s="214">
        <f>Tabel59[[#This Row],[Aantal Games Rood]]+Tabel59[[#This Row],[Aantal Games Groen]]</f>
        <v>5</v>
      </c>
      <c r="AW32" s="138">
        <f>SUMIF(Tabel158[Team Rood],Tabel59[[#This Row],[Team]],Tabel158[Score])</f>
        <v>7</v>
      </c>
      <c r="AX32" s="138">
        <f>SUMIF(Tabel158[Team Rood],Tabel59[[#This Row],[Team]],Tabel158[Score2])</f>
        <v>15</v>
      </c>
      <c r="AY32" s="134">
        <f>SUMIF(Tabel158[Team Groen],Tabel59[[#This Row],[Team]],Tabel158[Score3])</f>
        <v>7</v>
      </c>
      <c r="AZ32" s="136">
        <f>SUMIF(Tabel158[Team Groen],Tabel59[[#This Row],[Team]],Tabel158[Score4])</f>
        <v>23</v>
      </c>
      <c r="BA32" s="293">
        <f>SUM(Tabel59[[#This Row],[Goals Verdediger]]+Tabel59[[#This Row],[Goals DefG]])</f>
        <v>14</v>
      </c>
      <c r="BB32" s="293">
        <f>IF(Tabel59[[#This Row],[Aantal games Alg]]=0,0,Tabel59[[#This Row],[Goals DefA]]/Tabel59[[#This Row],[Aantal games Alg]])</f>
        <v>2.8</v>
      </c>
      <c r="BC32" s="293">
        <f>SUM(Tabel59[[#This Row],[Goals Aanvaller]]+Tabel59[[#This Row],[Goals OffG]])</f>
        <v>38</v>
      </c>
      <c r="BD32" s="293">
        <f>IF(Tabel59[[#This Row],[Aantal games Alg]]=0,0,Tabel59[[#This Row],[Goals OffA]]/Tabel59[[#This Row],[Aantal games Alg]])</f>
        <v>7.6</v>
      </c>
      <c r="BE32" s="214">
        <f>Tabel59[[#This Row],[Goals DefA]]+Tabel59[[#This Row],[Goals OffA]]</f>
        <v>52</v>
      </c>
      <c r="BF32" s="214">
        <f>IF(Tabel59[[#This Row],[Aantal games Alg]]=0,0,Tabel59[[#This Row],[Goals Alg]]/Tabel59[[#This Row],[Aantal games Alg]])</f>
        <v>10.4</v>
      </c>
      <c r="BG32" s="148">
        <f ca="1">SUMIF(Tabel158[Team Rood],Tabel59[[#This Row],[Team]],Tabel158[ET])</f>
        <v>0</v>
      </c>
      <c r="BH32" s="150">
        <f ca="1">SUMIF(Tabel158[Team Groen],Tabel59[[#This Row],[Team]],Tabel158[ET])</f>
        <v>0</v>
      </c>
      <c r="BI32" s="153">
        <f ca="1">SUM(Tabel59[[#This Row],[ET Groen tot]],Tabel59[[#This Row],[ET Rood tot]])</f>
        <v>0</v>
      </c>
      <c r="BJ32" s="155">
        <f ca="1">IF(Tabel59[[#This Row],[Aantal games Alg]]=0,0,Tabel59[[#This Row],[ET tot]]/Tabel59[[#This Row],[Aantal games Alg]])</f>
        <v>0</v>
      </c>
    </row>
    <row r="33" spans="1:62" x14ac:dyDescent="0.25">
      <c r="A33" s="124">
        <f ca="1">IF(Tabel158[[#This Row],[Rood Verdediging]]&lt;&gt;"",IF(A33="",NOW(),A33),"")</f>
        <v>43878.947694907409</v>
      </c>
      <c r="B33" s="128">
        <f ca="1">IF(Tabel158[[#This Row],[Rood Verdediging]]&lt;&gt;"",IF(B33="",NOW(),B33),"")</f>
        <v>43878.947694907409</v>
      </c>
      <c r="C33" s="126">
        <f ca="1">IF(Tabel158[[#This Row],[Score]]&lt;&gt;"",IF(C33="",NOW(),C33),"")</f>
        <v>43878.947694907409</v>
      </c>
      <c r="D33" s="127">
        <f ca="1">IF(OR(Tabel158[[#This Row],[Starttijd]]="",Tabel158[[#This Row],[Eindtijd]]=""),"",Tabel158[[#This Row],[Eindtijd]]-Tabel158[[#This Row],[Starttijd]])</f>
        <v>0</v>
      </c>
      <c r="E33" s="74">
        <v>32</v>
      </c>
      <c r="F33" s="205" t="s">
        <v>7</v>
      </c>
      <c r="G33" s="210">
        <v>3</v>
      </c>
      <c r="H33" s="205" t="s">
        <v>6</v>
      </c>
      <c r="I33" s="210">
        <v>8</v>
      </c>
      <c r="J33" s="206" t="s">
        <v>3</v>
      </c>
      <c r="K33" s="212">
        <v>2</v>
      </c>
      <c r="L33" s="206" t="s">
        <v>11</v>
      </c>
      <c r="M33" s="212">
        <v>2</v>
      </c>
      <c r="N33" s="81">
        <f t="shared" si="0"/>
        <v>11</v>
      </c>
      <c r="O33" s="82">
        <f t="shared" si="1"/>
        <v>4</v>
      </c>
      <c r="P33" s="70" t="str">
        <f t="shared" si="2"/>
        <v>ROOD</v>
      </c>
      <c r="Q33" s="86" t="str">
        <f t="shared" si="3"/>
        <v>Tiemen</v>
      </c>
      <c r="R33" s="87" t="str">
        <f t="shared" si="4"/>
        <v>Stef D</v>
      </c>
      <c r="S33" t="str">
        <f>Tabel158[[#This Row],[Rood Verdediging]]&amp;Tabel158[[#This Row],[Rood Aanval]]</f>
        <v>TiemenStef D</v>
      </c>
      <c r="T33" t="str">
        <f>Tabel158[[#This Row],[Groen Verdediging]]&amp;Tabel158[[#This Row],[Groen Aanval]]</f>
        <v>KarelMatthijs</v>
      </c>
      <c r="U33" t="str">
        <f>Tabel158[[#This Row],[Winnaar 1]]&amp;Tabel158[[#This Row],[Winnaar 2]]</f>
        <v>TiemenStef D</v>
      </c>
      <c r="V33" s="147" t="str">
        <f>IF(Tabel158[[#This Row],[Team Rood]]=Tabel158[[#This Row],[Winnaars]],Tabel158[[#This Row],[Team Rood]])</f>
        <v>TiemenStef D</v>
      </c>
      <c r="W33" s="147" t="b">
        <f>IF(Tabel158[[#This Row],[Team Groen]]=Tabel158[[#This Row],[Winnaars]],Tabel158[[#This Row],[Team Groen]])</f>
        <v>0</v>
      </c>
      <c r="X33" s="147"/>
      <c r="AH33" s="251" t="s">
        <v>160</v>
      </c>
      <c r="AI33" s="233" t="s">
        <v>170</v>
      </c>
      <c r="AJ33" s="140" t="str">
        <f t="shared" si="9"/>
        <v>Tiemen*Nico*</v>
      </c>
      <c r="AK33" s="160">
        <f>IF(Tabel59[[#This Row],[Aantal Games Rood]]=0,0,(Tabel59[[#This Row],[Wins Rood]])/Tabel59[[#This Row],[Aantal Games Rood]])</f>
        <v>0.5</v>
      </c>
      <c r="AL33" s="159">
        <f>IF(Tabel59[[#This Row],[Aantal Games Groen]]=0,0,(Tabel59[[#This Row],[Wins Groen]])/Tabel59[[#This Row],[Aantal Games Groen]])</f>
        <v>0.66666666666666663</v>
      </c>
      <c r="AM33" s="156">
        <f>IF(Tabel59[[#This Row],[Aantal games Alg]]=0,0,(Tabel59[[#This Row],[Wins Alg]])/Tabel59[[#This Row],[Aantal games Alg]])</f>
        <v>0.6</v>
      </c>
      <c r="AN33" s="138">
        <f>COUNTIF(Tabel158[Winaar rood],Tabel59[[#This Row],[Team]])</f>
        <v>1</v>
      </c>
      <c r="AO33" s="134">
        <f>COUNTIF(Tabel158[Winnaar Groen],Tabel59[[#This Row],[Team]])</f>
        <v>2</v>
      </c>
      <c r="AP33" s="293">
        <f>COUNTIF(Tabel158[Winnaars],Tabel59[[#This Row],[Team]])</f>
        <v>3</v>
      </c>
      <c r="AQ33" s="135">
        <f>Tabel59[[#This Row],[Aantal Games Rood]]-Tabel59[[#This Row],[Wins Rood]]</f>
        <v>1</v>
      </c>
      <c r="AR33" s="136">
        <f>Tabel59[[#This Row],[Aantal Games Groen]]-Tabel59[[#This Row],[Wins Groen]]</f>
        <v>1</v>
      </c>
      <c r="AS33" s="137">
        <f>Tabel59[[#This Row],[Aantal games Alg]]-Tabel59[[#This Row],[Wins Alg]]</f>
        <v>2</v>
      </c>
      <c r="AT33" s="138">
        <f>COUNTIF(Tabel158[Team Rood],Tabel59[[#This Row],[Team]])</f>
        <v>2</v>
      </c>
      <c r="AU33" s="136">
        <f>COUNTIF(Tabel158[Team Groen],Tabel59[[#This Row],[Team]])</f>
        <v>3</v>
      </c>
      <c r="AV33" s="214">
        <f>Tabel59[[#This Row],[Aantal Games Rood]]+Tabel59[[#This Row],[Aantal Games Groen]]</f>
        <v>5</v>
      </c>
      <c r="AW33" s="138">
        <f>SUMIF(Tabel158[Team Rood],Tabel59[[#This Row],[Team]],Tabel158[Score])</f>
        <v>3</v>
      </c>
      <c r="AX33" s="138">
        <f>SUMIF(Tabel158[Team Rood],Tabel59[[#This Row],[Team]],Tabel158[Score2])</f>
        <v>11</v>
      </c>
      <c r="AY33" s="134">
        <f>SUMIF(Tabel158[Team Groen],Tabel59[[#This Row],[Team]],Tabel158[Score3])</f>
        <v>11</v>
      </c>
      <c r="AZ33" s="136">
        <f>SUMIF(Tabel158[Team Groen],Tabel59[[#This Row],[Team]],Tabel158[Score4])</f>
        <v>13</v>
      </c>
      <c r="BA33" s="293">
        <f>SUM(Tabel59[[#This Row],[Goals Verdediger]]+Tabel59[[#This Row],[Goals DefG]])</f>
        <v>14</v>
      </c>
      <c r="BB33" s="293">
        <f>IF(Tabel59[[#This Row],[Aantal games Alg]]=0,0,Tabel59[[#This Row],[Goals DefA]]/Tabel59[[#This Row],[Aantal games Alg]])</f>
        <v>2.8</v>
      </c>
      <c r="BC33" s="293">
        <f>SUM(Tabel59[[#This Row],[Goals Aanvaller]]+Tabel59[[#This Row],[Goals OffG]])</f>
        <v>24</v>
      </c>
      <c r="BD33" s="293">
        <f>IF(Tabel59[[#This Row],[Aantal games Alg]]=0,0,Tabel59[[#This Row],[Goals OffA]]/Tabel59[[#This Row],[Aantal games Alg]])</f>
        <v>4.8</v>
      </c>
      <c r="BE33" s="214">
        <f>Tabel59[[#This Row],[Goals DefA]]+Tabel59[[#This Row],[Goals OffA]]</f>
        <v>38</v>
      </c>
      <c r="BF33" s="214">
        <f>IF(Tabel59[[#This Row],[Aantal games Alg]]=0,0,Tabel59[[#This Row],[Goals Alg]]/Tabel59[[#This Row],[Aantal games Alg]])</f>
        <v>7.6</v>
      </c>
      <c r="BG33" s="148">
        <f ca="1">SUMIF(Tabel158[Team Rood],Tabel59[[#This Row],[Team]],Tabel158[ET])</f>
        <v>0</v>
      </c>
      <c r="BH33" s="150">
        <f ca="1">SUMIF(Tabel158[Team Groen],Tabel59[[#This Row],[Team]],Tabel158[ET])</f>
        <v>0</v>
      </c>
      <c r="BI33" s="153">
        <f ca="1">SUM(Tabel59[[#This Row],[ET Groen tot]],Tabel59[[#This Row],[ET Rood tot]])</f>
        <v>0</v>
      </c>
      <c r="BJ33" s="155">
        <f ca="1">IF(Tabel59[[#This Row],[Aantal games Alg]]=0,0,Tabel59[[#This Row],[ET tot]]/Tabel59[[#This Row],[Aantal games Alg]])</f>
        <v>0</v>
      </c>
    </row>
    <row r="34" spans="1:62" x14ac:dyDescent="0.25">
      <c r="A34" s="124">
        <f ca="1">IF(Tabel158[[#This Row],[Rood Verdediging]]&lt;&gt;"",IF(A34="",NOW(),A34),"")</f>
        <v>43878.947694907409</v>
      </c>
      <c r="B34" s="128">
        <f ca="1">IF(Tabel158[[#This Row],[Rood Verdediging]]&lt;&gt;"",IF(B34="",NOW(),B34),"")</f>
        <v>43878.947694907409</v>
      </c>
      <c r="C34" s="126">
        <f ca="1">IF(Tabel158[[#This Row],[Score]]&lt;&gt;"",IF(C34="",NOW(),C34),"")</f>
        <v>43878.947694907409</v>
      </c>
      <c r="D34" s="127">
        <f ca="1">IF(OR(Tabel158[[#This Row],[Starttijd]]="",Tabel158[[#This Row],[Eindtijd]]=""),"",Tabel158[[#This Row],[Eindtijd]]-Tabel158[[#This Row],[Starttijd]])</f>
        <v>0</v>
      </c>
      <c r="E34" s="74">
        <v>33</v>
      </c>
      <c r="F34" s="205" t="s">
        <v>3</v>
      </c>
      <c r="G34" s="210">
        <v>7</v>
      </c>
      <c r="H34" s="205" t="s">
        <v>7</v>
      </c>
      <c r="I34" s="210">
        <v>4</v>
      </c>
      <c r="J34" s="206" t="s">
        <v>6</v>
      </c>
      <c r="K34" s="212">
        <v>5</v>
      </c>
      <c r="L34" s="206" t="s">
        <v>11</v>
      </c>
      <c r="M34" s="212">
        <v>3</v>
      </c>
      <c r="N34" s="81">
        <f t="shared" si="0"/>
        <v>11</v>
      </c>
      <c r="O34" s="82">
        <f t="shared" si="1"/>
        <v>8</v>
      </c>
      <c r="P34" s="70" t="str">
        <f t="shared" si="2"/>
        <v>ROOD</v>
      </c>
      <c r="Q34" s="86" t="str">
        <f t="shared" si="3"/>
        <v>Karel</v>
      </c>
      <c r="R34" s="87" t="str">
        <f t="shared" si="4"/>
        <v>Tiemen</v>
      </c>
      <c r="S34" t="str">
        <f>Tabel158[[#This Row],[Rood Verdediging]]&amp;Tabel158[[#This Row],[Rood Aanval]]</f>
        <v>KarelTiemen</v>
      </c>
      <c r="T34" t="str">
        <f>Tabel158[[#This Row],[Groen Verdediging]]&amp;Tabel158[[#This Row],[Groen Aanval]]</f>
        <v>Stef DMatthijs</v>
      </c>
      <c r="U34" t="str">
        <f>Tabel158[[#This Row],[Winnaar 1]]&amp;Tabel158[[#This Row],[Winnaar 2]]</f>
        <v>KarelTiemen</v>
      </c>
      <c r="V34" s="147" t="str">
        <f>IF(Tabel158[[#This Row],[Team Rood]]=Tabel158[[#This Row],[Winnaars]],Tabel158[[#This Row],[Team Rood]])</f>
        <v>KarelTiemen</v>
      </c>
      <c r="W34" s="147" t="b">
        <f>IF(Tabel158[[#This Row],[Team Groen]]=Tabel158[[#This Row],[Winnaars]],Tabel158[[#This Row],[Team Groen]])</f>
        <v>0</v>
      </c>
      <c r="X34" s="147"/>
      <c r="AH34" s="251" t="s">
        <v>161</v>
      </c>
      <c r="AI34" s="233" t="s">
        <v>164</v>
      </c>
      <c r="AJ34" s="140" t="str">
        <f t="shared" ref="AJ34:AJ65" si="13">AH34&amp;AI34</f>
        <v>Louis*Karel*</v>
      </c>
      <c r="AK34" s="160">
        <f>IF(Tabel59[[#This Row],[Aantal Games Rood]]=0,0,(Tabel59[[#This Row],[Wins Rood]])/Tabel59[[#This Row],[Aantal Games Rood]])</f>
        <v>0.66666666666666663</v>
      </c>
      <c r="AL34" s="159">
        <f>IF(Tabel59[[#This Row],[Aantal Games Groen]]=0,0,(Tabel59[[#This Row],[Wins Groen]])/Tabel59[[#This Row],[Aantal Games Groen]])</f>
        <v>0.55555555555555558</v>
      </c>
      <c r="AM34" s="156">
        <f>IF(Tabel59[[#This Row],[Aantal games Alg]]=0,0,(Tabel59[[#This Row],[Wins Alg]])/Tabel59[[#This Row],[Aantal games Alg]])</f>
        <v>0.58333333333333337</v>
      </c>
      <c r="AN34" s="133">
        <f>COUNTIF(Tabel158[Winaar rood],Tabel59[[#This Row],[Team]])</f>
        <v>2</v>
      </c>
      <c r="AO34" s="134">
        <f>COUNTIF(Tabel158[Winnaar Groen],Tabel59[[#This Row],[Team]])</f>
        <v>5</v>
      </c>
      <c r="AP34" s="293">
        <f>COUNTIF(Tabel158[Winnaars],Tabel59[[#This Row],[Team]])</f>
        <v>7</v>
      </c>
      <c r="AQ34" s="135">
        <f>Tabel59[[#This Row],[Aantal Games Rood]]-Tabel59[[#This Row],[Wins Rood]]</f>
        <v>1</v>
      </c>
      <c r="AR34" s="136">
        <f>Tabel59[[#This Row],[Aantal Games Groen]]-Tabel59[[#This Row],[Wins Groen]]</f>
        <v>4</v>
      </c>
      <c r="AS34" s="137">
        <f>Tabel59[[#This Row],[Aantal games Alg]]-Tabel59[[#This Row],[Wins Alg]]</f>
        <v>5</v>
      </c>
      <c r="AT34" s="138">
        <f>COUNTIF(Tabel158[Team Rood],Tabel59[[#This Row],[Team]])</f>
        <v>3</v>
      </c>
      <c r="AU34" s="136">
        <f>COUNTIF(Tabel158[Team Groen],Tabel59[[#This Row],[Team]])</f>
        <v>9</v>
      </c>
      <c r="AV34" s="214">
        <f>Tabel59[[#This Row],[Aantal Games Rood]]+Tabel59[[#This Row],[Aantal Games Groen]]</f>
        <v>12</v>
      </c>
      <c r="AW34" s="138">
        <f>SUMIF(Tabel158[Team Rood],Tabel59[[#This Row],[Team]],Tabel158[Score])</f>
        <v>11</v>
      </c>
      <c r="AX34" s="138">
        <f>SUMIF(Tabel158[Team Rood],Tabel59[[#This Row],[Team]],Tabel158[Score2])</f>
        <v>20</v>
      </c>
      <c r="AY34" s="134">
        <f>SUMIF(Tabel158[Team Groen],Tabel59[[#This Row],[Team]],Tabel158[Score3])</f>
        <v>30</v>
      </c>
      <c r="AZ34" s="136">
        <f>SUMIF(Tabel158[Team Groen],Tabel59[[#This Row],[Team]],Tabel158[Score4])</f>
        <v>65</v>
      </c>
      <c r="BA34" s="293">
        <f>SUM(Tabel59[[#This Row],[Goals Verdediger]]+Tabel59[[#This Row],[Goals DefG]])</f>
        <v>41</v>
      </c>
      <c r="BB34" s="293">
        <f>IF(Tabel59[[#This Row],[Aantal games Alg]]=0,0,Tabel59[[#This Row],[Goals DefA]]/Tabel59[[#This Row],[Aantal games Alg]])</f>
        <v>3.4166666666666665</v>
      </c>
      <c r="BC34" s="293">
        <f>SUM(Tabel59[[#This Row],[Goals Aanvaller]]+Tabel59[[#This Row],[Goals OffG]])</f>
        <v>85</v>
      </c>
      <c r="BD34" s="293">
        <f>IF(Tabel59[[#This Row],[Aantal games Alg]]=0,0,Tabel59[[#This Row],[Goals OffA]]/Tabel59[[#This Row],[Aantal games Alg]])</f>
        <v>7.083333333333333</v>
      </c>
      <c r="BE34" s="214">
        <f>Tabel59[[#This Row],[Goals DefA]]+Tabel59[[#This Row],[Goals OffA]]</f>
        <v>126</v>
      </c>
      <c r="BF34" s="214">
        <f>IF(Tabel59[[#This Row],[Aantal games Alg]]=0,0,Tabel59[[#This Row],[Goals Alg]]/Tabel59[[#This Row],[Aantal games Alg]])</f>
        <v>10.5</v>
      </c>
      <c r="BG34" s="148">
        <f ca="1">SUMIF(Tabel158[Team Rood],Tabel59[[#This Row],[Team]],Tabel158[ET])</f>
        <v>0</v>
      </c>
      <c r="BH34" s="150">
        <f ca="1">SUMIF(Tabel158[Team Groen],Tabel59[[#This Row],[Team]],Tabel158[ET])</f>
        <v>0</v>
      </c>
      <c r="BI34" s="153">
        <f ca="1">SUM(Tabel59[[#This Row],[ET Groen tot]],Tabel59[[#This Row],[ET Rood tot]])</f>
        <v>0</v>
      </c>
      <c r="BJ34" s="155">
        <f ca="1">IF(Tabel59[[#This Row],[Aantal games Alg]]=0,0,Tabel59[[#This Row],[ET tot]]/Tabel59[[#This Row],[Aantal games Alg]])</f>
        <v>0</v>
      </c>
    </row>
    <row r="35" spans="1:62" x14ac:dyDescent="0.25">
      <c r="A35" s="124">
        <f ca="1">IF(Tabel158[[#This Row],[Rood Verdediging]]&lt;&gt;"",IF(A35="",NOW(),A35),"")</f>
        <v>43878.947694907409</v>
      </c>
      <c r="B35" s="128">
        <f ca="1">IF(Tabel158[[#This Row],[Rood Verdediging]]&lt;&gt;"",IF(B35="",NOW(),B35),"")</f>
        <v>43878.947694907409</v>
      </c>
      <c r="C35" s="126">
        <f ca="1">IF(Tabel158[[#This Row],[Score]]&lt;&gt;"",IF(C35="",NOW(),C35),"")</f>
        <v>43878.947694907409</v>
      </c>
      <c r="D35" s="127">
        <f ca="1">IF(OR(Tabel158[[#This Row],[Starttijd]]="",Tabel158[[#This Row],[Eindtijd]]=""),"",Tabel158[[#This Row],[Eindtijd]]-Tabel158[[#This Row],[Starttijd]])</f>
        <v>0</v>
      </c>
      <c r="E35" s="74">
        <v>34</v>
      </c>
      <c r="F35" s="205" t="s">
        <v>7</v>
      </c>
      <c r="G35" s="210">
        <v>3</v>
      </c>
      <c r="H35" s="205" t="s">
        <v>3</v>
      </c>
      <c r="I35" s="210">
        <v>8</v>
      </c>
      <c r="J35" s="206" t="s">
        <v>11</v>
      </c>
      <c r="K35" s="212">
        <v>0</v>
      </c>
      <c r="L35" s="206" t="s">
        <v>6</v>
      </c>
      <c r="M35" s="212">
        <v>3</v>
      </c>
      <c r="N35" s="81">
        <f t="shared" si="0"/>
        <v>11</v>
      </c>
      <c r="O35" s="82">
        <f t="shared" si="1"/>
        <v>3</v>
      </c>
      <c r="P35" s="70" t="str">
        <f t="shared" si="2"/>
        <v>ROOD</v>
      </c>
      <c r="Q35" s="86" t="str">
        <f t="shared" si="3"/>
        <v>Tiemen</v>
      </c>
      <c r="R35" s="87" t="str">
        <f t="shared" si="4"/>
        <v>Karel</v>
      </c>
      <c r="S35" t="str">
        <f>Tabel158[[#This Row],[Rood Verdediging]]&amp;Tabel158[[#This Row],[Rood Aanval]]</f>
        <v>TiemenKarel</v>
      </c>
      <c r="T35" t="str">
        <f>Tabel158[[#This Row],[Groen Verdediging]]&amp;Tabel158[[#This Row],[Groen Aanval]]</f>
        <v>MatthijsStef D</v>
      </c>
      <c r="U35" t="str">
        <f>Tabel158[[#This Row],[Winnaar 1]]&amp;Tabel158[[#This Row],[Winnaar 2]]</f>
        <v>TiemenKarel</v>
      </c>
      <c r="V35" s="147" t="str">
        <f>IF(Tabel158[[#This Row],[Team Rood]]=Tabel158[[#This Row],[Winnaars]],Tabel158[[#This Row],[Team Rood]])</f>
        <v>TiemenKarel</v>
      </c>
      <c r="W35" s="147" t="b">
        <f>IF(Tabel158[[#This Row],[Team Groen]]=Tabel158[[#This Row],[Winnaars]],Tabel158[[#This Row],[Team Groen]])</f>
        <v>0</v>
      </c>
      <c r="X35" s="147"/>
      <c r="AH35" s="251" t="s">
        <v>159</v>
      </c>
      <c r="AI35" s="233" t="s">
        <v>162</v>
      </c>
      <c r="AJ35" s="140" t="str">
        <f t="shared" si="13"/>
        <v>Jonas*Matthijs*</v>
      </c>
      <c r="AK35" s="160">
        <f>IF(Tabel59[[#This Row],[Aantal Games Rood]]=0,0,(Tabel59[[#This Row],[Wins Rood]])/Tabel59[[#This Row],[Aantal Games Rood]])</f>
        <v>0.75</v>
      </c>
      <c r="AL35" s="159">
        <f>IF(Tabel59[[#This Row],[Aantal Games Groen]]=0,0,(Tabel59[[#This Row],[Wins Groen]])/Tabel59[[#This Row],[Aantal Games Groen]])</f>
        <v>0.33333333333333331</v>
      </c>
      <c r="AM35" s="156">
        <f>IF(Tabel59[[#This Row],[Aantal games Alg]]=0,0,(Tabel59[[#This Row],[Wins Alg]])/Tabel59[[#This Row],[Aantal games Alg]])</f>
        <v>0.5714285714285714</v>
      </c>
      <c r="AN35" s="133">
        <f>COUNTIF(Tabel158[Winaar rood],Tabel59[[#This Row],[Team]])</f>
        <v>3</v>
      </c>
      <c r="AO35" s="134">
        <f>COUNTIF(Tabel158[Winnaar Groen],Tabel59[[#This Row],[Team]])</f>
        <v>1</v>
      </c>
      <c r="AP35" s="293">
        <f>COUNTIF(Tabel158[Winnaars],Tabel59[[#This Row],[Team]])</f>
        <v>4</v>
      </c>
      <c r="AQ35" s="135">
        <f>Tabel59[[#This Row],[Aantal Games Rood]]-Tabel59[[#This Row],[Wins Rood]]</f>
        <v>1</v>
      </c>
      <c r="AR35" s="136">
        <f>Tabel59[[#This Row],[Aantal Games Groen]]-Tabel59[[#This Row],[Wins Groen]]</f>
        <v>2</v>
      </c>
      <c r="AS35" s="137">
        <f>Tabel59[[#This Row],[Aantal games Alg]]-Tabel59[[#This Row],[Wins Alg]]</f>
        <v>3</v>
      </c>
      <c r="AT35" s="138">
        <f>COUNTIF(Tabel158[Team Rood],Tabel59[[#This Row],[Team]])</f>
        <v>4</v>
      </c>
      <c r="AU35" s="136">
        <f>COUNTIF(Tabel158[Team Groen],Tabel59[[#This Row],[Team]])</f>
        <v>3</v>
      </c>
      <c r="AV35" s="214">
        <f>Tabel59[[#This Row],[Aantal Games Rood]]+Tabel59[[#This Row],[Aantal Games Groen]]</f>
        <v>7</v>
      </c>
      <c r="AW35" s="138">
        <f>SUMIF(Tabel158[Team Rood],Tabel59[[#This Row],[Team]],Tabel158[Score])</f>
        <v>15</v>
      </c>
      <c r="AX35" s="138">
        <f>SUMIF(Tabel158[Team Rood],Tabel59[[#This Row],[Team]],Tabel158[Score2])</f>
        <v>28</v>
      </c>
      <c r="AY35" s="134">
        <f>SUMIF(Tabel158[Team Groen],Tabel59[[#This Row],[Team]],Tabel158[Score3])</f>
        <v>8</v>
      </c>
      <c r="AZ35" s="136">
        <f>SUMIF(Tabel158[Team Groen],Tabel59[[#This Row],[Team]],Tabel158[Score4])</f>
        <v>13</v>
      </c>
      <c r="BA35" s="293">
        <f>SUM(Tabel59[[#This Row],[Goals Verdediger]]+Tabel59[[#This Row],[Goals DefG]])</f>
        <v>23</v>
      </c>
      <c r="BB35" s="293">
        <f>IF(Tabel59[[#This Row],[Aantal games Alg]]=0,0,Tabel59[[#This Row],[Goals DefA]]/Tabel59[[#This Row],[Aantal games Alg]])</f>
        <v>3.2857142857142856</v>
      </c>
      <c r="BC35" s="293">
        <f>SUM(Tabel59[[#This Row],[Goals Aanvaller]]+Tabel59[[#This Row],[Goals OffG]])</f>
        <v>41</v>
      </c>
      <c r="BD35" s="293">
        <f>IF(Tabel59[[#This Row],[Aantal games Alg]]=0,0,Tabel59[[#This Row],[Goals OffA]]/Tabel59[[#This Row],[Aantal games Alg]])</f>
        <v>5.8571428571428568</v>
      </c>
      <c r="BE35" s="214">
        <f>Tabel59[[#This Row],[Goals DefA]]+Tabel59[[#This Row],[Goals OffA]]</f>
        <v>64</v>
      </c>
      <c r="BF35" s="214">
        <f>IF(Tabel59[[#This Row],[Aantal games Alg]]=0,0,Tabel59[[#This Row],[Goals Alg]]/Tabel59[[#This Row],[Aantal games Alg]])</f>
        <v>9.1428571428571423</v>
      </c>
      <c r="BG35" s="148">
        <f ca="1">SUMIF(Tabel158[Team Rood],Tabel59[[#This Row],[Team]],Tabel158[ET])</f>
        <v>3.15393517666962E-4</v>
      </c>
      <c r="BH35" s="150">
        <f ca="1">SUMIF(Tabel158[Team Groen],Tabel59[[#This Row],[Team]],Tabel158[ET])</f>
        <v>0</v>
      </c>
      <c r="BI35" s="153">
        <f ca="1">SUM(Tabel59[[#This Row],[ET Groen tot]],Tabel59[[#This Row],[ET Rood tot]])</f>
        <v>3.15393517666962E-4</v>
      </c>
      <c r="BJ35" s="155">
        <f ca="1">IF(Tabel59[[#This Row],[Aantal games Alg]]=0,0,Tabel59[[#This Row],[ET tot]]/Tabel59[[#This Row],[Aantal games Alg]])</f>
        <v>4.5056216809565998E-5</v>
      </c>
    </row>
    <row r="36" spans="1:62" x14ac:dyDescent="0.25">
      <c r="A36" s="124">
        <f ca="1">IF(Tabel158[[#This Row],[Rood Verdediging]]&lt;&gt;"",IF(A36="",NOW(),A36),"")</f>
        <v>43878.947694907409</v>
      </c>
      <c r="B36" s="128">
        <f ca="1">IF(Tabel158[[#This Row],[Rood Verdediging]]&lt;&gt;"",IF(B36="",NOW(),B36),"")</f>
        <v>43878.947694907409</v>
      </c>
      <c r="C36" s="126">
        <f ca="1">IF(Tabel158[[#This Row],[Score]]&lt;&gt;"",IF(C36="",NOW(),C36),"")</f>
        <v>43878.947694907409</v>
      </c>
      <c r="D36" s="127">
        <f ca="1">IF(OR(Tabel158[[#This Row],[Starttijd]]="",Tabel158[[#This Row],[Eindtijd]]=""),"",Tabel158[[#This Row],[Eindtijd]]-Tabel158[[#This Row],[Starttijd]])</f>
        <v>0</v>
      </c>
      <c r="E36" s="74">
        <v>35</v>
      </c>
      <c r="F36" s="205" t="s">
        <v>8</v>
      </c>
      <c r="G36" s="210">
        <v>3</v>
      </c>
      <c r="H36" s="205" t="s">
        <v>6</v>
      </c>
      <c r="I36" s="210">
        <v>8</v>
      </c>
      <c r="J36" s="206" t="s">
        <v>0</v>
      </c>
      <c r="K36" s="212">
        <v>2</v>
      </c>
      <c r="L36" s="206" t="s">
        <v>3</v>
      </c>
      <c r="M36" s="212">
        <v>7</v>
      </c>
      <c r="N36" s="81">
        <f t="shared" si="0"/>
        <v>11</v>
      </c>
      <c r="O36" s="82">
        <f t="shared" si="1"/>
        <v>9</v>
      </c>
      <c r="P36" s="70" t="str">
        <f t="shared" si="2"/>
        <v>ROOD</v>
      </c>
      <c r="Q36" s="86" t="str">
        <f t="shared" si="3"/>
        <v>Louis</v>
      </c>
      <c r="R36" s="87" t="str">
        <f t="shared" si="4"/>
        <v>Stef D</v>
      </c>
      <c r="S36" t="str">
        <f>Tabel158[[#This Row],[Rood Verdediging]]&amp;Tabel158[[#This Row],[Rood Aanval]]</f>
        <v>LouisStef D</v>
      </c>
      <c r="T36" t="str">
        <f>Tabel158[[#This Row],[Groen Verdediging]]&amp;Tabel158[[#This Row],[Groen Aanval]]</f>
        <v>JonasKarel</v>
      </c>
      <c r="U36" t="str">
        <f>Tabel158[[#This Row],[Winnaar 1]]&amp;Tabel158[[#This Row],[Winnaar 2]]</f>
        <v>LouisStef D</v>
      </c>
      <c r="V36" s="147" t="str">
        <f>IF(Tabel158[[#This Row],[Team Rood]]=Tabel158[[#This Row],[Winnaars]],Tabel158[[#This Row],[Team Rood]])</f>
        <v>LouisStef D</v>
      </c>
      <c r="W36" s="147" t="b">
        <f>IF(Tabel158[[#This Row],[Team Groen]]=Tabel158[[#This Row],[Winnaars]],Tabel158[[#This Row],[Team Groen]])</f>
        <v>0</v>
      </c>
      <c r="X36" s="147"/>
      <c r="AH36" s="251" t="s">
        <v>164</v>
      </c>
      <c r="AI36" s="233" t="s">
        <v>160</v>
      </c>
      <c r="AJ36" s="140" t="str">
        <f t="shared" si="13"/>
        <v>Karel*Tiemen*</v>
      </c>
      <c r="AK36" s="160">
        <f>IF(Tabel59[[#This Row],[Aantal Games Rood]]=0,0,(Tabel59[[#This Row],[Wins Rood]])/Tabel59[[#This Row],[Aantal Games Rood]])</f>
        <v>0.5</v>
      </c>
      <c r="AL36" s="159">
        <f>IF(Tabel59[[#This Row],[Aantal Games Groen]]=0,0,(Tabel59[[#This Row],[Wins Groen]])/Tabel59[[#This Row],[Aantal Games Groen]])</f>
        <v>0.66666666666666663</v>
      </c>
      <c r="AM36" s="156">
        <f>IF(Tabel59[[#This Row],[Aantal games Alg]]=0,0,(Tabel59[[#This Row],[Wins Alg]])/Tabel59[[#This Row],[Aantal games Alg]])</f>
        <v>0.5714285714285714</v>
      </c>
      <c r="AN36" s="133">
        <f>COUNTIF(Tabel158[Winaar rood],Tabel59[[#This Row],[Team]])</f>
        <v>2</v>
      </c>
      <c r="AO36" s="134">
        <f>COUNTIF(Tabel158[Winnaar Groen],Tabel59[[#This Row],[Team]])</f>
        <v>2</v>
      </c>
      <c r="AP36" s="293">
        <f>COUNTIF(Tabel158[Winnaars],Tabel59[[#This Row],[Team]])</f>
        <v>4</v>
      </c>
      <c r="AQ36" s="135">
        <f>Tabel59[[#This Row],[Aantal Games Rood]]-Tabel59[[#This Row],[Wins Rood]]</f>
        <v>2</v>
      </c>
      <c r="AR36" s="136">
        <f>Tabel59[[#This Row],[Aantal Games Groen]]-Tabel59[[#This Row],[Wins Groen]]</f>
        <v>1</v>
      </c>
      <c r="AS36" s="137">
        <f>Tabel59[[#This Row],[Aantal games Alg]]-Tabel59[[#This Row],[Wins Alg]]</f>
        <v>3</v>
      </c>
      <c r="AT36" s="138">
        <f>COUNTIF(Tabel158[Team Rood],Tabel59[[#This Row],[Team]])</f>
        <v>4</v>
      </c>
      <c r="AU36" s="136">
        <f>COUNTIF(Tabel158[Team Groen],Tabel59[[#This Row],[Team]])</f>
        <v>3</v>
      </c>
      <c r="AV36" s="214">
        <f>Tabel59[[#This Row],[Aantal Games Rood]]+Tabel59[[#This Row],[Aantal Games Groen]]</f>
        <v>7</v>
      </c>
      <c r="AW36" s="138">
        <f>SUMIF(Tabel158[Team Rood],Tabel59[[#This Row],[Team]],Tabel158[Score])</f>
        <v>20</v>
      </c>
      <c r="AX36" s="138">
        <f>SUMIF(Tabel158[Team Rood],Tabel59[[#This Row],[Team]],Tabel158[Score2])</f>
        <v>26</v>
      </c>
      <c r="AY36" s="134">
        <f>SUMIF(Tabel158[Team Groen],Tabel59[[#This Row],[Team]],Tabel158[Score3])</f>
        <v>12</v>
      </c>
      <c r="AZ36" s="136">
        <f>SUMIF(Tabel158[Team Groen],Tabel59[[#This Row],[Team]],Tabel158[Score4])</f>
        <v>15</v>
      </c>
      <c r="BA36" s="293">
        <f>SUM(Tabel59[[#This Row],[Goals Verdediger]]+Tabel59[[#This Row],[Goals DefG]])</f>
        <v>32</v>
      </c>
      <c r="BB36" s="293">
        <f>IF(Tabel59[[#This Row],[Aantal games Alg]]=0,0,Tabel59[[#This Row],[Goals DefA]]/Tabel59[[#This Row],[Aantal games Alg]])</f>
        <v>4.5714285714285712</v>
      </c>
      <c r="BC36" s="293">
        <f>SUM(Tabel59[[#This Row],[Goals Aanvaller]]+Tabel59[[#This Row],[Goals OffG]])</f>
        <v>41</v>
      </c>
      <c r="BD36" s="293">
        <f>IF(Tabel59[[#This Row],[Aantal games Alg]]=0,0,Tabel59[[#This Row],[Goals OffA]]/Tabel59[[#This Row],[Aantal games Alg]])</f>
        <v>5.8571428571428568</v>
      </c>
      <c r="BE36" s="214">
        <f>Tabel59[[#This Row],[Goals DefA]]+Tabel59[[#This Row],[Goals OffA]]</f>
        <v>73</v>
      </c>
      <c r="BF36" s="214">
        <f>IF(Tabel59[[#This Row],[Aantal games Alg]]=0,0,Tabel59[[#This Row],[Goals Alg]]/Tabel59[[#This Row],[Aantal games Alg]])</f>
        <v>10.428571428571429</v>
      </c>
      <c r="BG36" s="148">
        <f ca="1">SUMIF(Tabel158[Team Rood],Tabel59[[#This Row],[Team]],Tabel158[ET])</f>
        <v>0</v>
      </c>
      <c r="BH36" s="150">
        <f ca="1">SUMIF(Tabel158[Team Groen],Tabel59[[#This Row],[Team]],Tabel158[ET])</f>
        <v>0</v>
      </c>
      <c r="BI36" s="153">
        <f ca="1">SUM(Tabel59[[#This Row],[ET Groen tot]],Tabel59[[#This Row],[ET Rood tot]])</f>
        <v>0</v>
      </c>
      <c r="BJ36" s="155">
        <f ca="1">IF(Tabel59[[#This Row],[Aantal games Alg]]=0,0,Tabel59[[#This Row],[ET tot]]/Tabel59[[#This Row],[Aantal games Alg]])</f>
        <v>0</v>
      </c>
    </row>
    <row r="37" spans="1:62" x14ac:dyDescent="0.25">
      <c r="A37" s="124">
        <f ca="1">IF(Tabel158[[#This Row],[Rood Verdediging]]&lt;&gt;"",IF(A37="",NOW(),A37),"")</f>
        <v>43878.947694907409</v>
      </c>
      <c r="B37" s="128">
        <f ca="1">IF(Tabel158[[#This Row],[Rood Verdediging]]&lt;&gt;"",IF(B37="",NOW(),B37),"")</f>
        <v>43878.947694907409</v>
      </c>
      <c r="C37" s="126">
        <f ca="1">IF(Tabel158[[#This Row],[Score]]&lt;&gt;"",IF(C37="",NOW(),C37),"")</f>
        <v>43878.947694907409</v>
      </c>
      <c r="D37" s="127">
        <f ca="1">IF(OR(Tabel158[[#This Row],[Starttijd]]="",Tabel158[[#This Row],[Eindtijd]]=""),"",Tabel158[[#This Row],[Eindtijd]]-Tabel158[[#This Row],[Starttijd]])</f>
        <v>0</v>
      </c>
      <c r="E37" s="74">
        <v>36</v>
      </c>
      <c r="F37" s="205" t="s">
        <v>6</v>
      </c>
      <c r="G37" s="210">
        <v>4</v>
      </c>
      <c r="H37" s="205" t="s">
        <v>8</v>
      </c>
      <c r="I37" s="210">
        <v>7</v>
      </c>
      <c r="J37" s="206" t="s">
        <v>3</v>
      </c>
      <c r="K37" s="212">
        <v>4</v>
      </c>
      <c r="L37" s="206" t="s">
        <v>0</v>
      </c>
      <c r="M37" s="212">
        <v>4</v>
      </c>
      <c r="N37" s="81">
        <f t="shared" si="0"/>
        <v>11</v>
      </c>
      <c r="O37" s="82">
        <f t="shared" si="1"/>
        <v>8</v>
      </c>
      <c r="P37" s="70" t="str">
        <f t="shared" si="2"/>
        <v>ROOD</v>
      </c>
      <c r="Q37" s="86" t="str">
        <f t="shared" si="3"/>
        <v>Stef D</v>
      </c>
      <c r="R37" s="87" t="str">
        <f t="shared" si="4"/>
        <v>Louis</v>
      </c>
      <c r="S37" t="str">
        <f>Tabel158[[#This Row],[Rood Verdediging]]&amp;Tabel158[[#This Row],[Rood Aanval]]</f>
        <v>Stef DLouis</v>
      </c>
      <c r="T37" t="str">
        <f>Tabel158[[#This Row],[Groen Verdediging]]&amp;Tabel158[[#This Row],[Groen Aanval]]</f>
        <v>KarelJonas</v>
      </c>
      <c r="U37" t="str">
        <f>Tabel158[[#This Row],[Winnaar 1]]&amp;Tabel158[[#This Row],[Winnaar 2]]</f>
        <v>Stef DLouis</v>
      </c>
      <c r="V37" s="147" t="str">
        <f>IF(Tabel158[[#This Row],[Team Rood]]=Tabel158[[#This Row],[Winnaars]],Tabel158[[#This Row],[Team Rood]])</f>
        <v>Stef DLouis</v>
      </c>
      <c r="W37" s="147" t="b">
        <f>IF(Tabel158[[#This Row],[Team Groen]]=Tabel158[[#This Row],[Winnaars]],Tabel158[[#This Row],[Team Groen]])</f>
        <v>0</v>
      </c>
      <c r="X37" s="147"/>
      <c r="AH37" s="251" t="s">
        <v>169</v>
      </c>
      <c r="AI37" s="233" t="s">
        <v>159</v>
      </c>
      <c r="AJ37" s="140" t="str">
        <f t="shared" si="13"/>
        <v>Stef*Jonas*</v>
      </c>
      <c r="AK37" s="160">
        <f>IF(Tabel59[[#This Row],[Aantal Games Rood]]=0,0,(Tabel59[[#This Row],[Wins Rood]])/Tabel59[[#This Row],[Aantal Games Rood]])</f>
        <v>0.83333333333333337</v>
      </c>
      <c r="AL37" s="159">
        <f>IF(Tabel59[[#This Row],[Aantal Games Groen]]=0,0,(Tabel59[[#This Row],[Wins Groen]])/Tabel59[[#This Row],[Aantal Games Groen]])</f>
        <v>0.2857142857142857</v>
      </c>
      <c r="AM37" s="156">
        <f>IF(Tabel59[[#This Row],[Aantal games Alg]]=0,0,(Tabel59[[#This Row],[Wins Alg]])/Tabel59[[#This Row],[Aantal games Alg]])</f>
        <v>0.53846153846153844</v>
      </c>
      <c r="AN37" s="133">
        <f>COUNTIF(Tabel158[Winaar rood],Tabel59[[#This Row],[Team]])</f>
        <v>5</v>
      </c>
      <c r="AO37" s="134">
        <f>COUNTIF(Tabel158[Winnaar Groen],Tabel59[[#This Row],[Team]])</f>
        <v>2</v>
      </c>
      <c r="AP37" s="293">
        <f>COUNTIF(Tabel158[Winnaars],Tabel59[[#This Row],[Team]])</f>
        <v>7</v>
      </c>
      <c r="AQ37" s="135">
        <f>Tabel59[[#This Row],[Aantal Games Rood]]-Tabel59[[#This Row],[Wins Rood]]</f>
        <v>1</v>
      </c>
      <c r="AR37" s="136">
        <f>Tabel59[[#This Row],[Aantal Games Groen]]-Tabel59[[#This Row],[Wins Groen]]</f>
        <v>5</v>
      </c>
      <c r="AS37" s="137">
        <f>Tabel59[[#This Row],[Aantal games Alg]]-Tabel59[[#This Row],[Wins Alg]]</f>
        <v>6</v>
      </c>
      <c r="AT37" s="138">
        <f>COUNTIF(Tabel158[Team Rood],Tabel59[[#This Row],[Team]])</f>
        <v>6</v>
      </c>
      <c r="AU37" s="136">
        <f>COUNTIF(Tabel158[Team Groen],Tabel59[[#This Row],[Team]])</f>
        <v>7</v>
      </c>
      <c r="AV37" s="214">
        <f>Tabel59[[#This Row],[Aantal Games Rood]]+Tabel59[[#This Row],[Aantal Games Groen]]</f>
        <v>13</v>
      </c>
      <c r="AW37" s="138">
        <f>SUMIF(Tabel158[Team Rood],Tabel59[[#This Row],[Team]],Tabel158[Score])</f>
        <v>28</v>
      </c>
      <c r="AX37" s="138">
        <f>SUMIF(Tabel158[Team Rood],Tabel59[[#This Row],[Team]],Tabel158[Score2])</f>
        <v>36</v>
      </c>
      <c r="AY37" s="134">
        <f>SUMIF(Tabel158[Team Groen],Tabel59[[#This Row],[Team]],Tabel158[Score3])</f>
        <v>20</v>
      </c>
      <c r="AZ37" s="136">
        <f>SUMIF(Tabel158[Team Groen],Tabel59[[#This Row],[Team]],Tabel158[Score4])</f>
        <v>36</v>
      </c>
      <c r="BA37" s="293">
        <f>SUM(Tabel59[[#This Row],[Goals Verdediger]]+Tabel59[[#This Row],[Goals DefG]])</f>
        <v>48</v>
      </c>
      <c r="BB37" s="293">
        <f>IF(Tabel59[[#This Row],[Aantal games Alg]]=0,0,Tabel59[[#This Row],[Goals DefA]]/Tabel59[[#This Row],[Aantal games Alg]])</f>
        <v>3.6923076923076925</v>
      </c>
      <c r="BC37" s="293">
        <f>SUM(Tabel59[[#This Row],[Goals Aanvaller]]+Tabel59[[#This Row],[Goals OffG]])</f>
        <v>72</v>
      </c>
      <c r="BD37" s="293">
        <f>IF(Tabel59[[#This Row],[Aantal games Alg]]=0,0,Tabel59[[#This Row],[Goals OffA]]/Tabel59[[#This Row],[Aantal games Alg]])</f>
        <v>5.5384615384615383</v>
      </c>
      <c r="BE37" s="214">
        <f>Tabel59[[#This Row],[Goals DefA]]+Tabel59[[#This Row],[Goals OffA]]</f>
        <v>120</v>
      </c>
      <c r="BF37" s="214">
        <f>IF(Tabel59[[#This Row],[Aantal games Alg]]=0,0,Tabel59[[#This Row],[Goals Alg]]/Tabel59[[#This Row],[Aantal games Alg]])</f>
        <v>9.2307692307692299</v>
      </c>
      <c r="BG37" s="148">
        <f ca="1">SUMIF(Tabel158[Team Rood],Tabel59[[#This Row],[Team]],Tabel158[ET])</f>
        <v>0</v>
      </c>
      <c r="BH37" s="150">
        <f ca="1">SUMIF(Tabel158[Team Groen],Tabel59[[#This Row],[Team]],Tabel158[ET])</f>
        <v>0</v>
      </c>
      <c r="BI37" s="153">
        <f ca="1">SUM(Tabel59[[#This Row],[ET Groen tot]],Tabel59[[#This Row],[ET Rood tot]])</f>
        <v>0</v>
      </c>
      <c r="BJ37" s="155">
        <f ca="1">IF(Tabel59[[#This Row],[Aantal games Alg]]=0,0,Tabel59[[#This Row],[ET tot]]/Tabel59[[#This Row],[Aantal games Alg]])</f>
        <v>0</v>
      </c>
    </row>
    <row r="38" spans="1:62" x14ac:dyDescent="0.25">
      <c r="A38" s="124">
        <f ca="1">IF(Tabel158[[#This Row],[Rood Verdediging]]&lt;&gt;"",IF(A38="",NOW(),A38),"")</f>
        <v>43878.947694907409</v>
      </c>
      <c r="B38" s="128">
        <f ca="1">IF(Tabel158[[#This Row],[Rood Verdediging]]&lt;&gt;"",IF(B38="",NOW(),B38),"")</f>
        <v>43878.947694907409</v>
      </c>
      <c r="C38" s="126">
        <f ca="1">IF(Tabel158[[#This Row],[Score]]&lt;&gt;"",IF(C38="",NOW(),C38),"")</f>
        <v>43878.947694907409</v>
      </c>
      <c r="D38" s="127">
        <f ca="1">IF(OR(Tabel158[[#This Row],[Starttijd]]="",Tabel158[[#This Row],[Eindtijd]]=""),"",Tabel158[[#This Row],[Eindtijd]]-Tabel158[[#This Row],[Starttijd]])</f>
        <v>0</v>
      </c>
      <c r="E38" s="74">
        <v>37</v>
      </c>
      <c r="F38" s="205" t="s">
        <v>8</v>
      </c>
      <c r="G38" s="210">
        <v>4</v>
      </c>
      <c r="H38" s="205" t="s">
        <v>3</v>
      </c>
      <c r="I38" s="210">
        <v>5</v>
      </c>
      <c r="J38" s="206" t="s">
        <v>0</v>
      </c>
      <c r="K38" s="212">
        <v>2</v>
      </c>
      <c r="L38" s="206" t="s">
        <v>6</v>
      </c>
      <c r="M38" s="212">
        <v>9</v>
      </c>
      <c r="N38" s="81">
        <f t="shared" si="0"/>
        <v>9</v>
      </c>
      <c r="O38" s="82">
        <f t="shared" si="1"/>
        <v>11</v>
      </c>
      <c r="P38" s="70" t="str">
        <f t="shared" si="2"/>
        <v>GROEN</v>
      </c>
      <c r="Q38" s="86" t="str">
        <f t="shared" si="3"/>
        <v>Jonas</v>
      </c>
      <c r="R38" s="87" t="str">
        <f t="shared" si="4"/>
        <v>Stef D</v>
      </c>
      <c r="S38" t="str">
        <f>Tabel158[[#This Row],[Rood Verdediging]]&amp;Tabel158[[#This Row],[Rood Aanval]]</f>
        <v>LouisKarel</v>
      </c>
      <c r="T38" t="str">
        <f>Tabel158[[#This Row],[Groen Verdediging]]&amp;Tabel158[[#This Row],[Groen Aanval]]</f>
        <v>JonasStef D</v>
      </c>
      <c r="U38" t="str">
        <f>Tabel158[[#This Row],[Winnaar 1]]&amp;Tabel158[[#This Row],[Winnaar 2]]</f>
        <v>JonasStef D</v>
      </c>
      <c r="V38" s="147" t="b">
        <f>IF(Tabel158[[#This Row],[Team Rood]]=Tabel158[[#This Row],[Winnaars]],Tabel158[[#This Row],[Team Rood]])</f>
        <v>0</v>
      </c>
      <c r="W38" s="147" t="str">
        <f>IF(Tabel158[[#This Row],[Team Groen]]=Tabel158[[#This Row],[Winnaars]],Tabel158[[#This Row],[Team Groen]])</f>
        <v>JonasStef D</v>
      </c>
      <c r="X38" s="147"/>
      <c r="AH38" s="251" t="s">
        <v>158</v>
      </c>
      <c r="AI38" s="233" t="s">
        <v>164</v>
      </c>
      <c r="AJ38" s="140" t="str">
        <f t="shared" si="13"/>
        <v>Arno*Karel*</v>
      </c>
      <c r="AK38" s="160">
        <f>IF(Tabel59[[#This Row],[Aantal Games Rood]]=0,0,(Tabel59[[#This Row],[Wins Rood]])/Tabel59[[#This Row],[Aantal Games Rood]])</f>
        <v>0.5</v>
      </c>
      <c r="AL38" s="159">
        <f>IF(Tabel59[[#This Row],[Aantal Games Groen]]=0,0,(Tabel59[[#This Row],[Wins Groen]])/Tabel59[[#This Row],[Aantal Games Groen]])</f>
        <v>0</v>
      </c>
      <c r="AM38" s="156">
        <f>IF(Tabel59[[#This Row],[Aantal games Alg]]=0,0,(Tabel59[[#This Row],[Wins Alg]])/Tabel59[[#This Row],[Aantal games Alg]])</f>
        <v>0.5</v>
      </c>
      <c r="AN38" s="138">
        <f>COUNTIF(Tabel158[Winaar rood],Tabel59[[#This Row],[Team]])</f>
        <v>1</v>
      </c>
      <c r="AO38" s="134">
        <f>COUNTIF(Tabel158[Winnaar Groen],Tabel59[[#This Row],[Team]])</f>
        <v>0</v>
      </c>
      <c r="AP38">
        <f>COUNTIF(Tabel158[Winnaars],Tabel59[[#This Row],[Team]])</f>
        <v>1</v>
      </c>
      <c r="AQ38" s="135">
        <f>Tabel59[[#This Row],[Aantal Games Rood]]-Tabel59[[#This Row],[Wins Rood]]</f>
        <v>1</v>
      </c>
      <c r="AR38" s="136">
        <f>Tabel59[[#This Row],[Aantal Games Groen]]-Tabel59[[#This Row],[Wins Groen]]</f>
        <v>0</v>
      </c>
      <c r="AS38" s="137">
        <f>Tabel59[[#This Row],[Aantal games Alg]]-Tabel59[[#This Row],[Wins Alg]]</f>
        <v>1</v>
      </c>
      <c r="AT38" s="138">
        <f>COUNTIF(Tabel158[Team Rood],Tabel59[[#This Row],[Team]])</f>
        <v>2</v>
      </c>
      <c r="AU38" s="136">
        <f>COUNTIF(Tabel158[Team Groen],Tabel59[[#This Row],[Team]])</f>
        <v>0</v>
      </c>
      <c r="AV38" s="112">
        <f>Tabel59[[#This Row],[Aantal Games Rood]]+Tabel59[[#This Row],[Aantal Games Groen]]</f>
        <v>2</v>
      </c>
      <c r="AW38" s="138">
        <f>SUMIF(Tabel158[Team Rood],Tabel59[[#This Row],[Team]],Tabel158[Score])</f>
        <v>16</v>
      </c>
      <c r="AX38" s="138">
        <f>SUMIF(Tabel158[Team Rood],Tabel59[[#This Row],[Team]],Tabel158[Score2])</f>
        <v>5</v>
      </c>
      <c r="AY38" s="134">
        <f>SUMIF(Tabel158[Team Groen],Tabel59[[#This Row],[Team]],Tabel158[Score3])</f>
        <v>0</v>
      </c>
      <c r="AZ38" s="136">
        <f>SUMIF(Tabel158[Team Groen],Tabel59[[#This Row],[Team]],Tabel158[Score4])</f>
        <v>0</v>
      </c>
      <c r="BA38">
        <f>SUM(Tabel59[[#This Row],[Goals Verdediger]]+Tabel59[[#This Row],[Goals DefG]])</f>
        <v>16</v>
      </c>
      <c r="BB38">
        <f>IF(Tabel59[[#This Row],[Aantal games Alg]]=0,0,Tabel59[[#This Row],[Goals DefA]]/Tabel59[[#This Row],[Aantal games Alg]])</f>
        <v>8</v>
      </c>
      <c r="BC38">
        <f>SUM(Tabel59[[#This Row],[Goals Aanvaller]]+Tabel59[[#This Row],[Goals OffG]])</f>
        <v>5</v>
      </c>
      <c r="BD38">
        <f>IF(Tabel59[[#This Row],[Aantal games Alg]]=0,0,Tabel59[[#This Row],[Goals OffA]]/Tabel59[[#This Row],[Aantal games Alg]])</f>
        <v>2.5</v>
      </c>
      <c r="BE38" s="112">
        <f>Tabel59[[#This Row],[Goals DefA]]+Tabel59[[#This Row],[Goals OffA]]</f>
        <v>21</v>
      </c>
      <c r="BF38" s="112">
        <f>IF(Tabel59[[#This Row],[Aantal games Alg]]=0,0,Tabel59[[#This Row],[Goals Alg]]/Tabel59[[#This Row],[Aantal games Alg]])</f>
        <v>10.5</v>
      </c>
      <c r="BG38" s="148">
        <f ca="1">SUMIF(Tabel158[Team Rood],Tabel59[[#This Row],[Team]],Tabel158[ET])</f>
        <v>0</v>
      </c>
      <c r="BH38" s="150">
        <f>SUMIF(Tabel158[Team Groen],Tabel59[[#This Row],[Team]],Tabel158[ET])</f>
        <v>0</v>
      </c>
      <c r="BI38" s="153">
        <f ca="1">SUM(Tabel59[[#This Row],[ET Groen tot]],Tabel59[[#This Row],[ET Rood tot]])</f>
        <v>0</v>
      </c>
      <c r="BJ38" s="155">
        <f ca="1">IF(Tabel59[[#This Row],[Aantal games Alg]]=0,0,Tabel59[[#This Row],[ET tot]]/Tabel59[[#This Row],[Aantal games Alg]])</f>
        <v>0</v>
      </c>
    </row>
    <row r="39" spans="1:62" x14ac:dyDescent="0.25">
      <c r="A39" s="124">
        <f ca="1">IF(Tabel158[[#This Row],[Rood Verdediging]]&lt;&gt;"",IF(A39="",NOW(),A39),"")</f>
        <v>43878.947694907409</v>
      </c>
      <c r="B39" s="128">
        <f ca="1">IF(Tabel158[[#This Row],[Rood Verdediging]]&lt;&gt;"",IF(B39="",NOW(),B39),"")</f>
        <v>43878.947694907409</v>
      </c>
      <c r="C39" s="126">
        <f ca="1">IF(Tabel158[[#This Row],[Score]]&lt;&gt;"",IF(C39="",NOW(),C39),"")</f>
        <v>43878.947694907409</v>
      </c>
      <c r="D39" s="127">
        <f ca="1">IF(OR(Tabel158[[#This Row],[Starttijd]]="",Tabel158[[#This Row],[Eindtijd]]=""),"",Tabel158[[#This Row],[Eindtijd]]-Tabel158[[#This Row],[Starttijd]])</f>
        <v>0</v>
      </c>
      <c r="E39" s="74">
        <v>38</v>
      </c>
      <c r="F39" s="205" t="s">
        <v>3</v>
      </c>
      <c r="G39" s="210">
        <v>0</v>
      </c>
      <c r="H39" s="205" t="s">
        <v>8</v>
      </c>
      <c r="I39" s="210">
        <v>3</v>
      </c>
      <c r="J39" s="206" t="s">
        <v>6</v>
      </c>
      <c r="K39" s="212">
        <v>2</v>
      </c>
      <c r="L39" s="206" t="s">
        <v>0</v>
      </c>
      <c r="M39" s="212">
        <v>9</v>
      </c>
      <c r="N39" s="81">
        <f t="shared" si="0"/>
        <v>3</v>
      </c>
      <c r="O39" s="82">
        <f t="shared" si="1"/>
        <v>11</v>
      </c>
      <c r="P39" s="70" t="str">
        <f t="shared" si="2"/>
        <v>GROEN</v>
      </c>
      <c r="Q39" s="86" t="str">
        <f t="shared" si="3"/>
        <v>Stef D</v>
      </c>
      <c r="R39" s="87" t="str">
        <f t="shared" si="4"/>
        <v>Jonas</v>
      </c>
      <c r="S39" t="str">
        <f>Tabel158[[#This Row],[Rood Verdediging]]&amp;Tabel158[[#This Row],[Rood Aanval]]</f>
        <v>KarelLouis</v>
      </c>
      <c r="T39" t="str">
        <f>Tabel158[[#This Row],[Groen Verdediging]]&amp;Tabel158[[#This Row],[Groen Aanval]]</f>
        <v>Stef DJonas</v>
      </c>
      <c r="U39" t="str">
        <f>Tabel158[[#This Row],[Winnaar 1]]&amp;Tabel158[[#This Row],[Winnaar 2]]</f>
        <v>Stef DJonas</v>
      </c>
      <c r="V39" s="147" t="b">
        <f>IF(Tabel158[[#This Row],[Team Rood]]=Tabel158[[#This Row],[Winnaars]],Tabel158[[#This Row],[Team Rood]])</f>
        <v>0</v>
      </c>
      <c r="W39" s="147" t="str">
        <f>IF(Tabel158[[#This Row],[Team Groen]]=Tabel158[[#This Row],[Winnaars]],Tabel158[[#This Row],[Team Groen]])</f>
        <v>Stef DJonas</v>
      </c>
      <c r="X39" s="147"/>
      <c r="AH39" s="251" t="s">
        <v>158</v>
      </c>
      <c r="AI39" s="233" t="s">
        <v>160</v>
      </c>
      <c r="AJ39" s="140" t="str">
        <f t="shared" si="13"/>
        <v>Arno*Tiemen*</v>
      </c>
      <c r="AK39" s="160">
        <f>IF(Tabel59[[#This Row],[Aantal Games Rood]]=0,0,(Tabel59[[#This Row],[Wins Rood]])/Tabel59[[#This Row],[Aantal Games Rood]])</f>
        <v>1</v>
      </c>
      <c r="AL39" s="159">
        <f>IF(Tabel59[[#This Row],[Aantal Games Groen]]=0,0,(Tabel59[[#This Row],[Wins Groen]])/Tabel59[[#This Row],[Aantal Games Groen]])</f>
        <v>0</v>
      </c>
      <c r="AM39" s="156">
        <f>IF(Tabel59[[#This Row],[Aantal games Alg]]=0,0,(Tabel59[[#This Row],[Wins Alg]])/Tabel59[[#This Row],[Aantal games Alg]])</f>
        <v>0.5</v>
      </c>
      <c r="AN39" s="138">
        <f>COUNTIF(Tabel158[Winaar rood],Tabel59[[#This Row],[Team]])</f>
        <v>1</v>
      </c>
      <c r="AO39" s="134">
        <f>COUNTIF(Tabel158[Winnaar Groen],Tabel59[[#This Row],[Team]])</f>
        <v>0</v>
      </c>
      <c r="AP39">
        <f>COUNTIF(Tabel158[Winnaars],Tabel59[[#This Row],[Team]])</f>
        <v>1</v>
      </c>
      <c r="AQ39" s="135">
        <f>Tabel59[[#This Row],[Aantal Games Rood]]-Tabel59[[#This Row],[Wins Rood]]</f>
        <v>0</v>
      </c>
      <c r="AR39" s="136">
        <f>Tabel59[[#This Row],[Aantal Games Groen]]-Tabel59[[#This Row],[Wins Groen]]</f>
        <v>1</v>
      </c>
      <c r="AS39" s="137">
        <f>Tabel59[[#This Row],[Aantal games Alg]]-Tabel59[[#This Row],[Wins Alg]]</f>
        <v>1</v>
      </c>
      <c r="AT39" s="138">
        <f>COUNTIF(Tabel158[Team Rood],Tabel59[[#This Row],[Team]])</f>
        <v>1</v>
      </c>
      <c r="AU39" s="136">
        <f>COUNTIF(Tabel158[Team Groen],Tabel59[[#This Row],[Team]])</f>
        <v>1</v>
      </c>
      <c r="AV39" s="112">
        <f>Tabel59[[#This Row],[Aantal Games Rood]]+Tabel59[[#This Row],[Aantal Games Groen]]</f>
        <v>2</v>
      </c>
      <c r="AW39" s="138">
        <f>SUMIF(Tabel158[Team Rood],Tabel59[[#This Row],[Team]],Tabel158[Score])</f>
        <v>5</v>
      </c>
      <c r="AX39" s="138">
        <f>SUMIF(Tabel158[Team Rood],Tabel59[[#This Row],[Team]],Tabel158[Score2])</f>
        <v>6</v>
      </c>
      <c r="AY39" s="134">
        <f>SUMIF(Tabel158[Team Groen],Tabel59[[#This Row],[Team]],Tabel158[Score3])</f>
        <v>0</v>
      </c>
      <c r="AZ39" s="136">
        <f>SUMIF(Tabel158[Team Groen],Tabel59[[#This Row],[Team]],Tabel158[Score4])</f>
        <v>9</v>
      </c>
      <c r="BA39">
        <f>SUM(Tabel59[[#This Row],[Goals Verdediger]]+Tabel59[[#This Row],[Goals DefG]])</f>
        <v>5</v>
      </c>
      <c r="BB39">
        <f>IF(Tabel59[[#This Row],[Aantal games Alg]]=0,0,Tabel59[[#This Row],[Goals DefA]]/Tabel59[[#This Row],[Aantal games Alg]])</f>
        <v>2.5</v>
      </c>
      <c r="BC39">
        <f>SUM(Tabel59[[#This Row],[Goals Aanvaller]]+Tabel59[[#This Row],[Goals OffG]])</f>
        <v>15</v>
      </c>
      <c r="BD39">
        <f>IF(Tabel59[[#This Row],[Aantal games Alg]]=0,0,Tabel59[[#This Row],[Goals OffA]]/Tabel59[[#This Row],[Aantal games Alg]])</f>
        <v>7.5</v>
      </c>
      <c r="BE39" s="112">
        <f>Tabel59[[#This Row],[Goals DefA]]+Tabel59[[#This Row],[Goals OffA]]</f>
        <v>20</v>
      </c>
      <c r="BF39" s="112">
        <f>IF(Tabel59[[#This Row],[Aantal games Alg]]=0,0,Tabel59[[#This Row],[Goals Alg]]/Tabel59[[#This Row],[Aantal games Alg]])</f>
        <v>10</v>
      </c>
      <c r="BG39" s="148">
        <f ca="1">SUMIF(Tabel158[Team Rood],Tabel59[[#This Row],[Team]],Tabel158[ET])</f>
        <v>0</v>
      </c>
      <c r="BH39" s="150">
        <f ca="1">SUMIF(Tabel158[Team Groen],Tabel59[[#This Row],[Team]],Tabel158[ET])</f>
        <v>0</v>
      </c>
      <c r="BI39" s="153">
        <f ca="1">SUM(Tabel59[[#This Row],[ET Groen tot]],Tabel59[[#This Row],[ET Rood tot]])</f>
        <v>0</v>
      </c>
      <c r="BJ39" s="155">
        <f ca="1">IF(Tabel59[[#This Row],[Aantal games Alg]]=0,0,Tabel59[[#This Row],[ET tot]]/Tabel59[[#This Row],[Aantal games Alg]])</f>
        <v>0</v>
      </c>
    </row>
    <row r="40" spans="1:62" x14ac:dyDescent="0.25">
      <c r="A40" s="124">
        <f ca="1">IF(Tabel158[[#This Row],[Rood Verdediging]]&lt;&gt;"",IF(A40="",NOW(),A40),"")</f>
        <v>43878.947694907409</v>
      </c>
      <c r="B40" s="128">
        <f ca="1">IF(Tabel158[[#This Row],[Rood Verdediging]]&lt;&gt;"",IF(B40="",NOW(),B40),"")</f>
        <v>43878.947694907409</v>
      </c>
      <c r="C40" s="126">
        <f ca="1">IF(Tabel158[[#This Row],[Score]]&lt;&gt;"",IF(C40="",NOW(),C40),"")</f>
        <v>43878.947694907409</v>
      </c>
      <c r="D40" s="127">
        <f ca="1">IF(OR(Tabel158[[#This Row],[Starttijd]]="",Tabel158[[#This Row],[Eindtijd]]=""),"",Tabel158[[#This Row],[Eindtijd]]-Tabel158[[#This Row],[Starttijd]])</f>
        <v>0</v>
      </c>
      <c r="E40" s="74">
        <v>39</v>
      </c>
      <c r="F40" s="205" t="s">
        <v>8</v>
      </c>
      <c r="G40" s="210">
        <v>3</v>
      </c>
      <c r="H40" s="205" t="s">
        <v>0</v>
      </c>
      <c r="I40" s="210">
        <v>4</v>
      </c>
      <c r="J40" s="206" t="s">
        <v>6</v>
      </c>
      <c r="K40" s="212">
        <v>2</v>
      </c>
      <c r="L40" s="206" t="s">
        <v>3</v>
      </c>
      <c r="M40" s="212">
        <v>9</v>
      </c>
      <c r="N40" s="81">
        <f t="shared" si="0"/>
        <v>7</v>
      </c>
      <c r="O40" s="82">
        <f t="shared" si="1"/>
        <v>11</v>
      </c>
      <c r="P40" s="70" t="str">
        <f t="shared" si="2"/>
        <v>GROEN</v>
      </c>
      <c r="Q40" s="86" t="str">
        <f t="shared" si="3"/>
        <v>Stef D</v>
      </c>
      <c r="R40" s="87" t="str">
        <f t="shared" si="4"/>
        <v>Karel</v>
      </c>
      <c r="S40" t="str">
        <f>Tabel158[[#This Row],[Rood Verdediging]]&amp;Tabel158[[#This Row],[Rood Aanval]]</f>
        <v>LouisJonas</v>
      </c>
      <c r="T40" t="str">
        <f>Tabel158[[#This Row],[Groen Verdediging]]&amp;Tabel158[[#This Row],[Groen Aanval]]</f>
        <v>Stef DKarel</v>
      </c>
      <c r="U40" t="str">
        <f>Tabel158[[#This Row],[Winnaar 1]]&amp;Tabel158[[#This Row],[Winnaar 2]]</f>
        <v>Stef DKarel</v>
      </c>
      <c r="V40" s="147" t="b">
        <f>IF(Tabel158[[#This Row],[Team Rood]]=Tabel158[[#This Row],[Winnaars]],Tabel158[[#This Row],[Team Rood]])</f>
        <v>0</v>
      </c>
      <c r="W40" s="147" t="str">
        <f>IF(Tabel158[[#This Row],[Team Groen]]=Tabel158[[#This Row],[Winnaars]],Tabel158[[#This Row],[Team Groen]])</f>
        <v>Stef DKarel</v>
      </c>
      <c r="X40" s="147"/>
      <c r="AH40" s="251" t="s">
        <v>163</v>
      </c>
      <c r="AI40" s="233" t="s">
        <v>162</v>
      </c>
      <c r="AJ40" s="140" t="str">
        <f t="shared" si="13"/>
        <v>Bert*Matthijs*</v>
      </c>
      <c r="AK40" s="160">
        <f>IF(Tabel59[[#This Row],[Aantal Games Rood]]=0,0,(Tabel59[[#This Row],[Wins Rood]])/Tabel59[[#This Row],[Aantal Games Rood]])</f>
        <v>1</v>
      </c>
      <c r="AL40" s="159">
        <f>IF(Tabel59[[#This Row],[Aantal Games Groen]]=0,0,(Tabel59[[#This Row],[Wins Groen]])/Tabel59[[#This Row],[Aantal Games Groen]])</f>
        <v>0</v>
      </c>
      <c r="AM40" s="156">
        <f>IF(Tabel59[[#This Row],[Aantal games Alg]]=0,0,(Tabel59[[#This Row],[Wins Alg]])/Tabel59[[#This Row],[Aantal games Alg]])</f>
        <v>0.5</v>
      </c>
      <c r="AN40" s="138">
        <f>COUNTIF(Tabel158[Winaar rood],Tabel59[[#This Row],[Team]])</f>
        <v>1</v>
      </c>
      <c r="AO40" s="134">
        <f>COUNTIF(Tabel158[Winnaar Groen],Tabel59[[#This Row],[Team]])</f>
        <v>0</v>
      </c>
      <c r="AP40" s="293">
        <f>COUNTIF(Tabel158[Winnaars],Tabel59[[#This Row],[Team]])</f>
        <v>1</v>
      </c>
      <c r="AQ40" s="135">
        <f>Tabel59[[#This Row],[Aantal Games Rood]]-Tabel59[[#This Row],[Wins Rood]]</f>
        <v>0</v>
      </c>
      <c r="AR40" s="136">
        <f>Tabel59[[#This Row],[Aantal Games Groen]]-Tabel59[[#This Row],[Wins Groen]]</f>
        <v>1</v>
      </c>
      <c r="AS40" s="137">
        <f>Tabel59[[#This Row],[Aantal games Alg]]-Tabel59[[#This Row],[Wins Alg]]</f>
        <v>1</v>
      </c>
      <c r="AT40" s="138">
        <f>COUNTIF(Tabel158[Team Rood],Tabel59[[#This Row],[Team]])</f>
        <v>1</v>
      </c>
      <c r="AU40" s="136">
        <f>COUNTIF(Tabel158[Team Groen],Tabel59[[#This Row],[Team]])</f>
        <v>1</v>
      </c>
      <c r="AV40" s="214">
        <f>Tabel59[[#This Row],[Aantal Games Rood]]+Tabel59[[#This Row],[Aantal Games Groen]]</f>
        <v>2</v>
      </c>
      <c r="AW40" s="138">
        <f>SUMIF(Tabel158[Team Rood],Tabel59[[#This Row],[Team]],Tabel158[Score])</f>
        <v>1</v>
      </c>
      <c r="AX40" s="138">
        <f>SUMIF(Tabel158[Team Rood],Tabel59[[#This Row],[Team]],Tabel158[Score2])</f>
        <v>10</v>
      </c>
      <c r="AY40" s="134">
        <f>SUMIF(Tabel158[Team Groen],Tabel59[[#This Row],[Team]],Tabel158[Score3])</f>
        <v>0</v>
      </c>
      <c r="AZ40" s="136">
        <f>SUMIF(Tabel158[Team Groen],Tabel59[[#This Row],[Team]],Tabel158[Score4])</f>
        <v>5</v>
      </c>
      <c r="BA40" s="293">
        <f>SUM(Tabel59[[#This Row],[Goals Verdediger]]+Tabel59[[#This Row],[Goals DefG]])</f>
        <v>1</v>
      </c>
      <c r="BB40" s="293">
        <f>IF(Tabel59[[#This Row],[Aantal games Alg]]=0,0,Tabel59[[#This Row],[Goals DefA]]/Tabel59[[#This Row],[Aantal games Alg]])</f>
        <v>0.5</v>
      </c>
      <c r="BC40" s="293">
        <f>SUM(Tabel59[[#This Row],[Goals Aanvaller]]+Tabel59[[#This Row],[Goals OffG]])</f>
        <v>15</v>
      </c>
      <c r="BD40" s="293">
        <f>IF(Tabel59[[#This Row],[Aantal games Alg]]=0,0,Tabel59[[#This Row],[Goals OffA]]/Tabel59[[#This Row],[Aantal games Alg]])</f>
        <v>7.5</v>
      </c>
      <c r="BE40" s="214">
        <f>Tabel59[[#This Row],[Goals DefA]]+Tabel59[[#This Row],[Goals OffA]]</f>
        <v>16</v>
      </c>
      <c r="BF40" s="214">
        <f>IF(Tabel59[[#This Row],[Aantal games Alg]]=0,0,Tabel59[[#This Row],[Goals Alg]]/Tabel59[[#This Row],[Aantal games Alg]])</f>
        <v>8</v>
      </c>
      <c r="BG40" s="148">
        <f ca="1">SUMIF(Tabel158[Team Rood],Tabel59[[#This Row],[Team]],Tabel158[ET])</f>
        <v>0</v>
      </c>
      <c r="BH40" s="150">
        <f ca="1">SUMIF(Tabel158[Team Groen],Tabel59[[#This Row],[Team]],Tabel158[ET])</f>
        <v>0</v>
      </c>
      <c r="BI40" s="153">
        <f ca="1">SUM(Tabel59[[#This Row],[ET Groen tot]],Tabel59[[#This Row],[ET Rood tot]])</f>
        <v>0</v>
      </c>
      <c r="BJ40" s="155">
        <f ca="1">IF(Tabel59[[#This Row],[Aantal games Alg]]=0,0,Tabel59[[#This Row],[ET tot]]/Tabel59[[#This Row],[Aantal games Alg]])</f>
        <v>0</v>
      </c>
    </row>
    <row r="41" spans="1:62" x14ac:dyDescent="0.25">
      <c r="A41" s="124">
        <f ca="1">IF(Tabel158[[#This Row],[Rood Verdediging]]&lt;&gt;"",IF(A41="",NOW(),A41),"")</f>
        <v>43878.947694907409</v>
      </c>
      <c r="B41" s="128">
        <f ca="1">IF(Tabel158[[#This Row],[Rood Verdediging]]&lt;&gt;"",IF(B41="",NOW(),B41),"")</f>
        <v>43878.947694907409</v>
      </c>
      <c r="C41" s="126">
        <f ca="1">IF(Tabel158[[#This Row],[Score]]&lt;&gt;"",IF(C41="",NOW(),C41),"")</f>
        <v>43878.947694907409</v>
      </c>
      <c r="D41" s="127">
        <f ca="1">IF(OR(Tabel158[[#This Row],[Starttijd]]="",Tabel158[[#This Row],[Eindtijd]]=""),"",Tabel158[[#This Row],[Eindtijd]]-Tabel158[[#This Row],[Starttijd]])</f>
        <v>0</v>
      </c>
      <c r="E41" s="74">
        <v>40</v>
      </c>
      <c r="F41" s="205" t="s">
        <v>0</v>
      </c>
      <c r="G41" s="210">
        <v>2</v>
      </c>
      <c r="H41" s="205" t="s">
        <v>8</v>
      </c>
      <c r="I41" s="210">
        <v>6</v>
      </c>
      <c r="J41" s="206" t="s">
        <v>3</v>
      </c>
      <c r="K41" s="212">
        <v>2</v>
      </c>
      <c r="L41" s="206" t="s">
        <v>6</v>
      </c>
      <c r="M41" s="212">
        <v>9</v>
      </c>
      <c r="N41" s="81">
        <f t="shared" si="0"/>
        <v>8</v>
      </c>
      <c r="O41" s="82">
        <f t="shared" si="1"/>
        <v>11</v>
      </c>
      <c r="P41" s="70" t="str">
        <f t="shared" si="2"/>
        <v>GROEN</v>
      </c>
      <c r="Q41" s="86" t="str">
        <f t="shared" si="3"/>
        <v>Karel</v>
      </c>
      <c r="R41" s="87" t="str">
        <f t="shared" si="4"/>
        <v>Stef D</v>
      </c>
      <c r="S41" t="str">
        <f>Tabel158[[#This Row],[Rood Verdediging]]&amp;Tabel158[[#This Row],[Rood Aanval]]</f>
        <v>JonasLouis</v>
      </c>
      <c r="T41" t="str">
        <f>Tabel158[[#This Row],[Groen Verdediging]]&amp;Tabel158[[#This Row],[Groen Aanval]]</f>
        <v>KarelStef D</v>
      </c>
      <c r="U41" t="str">
        <f>Tabel158[[#This Row],[Winnaar 1]]&amp;Tabel158[[#This Row],[Winnaar 2]]</f>
        <v>KarelStef D</v>
      </c>
      <c r="V41" s="147" t="b">
        <f>IF(Tabel158[[#This Row],[Team Rood]]=Tabel158[[#This Row],[Winnaars]],Tabel158[[#This Row],[Team Rood]])</f>
        <v>0</v>
      </c>
      <c r="W41" s="147" t="str">
        <f>IF(Tabel158[[#This Row],[Team Groen]]=Tabel158[[#This Row],[Winnaars]],Tabel158[[#This Row],[Team Groen]])</f>
        <v>KarelStef D</v>
      </c>
      <c r="X41" s="147"/>
      <c r="AH41" s="251" t="s">
        <v>159</v>
      </c>
      <c r="AI41" s="233" t="s">
        <v>67</v>
      </c>
      <c r="AJ41" s="140" t="str">
        <f t="shared" si="13"/>
        <v>Jonas*Lawrence</v>
      </c>
      <c r="AK41" s="160">
        <f>IF(Tabel59[[#This Row],[Aantal Games Rood]]=0,0,(Tabel59[[#This Row],[Wins Rood]])/Tabel59[[#This Row],[Aantal Games Rood]])</f>
        <v>0</v>
      </c>
      <c r="AL41" s="159">
        <f>IF(Tabel59[[#This Row],[Aantal Games Groen]]=0,0,(Tabel59[[#This Row],[Wins Groen]])/Tabel59[[#This Row],[Aantal Games Groen]])</f>
        <v>0.5</v>
      </c>
      <c r="AM41" s="156">
        <f>IF(Tabel59[[#This Row],[Aantal games Alg]]=0,0,(Tabel59[[#This Row],[Wins Alg]])/Tabel59[[#This Row],[Aantal games Alg]])</f>
        <v>0.5</v>
      </c>
      <c r="AN41" s="133">
        <f>COUNTIF(Tabel158[Winaar rood],Tabel59[[#This Row],[Team]])</f>
        <v>0</v>
      </c>
      <c r="AO41" s="134">
        <f>COUNTIF(Tabel158[Winnaar Groen],Tabel59[[#This Row],[Team]])</f>
        <v>1</v>
      </c>
      <c r="AP41">
        <f>COUNTIF(Tabel158[Winnaars],Tabel59[[#This Row],[Team]])</f>
        <v>1</v>
      </c>
      <c r="AQ41" s="135">
        <f>Tabel59[[#This Row],[Aantal Games Rood]]-Tabel59[[#This Row],[Wins Rood]]</f>
        <v>0</v>
      </c>
      <c r="AR41" s="136">
        <f>Tabel59[[#This Row],[Aantal Games Groen]]-Tabel59[[#This Row],[Wins Groen]]</f>
        <v>1</v>
      </c>
      <c r="AS41" s="137">
        <f>Tabel59[[#This Row],[Aantal games Alg]]-Tabel59[[#This Row],[Wins Alg]]</f>
        <v>1</v>
      </c>
      <c r="AT41" s="138">
        <f>COUNTIF(Tabel158[Team Rood],Tabel59[[#This Row],[Team]])</f>
        <v>0</v>
      </c>
      <c r="AU41" s="136">
        <f>COUNTIF(Tabel158[Team Groen],Tabel59[[#This Row],[Team]])</f>
        <v>2</v>
      </c>
      <c r="AV41" s="112">
        <f>Tabel59[[#This Row],[Aantal Games Rood]]+Tabel59[[#This Row],[Aantal Games Groen]]</f>
        <v>2</v>
      </c>
      <c r="AW41" s="138">
        <f>SUMIF(Tabel158[Team Rood],Tabel59[[#This Row],[Team]],Tabel158[Score])</f>
        <v>0</v>
      </c>
      <c r="AX41" s="138">
        <f>SUMIF(Tabel158[Team Rood],Tabel59[[#This Row],[Team]],Tabel158[Score2])</f>
        <v>0</v>
      </c>
      <c r="AY41" s="134">
        <f>SUMIF(Tabel158[Team Groen],Tabel59[[#This Row],[Team]],Tabel158[Score3])</f>
        <v>7</v>
      </c>
      <c r="AZ41" s="136">
        <f>SUMIF(Tabel158[Team Groen],Tabel59[[#This Row],[Team]],Tabel158[Score4])</f>
        <v>10</v>
      </c>
      <c r="BA41">
        <f>SUM(Tabel59[[#This Row],[Goals Verdediger]]+Tabel59[[#This Row],[Goals DefG]])</f>
        <v>7</v>
      </c>
      <c r="BB41">
        <f>IF(Tabel59[[#This Row],[Aantal games Alg]]=0,0,Tabel59[[#This Row],[Goals DefA]]/Tabel59[[#This Row],[Aantal games Alg]])</f>
        <v>3.5</v>
      </c>
      <c r="BC41">
        <f>SUM(Tabel59[[#This Row],[Goals Aanvaller]]+Tabel59[[#This Row],[Goals OffG]])</f>
        <v>10</v>
      </c>
      <c r="BD41">
        <f>IF(Tabel59[[#This Row],[Aantal games Alg]]=0,0,Tabel59[[#This Row],[Goals OffA]]/Tabel59[[#This Row],[Aantal games Alg]])</f>
        <v>5</v>
      </c>
      <c r="BE41" s="112">
        <f>Tabel59[[#This Row],[Goals DefA]]+Tabel59[[#This Row],[Goals OffA]]</f>
        <v>17</v>
      </c>
      <c r="BF41" s="112">
        <f>IF(Tabel59[[#This Row],[Aantal games Alg]]=0,0,Tabel59[[#This Row],[Goals Alg]]/Tabel59[[#This Row],[Aantal games Alg]])</f>
        <v>8.5</v>
      </c>
      <c r="BG41" s="148">
        <f>SUMIF(Tabel158[Team Rood],Tabel59[[#This Row],[Team]],Tabel158[ET])</f>
        <v>0</v>
      </c>
      <c r="BH41" s="150">
        <f ca="1">SUMIF(Tabel158[Team Groen],Tabel59[[#This Row],[Team]],Tabel158[ET])</f>
        <v>0</v>
      </c>
      <c r="BI41" s="153">
        <f ca="1">SUM(Tabel59[[#This Row],[ET Groen tot]],Tabel59[[#This Row],[ET Rood tot]])</f>
        <v>0</v>
      </c>
      <c r="BJ41" s="155">
        <f ca="1">IF(Tabel59[[#This Row],[Aantal games Alg]]=0,0,Tabel59[[#This Row],[ET tot]]/Tabel59[[#This Row],[Aantal games Alg]])</f>
        <v>0</v>
      </c>
    </row>
    <row r="42" spans="1:62" x14ac:dyDescent="0.25">
      <c r="A42" s="124">
        <f ca="1">IF(Tabel158[[#This Row],[Rood Verdediging]]&lt;&gt;"",IF(A42="",NOW(),A42),"")</f>
        <v>43878.947694907409</v>
      </c>
      <c r="B42" s="128">
        <f ca="1">IF(Tabel158[[#This Row],[Rood Verdediging]]&lt;&gt;"",IF(B42="",NOW(),B42),"")</f>
        <v>43878.947694907409</v>
      </c>
      <c r="C42" s="126">
        <f ca="1">IF(Tabel158[[#This Row],[Score]]&lt;&gt;"",IF(C42="",NOW(),C42),"")</f>
        <v>43878.947694907409</v>
      </c>
      <c r="D42" s="127">
        <f ca="1">IF(OR(Tabel158[[#This Row],[Starttijd]]="",Tabel158[[#This Row],[Eindtijd]]=""),"",Tabel158[[#This Row],[Eindtijd]]-Tabel158[[#This Row],[Starttijd]])</f>
        <v>0</v>
      </c>
      <c r="E42" s="74">
        <v>42</v>
      </c>
      <c r="F42" s="205" t="s">
        <v>19</v>
      </c>
      <c r="G42" s="210">
        <v>1</v>
      </c>
      <c r="H42" s="205" t="s">
        <v>6</v>
      </c>
      <c r="I42" s="210">
        <v>6</v>
      </c>
      <c r="J42" s="206" t="s">
        <v>3</v>
      </c>
      <c r="K42" s="212">
        <v>2</v>
      </c>
      <c r="L42" s="206" t="s">
        <v>0</v>
      </c>
      <c r="M42" s="212">
        <v>9</v>
      </c>
      <c r="N42" s="81">
        <f t="shared" si="0"/>
        <v>7</v>
      </c>
      <c r="O42" s="82">
        <f t="shared" si="1"/>
        <v>11</v>
      </c>
      <c r="P42" s="70" t="str">
        <f t="shared" si="2"/>
        <v>GROEN</v>
      </c>
      <c r="Q42" s="86" t="str">
        <f t="shared" si="3"/>
        <v>Karel</v>
      </c>
      <c r="R42" s="87" t="str">
        <f t="shared" si="4"/>
        <v>Jonas</v>
      </c>
      <c r="S42" t="str">
        <f>Tabel158[[#This Row],[Rood Verdediging]]&amp;Tabel158[[#This Row],[Rood Aanval]]</f>
        <v>NicolasStef D</v>
      </c>
      <c r="T42" t="str">
        <f>Tabel158[[#This Row],[Groen Verdediging]]&amp;Tabel158[[#This Row],[Groen Aanval]]</f>
        <v>KarelJonas</v>
      </c>
      <c r="U42" t="str">
        <f>Tabel158[[#This Row],[Winnaar 1]]&amp;Tabel158[[#This Row],[Winnaar 2]]</f>
        <v>KarelJonas</v>
      </c>
      <c r="V42" s="147" t="b">
        <f>IF(Tabel158[[#This Row],[Team Rood]]=Tabel158[[#This Row],[Winnaars]],Tabel158[[#This Row],[Team Rood]])</f>
        <v>0</v>
      </c>
      <c r="W42" s="147" t="str">
        <f>IF(Tabel158[[#This Row],[Team Groen]]=Tabel158[[#This Row],[Winnaars]],Tabel158[[#This Row],[Team Groen]])</f>
        <v>KarelJonas</v>
      </c>
      <c r="X42" s="147"/>
      <c r="AH42" s="251" t="s">
        <v>164</v>
      </c>
      <c r="AI42" s="233" t="s">
        <v>158</v>
      </c>
      <c r="AJ42" s="140" t="str">
        <f t="shared" si="13"/>
        <v>Karel*Arno*</v>
      </c>
      <c r="AK42" s="160">
        <f>IF(Tabel59[[#This Row],[Aantal Games Rood]]=0,0,(Tabel59[[#This Row],[Wins Rood]])/Tabel59[[#This Row],[Aantal Games Rood]])</f>
        <v>1</v>
      </c>
      <c r="AL42" s="159">
        <f>IF(Tabel59[[#This Row],[Aantal Games Groen]]=0,0,(Tabel59[[#This Row],[Wins Groen]])/Tabel59[[#This Row],[Aantal Games Groen]])</f>
        <v>0</v>
      </c>
      <c r="AM42" s="156">
        <f>IF(Tabel59[[#This Row],[Aantal games Alg]]=0,0,(Tabel59[[#This Row],[Wins Alg]])/Tabel59[[#This Row],[Aantal games Alg]])</f>
        <v>0.5</v>
      </c>
      <c r="AN42" s="138">
        <f>COUNTIF(Tabel158[Winaar rood],Tabel59[[#This Row],[Team]])</f>
        <v>1</v>
      </c>
      <c r="AO42" s="134">
        <f>COUNTIF(Tabel158[Winnaar Groen],Tabel59[[#This Row],[Team]])</f>
        <v>0</v>
      </c>
      <c r="AP42">
        <f>COUNTIF(Tabel158[Winnaars],Tabel59[[#This Row],[Team]])</f>
        <v>1</v>
      </c>
      <c r="AQ42" s="135">
        <f>Tabel59[[#This Row],[Aantal Games Rood]]-Tabel59[[#This Row],[Wins Rood]]</f>
        <v>0</v>
      </c>
      <c r="AR42" s="136">
        <f>Tabel59[[#This Row],[Aantal Games Groen]]-Tabel59[[#This Row],[Wins Groen]]</f>
        <v>1</v>
      </c>
      <c r="AS42" s="137">
        <f>Tabel59[[#This Row],[Aantal games Alg]]-Tabel59[[#This Row],[Wins Alg]]</f>
        <v>1</v>
      </c>
      <c r="AT42" s="138">
        <f>COUNTIF(Tabel158[Team Rood],Tabel59[[#This Row],[Team]])</f>
        <v>1</v>
      </c>
      <c r="AU42" s="136">
        <f>COUNTIF(Tabel158[Team Groen],Tabel59[[#This Row],[Team]])</f>
        <v>1</v>
      </c>
      <c r="AV42" s="112">
        <f>Tabel59[[#This Row],[Aantal Games Rood]]+Tabel59[[#This Row],[Aantal Games Groen]]</f>
        <v>2</v>
      </c>
      <c r="AW42" s="138">
        <f>SUMIF(Tabel158[Team Rood],Tabel59[[#This Row],[Team]],Tabel158[Score])</f>
        <v>4</v>
      </c>
      <c r="AX42" s="138">
        <f>SUMIF(Tabel158[Team Rood],Tabel59[[#This Row],[Team]],Tabel158[Score2])</f>
        <v>7</v>
      </c>
      <c r="AY42" s="134">
        <f>SUMIF(Tabel158[Team Groen],Tabel59[[#This Row],[Team]],Tabel158[Score3])</f>
        <v>4</v>
      </c>
      <c r="AZ42" s="136">
        <f>SUMIF(Tabel158[Team Groen],Tabel59[[#This Row],[Team]],Tabel158[Score4])</f>
        <v>5</v>
      </c>
      <c r="BA42">
        <f>SUM(Tabel59[[#This Row],[Goals Verdediger]]+Tabel59[[#This Row],[Goals DefG]])</f>
        <v>8</v>
      </c>
      <c r="BB42">
        <f>IF(Tabel59[[#This Row],[Aantal games Alg]]=0,0,Tabel59[[#This Row],[Goals DefA]]/Tabel59[[#This Row],[Aantal games Alg]])</f>
        <v>4</v>
      </c>
      <c r="BC42">
        <f>SUM(Tabel59[[#This Row],[Goals Aanvaller]]+Tabel59[[#This Row],[Goals OffG]])</f>
        <v>12</v>
      </c>
      <c r="BD42">
        <f>IF(Tabel59[[#This Row],[Aantal games Alg]]=0,0,Tabel59[[#This Row],[Goals OffA]]/Tabel59[[#This Row],[Aantal games Alg]])</f>
        <v>6</v>
      </c>
      <c r="BE42" s="112">
        <f>Tabel59[[#This Row],[Goals DefA]]+Tabel59[[#This Row],[Goals OffA]]</f>
        <v>20</v>
      </c>
      <c r="BF42" s="112">
        <f>IF(Tabel59[[#This Row],[Aantal games Alg]]=0,0,Tabel59[[#This Row],[Goals Alg]]/Tabel59[[#This Row],[Aantal games Alg]])</f>
        <v>10</v>
      </c>
      <c r="BG42" s="148">
        <f ca="1">SUMIF(Tabel158[Team Rood],Tabel59[[#This Row],[Team]],Tabel158[ET])</f>
        <v>0</v>
      </c>
      <c r="BH42" s="150">
        <f ca="1">SUMIF(Tabel158[Team Groen],Tabel59[[#This Row],[Team]],Tabel158[ET])</f>
        <v>0</v>
      </c>
      <c r="BI42" s="153">
        <f ca="1">SUM(Tabel59[[#This Row],[ET Groen tot]],Tabel59[[#This Row],[ET Rood tot]])</f>
        <v>0</v>
      </c>
      <c r="BJ42" s="155">
        <f ca="1">IF(Tabel59[[#This Row],[Aantal games Alg]]=0,0,Tabel59[[#This Row],[ET tot]]/Tabel59[[#This Row],[Aantal games Alg]])</f>
        <v>0</v>
      </c>
    </row>
    <row r="43" spans="1:62" x14ac:dyDescent="0.25">
      <c r="A43" s="124">
        <f ca="1">IF(Tabel158[[#This Row],[Rood Verdediging]]&lt;&gt;"",IF(A43="",NOW(),A43),"")</f>
        <v>43878.947694907409</v>
      </c>
      <c r="B43" s="128">
        <f ca="1">IF(Tabel158[[#This Row],[Rood Verdediging]]&lt;&gt;"",IF(B43="",NOW(),B43),"")</f>
        <v>43878.947694907409</v>
      </c>
      <c r="C43" s="126">
        <f ca="1">IF(Tabel158[[#This Row],[Score]]&lt;&gt;"",IF(C43="",NOW(),C43),"")</f>
        <v>43878.947694907409</v>
      </c>
      <c r="D43" s="127">
        <f ca="1">IF(OR(Tabel158[[#This Row],[Starttijd]]="",Tabel158[[#This Row],[Eindtijd]]=""),"",Tabel158[[#This Row],[Eindtijd]]-Tabel158[[#This Row],[Starttijd]])</f>
        <v>0</v>
      </c>
      <c r="E43" s="74">
        <v>43</v>
      </c>
      <c r="F43" s="205" t="s">
        <v>19</v>
      </c>
      <c r="G43" s="210">
        <v>1</v>
      </c>
      <c r="H43" s="205" t="s">
        <v>6</v>
      </c>
      <c r="I43" s="210">
        <v>1</v>
      </c>
      <c r="J43" s="206" t="s">
        <v>8</v>
      </c>
      <c r="K43" s="212">
        <v>3</v>
      </c>
      <c r="L43" s="206" t="s">
        <v>3</v>
      </c>
      <c r="M43" s="212">
        <v>8</v>
      </c>
      <c r="N43" s="81">
        <f t="shared" si="0"/>
        <v>2</v>
      </c>
      <c r="O43" s="82">
        <f t="shared" si="1"/>
        <v>11</v>
      </c>
      <c r="P43" s="70" t="str">
        <f t="shared" si="2"/>
        <v>GROEN</v>
      </c>
      <c r="Q43" s="86" t="str">
        <f t="shared" si="3"/>
        <v>Louis</v>
      </c>
      <c r="R43" s="87" t="str">
        <f t="shared" si="4"/>
        <v>Karel</v>
      </c>
      <c r="S43" t="str">
        <f>Tabel158[[#This Row],[Rood Verdediging]]&amp;Tabel158[[#This Row],[Rood Aanval]]</f>
        <v>NicolasStef D</v>
      </c>
      <c r="T43" t="str">
        <f>Tabel158[[#This Row],[Groen Verdediging]]&amp;Tabel158[[#This Row],[Groen Aanval]]</f>
        <v>LouisKarel</v>
      </c>
      <c r="U43" t="str">
        <f>Tabel158[[#This Row],[Winnaar 1]]&amp;Tabel158[[#This Row],[Winnaar 2]]</f>
        <v>LouisKarel</v>
      </c>
      <c r="V43" s="147" t="b">
        <f>IF(Tabel158[[#This Row],[Team Rood]]=Tabel158[[#This Row],[Winnaars]],Tabel158[[#This Row],[Team Rood]])</f>
        <v>0</v>
      </c>
      <c r="W43" s="147" t="str">
        <f>IF(Tabel158[[#This Row],[Team Groen]]=Tabel158[[#This Row],[Winnaars]],Tabel158[[#This Row],[Team Groen]])</f>
        <v>LouisKarel</v>
      </c>
      <c r="X43" s="147"/>
      <c r="AH43" s="251" t="s">
        <v>166</v>
      </c>
      <c r="AI43" s="233" t="s">
        <v>169</v>
      </c>
      <c r="AJ43" s="140" t="str">
        <f t="shared" si="13"/>
        <v>Stijn*Stef*</v>
      </c>
      <c r="AK43" s="160">
        <f>IF(Tabel59[[#This Row],[Aantal Games Rood]]=0,0,(Tabel59[[#This Row],[Wins Rood]])/Tabel59[[#This Row],[Aantal Games Rood]])</f>
        <v>0</v>
      </c>
      <c r="AL43" s="159">
        <f>IF(Tabel59[[#This Row],[Aantal Games Groen]]=0,0,(Tabel59[[#This Row],[Wins Groen]])/Tabel59[[#This Row],[Aantal Games Groen]])</f>
        <v>0.5</v>
      </c>
      <c r="AM43" s="156">
        <f>IF(Tabel59[[#This Row],[Aantal games Alg]]=0,0,(Tabel59[[#This Row],[Wins Alg]])/Tabel59[[#This Row],[Aantal games Alg]])</f>
        <v>0.5</v>
      </c>
      <c r="AN43" s="133">
        <f>COUNTIF(Tabel158[Winaar rood],Tabel59[[#This Row],[Team]])</f>
        <v>0</v>
      </c>
      <c r="AO43" s="134">
        <f>COUNTIF(Tabel158[Winnaar Groen],Tabel59[[#This Row],[Team]])</f>
        <v>1</v>
      </c>
      <c r="AP43">
        <f>COUNTIF(Tabel158[Winnaars],Tabel59[[#This Row],[Team]])</f>
        <v>1</v>
      </c>
      <c r="AQ43" s="135">
        <f>Tabel59[[#This Row],[Aantal Games Rood]]-Tabel59[[#This Row],[Wins Rood]]</f>
        <v>0</v>
      </c>
      <c r="AR43" s="136">
        <f>Tabel59[[#This Row],[Aantal Games Groen]]-Tabel59[[#This Row],[Wins Groen]]</f>
        <v>1</v>
      </c>
      <c r="AS43" s="137">
        <f>Tabel59[[#This Row],[Aantal games Alg]]-Tabel59[[#This Row],[Wins Alg]]</f>
        <v>1</v>
      </c>
      <c r="AT43" s="138">
        <f>COUNTIF(Tabel158[Team Rood],Tabel59[[#This Row],[Team]])</f>
        <v>0</v>
      </c>
      <c r="AU43" s="136">
        <f>COUNTIF(Tabel158[Team Groen],Tabel59[[#This Row],[Team]])</f>
        <v>2</v>
      </c>
      <c r="AV43" s="112">
        <f>Tabel59[[#This Row],[Aantal Games Rood]]+Tabel59[[#This Row],[Aantal Games Groen]]</f>
        <v>2</v>
      </c>
      <c r="AW43" s="138">
        <f>SUMIF(Tabel158[Team Rood],Tabel59[[#This Row],[Team]],Tabel158[Score])</f>
        <v>0</v>
      </c>
      <c r="AX43" s="138">
        <f>SUMIF(Tabel158[Team Rood],Tabel59[[#This Row],[Team]],Tabel158[Score2])</f>
        <v>0</v>
      </c>
      <c r="AY43" s="134">
        <f>SUMIF(Tabel158[Team Groen],Tabel59[[#This Row],[Team]],Tabel158[Score3])</f>
        <v>3</v>
      </c>
      <c r="AZ43" s="136">
        <f>SUMIF(Tabel158[Team Groen],Tabel59[[#This Row],[Team]],Tabel158[Score4])</f>
        <v>19</v>
      </c>
      <c r="BA43">
        <f>SUM(Tabel59[[#This Row],[Goals Verdediger]]+Tabel59[[#This Row],[Goals DefG]])</f>
        <v>3</v>
      </c>
      <c r="BB43">
        <f>IF(Tabel59[[#This Row],[Aantal games Alg]]=0,0,Tabel59[[#This Row],[Goals DefA]]/Tabel59[[#This Row],[Aantal games Alg]])</f>
        <v>1.5</v>
      </c>
      <c r="BC43">
        <f>SUM(Tabel59[[#This Row],[Goals Aanvaller]]+Tabel59[[#This Row],[Goals OffG]])</f>
        <v>19</v>
      </c>
      <c r="BD43">
        <f>IF(Tabel59[[#This Row],[Aantal games Alg]]=0,0,Tabel59[[#This Row],[Goals OffA]]/Tabel59[[#This Row],[Aantal games Alg]])</f>
        <v>9.5</v>
      </c>
      <c r="BE43" s="112">
        <f>Tabel59[[#This Row],[Goals DefA]]+Tabel59[[#This Row],[Goals OffA]]</f>
        <v>22</v>
      </c>
      <c r="BF43" s="112">
        <f>IF(Tabel59[[#This Row],[Aantal games Alg]]=0,0,Tabel59[[#This Row],[Goals Alg]]/Tabel59[[#This Row],[Aantal games Alg]])</f>
        <v>11</v>
      </c>
      <c r="BG43" s="148">
        <f>SUMIF(Tabel158[Team Rood],Tabel59[[#This Row],[Team]],Tabel158[ET])</f>
        <v>0</v>
      </c>
      <c r="BH43" s="150">
        <f ca="1">SUMIF(Tabel158[Team Groen],Tabel59[[#This Row],[Team]],Tabel158[ET])</f>
        <v>0</v>
      </c>
      <c r="BI43" s="153">
        <f ca="1">SUM(Tabel59[[#This Row],[ET Groen tot]],Tabel59[[#This Row],[ET Rood tot]])</f>
        <v>0</v>
      </c>
      <c r="BJ43" s="155">
        <f ca="1">IF(Tabel59[[#This Row],[Aantal games Alg]]=0,0,Tabel59[[#This Row],[ET tot]]/Tabel59[[#This Row],[Aantal games Alg]])</f>
        <v>0</v>
      </c>
    </row>
    <row r="44" spans="1:62" x14ac:dyDescent="0.25">
      <c r="A44" s="124">
        <f ca="1">IF(Tabel158[[#This Row],[Rood Verdediging]]&lt;&gt;"",IF(A44="",NOW(),A44),"")</f>
        <v>43878.947694907409</v>
      </c>
      <c r="B44" s="128">
        <f ca="1">IF(Tabel158[[#This Row],[Rood Verdediging]]&lt;&gt;"",IF(B44="",NOW(),B44),"")</f>
        <v>43878.947694907409</v>
      </c>
      <c r="C44" s="126">
        <f ca="1">IF(Tabel158[[#This Row],[Score]]&lt;&gt;"",IF(C44="",NOW(),C44),"")</f>
        <v>43878.947694907409</v>
      </c>
      <c r="D44" s="127">
        <f ca="1">IF(OR(Tabel158[[#This Row],[Starttijd]]="",Tabel158[[#This Row],[Eindtijd]]=""),"",Tabel158[[#This Row],[Eindtijd]]-Tabel158[[#This Row],[Starttijd]])</f>
        <v>0</v>
      </c>
      <c r="E44" s="74">
        <v>44</v>
      </c>
      <c r="F44" s="205" t="s">
        <v>3</v>
      </c>
      <c r="G44" s="210">
        <v>2</v>
      </c>
      <c r="H44" s="205" t="s">
        <v>6</v>
      </c>
      <c r="I44" s="210">
        <v>9</v>
      </c>
      <c r="J44" s="206" t="s">
        <v>19</v>
      </c>
      <c r="K44" s="212">
        <v>1</v>
      </c>
      <c r="L44" s="206" t="s">
        <v>0</v>
      </c>
      <c r="M44" s="212">
        <v>7</v>
      </c>
      <c r="N44" s="81">
        <f t="shared" si="0"/>
        <v>11</v>
      </c>
      <c r="O44" s="82">
        <f t="shared" si="1"/>
        <v>8</v>
      </c>
      <c r="P44" s="70" t="str">
        <f t="shared" si="2"/>
        <v>ROOD</v>
      </c>
      <c r="Q44" s="86" t="str">
        <f t="shared" si="3"/>
        <v>Karel</v>
      </c>
      <c r="R44" s="87" t="str">
        <f t="shared" si="4"/>
        <v>Stef D</v>
      </c>
      <c r="S44" t="str">
        <f>Tabel158[[#This Row],[Rood Verdediging]]&amp;Tabel158[[#This Row],[Rood Aanval]]</f>
        <v>KarelStef D</v>
      </c>
      <c r="T44" t="str">
        <f>Tabel158[[#This Row],[Groen Verdediging]]&amp;Tabel158[[#This Row],[Groen Aanval]]</f>
        <v>NicolasJonas</v>
      </c>
      <c r="U44" t="str">
        <f>Tabel158[[#This Row],[Winnaar 1]]&amp;Tabel158[[#This Row],[Winnaar 2]]</f>
        <v>KarelStef D</v>
      </c>
      <c r="V44" s="147" t="str">
        <f>IF(Tabel158[[#This Row],[Team Rood]]=Tabel158[[#This Row],[Winnaars]],Tabel158[[#This Row],[Team Rood]])</f>
        <v>KarelStef D</v>
      </c>
      <c r="W44" s="147" t="b">
        <f>IF(Tabel158[[#This Row],[Team Groen]]=Tabel158[[#This Row],[Winnaars]],Tabel158[[#This Row],[Team Groen]])</f>
        <v>0</v>
      </c>
      <c r="X44" s="147"/>
      <c r="AH44" s="251" t="s">
        <v>160</v>
      </c>
      <c r="AI44" s="233" t="s">
        <v>159</v>
      </c>
      <c r="AJ44" s="140" t="str">
        <f t="shared" si="13"/>
        <v>Tiemen*Jonas*</v>
      </c>
      <c r="AK44" s="160">
        <f>IF(Tabel59[[#This Row],[Aantal Games Rood]]=0,0,(Tabel59[[#This Row],[Wins Rood]])/Tabel59[[#This Row],[Aantal Games Rood]])</f>
        <v>1</v>
      </c>
      <c r="AL44" s="159">
        <f>IF(Tabel59[[#This Row],[Aantal Games Groen]]=0,0,(Tabel59[[#This Row],[Wins Groen]])/Tabel59[[#This Row],[Aantal Games Groen]])</f>
        <v>0.33333333333333331</v>
      </c>
      <c r="AM44" s="156">
        <f>IF(Tabel59[[#This Row],[Aantal games Alg]]=0,0,(Tabel59[[#This Row],[Wins Alg]])/Tabel59[[#This Row],[Aantal games Alg]])</f>
        <v>0.5</v>
      </c>
      <c r="AN44" s="138">
        <f>COUNTIF(Tabel158[Winaar rood],Tabel59[[#This Row],[Team]])</f>
        <v>2</v>
      </c>
      <c r="AO44" s="134">
        <f>COUNTIF(Tabel158[Winnaar Groen],Tabel59[[#This Row],[Team]])</f>
        <v>2</v>
      </c>
      <c r="AP44">
        <f>COUNTIF(Tabel158[Winnaars],Tabel59[[#This Row],[Team]])</f>
        <v>4</v>
      </c>
      <c r="AQ44" s="135">
        <f>Tabel59[[#This Row],[Aantal Games Rood]]-Tabel59[[#This Row],[Wins Rood]]</f>
        <v>0</v>
      </c>
      <c r="AR44" s="136">
        <f>Tabel59[[#This Row],[Aantal Games Groen]]-Tabel59[[#This Row],[Wins Groen]]</f>
        <v>4</v>
      </c>
      <c r="AS44" s="137">
        <f>Tabel59[[#This Row],[Aantal games Alg]]-Tabel59[[#This Row],[Wins Alg]]</f>
        <v>4</v>
      </c>
      <c r="AT44" s="138">
        <f>COUNTIF(Tabel158[Team Rood],Tabel59[[#This Row],[Team]])</f>
        <v>2</v>
      </c>
      <c r="AU44" s="136">
        <f>COUNTIF(Tabel158[Team Groen],Tabel59[[#This Row],[Team]])</f>
        <v>6</v>
      </c>
      <c r="AV44" s="214">
        <f>Tabel59[[#This Row],[Aantal Games Rood]]+Tabel59[[#This Row],[Aantal Games Groen]]</f>
        <v>8</v>
      </c>
      <c r="AW44" s="138">
        <f>SUMIF(Tabel158[Team Rood],Tabel59[[#This Row],[Team]],Tabel158[Score])</f>
        <v>11</v>
      </c>
      <c r="AX44" s="138">
        <f>SUMIF(Tabel158[Team Rood],Tabel59[[#This Row],[Team]],Tabel158[Score2])</f>
        <v>11</v>
      </c>
      <c r="AY44" s="134">
        <f>SUMIF(Tabel158[Team Groen],Tabel59[[#This Row],[Team]],Tabel158[Score3])</f>
        <v>11</v>
      </c>
      <c r="AZ44" s="136">
        <f>SUMIF(Tabel158[Team Groen],Tabel59[[#This Row],[Team]],Tabel158[Score4])</f>
        <v>28</v>
      </c>
      <c r="BA44">
        <f>SUM(Tabel59[[#This Row],[Goals Verdediger]]+Tabel59[[#This Row],[Goals DefG]])</f>
        <v>22</v>
      </c>
      <c r="BB44">
        <f>IF(Tabel59[[#This Row],[Aantal games Alg]]=0,0,Tabel59[[#This Row],[Goals DefA]]/Tabel59[[#This Row],[Aantal games Alg]])</f>
        <v>2.75</v>
      </c>
      <c r="BC44">
        <f>SUM(Tabel59[[#This Row],[Goals Aanvaller]]+Tabel59[[#This Row],[Goals OffG]])</f>
        <v>39</v>
      </c>
      <c r="BD44">
        <f>IF(Tabel59[[#This Row],[Aantal games Alg]]=0,0,Tabel59[[#This Row],[Goals OffA]]/Tabel59[[#This Row],[Aantal games Alg]])</f>
        <v>4.875</v>
      </c>
      <c r="BE44" s="112">
        <f>Tabel59[[#This Row],[Goals DefA]]+Tabel59[[#This Row],[Goals OffA]]</f>
        <v>61</v>
      </c>
      <c r="BF44" s="112">
        <f>IF(Tabel59[[#This Row],[Aantal games Alg]]=0,0,Tabel59[[#This Row],[Goals Alg]]/Tabel59[[#This Row],[Aantal games Alg]])</f>
        <v>7.625</v>
      </c>
      <c r="BG44" s="148">
        <f ca="1">SUMIF(Tabel158[Team Rood],Tabel59[[#This Row],[Team]],Tabel158[ET])</f>
        <v>0</v>
      </c>
      <c r="BH44" s="150">
        <f ca="1">SUMIF(Tabel158[Team Groen],Tabel59[[#This Row],[Team]],Tabel158[ET])</f>
        <v>0</v>
      </c>
      <c r="BI44" s="153">
        <f ca="1">SUM(Tabel59[[#This Row],[ET Groen tot]],Tabel59[[#This Row],[ET Rood tot]])</f>
        <v>0</v>
      </c>
      <c r="BJ44" s="155">
        <f ca="1">IF(Tabel59[[#This Row],[Aantal games Alg]]=0,0,Tabel59[[#This Row],[ET tot]]/Tabel59[[#This Row],[Aantal games Alg]])</f>
        <v>0</v>
      </c>
    </row>
    <row r="45" spans="1:62" x14ac:dyDescent="0.25">
      <c r="A45" s="124">
        <f ca="1">IF(Tabel158[[#This Row],[Rood Verdediging]]&lt;&gt;"",IF(A45="",NOW(),A45),"")</f>
        <v>43878.947694907409</v>
      </c>
      <c r="B45" s="128">
        <f ca="1">IF(Tabel158[[#This Row],[Rood Verdediging]]&lt;&gt;"",IF(B45="",NOW(),B45),"")</f>
        <v>43878.947694907409</v>
      </c>
      <c r="C45" s="126">
        <f ca="1">IF(Tabel158[[#This Row],[Score]]&lt;&gt;"",IF(C45="",NOW(),C45),"")</f>
        <v>43878.947694907409</v>
      </c>
      <c r="D45" s="127">
        <f ca="1">IF(OR(Tabel158[[#This Row],[Starttijd]]="",Tabel158[[#This Row],[Eindtijd]]=""),"",Tabel158[[#This Row],[Eindtijd]]-Tabel158[[#This Row],[Starttijd]])</f>
        <v>0</v>
      </c>
      <c r="E45" s="74">
        <v>45</v>
      </c>
      <c r="F45" s="205" t="s">
        <v>19</v>
      </c>
      <c r="G45" s="210">
        <v>3</v>
      </c>
      <c r="H45" s="205" t="s">
        <v>3</v>
      </c>
      <c r="I45" s="210">
        <v>9</v>
      </c>
      <c r="J45" s="206" t="s">
        <v>6</v>
      </c>
      <c r="K45" s="212">
        <v>2</v>
      </c>
      <c r="L45" s="206" t="s">
        <v>8</v>
      </c>
      <c r="M45" s="212">
        <v>8</v>
      </c>
      <c r="N45" s="81">
        <f t="shared" si="0"/>
        <v>12</v>
      </c>
      <c r="O45" s="82">
        <f t="shared" si="1"/>
        <v>10</v>
      </c>
      <c r="P45" s="70" t="str">
        <f t="shared" si="2"/>
        <v>ROOD</v>
      </c>
      <c r="Q45" s="86" t="str">
        <f t="shared" si="3"/>
        <v>Nicolas</v>
      </c>
      <c r="R45" s="87" t="str">
        <f t="shared" si="4"/>
        <v>Karel</v>
      </c>
      <c r="S45" t="str">
        <f>Tabel158[[#This Row],[Rood Verdediging]]&amp;Tabel158[[#This Row],[Rood Aanval]]</f>
        <v>NicolasKarel</v>
      </c>
      <c r="T45" t="str">
        <f>Tabel158[[#This Row],[Groen Verdediging]]&amp;Tabel158[[#This Row],[Groen Aanval]]</f>
        <v>Stef DLouis</v>
      </c>
      <c r="U45" t="str">
        <f>Tabel158[[#This Row],[Winnaar 1]]&amp;Tabel158[[#This Row],[Winnaar 2]]</f>
        <v>NicolasKarel</v>
      </c>
      <c r="V45" s="147" t="str">
        <f>IF(Tabel158[[#This Row],[Team Rood]]=Tabel158[[#This Row],[Winnaars]],Tabel158[[#This Row],[Team Rood]])</f>
        <v>NicolasKarel</v>
      </c>
      <c r="W45" s="147" t="b">
        <f>IF(Tabel158[[#This Row],[Team Groen]]=Tabel158[[#This Row],[Winnaars]],Tabel158[[#This Row],[Team Groen]])</f>
        <v>0</v>
      </c>
      <c r="X45" s="147"/>
      <c r="AH45" s="251" t="s">
        <v>162</v>
      </c>
      <c r="AI45" s="233" t="s">
        <v>160</v>
      </c>
      <c r="AJ45" s="140" t="str">
        <f t="shared" si="13"/>
        <v>Matthijs*Tiemen*</v>
      </c>
      <c r="AK45" s="160">
        <f>IF(Tabel59[[#This Row],[Aantal Games Rood]]=0,0,(Tabel59[[#This Row],[Wins Rood]])/Tabel59[[#This Row],[Aantal Games Rood]])</f>
        <v>0.8</v>
      </c>
      <c r="AL45" s="159">
        <f>IF(Tabel59[[#This Row],[Aantal Games Groen]]=0,0,(Tabel59[[#This Row],[Wins Groen]])/Tabel59[[#This Row],[Aantal Games Groen]])</f>
        <v>0.25</v>
      </c>
      <c r="AM45" s="156">
        <f>IF(Tabel59[[#This Row],[Aantal games Alg]]=0,0,(Tabel59[[#This Row],[Wins Alg]])/Tabel59[[#This Row],[Aantal games Alg]])</f>
        <v>0.46153846153846156</v>
      </c>
      <c r="AN45" s="133">
        <f>COUNTIF(Tabel158[Winaar rood],Tabel59[[#This Row],[Team]])</f>
        <v>4</v>
      </c>
      <c r="AO45" s="134">
        <f>COUNTIF(Tabel158[Winnaar Groen],Tabel59[[#This Row],[Team]])</f>
        <v>2</v>
      </c>
      <c r="AP45">
        <f>COUNTIF(Tabel158[Winnaars],Tabel59[[#This Row],[Team]])</f>
        <v>6</v>
      </c>
      <c r="AQ45" s="135">
        <f>Tabel59[[#This Row],[Aantal Games Rood]]-Tabel59[[#This Row],[Wins Rood]]</f>
        <v>1</v>
      </c>
      <c r="AR45" s="136">
        <f>Tabel59[[#This Row],[Aantal Games Groen]]-Tabel59[[#This Row],[Wins Groen]]</f>
        <v>6</v>
      </c>
      <c r="AS45" s="137">
        <f>Tabel59[[#This Row],[Aantal games Alg]]-Tabel59[[#This Row],[Wins Alg]]</f>
        <v>7</v>
      </c>
      <c r="AT45" s="138">
        <f>COUNTIF(Tabel158[Team Rood],Tabel59[[#This Row],[Team]])</f>
        <v>5</v>
      </c>
      <c r="AU45" s="136">
        <f>COUNTIF(Tabel158[Team Groen],Tabel59[[#This Row],[Team]])</f>
        <v>8</v>
      </c>
      <c r="AV45" s="112">
        <f>Tabel59[[#This Row],[Aantal Games Rood]]+Tabel59[[#This Row],[Aantal Games Groen]]</f>
        <v>13</v>
      </c>
      <c r="AW45" s="138">
        <f>SUMIF(Tabel158[Team Rood],Tabel59[[#This Row],[Team]],Tabel158[Score])</f>
        <v>20</v>
      </c>
      <c r="AX45" s="138">
        <f>SUMIF(Tabel158[Team Rood],Tabel59[[#This Row],[Team]],Tabel158[Score2])</f>
        <v>39</v>
      </c>
      <c r="AY45" s="134">
        <f>SUMIF(Tabel158[Team Groen],Tabel59[[#This Row],[Team]],Tabel158[Score3])</f>
        <v>17</v>
      </c>
      <c r="AZ45" s="136">
        <f>SUMIF(Tabel158[Team Groen],Tabel59[[#This Row],[Team]],Tabel158[Score4])</f>
        <v>51</v>
      </c>
      <c r="BA45">
        <f>SUM(Tabel59[[#This Row],[Goals Verdediger]]+Tabel59[[#This Row],[Goals DefG]])</f>
        <v>37</v>
      </c>
      <c r="BB45">
        <f>IF(Tabel59[[#This Row],[Aantal games Alg]]=0,0,Tabel59[[#This Row],[Goals DefA]]/Tabel59[[#This Row],[Aantal games Alg]])</f>
        <v>2.8461538461538463</v>
      </c>
      <c r="BC45">
        <f>SUM(Tabel59[[#This Row],[Goals Aanvaller]]+Tabel59[[#This Row],[Goals OffG]])</f>
        <v>90</v>
      </c>
      <c r="BD45">
        <f>IF(Tabel59[[#This Row],[Aantal games Alg]]=0,0,Tabel59[[#This Row],[Goals OffA]]/Tabel59[[#This Row],[Aantal games Alg]])</f>
        <v>6.9230769230769234</v>
      </c>
      <c r="BE45" s="112">
        <f>Tabel59[[#This Row],[Goals DefA]]+Tabel59[[#This Row],[Goals OffA]]</f>
        <v>127</v>
      </c>
      <c r="BF45" s="112">
        <f>IF(Tabel59[[#This Row],[Aantal games Alg]]=0,0,Tabel59[[#This Row],[Goals Alg]]/Tabel59[[#This Row],[Aantal games Alg]])</f>
        <v>9.7692307692307701</v>
      </c>
      <c r="BG45" s="148">
        <f ca="1">SUMIF(Tabel158[Team Rood],Tabel59[[#This Row],[Team]],Tabel158[ET])</f>
        <v>0</v>
      </c>
      <c r="BH45" s="150">
        <f ca="1">SUMIF(Tabel158[Team Groen],Tabel59[[#This Row],[Team]],Tabel158[ET])</f>
        <v>6.1203703808132559E-4</v>
      </c>
      <c r="BI45" s="153">
        <f ca="1">SUM(Tabel59[[#This Row],[ET Groen tot]],Tabel59[[#This Row],[ET Rood tot]])</f>
        <v>6.1203703808132559E-4</v>
      </c>
      <c r="BJ45" s="155">
        <f ca="1">IF(Tabel59[[#This Row],[Aantal games Alg]]=0,0,Tabel59[[#This Row],[ET tot]]/Tabel59[[#This Row],[Aantal games Alg]])</f>
        <v>4.7079772160101966E-5</v>
      </c>
    </row>
    <row r="46" spans="1:62" x14ac:dyDescent="0.25">
      <c r="A46" s="124">
        <f ca="1">IF(Tabel158[[#This Row],[Rood Verdediging]]&lt;&gt;"",IF(A46="",NOW(),A46),"")</f>
        <v>43878.947694907409</v>
      </c>
      <c r="B46" s="128">
        <f ca="1">IF(Tabel158[[#This Row],[Rood Verdediging]]&lt;&gt;"",IF(B46="",NOW(),B46),"")</f>
        <v>43878.947694907409</v>
      </c>
      <c r="C46" s="126">
        <f ca="1">IF(Tabel158[[#This Row],[Score]]&lt;&gt;"",IF(C46="",NOW(),C46),"")</f>
        <v>43878.947694907409</v>
      </c>
      <c r="D46" s="127">
        <f ca="1">IF(OR(Tabel158[[#This Row],[Starttijd]]="",Tabel158[[#This Row],[Eindtijd]]=""),"",Tabel158[[#This Row],[Eindtijd]]-Tabel158[[#This Row],[Starttijd]])</f>
        <v>0</v>
      </c>
      <c r="E46" s="74">
        <v>46</v>
      </c>
      <c r="F46" s="205" t="s">
        <v>19</v>
      </c>
      <c r="G46" s="210">
        <v>3</v>
      </c>
      <c r="H46" s="205" t="s">
        <v>0</v>
      </c>
      <c r="I46" s="210">
        <v>6</v>
      </c>
      <c r="J46" s="206" t="s">
        <v>6</v>
      </c>
      <c r="K46" s="212">
        <v>3</v>
      </c>
      <c r="L46" s="206" t="s">
        <v>3</v>
      </c>
      <c r="M46" s="212">
        <v>8</v>
      </c>
      <c r="N46" s="81">
        <f t="shared" si="0"/>
        <v>9</v>
      </c>
      <c r="O46" s="82">
        <f t="shared" si="1"/>
        <v>11</v>
      </c>
      <c r="P46" s="70" t="str">
        <f t="shared" si="2"/>
        <v>GROEN</v>
      </c>
      <c r="Q46" s="86" t="str">
        <f t="shared" si="3"/>
        <v>Stef D</v>
      </c>
      <c r="R46" s="87" t="str">
        <f t="shared" si="4"/>
        <v>Karel</v>
      </c>
      <c r="S46" t="str">
        <f>Tabel158[[#This Row],[Rood Verdediging]]&amp;Tabel158[[#This Row],[Rood Aanval]]</f>
        <v>NicolasJonas</v>
      </c>
      <c r="T46" t="str">
        <f>Tabel158[[#This Row],[Groen Verdediging]]&amp;Tabel158[[#This Row],[Groen Aanval]]</f>
        <v>Stef DKarel</v>
      </c>
      <c r="U46" t="str">
        <f>Tabel158[[#This Row],[Winnaar 1]]&amp;Tabel158[[#This Row],[Winnaar 2]]</f>
        <v>Stef DKarel</v>
      </c>
      <c r="V46" s="147" t="b">
        <f>IF(Tabel158[[#This Row],[Team Rood]]=Tabel158[[#This Row],[Winnaars]],Tabel158[[#This Row],[Team Rood]])</f>
        <v>0</v>
      </c>
      <c r="W46" s="147" t="str">
        <f>IF(Tabel158[[#This Row],[Team Groen]]=Tabel158[[#This Row],[Winnaars]],Tabel158[[#This Row],[Team Groen]])</f>
        <v>Stef DKarel</v>
      </c>
      <c r="X46" s="147"/>
      <c r="AH46" s="251" t="s">
        <v>162</v>
      </c>
      <c r="AI46" s="233" t="s">
        <v>164</v>
      </c>
      <c r="AJ46" s="140" t="str">
        <f t="shared" si="13"/>
        <v>Matthijs*Karel*</v>
      </c>
      <c r="AK46" s="160">
        <f>IF(Tabel59[[#This Row],[Aantal Games Rood]]=0,0,(Tabel59[[#This Row],[Wins Rood]])/Tabel59[[#This Row],[Aantal Games Rood]])</f>
        <v>0.5</v>
      </c>
      <c r="AL46" s="159">
        <f>IF(Tabel59[[#This Row],[Aantal Games Groen]]=0,0,(Tabel59[[#This Row],[Wins Groen]])/Tabel59[[#This Row],[Aantal Games Groen]])</f>
        <v>0.42857142857142855</v>
      </c>
      <c r="AM46" s="156">
        <f>IF(Tabel59[[#This Row],[Aantal games Alg]]=0,0,(Tabel59[[#This Row],[Wins Alg]])/Tabel59[[#This Row],[Aantal games Alg]])</f>
        <v>0.44444444444444442</v>
      </c>
      <c r="AN46" s="138">
        <f>COUNTIF(Tabel158[Winaar rood],Tabel59[[#This Row],[Team]])</f>
        <v>1</v>
      </c>
      <c r="AO46" s="134">
        <f>COUNTIF(Tabel158[Winnaar Groen],Tabel59[[#This Row],[Team]])</f>
        <v>3</v>
      </c>
      <c r="AP46">
        <f>COUNTIF(Tabel158[Winnaars],Tabel59[[#This Row],[Team]])</f>
        <v>4</v>
      </c>
      <c r="AQ46" s="135">
        <f>Tabel59[[#This Row],[Aantal Games Rood]]-Tabel59[[#This Row],[Wins Rood]]</f>
        <v>1</v>
      </c>
      <c r="AR46" s="136">
        <f>Tabel59[[#This Row],[Aantal Games Groen]]-Tabel59[[#This Row],[Wins Groen]]</f>
        <v>4</v>
      </c>
      <c r="AS46" s="137">
        <f>Tabel59[[#This Row],[Aantal games Alg]]-Tabel59[[#This Row],[Wins Alg]]</f>
        <v>5</v>
      </c>
      <c r="AT46" s="138">
        <f>COUNTIF(Tabel158[Team Rood],Tabel59[[#This Row],[Team]])</f>
        <v>2</v>
      </c>
      <c r="AU46" s="136">
        <f>COUNTIF(Tabel158[Team Groen],Tabel59[[#This Row],[Team]])</f>
        <v>7</v>
      </c>
      <c r="AV46" s="112">
        <f>Tabel59[[#This Row],[Aantal Games Rood]]+Tabel59[[#This Row],[Aantal Games Groen]]</f>
        <v>9</v>
      </c>
      <c r="AW46" s="138">
        <f>SUMIF(Tabel158[Team Rood],Tabel59[[#This Row],[Team]],Tabel158[Score])</f>
        <v>5</v>
      </c>
      <c r="AX46" s="138">
        <f>SUMIF(Tabel158[Team Rood],Tabel59[[#This Row],[Team]],Tabel158[Score2])</f>
        <v>13</v>
      </c>
      <c r="AY46" s="134">
        <f>SUMIF(Tabel158[Team Groen],Tabel59[[#This Row],[Team]],Tabel158[Score3])</f>
        <v>13</v>
      </c>
      <c r="AZ46" s="136">
        <f>SUMIF(Tabel158[Team Groen],Tabel59[[#This Row],[Team]],Tabel158[Score4])</f>
        <v>51</v>
      </c>
      <c r="BA46">
        <f>SUM(Tabel59[[#This Row],[Goals Verdediger]]+Tabel59[[#This Row],[Goals DefG]])</f>
        <v>18</v>
      </c>
      <c r="BB46">
        <f>IF(Tabel59[[#This Row],[Aantal games Alg]]=0,0,Tabel59[[#This Row],[Goals DefA]]/Tabel59[[#This Row],[Aantal games Alg]])</f>
        <v>2</v>
      </c>
      <c r="BC46">
        <f>SUM(Tabel59[[#This Row],[Goals Aanvaller]]+Tabel59[[#This Row],[Goals OffG]])</f>
        <v>64</v>
      </c>
      <c r="BD46">
        <f>IF(Tabel59[[#This Row],[Aantal games Alg]]=0,0,Tabel59[[#This Row],[Goals OffA]]/Tabel59[[#This Row],[Aantal games Alg]])</f>
        <v>7.1111111111111107</v>
      </c>
      <c r="BE46" s="112">
        <f>Tabel59[[#This Row],[Goals DefA]]+Tabel59[[#This Row],[Goals OffA]]</f>
        <v>82</v>
      </c>
      <c r="BF46" s="112">
        <f>IF(Tabel59[[#This Row],[Aantal games Alg]]=0,0,Tabel59[[#This Row],[Goals Alg]]/Tabel59[[#This Row],[Aantal games Alg]])</f>
        <v>9.1111111111111107</v>
      </c>
      <c r="BG46" s="148">
        <f ca="1">SUMIF(Tabel158[Team Rood],Tabel59[[#This Row],[Team]],Tabel158[ET])</f>
        <v>0</v>
      </c>
      <c r="BH46" s="150">
        <f ca="1">SUMIF(Tabel158[Team Groen],Tabel59[[#This Row],[Team]],Tabel158[ET])</f>
        <v>0</v>
      </c>
      <c r="BI46" s="153">
        <f ca="1">SUM(Tabel59[[#This Row],[ET Groen tot]],Tabel59[[#This Row],[ET Rood tot]])</f>
        <v>0</v>
      </c>
      <c r="BJ46" s="155">
        <f ca="1">IF(Tabel59[[#This Row],[Aantal games Alg]]=0,0,Tabel59[[#This Row],[ET tot]]/Tabel59[[#This Row],[Aantal games Alg]])</f>
        <v>0</v>
      </c>
    </row>
    <row r="47" spans="1:62" x14ac:dyDescent="0.25">
      <c r="A47" s="124">
        <f ca="1">IF(Tabel158[[#This Row],[Rood Verdediging]]&lt;&gt;"",IF(A47="",NOW(),A47),"")</f>
        <v>43878.947694907409</v>
      </c>
      <c r="B47" s="128">
        <f ca="1">IF(Tabel158[[#This Row],[Rood Verdediging]]&lt;&gt;"",IF(B47="",NOW(),B47),"")</f>
        <v>43878.947694907409</v>
      </c>
      <c r="C47" s="126">
        <f ca="1">IF(Tabel158[[#This Row],[Score]]&lt;&gt;"",IF(C47="",NOW(),C47),"")</f>
        <v>43878.947694907409</v>
      </c>
      <c r="D47" s="127">
        <f ca="1">IF(OR(Tabel158[[#This Row],[Starttijd]]="",Tabel158[[#This Row],[Eindtijd]]=""),"",Tabel158[[#This Row],[Eindtijd]]-Tabel158[[#This Row],[Starttijd]])</f>
        <v>0</v>
      </c>
      <c r="E47" s="74">
        <v>47</v>
      </c>
      <c r="F47" s="205" t="s">
        <v>0</v>
      </c>
      <c r="G47" s="210">
        <v>4</v>
      </c>
      <c r="H47" s="205" t="s">
        <v>19</v>
      </c>
      <c r="I47" s="210">
        <v>3</v>
      </c>
      <c r="J47" s="206" t="s">
        <v>6</v>
      </c>
      <c r="K47" s="212">
        <v>5</v>
      </c>
      <c r="L47" s="206" t="s">
        <v>3</v>
      </c>
      <c r="M47" s="212">
        <v>6</v>
      </c>
      <c r="N47" s="81">
        <f t="shared" si="0"/>
        <v>7</v>
      </c>
      <c r="O47" s="82">
        <f t="shared" si="1"/>
        <v>11</v>
      </c>
      <c r="P47" s="70" t="str">
        <f t="shared" si="2"/>
        <v>GROEN</v>
      </c>
      <c r="Q47" s="86" t="str">
        <f t="shared" si="3"/>
        <v>Stef D</v>
      </c>
      <c r="R47" s="87" t="str">
        <f t="shared" si="4"/>
        <v>Karel</v>
      </c>
      <c r="S47" t="str">
        <f>Tabel158[[#This Row],[Rood Verdediging]]&amp;Tabel158[[#This Row],[Rood Aanval]]</f>
        <v>JonasNicolas</v>
      </c>
      <c r="T47" t="str">
        <f>Tabel158[[#This Row],[Groen Verdediging]]&amp;Tabel158[[#This Row],[Groen Aanval]]</f>
        <v>Stef DKarel</v>
      </c>
      <c r="U47" t="str">
        <f>Tabel158[[#This Row],[Winnaar 1]]&amp;Tabel158[[#This Row],[Winnaar 2]]</f>
        <v>Stef DKarel</v>
      </c>
      <c r="V47" s="147" t="b">
        <f>IF(Tabel158[[#This Row],[Team Rood]]=Tabel158[[#This Row],[Winnaars]],Tabel158[[#This Row],[Team Rood]])</f>
        <v>0</v>
      </c>
      <c r="W47" s="147" t="str">
        <f>IF(Tabel158[[#This Row],[Team Groen]]=Tabel158[[#This Row],[Winnaars]],Tabel158[[#This Row],[Team Groen]])</f>
        <v>Stef DKarel</v>
      </c>
      <c r="X47" s="147"/>
      <c r="AH47" s="251" t="s">
        <v>162</v>
      </c>
      <c r="AI47" s="233" t="s">
        <v>159</v>
      </c>
      <c r="AJ47" s="140" t="str">
        <f t="shared" si="13"/>
        <v>Matthijs*Jonas*</v>
      </c>
      <c r="AK47" s="160">
        <f>IF(Tabel59[[#This Row],[Aantal Games Rood]]=0,0,(Tabel59[[#This Row],[Wins Rood]])/Tabel59[[#This Row],[Aantal Games Rood]])</f>
        <v>0.5</v>
      </c>
      <c r="AL47" s="159">
        <f>IF(Tabel59[[#This Row],[Aantal Games Groen]]=0,0,(Tabel59[[#This Row],[Wins Groen]])/Tabel59[[#This Row],[Aantal Games Groen]])</f>
        <v>0.33333333333333331</v>
      </c>
      <c r="AM47" s="156">
        <f>IF(Tabel59[[#This Row],[Aantal games Alg]]=0,0,(Tabel59[[#This Row],[Wins Alg]])/Tabel59[[#This Row],[Aantal games Alg]])</f>
        <v>0.42857142857142855</v>
      </c>
      <c r="AN47" s="138">
        <f>COUNTIF(Tabel158[Winaar rood],Tabel59[[#This Row],[Team]])</f>
        <v>2</v>
      </c>
      <c r="AO47" s="134">
        <f>COUNTIF(Tabel158[Winnaar Groen],Tabel59[[#This Row],[Team]])</f>
        <v>1</v>
      </c>
      <c r="AP47">
        <f>COUNTIF(Tabel158[Winnaars],Tabel59[[#This Row],[Team]])</f>
        <v>3</v>
      </c>
      <c r="AQ47" s="135">
        <f>Tabel59[[#This Row],[Aantal Games Rood]]-Tabel59[[#This Row],[Wins Rood]]</f>
        <v>2</v>
      </c>
      <c r="AR47" s="136">
        <f>Tabel59[[#This Row],[Aantal Games Groen]]-Tabel59[[#This Row],[Wins Groen]]</f>
        <v>2</v>
      </c>
      <c r="AS47" s="137">
        <f>Tabel59[[#This Row],[Aantal games Alg]]-Tabel59[[#This Row],[Wins Alg]]</f>
        <v>4</v>
      </c>
      <c r="AT47" s="138">
        <f>COUNTIF(Tabel158[Team Rood],Tabel59[[#This Row],[Team]])</f>
        <v>4</v>
      </c>
      <c r="AU47" s="136">
        <f>COUNTIF(Tabel158[Team Groen],Tabel59[[#This Row],[Team]])</f>
        <v>3</v>
      </c>
      <c r="AV47" s="214">
        <f>Tabel59[[#This Row],[Aantal Games Rood]]+Tabel59[[#This Row],[Aantal Games Groen]]</f>
        <v>7</v>
      </c>
      <c r="AW47" s="138">
        <f>SUMIF(Tabel158[Team Rood],Tabel59[[#This Row],[Team]],Tabel158[Score])</f>
        <v>8</v>
      </c>
      <c r="AX47" s="138">
        <f>SUMIF(Tabel158[Team Rood],Tabel59[[#This Row],[Team]],Tabel158[Score2])</f>
        <v>30</v>
      </c>
      <c r="AY47" s="134">
        <f>SUMIF(Tabel158[Team Groen],Tabel59[[#This Row],[Team]],Tabel158[Score3])</f>
        <v>7</v>
      </c>
      <c r="AZ47" s="136">
        <f>SUMIF(Tabel158[Team Groen],Tabel59[[#This Row],[Team]],Tabel158[Score4])</f>
        <v>18</v>
      </c>
      <c r="BA47">
        <f>SUM(Tabel59[[#This Row],[Goals Verdediger]]+Tabel59[[#This Row],[Goals DefG]])</f>
        <v>15</v>
      </c>
      <c r="BB47">
        <f>IF(Tabel59[[#This Row],[Aantal games Alg]]=0,0,Tabel59[[#This Row],[Goals DefA]]/Tabel59[[#This Row],[Aantal games Alg]])</f>
        <v>2.1428571428571428</v>
      </c>
      <c r="BC47">
        <f>SUM(Tabel59[[#This Row],[Goals Aanvaller]]+Tabel59[[#This Row],[Goals OffG]])</f>
        <v>48</v>
      </c>
      <c r="BD47">
        <f>IF(Tabel59[[#This Row],[Aantal games Alg]]=0,0,Tabel59[[#This Row],[Goals OffA]]/Tabel59[[#This Row],[Aantal games Alg]])</f>
        <v>6.8571428571428568</v>
      </c>
      <c r="BE47" s="112">
        <f>Tabel59[[#This Row],[Goals DefA]]+Tabel59[[#This Row],[Goals OffA]]</f>
        <v>63</v>
      </c>
      <c r="BF47" s="112">
        <f>IF(Tabel59[[#This Row],[Aantal games Alg]]=0,0,Tabel59[[#This Row],[Goals Alg]]/Tabel59[[#This Row],[Aantal games Alg]])</f>
        <v>9</v>
      </c>
      <c r="BG47" s="148">
        <f ca="1">SUMIF(Tabel158[Team Rood],Tabel59[[#This Row],[Team]],Tabel158[ET])</f>
        <v>0</v>
      </c>
      <c r="BH47" s="150">
        <f ca="1">SUMIF(Tabel158[Team Groen],Tabel59[[#This Row],[Team]],Tabel158[ET])</f>
        <v>0</v>
      </c>
      <c r="BI47" s="153">
        <f ca="1">SUM(Tabel59[[#This Row],[ET Groen tot]],Tabel59[[#This Row],[ET Rood tot]])</f>
        <v>0</v>
      </c>
      <c r="BJ47" s="155">
        <f ca="1">IF(Tabel59[[#This Row],[Aantal games Alg]]=0,0,Tabel59[[#This Row],[ET tot]]/Tabel59[[#This Row],[Aantal games Alg]])</f>
        <v>0</v>
      </c>
    </row>
    <row r="48" spans="1:62" x14ac:dyDescent="0.25">
      <c r="A48" s="124">
        <f ca="1">IF(Tabel158[[#This Row],[Rood Verdediging]]&lt;&gt;"",IF(A48="",NOW(),A48),"")</f>
        <v>43878.947694907409</v>
      </c>
      <c r="B48" s="128">
        <f ca="1">IF(Tabel158[[#This Row],[Rood Verdediging]]&lt;&gt;"",IF(B48="",NOW(),B48),"")</f>
        <v>43878.947694907409</v>
      </c>
      <c r="C48" s="126">
        <f ca="1">IF(Tabel158[[#This Row],[Score]]&lt;&gt;"",IF(C48="",NOW(),C48),"")</f>
        <v>43878.947694907409</v>
      </c>
      <c r="D48" s="127">
        <f ca="1">IF(OR(Tabel158[[#This Row],[Starttijd]]="",Tabel158[[#This Row],[Eindtijd]]=""),"",Tabel158[[#This Row],[Eindtijd]]-Tabel158[[#This Row],[Starttijd]])</f>
        <v>0</v>
      </c>
      <c r="E48" s="74">
        <v>48</v>
      </c>
      <c r="F48" s="205" t="s">
        <v>3</v>
      </c>
      <c r="G48" s="210">
        <v>2</v>
      </c>
      <c r="H48" s="205" t="s">
        <v>19</v>
      </c>
      <c r="I48" s="210">
        <v>5</v>
      </c>
      <c r="J48" s="206" t="s">
        <v>0</v>
      </c>
      <c r="K48" s="212">
        <v>2</v>
      </c>
      <c r="L48" s="206" t="s">
        <v>6</v>
      </c>
      <c r="M48" s="212">
        <v>9</v>
      </c>
      <c r="N48" s="81">
        <f t="shared" si="0"/>
        <v>7</v>
      </c>
      <c r="O48" s="82">
        <f t="shared" si="1"/>
        <v>11</v>
      </c>
      <c r="P48" s="70" t="str">
        <f t="shared" si="2"/>
        <v>GROEN</v>
      </c>
      <c r="Q48" s="86" t="str">
        <f t="shared" si="3"/>
        <v>Jonas</v>
      </c>
      <c r="R48" s="87" t="str">
        <f t="shared" si="4"/>
        <v>Stef D</v>
      </c>
      <c r="S48" t="str">
        <f>Tabel158[[#This Row],[Rood Verdediging]]&amp;Tabel158[[#This Row],[Rood Aanval]]</f>
        <v>KarelNicolas</v>
      </c>
      <c r="T48" t="str">
        <f>Tabel158[[#This Row],[Groen Verdediging]]&amp;Tabel158[[#This Row],[Groen Aanval]]</f>
        <v>JonasStef D</v>
      </c>
      <c r="U48" t="str">
        <f>Tabel158[[#This Row],[Winnaar 1]]&amp;Tabel158[[#This Row],[Winnaar 2]]</f>
        <v>JonasStef D</v>
      </c>
      <c r="V48" s="147" t="b">
        <f>IF(Tabel158[[#This Row],[Team Rood]]=Tabel158[[#This Row],[Winnaars]],Tabel158[[#This Row],[Team Rood]])</f>
        <v>0</v>
      </c>
      <c r="W48" s="147" t="str">
        <f>IF(Tabel158[[#This Row],[Team Groen]]=Tabel158[[#This Row],[Winnaars]],Tabel158[[#This Row],[Team Groen]])</f>
        <v>JonasStef D</v>
      </c>
      <c r="X48" s="147"/>
      <c r="AH48" s="251" t="s">
        <v>164</v>
      </c>
      <c r="AI48" s="233" t="s">
        <v>159</v>
      </c>
      <c r="AJ48" s="140" t="str">
        <f t="shared" si="13"/>
        <v>Karel*Jonas*</v>
      </c>
      <c r="AK48" s="160">
        <f>IF(Tabel59[[#This Row],[Aantal Games Rood]]=0,0,(Tabel59[[#This Row],[Wins Rood]])/Tabel59[[#This Row],[Aantal Games Rood]])</f>
        <v>0.33333333333333331</v>
      </c>
      <c r="AL48" s="159">
        <f>IF(Tabel59[[#This Row],[Aantal Games Groen]]=0,0,(Tabel59[[#This Row],[Wins Groen]])/Tabel59[[#This Row],[Aantal Games Groen]])</f>
        <v>0.44444444444444442</v>
      </c>
      <c r="AM48" s="156">
        <f>IF(Tabel59[[#This Row],[Aantal games Alg]]=0,0,(Tabel59[[#This Row],[Wins Alg]])/Tabel59[[#This Row],[Aantal games Alg]])</f>
        <v>0.41666666666666669</v>
      </c>
      <c r="AN48" s="133">
        <f>COUNTIF(Tabel158[Winaar rood],Tabel59[[#This Row],[Team]])</f>
        <v>1</v>
      </c>
      <c r="AO48" s="134">
        <f>COUNTIF(Tabel158[Winnaar Groen],Tabel59[[#This Row],[Team]])</f>
        <v>4</v>
      </c>
      <c r="AP48" s="293">
        <f>COUNTIF(Tabel158[Winnaars],Tabel59[[#This Row],[Team]])</f>
        <v>5</v>
      </c>
      <c r="AQ48" s="135">
        <f>Tabel59[[#This Row],[Aantal Games Rood]]-Tabel59[[#This Row],[Wins Rood]]</f>
        <v>2</v>
      </c>
      <c r="AR48" s="136">
        <f>Tabel59[[#This Row],[Aantal Games Groen]]-Tabel59[[#This Row],[Wins Groen]]</f>
        <v>5</v>
      </c>
      <c r="AS48" s="137">
        <f>Tabel59[[#This Row],[Aantal games Alg]]-Tabel59[[#This Row],[Wins Alg]]</f>
        <v>7</v>
      </c>
      <c r="AT48" s="138">
        <f>COUNTIF(Tabel158[Team Rood],Tabel59[[#This Row],[Team]])</f>
        <v>3</v>
      </c>
      <c r="AU48" s="136">
        <f>COUNTIF(Tabel158[Team Groen],Tabel59[[#This Row],[Team]])</f>
        <v>9</v>
      </c>
      <c r="AV48" s="112">
        <f>Tabel59[[#This Row],[Aantal Games Rood]]+Tabel59[[#This Row],[Aantal Games Groen]]</f>
        <v>12</v>
      </c>
      <c r="AW48" s="138">
        <f>SUMIF(Tabel158[Team Rood],Tabel59[[#This Row],[Team]],Tabel158[Score])</f>
        <v>10</v>
      </c>
      <c r="AX48" s="138">
        <f>SUMIF(Tabel158[Team Rood],Tabel59[[#This Row],[Team]],Tabel158[Score2])</f>
        <v>17</v>
      </c>
      <c r="AY48" s="134">
        <f>SUMIF(Tabel158[Team Groen],Tabel59[[#This Row],[Team]],Tabel158[Score3])</f>
        <v>22</v>
      </c>
      <c r="AZ48" s="136">
        <f>SUMIF(Tabel158[Team Groen],Tabel59[[#This Row],[Team]],Tabel158[Score4])</f>
        <v>56</v>
      </c>
      <c r="BA48">
        <f>SUM(Tabel59[[#This Row],[Goals Verdediger]]+Tabel59[[#This Row],[Goals DefG]])</f>
        <v>32</v>
      </c>
      <c r="BB48">
        <f>IF(Tabel59[[#This Row],[Aantal games Alg]]=0,0,Tabel59[[#This Row],[Goals DefA]]/Tabel59[[#This Row],[Aantal games Alg]])</f>
        <v>2.6666666666666665</v>
      </c>
      <c r="BC48">
        <f>SUM(Tabel59[[#This Row],[Goals Aanvaller]]+Tabel59[[#This Row],[Goals OffG]])</f>
        <v>73</v>
      </c>
      <c r="BD48">
        <f>IF(Tabel59[[#This Row],[Aantal games Alg]]=0,0,Tabel59[[#This Row],[Goals OffA]]/Tabel59[[#This Row],[Aantal games Alg]])</f>
        <v>6.083333333333333</v>
      </c>
      <c r="BE48" s="112">
        <f>Tabel59[[#This Row],[Goals DefA]]+Tabel59[[#This Row],[Goals OffA]]</f>
        <v>105</v>
      </c>
      <c r="BF48" s="112">
        <f>IF(Tabel59[[#This Row],[Aantal games Alg]]=0,0,Tabel59[[#This Row],[Goals Alg]]/Tabel59[[#This Row],[Aantal games Alg]])</f>
        <v>8.75</v>
      </c>
      <c r="BG48" s="148">
        <f ca="1">SUMIF(Tabel158[Team Rood],Tabel59[[#This Row],[Team]],Tabel158[ET])</f>
        <v>0</v>
      </c>
      <c r="BH48" s="150">
        <f ca="1">SUMIF(Tabel158[Team Groen],Tabel59[[#This Row],[Team]],Tabel158[ET])</f>
        <v>0</v>
      </c>
      <c r="BI48" s="153">
        <f ca="1">SUM(Tabel59[[#This Row],[ET Groen tot]],Tabel59[[#This Row],[ET Rood tot]])</f>
        <v>0</v>
      </c>
      <c r="BJ48" s="155">
        <f ca="1">IF(Tabel59[[#This Row],[Aantal games Alg]]=0,0,Tabel59[[#This Row],[ET tot]]/Tabel59[[#This Row],[Aantal games Alg]])</f>
        <v>0</v>
      </c>
    </row>
    <row r="49" spans="1:62" x14ac:dyDescent="0.25">
      <c r="A49" s="124">
        <f ca="1">IF(Tabel158[[#This Row],[Rood Verdediging]]&lt;&gt;"",IF(A49="",NOW(),A49),"")</f>
        <v>43878.947694907409</v>
      </c>
      <c r="B49" s="128">
        <f ca="1">IF(Tabel158[[#This Row],[Rood Verdediging]]&lt;&gt;"",IF(B49="",NOW(),B49),"")</f>
        <v>43878.947694907409</v>
      </c>
      <c r="C49" s="126">
        <f ca="1">IF(Tabel158[[#This Row],[Score]]&lt;&gt;"",IF(C49="",NOW(),C49),"")</f>
        <v>43878.947694907409</v>
      </c>
      <c r="D49" s="127">
        <f ca="1">IF(OR(Tabel158[[#This Row],[Starttijd]]="",Tabel158[[#This Row],[Eindtijd]]=""),"",Tabel158[[#This Row],[Eindtijd]]-Tabel158[[#This Row],[Starttijd]])</f>
        <v>0</v>
      </c>
      <c r="E49" s="74">
        <v>49</v>
      </c>
      <c r="F49" s="205" t="s">
        <v>19</v>
      </c>
      <c r="G49" s="210">
        <v>3</v>
      </c>
      <c r="H49" s="205" t="s">
        <v>3</v>
      </c>
      <c r="I49" s="210">
        <v>8</v>
      </c>
      <c r="J49" s="206" t="s">
        <v>6</v>
      </c>
      <c r="K49" s="212">
        <v>2</v>
      </c>
      <c r="L49" s="206" t="s">
        <v>0</v>
      </c>
      <c r="M49" s="212">
        <v>7</v>
      </c>
      <c r="N49" s="81">
        <f t="shared" si="0"/>
        <v>11</v>
      </c>
      <c r="O49" s="82">
        <f t="shared" si="1"/>
        <v>9</v>
      </c>
      <c r="P49" s="70" t="str">
        <f t="shared" si="2"/>
        <v>ROOD</v>
      </c>
      <c r="Q49" s="86" t="str">
        <f t="shared" si="3"/>
        <v>Nicolas</v>
      </c>
      <c r="R49" s="87" t="str">
        <f t="shared" si="4"/>
        <v>Karel</v>
      </c>
      <c r="S49" t="str">
        <f>Tabel158[[#This Row],[Rood Verdediging]]&amp;Tabel158[[#This Row],[Rood Aanval]]</f>
        <v>NicolasKarel</v>
      </c>
      <c r="T49" t="str">
        <f>Tabel158[[#This Row],[Groen Verdediging]]&amp;Tabel158[[#This Row],[Groen Aanval]]</f>
        <v>Stef DJonas</v>
      </c>
      <c r="U49" t="str">
        <f>Tabel158[[#This Row],[Winnaar 1]]&amp;Tabel158[[#This Row],[Winnaar 2]]</f>
        <v>NicolasKarel</v>
      </c>
      <c r="V49" s="147" t="str">
        <f>IF(Tabel158[[#This Row],[Team Rood]]=Tabel158[[#This Row],[Winnaars]],Tabel158[[#This Row],[Team Rood]])</f>
        <v>NicolasKarel</v>
      </c>
      <c r="W49" s="147" t="b">
        <f>IF(Tabel158[[#This Row],[Team Groen]]=Tabel158[[#This Row],[Winnaars]],Tabel158[[#This Row],[Team Groen]])</f>
        <v>0</v>
      </c>
      <c r="X49" s="147"/>
      <c r="AH49" s="251" t="s">
        <v>169</v>
      </c>
      <c r="AI49" s="233" t="s">
        <v>162</v>
      </c>
      <c r="AJ49" s="140" t="str">
        <f t="shared" si="13"/>
        <v>Stef*Matthijs*</v>
      </c>
      <c r="AK49" s="160">
        <f>IF(Tabel59[[#This Row],[Aantal Games Rood]]=0,0,(Tabel59[[#This Row],[Wins Rood]])/Tabel59[[#This Row],[Aantal Games Rood]])</f>
        <v>0.4</v>
      </c>
      <c r="AL49" s="159">
        <f>IF(Tabel59[[#This Row],[Aantal Games Groen]]=0,0,(Tabel59[[#This Row],[Wins Groen]])/Tabel59[[#This Row],[Aantal Games Groen]])</f>
        <v>0.4</v>
      </c>
      <c r="AM49" s="156">
        <f>IF(Tabel59[[#This Row],[Aantal games Alg]]=0,0,(Tabel59[[#This Row],[Wins Alg]])/Tabel59[[#This Row],[Aantal games Alg]])</f>
        <v>0.4</v>
      </c>
      <c r="AN49" s="133">
        <f>COUNTIF(Tabel158[Winaar rood],Tabel59[[#This Row],[Team]])</f>
        <v>2</v>
      </c>
      <c r="AO49" s="134">
        <f>COUNTIF(Tabel158[Winnaar Groen],Tabel59[[#This Row],[Team]])</f>
        <v>2</v>
      </c>
      <c r="AP49">
        <f>COUNTIF(Tabel158[Winnaars],Tabel59[[#This Row],[Team]])</f>
        <v>4</v>
      </c>
      <c r="AQ49" s="135">
        <f>Tabel59[[#This Row],[Aantal Games Rood]]-Tabel59[[#This Row],[Wins Rood]]</f>
        <v>3</v>
      </c>
      <c r="AR49" s="136">
        <f>Tabel59[[#This Row],[Aantal Games Groen]]-Tabel59[[#This Row],[Wins Groen]]</f>
        <v>3</v>
      </c>
      <c r="AS49" s="137">
        <f>Tabel59[[#This Row],[Aantal games Alg]]-Tabel59[[#This Row],[Wins Alg]]</f>
        <v>6</v>
      </c>
      <c r="AT49" s="138">
        <f>COUNTIF(Tabel158[Team Rood],Tabel59[[#This Row],[Team]])</f>
        <v>5</v>
      </c>
      <c r="AU49" s="136">
        <f>COUNTIF(Tabel158[Team Groen],Tabel59[[#This Row],[Team]])</f>
        <v>5</v>
      </c>
      <c r="AV49" s="112">
        <f>Tabel59[[#This Row],[Aantal Games Rood]]+Tabel59[[#This Row],[Aantal Games Groen]]</f>
        <v>10</v>
      </c>
      <c r="AW49" s="138">
        <f>SUMIF(Tabel158[Team Rood],Tabel59[[#This Row],[Team]],Tabel158[Score])</f>
        <v>17</v>
      </c>
      <c r="AX49" s="138">
        <f>SUMIF(Tabel158[Team Rood],Tabel59[[#This Row],[Team]],Tabel158[Score2])</f>
        <v>27</v>
      </c>
      <c r="AY49" s="134">
        <f>SUMIF(Tabel158[Team Groen],Tabel59[[#This Row],[Team]],Tabel158[Score3])</f>
        <v>19</v>
      </c>
      <c r="AZ49" s="136">
        <f>SUMIF(Tabel158[Team Groen],Tabel59[[#This Row],[Team]],Tabel158[Score4])</f>
        <v>33</v>
      </c>
      <c r="BA49">
        <f>SUM(Tabel59[[#This Row],[Goals Verdediger]]+Tabel59[[#This Row],[Goals DefG]])</f>
        <v>36</v>
      </c>
      <c r="BB49">
        <f>IF(Tabel59[[#This Row],[Aantal games Alg]]=0,0,Tabel59[[#This Row],[Goals DefA]]/Tabel59[[#This Row],[Aantal games Alg]])</f>
        <v>3.6</v>
      </c>
      <c r="BC49">
        <f>SUM(Tabel59[[#This Row],[Goals Aanvaller]]+Tabel59[[#This Row],[Goals OffG]])</f>
        <v>60</v>
      </c>
      <c r="BD49">
        <f>IF(Tabel59[[#This Row],[Aantal games Alg]]=0,0,Tabel59[[#This Row],[Goals OffA]]/Tabel59[[#This Row],[Aantal games Alg]])</f>
        <v>6</v>
      </c>
      <c r="BE49" s="112">
        <f>Tabel59[[#This Row],[Goals DefA]]+Tabel59[[#This Row],[Goals OffA]]</f>
        <v>96</v>
      </c>
      <c r="BF49" s="112">
        <f>IF(Tabel59[[#This Row],[Aantal games Alg]]=0,0,Tabel59[[#This Row],[Goals Alg]]/Tabel59[[#This Row],[Aantal games Alg]])</f>
        <v>9.6</v>
      </c>
      <c r="BG49" s="148">
        <f ca="1">SUMIF(Tabel158[Team Rood],Tabel59[[#This Row],[Team]],Tabel158[ET])</f>
        <v>0</v>
      </c>
      <c r="BH49" s="150">
        <f ca="1">SUMIF(Tabel158[Team Groen],Tabel59[[#This Row],[Team]],Tabel158[ET])</f>
        <v>0</v>
      </c>
      <c r="BI49" s="153">
        <f ca="1">SUM(Tabel59[[#This Row],[ET Groen tot]],Tabel59[[#This Row],[ET Rood tot]])</f>
        <v>0</v>
      </c>
      <c r="BJ49" s="155">
        <f ca="1">IF(Tabel59[[#This Row],[Aantal games Alg]]=0,0,Tabel59[[#This Row],[ET tot]]/Tabel59[[#This Row],[Aantal games Alg]])</f>
        <v>0</v>
      </c>
    </row>
    <row r="50" spans="1:62" x14ac:dyDescent="0.25">
      <c r="A50" s="124">
        <f ca="1">IF(Tabel158[[#This Row],[Rood Verdediging]]&lt;&gt;"",IF(A50="",NOW(),A50),"")</f>
        <v>43878.947694907409</v>
      </c>
      <c r="B50" s="128">
        <f ca="1">IF(Tabel158[[#This Row],[Rood Verdediging]]&lt;&gt;"",IF(B50="",NOW(),B50),"")</f>
        <v>43878.947694907409</v>
      </c>
      <c r="C50" s="126">
        <f ca="1">IF(Tabel158[[#This Row],[Score]]&lt;&gt;"",IF(C50="",NOW(),C50),"")</f>
        <v>43878.947694907409</v>
      </c>
      <c r="D50" s="127">
        <f ca="1">IF(OR(Tabel158[[#This Row],[Starttijd]]="",Tabel158[[#This Row],[Eindtijd]]=""),"",Tabel158[[#This Row],[Eindtijd]]-Tabel158[[#This Row],[Starttijd]])</f>
        <v>0</v>
      </c>
      <c r="E50" s="74">
        <v>50</v>
      </c>
      <c r="F50" s="205" t="s">
        <v>19</v>
      </c>
      <c r="G50" s="210">
        <v>1</v>
      </c>
      <c r="H50" s="205" t="s">
        <v>6</v>
      </c>
      <c r="I50" s="210">
        <v>3</v>
      </c>
      <c r="J50" s="206" t="s">
        <v>3</v>
      </c>
      <c r="K50" s="212">
        <v>3</v>
      </c>
      <c r="L50" s="206" t="s">
        <v>0</v>
      </c>
      <c r="M50" s="212">
        <v>8</v>
      </c>
      <c r="N50" s="81">
        <f t="shared" si="0"/>
        <v>4</v>
      </c>
      <c r="O50" s="82">
        <f t="shared" si="1"/>
        <v>11</v>
      </c>
      <c r="P50" s="70" t="str">
        <f t="shared" si="2"/>
        <v>GROEN</v>
      </c>
      <c r="Q50" s="86" t="str">
        <f t="shared" si="3"/>
        <v>Karel</v>
      </c>
      <c r="R50" s="87" t="str">
        <f t="shared" si="4"/>
        <v>Jonas</v>
      </c>
      <c r="S50" t="str">
        <f>Tabel158[[#This Row],[Rood Verdediging]]&amp;Tabel158[[#This Row],[Rood Aanval]]</f>
        <v>NicolasStef D</v>
      </c>
      <c r="T50" t="str">
        <f>Tabel158[[#This Row],[Groen Verdediging]]&amp;Tabel158[[#This Row],[Groen Aanval]]</f>
        <v>KarelJonas</v>
      </c>
      <c r="U50" t="str">
        <f>Tabel158[[#This Row],[Winnaar 1]]&amp;Tabel158[[#This Row],[Winnaar 2]]</f>
        <v>KarelJonas</v>
      </c>
      <c r="V50" s="147" t="b">
        <f>IF(Tabel158[[#This Row],[Team Rood]]=Tabel158[[#This Row],[Winnaars]],Tabel158[[#This Row],[Team Rood]])</f>
        <v>0</v>
      </c>
      <c r="W50" s="147" t="str">
        <f>IF(Tabel158[[#This Row],[Team Groen]]=Tabel158[[#This Row],[Winnaars]],Tabel158[[#This Row],[Team Groen]])</f>
        <v>KarelJonas</v>
      </c>
      <c r="X50" s="147"/>
      <c r="AH50" s="251" t="s">
        <v>160</v>
      </c>
      <c r="AI50" s="233" t="s">
        <v>163</v>
      </c>
      <c r="AJ50" s="140" t="str">
        <f t="shared" si="13"/>
        <v>Tiemen*Bert*</v>
      </c>
      <c r="AK50" s="160">
        <f>IF(Tabel59[[#This Row],[Aantal Games Rood]]=0,0,(Tabel59[[#This Row],[Wins Rood]])/Tabel59[[#This Row],[Aantal Games Rood]])</f>
        <v>0.5</v>
      </c>
      <c r="AL50" s="159">
        <f>IF(Tabel59[[#This Row],[Aantal Games Groen]]=0,0,(Tabel59[[#This Row],[Wins Groen]])/Tabel59[[#This Row],[Aantal Games Groen]])</f>
        <v>0.33333333333333331</v>
      </c>
      <c r="AM50" s="156">
        <f>IF(Tabel59[[#This Row],[Aantal games Alg]]=0,0,(Tabel59[[#This Row],[Wins Alg]])/Tabel59[[#This Row],[Aantal games Alg]])</f>
        <v>0.4</v>
      </c>
      <c r="AN50" s="138">
        <f>COUNTIF(Tabel158[Winaar rood],Tabel59[[#This Row],[Team]])</f>
        <v>1</v>
      </c>
      <c r="AO50" s="134">
        <f>COUNTIF(Tabel158[Winnaar Groen],Tabel59[[#This Row],[Team]])</f>
        <v>1</v>
      </c>
      <c r="AP50">
        <f>COUNTIF(Tabel158[Winnaars],Tabel59[[#This Row],[Team]])</f>
        <v>2</v>
      </c>
      <c r="AQ50" s="135">
        <f>Tabel59[[#This Row],[Aantal Games Rood]]-Tabel59[[#This Row],[Wins Rood]]</f>
        <v>1</v>
      </c>
      <c r="AR50" s="136">
        <f>Tabel59[[#This Row],[Aantal Games Groen]]-Tabel59[[#This Row],[Wins Groen]]</f>
        <v>2</v>
      </c>
      <c r="AS50" s="137">
        <f>Tabel59[[#This Row],[Aantal games Alg]]-Tabel59[[#This Row],[Wins Alg]]</f>
        <v>3</v>
      </c>
      <c r="AT50" s="138">
        <f>COUNTIF(Tabel158[Team Rood],Tabel59[[#This Row],[Team]])</f>
        <v>2</v>
      </c>
      <c r="AU50" s="136">
        <f>COUNTIF(Tabel158[Team Groen],Tabel59[[#This Row],[Team]])</f>
        <v>3</v>
      </c>
      <c r="AV50" s="214">
        <f>Tabel59[[#This Row],[Aantal Games Rood]]+Tabel59[[#This Row],[Aantal Games Groen]]</f>
        <v>5</v>
      </c>
      <c r="AW50" s="138">
        <f>SUMIF(Tabel158[Team Rood],Tabel59[[#This Row],[Team]],Tabel158[Score])</f>
        <v>4</v>
      </c>
      <c r="AX50" s="138">
        <f>SUMIF(Tabel158[Team Rood],Tabel59[[#This Row],[Team]],Tabel158[Score2])</f>
        <v>10</v>
      </c>
      <c r="AY50" s="134">
        <f>SUMIF(Tabel158[Team Groen],Tabel59[[#This Row],[Team]],Tabel158[Score3])</f>
        <v>8</v>
      </c>
      <c r="AZ50" s="136">
        <f>SUMIF(Tabel158[Team Groen],Tabel59[[#This Row],[Team]],Tabel158[Score4])</f>
        <v>15</v>
      </c>
      <c r="BA50">
        <f>SUM(Tabel59[[#This Row],[Goals Verdediger]]+Tabel59[[#This Row],[Goals DefG]])</f>
        <v>12</v>
      </c>
      <c r="BB50">
        <f>IF(Tabel59[[#This Row],[Aantal games Alg]]=0,0,Tabel59[[#This Row],[Goals DefA]]/Tabel59[[#This Row],[Aantal games Alg]])</f>
        <v>2.4</v>
      </c>
      <c r="BC50">
        <f>SUM(Tabel59[[#This Row],[Goals Aanvaller]]+Tabel59[[#This Row],[Goals OffG]])</f>
        <v>25</v>
      </c>
      <c r="BD50">
        <f>IF(Tabel59[[#This Row],[Aantal games Alg]]=0,0,Tabel59[[#This Row],[Goals OffA]]/Tabel59[[#This Row],[Aantal games Alg]])</f>
        <v>5</v>
      </c>
      <c r="BE50" s="112">
        <f>Tabel59[[#This Row],[Goals DefA]]+Tabel59[[#This Row],[Goals OffA]]</f>
        <v>37</v>
      </c>
      <c r="BF50" s="112">
        <f>IF(Tabel59[[#This Row],[Aantal games Alg]]=0,0,Tabel59[[#This Row],[Goals Alg]]/Tabel59[[#This Row],[Aantal games Alg]])</f>
        <v>7.4</v>
      </c>
      <c r="BG50" s="148">
        <f ca="1">SUMIF(Tabel158[Team Rood],Tabel59[[#This Row],[Team]],Tabel158[ET])</f>
        <v>0</v>
      </c>
      <c r="BH50" s="150">
        <f ca="1">SUMIF(Tabel158[Team Groen],Tabel59[[#This Row],[Team]],Tabel158[ET])</f>
        <v>0</v>
      </c>
      <c r="BI50" s="153">
        <f ca="1">SUM(Tabel59[[#This Row],[ET Groen tot]],Tabel59[[#This Row],[ET Rood tot]])</f>
        <v>0</v>
      </c>
      <c r="BJ50" s="155">
        <f ca="1">IF(Tabel59[[#This Row],[Aantal games Alg]]=0,0,Tabel59[[#This Row],[ET tot]]/Tabel59[[#This Row],[Aantal games Alg]])</f>
        <v>0</v>
      </c>
    </row>
    <row r="51" spans="1:62" x14ac:dyDescent="0.25">
      <c r="A51" s="124">
        <f ca="1">IF(Tabel158[[#This Row],[Rood Verdediging]]&lt;&gt;"",IF(A51="",NOW(),A51),"")</f>
        <v>43878.947694907409</v>
      </c>
      <c r="B51" s="128">
        <f ca="1">IF(Tabel158[[#This Row],[Rood Verdediging]]&lt;&gt;"",IF(B51="",NOW(),B51),"")</f>
        <v>43878.947694907409</v>
      </c>
      <c r="C51" s="126">
        <f ca="1">IF(Tabel158[[#This Row],[Score]]&lt;&gt;"",IF(C51="",NOW(),C51),"")</f>
        <v>43878.947694907409</v>
      </c>
      <c r="D51" s="127">
        <f ca="1">IF(OR(Tabel158[[#This Row],[Starttijd]]="",Tabel158[[#This Row],[Eindtijd]]=""),"",Tabel158[[#This Row],[Eindtijd]]-Tabel158[[#This Row],[Starttijd]])</f>
        <v>0</v>
      </c>
      <c r="E51" s="74">
        <v>51</v>
      </c>
      <c r="F51" s="205" t="s">
        <v>6</v>
      </c>
      <c r="G51" s="210">
        <v>5</v>
      </c>
      <c r="H51" s="205" t="s">
        <v>19</v>
      </c>
      <c r="I51" s="210">
        <v>4</v>
      </c>
      <c r="J51" s="206" t="s">
        <v>0</v>
      </c>
      <c r="K51" s="212">
        <v>1</v>
      </c>
      <c r="L51" s="206" t="s">
        <v>3</v>
      </c>
      <c r="M51" s="212">
        <v>10</v>
      </c>
      <c r="N51" s="81">
        <f t="shared" si="0"/>
        <v>9</v>
      </c>
      <c r="O51" s="82">
        <f t="shared" si="1"/>
        <v>11</v>
      </c>
      <c r="P51" s="70" t="str">
        <f t="shared" si="2"/>
        <v>GROEN</v>
      </c>
      <c r="Q51" s="86" t="str">
        <f t="shared" si="3"/>
        <v>Jonas</v>
      </c>
      <c r="R51" s="87" t="str">
        <f t="shared" si="4"/>
        <v>Karel</v>
      </c>
      <c r="S51" t="str">
        <f>Tabel158[[#This Row],[Rood Verdediging]]&amp;Tabel158[[#This Row],[Rood Aanval]]</f>
        <v>Stef DNicolas</v>
      </c>
      <c r="T51" t="str">
        <f>Tabel158[[#This Row],[Groen Verdediging]]&amp;Tabel158[[#This Row],[Groen Aanval]]</f>
        <v>JonasKarel</v>
      </c>
      <c r="U51" t="str">
        <f>Tabel158[[#This Row],[Winnaar 1]]&amp;Tabel158[[#This Row],[Winnaar 2]]</f>
        <v>JonasKarel</v>
      </c>
      <c r="V51" s="147" t="b">
        <f>IF(Tabel158[[#This Row],[Team Rood]]=Tabel158[[#This Row],[Winnaars]],Tabel158[[#This Row],[Team Rood]])</f>
        <v>0</v>
      </c>
      <c r="W51" s="147" t="str">
        <f>IF(Tabel158[[#This Row],[Team Groen]]=Tabel158[[#This Row],[Winnaars]],Tabel158[[#This Row],[Team Groen]])</f>
        <v>JonasKarel</v>
      </c>
      <c r="X51" s="147"/>
      <c r="AH51" s="251" t="s">
        <v>170</v>
      </c>
      <c r="AI51" s="233" t="s">
        <v>164</v>
      </c>
      <c r="AJ51" s="140" t="str">
        <f t="shared" si="13"/>
        <v>Nico*Karel*</v>
      </c>
      <c r="AK51" s="160">
        <f>IF(Tabel59[[#This Row],[Aantal Games Rood]]=0,0,(Tabel59[[#This Row],[Wins Rood]])/Tabel59[[#This Row],[Aantal Games Rood]])</f>
        <v>0.5</v>
      </c>
      <c r="AL51" s="159">
        <f>IF(Tabel59[[#This Row],[Aantal Games Groen]]=0,0,(Tabel59[[#This Row],[Wins Groen]])/Tabel59[[#This Row],[Aantal Games Groen]])</f>
        <v>0.2</v>
      </c>
      <c r="AM51" s="156">
        <f>IF(Tabel59[[#This Row],[Aantal games Alg]]=0,0,(Tabel59[[#This Row],[Wins Alg]])/Tabel59[[#This Row],[Aantal games Alg]])</f>
        <v>0.36363636363636365</v>
      </c>
      <c r="AN51" s="133">
        <f>COUNTIF(Tabel158[Winaar rood],Tabel59[[#This Row],[Team]])</f>
        <v>3</v>
      </c>
      <c r="AO51" s="134">
        <f>COUNTIF(Tabel158[Winnaar Groen],Tabel59[[#This Row],[Team]])</f>
        <v>1</v>
      </c>
      <c r="AP51">
        <f>COUNTIF(Tabel158[Winnaars],Tabel59[[#This Row],[Team]])</f>
        <v>4</v>
      </c>
      <c r="AQ51" s="135">
        <f>Tabel59[[#This Row],[Aantal Games Rood]]-Tabel59[[#This Row],[Wins Rood]]</f>
        <v>3</v>
      </c>
      <c r="AR51" s="136">
        <f>Tabel59[[#This Row],[Aantal Games Groen]]-Tabel59[[#This Row],[Wins Groen]]</f>
        <v>4</v>
      </c>
      <c r="AS51" s="137">
        <f>Tabel59[[#This Row],[Aantal games Alg]]-Tabel59[[#This Row],[Wins Alg]]</f>
        <v>7</v>
      </c>
      <c r="AT51" s="138">
        <f>COUNTIF(Tabel158[Team Rood],Tabel59[[#This Row],[Team]])</f>
        <v>6</v>
      </c>
      <c r="AU51" s="136">
        <f>COUNTIF(Tabel158[Team Groen],Tabel59[[#This Row],[Team]])</f>
        <v>5</v>
      </c>
      <c r="AV51" s="112">
        <f>Tabel59[[#This Row],[Aantal Games Rood]]+Tabel59[[#This Row],[Aantal Games Groen]]</f>
        <v>11</v>
      </c>
      <c r="AW51" s="138">
        <f>SUMIF(Tabel158[Team Rood],Tabel59[[#This Row],[Team]],Tabel158[Score])</f>
        <v>15</v>
      </c>
      <c r="AX51" s="138">
        <f>SUMIF(Tabel158[Team Rood],Tabel59[[#This Row],[Team]],Tabel158[Score2])</f>
        <v>47</v>
      </c>
      <c r="AY51" s="134">
        <f>SUMIF(Tabel158[Team Groen],Tabel59[[#This Row],[Team]],Tabel158[Score3])</f>
        <v>15</v>
      </c>
      <c r="AZ51" s="136">
        <f>SUMIF(Tabel158[Team Groen],Tabel59[[#This Row],[Team]],Tabel158[Score4])</f>
        <v>38</v>
      </c>
      <c r="BA51">
        <f>SUM(Tabel59[[#This Row],[Goals Verdediger]]+Tabel59[[#This Row],[Goals DefG]])</f>
        <v>30</v>
      </c>
      <c r="BB51">
        <f>IF(Tabel59[[#This Row],[Aantal games Alg]]=0,0,Tabel59[[#This Row],[Goals DefA]]/Tabel59[[#This Row],[Aantal games Alg]])</f>
        <v>2.7272727272727271</v>
      </c>
      <c r="BC51">
        <f>SUM(Tabel59[[#This Row],[Goals Aanvaller]]+Tabel59[[#This Row],[Goals OffG]])</f>
        <v>85</v>
      </c>
      <c r="BD51">
        <f>IF(Tabel59[[#This Row],[Aantal games Alg]]=0,0,Tabel59[[#This Row],[Goals OffA]]/Tabel59[[#This Row],[Aantal games Alg]])</f>
        <v>7.7272727272727275</v>
      </c>
      <c r="BE51" s="112">
        <f>Tabel59[[#This Row],[Goals DefA]]+Tabel59[[#This Row],[Goals OffA]]</f>
        <v>115</v>
      </c>
      <c r="BF51" s="112">
        <f>IF(Tabel59[[#This Row],[Aantal games Alg]]=0,0,Tabel59[[#This Row],[Goals Alg]]/Tabel59[[#This Row],[Aantal games Alg]])</f>
        <v>10.454545454545455</v>
      </c>
      <c r="BG51" s="148">
        <f ca="1">SUMIF(Tabel158[Team Rood],Tabel59[[#This Row],[Team]],Tabel158[ET])</f>
        <v>0</v>
      </c>
      <c r="BH51" s="150">
        <f ca="1">SUMIF(Tabel158[Team Groen],Tabel59[[#This Row],[Team]],Tabel158[ET])</f>
        <v>0</v>
      </c>
      <c r="BI51" s="153">
        <f ca="1">SUM(Tabel59[[#This Row],[ET Groen tot]],Tabel59[[#This Row],[ET Rood tot]])</f>
        <v>0</v>
      </c>
      <c r="BJ51" s="155">
        <f ca="1">IF(Tabel59[[#This Row],[Aantal games Alg]]=0,0,Tabel59[[#This Row],[ET tot]]/Tabel59[[#This Row],[Aantal games Alg]])</f>
        <v>0</v>
      </c>
    </row>
    <row r="52" spans="1:62" x14ac:dyDescent="0.25">
      <c r="A52" s="124">
        <f ca="1">IF(Tabel158[[#This Row],[Rood Verdediging]]&lt;&gt;"",IF(A52="",NOW(),A52),"")</f>
        <v>43878.947694907409</v>
      </c>
      <c r="B52" s="128">
        <f ca="1">IF(Tabel158[[#This Row],[Rood Verdediging]]&lt;&gt;"",IF(B52="",NOW(),B52),"")</f>
        <v>43878.947694907409</v>
      </c>
      <c r="C52" s="126">
        <f ca="1">IF(Tabel158[[#This Row],[Score]]&lt;&gt;"",IF(C52="",NOW(),C52),"")</f>
        <v>43878.947694907409</v>
      </c>
      <c r="D52" s="127">
        <f ca="1">IF(OR(Tabel158[[#This Row],[Starttijd]]="",Tabel158[[#This Row],[Eindtijd]]=""),"",Tabel158[[#This Row],[Eindtijd]]-Tabel158[[#This Row],[Starttijd]])</f>
        <v>0</v>
      </c>
      <c r="E52" s="74">
        <v>52</v>
      </c>
      <c r="F52" s="205" t="s">
        <v>6</v>
      </c>
      <c r="G52" s="210">
        <v>5</v>
      </c>
      <c r="H52" s="205" t="s">
        <v>3</v>
      </c>
      <c r="I52" s="210">
        <v>6</v>
      </c>
      <c r="J52" s="206" t="s">
        <v>0</v>
      </c>
      <c r="K52" s="212">
        <v>2</v>
      </c>
      <c r="L52" s="206" t="s">
        <v>19</v>
      </c>
      <c r="M52" s="212">
        <v>5</v>
      </c>
      <c r="N52" s="81">
        <f t="shared" si="0"/>
        <v>11</v>
      </c>
      <c r="O52" s="82">
        <f t="shared" si="1"/>
        <v>7</v>
      </c>
      <c r="P52" s="70" t="str">
        <f t="shared" si="2"/>
        <v>ROOD</v>
      </c>
      <c r="Q52" s="86" t="str">
        <f t="shared" si="3"/>
        <v>Stef D</v>
      </c>
      <c r="R52" s="87" t="str">
        <f t="shared" si="4"/>
        <v>Karel</v>
      </c>
      <c r="S52" t="str">
        <f>Tabel158[[#This Row],[Rood Verdediging]]&amp;Tabel158[[#This Row],[Rood Aanval]]</f>
        <v>Stef DKarel</v>
      </c>
      <c r="T52" t="str">
        <f>Tabel158[[#This Row],[Groen Verdediging]]&amp;Tabel158[[#This Row],[Groen Aanval]]</f>
        <v>JonasNicolas</v>
      </c>
      <c r="U52" t="str">
        <f>Tabel158[[#This Row],[Winnaar 1]]&amp;Tabel158[[#This Row],[Winnaar 2]]</f>
        <v>Stef DKarel</v>
      </c>
      <c r="V52" s="147" t="str">
        <f>IF(Tabel158[[#This Row],[Team Rood]]=Tabel158[[#This Row],[Winnaars]],Tabel158[[#This Row],[Team Rood]])</f>
        <v>Stef DKarel</v>
      </c>
      <c r="W52" s="147" t="b">
        <f>IF(Tabel158[[#This Row],[Team Groen]]=Tabel158[[#This Row],[Winnaars]],Tabel158[[#This Row],[Team Groen]])</f>
        <v>0</v>
      </c>
      <c r="X52" s="147"/>
      <c r="AH52" s="251" t="s">
        <v>161</v>
      </c>
      <c r="AI52" s="233" t="s">
        <v>163</v>
      </c>
      <c r="AJ52" s="140" t="str">
        <f t="shared" si="13"/>
        <v>Louis*Bert*</v>
      </c>
      <c r="AK52" s="160">
        <f>IF(Tabel59[[#This Row],[Aantal Games Rood]]=0,0,(Tabel59[[#This Row],[Wins Rood]])/Tabel59[[#This Row],[Aantal Games Rood]])</f>
        <v>0.4</v>
      </c>
      <c r="AL52" s="159">
        <f>IF(Tabel59[[#This Row],[Aantal Games Groen]]=0,0,(Tabel59[[#This Row],[Wins Groen]])/Tabel59[[#This Row],[Aantal Games Groen]])</f>
        <v>0.2857142857142857</v>
      </c>
      <c r="AM52" s="156">
        <f>IF(Tabel59[[#This Row],[Aantal games Alg]]=0,0,(Tabel59[[#This Row],[Wins Alg]])/Tabel59[[#This Row],[Aantal games Alg]])</f>
        <v>0.33333333333333331</v>
      </c>
      <c r="AN52" s="133">
        <f>COUNTIF(Tabel158[Winaar rood],Tabel59[[#This Row],[Team]])</f>
        <v>2</v>
      </c>
      <c r="AO52" s="134">
        <f>COUNTIF(Tabel158[Winnaar Groen],Tabel59[[#This Row],[Team]])</f>
        <v>2</v>
      </c>
      <c r="AP52" s="293">
        <f>COUNTIF(Tabel158[Winnaars],Tabel59[[#This Row],[Team]])</f>
        <v>4</v>
      </c>
      <c r="AQ52" s="135">
        <f>Tabel59[[#This Row],[Aantal Games Rood]]-Tabel59[[#This Row],[Wins Rood]]</f>
        <v>3</v>
      </c>
      <c r="AR52" s="136">
        <f>Tabel59[[#This Row],[Aantal Games Groen]]-Tabel59[[#This Row],[Wins Groen]]</f>
        <v>5</v>
      </c>
      <c r="AS52" s="137">
        <f>Tabel59[[#This Row],[Aantal games Alg]]-Tabel59[[#This Row],[Wins Alg]]</f>
        <v>8</v>
      </c>
      <c r="AT52" s="138">
        <f>COUNTIF(Tabel158[Team Rood],Tabel59[[#This Row],[Team]])</f>
        <v>5</v>
      </c>
      <c r="AU52" s="136">
        <f>COUNTIF(Tabel158[Team Groen],Tabel59[[#This Row],[Team]])</f>
        <v>7</v>
      </c>
      <c r="AV52" s="214">
        <f>Tabel59[[#This Row],[Aantal Games Rood]]+Tabel59[[#This Row],[Aantal Games Groen]]</f>
        <v>12</v>
      </c>
      <c r="AW52" s="138">
        <f>SUMIF(Tabel158[Team Rood],Tabel59[[#This Row],[Team]],Tabel158[Score])</f>
        <v>15</v>
      </c>
      <c r="AX52" s="138">
        <f>SUMIF(Tabel158[Team Rood],Tabel59[[#This Row],[Team]],Tabel158[Score2])</f>
        <v>34</v>
      </c>
      <c r="AY52" s="134">
        <f>SUMIF(Tabel158[Team Groen],Tabel59[[#This Row],[Team]],Tabel158[Score3])</f>
        <v>18</v>
      </c>
      <c r="AZ52" s="136">
        <f>SUMIF(Tabel158[Team Groen],Tabel59[[#This Row],[Team]],Tabel158[Score4])</f>
        <v>44</v>
      </c>
      <c r="BA52" s="293">
        <f>SUM(Tabel59[[#This Row],[Goals Verdediger]]+Tabel59[[#This Row],[Goals DefG]])</f>
        <v>33</v>
      </c>
      <c r="BB52" s="293">
        <f>IF(Tabel59[[#This Row],[Aantal games Alg]]=0,0,Tabel59[[#This Row],[Goals DefA]]/Tabel59[[#This Row],[Aantal games Alg]])</f>
        <v>2.75</v>
      </c>
      <c r="BC52" s="293">
        <f>SUM(Tabel59[[#This Row],[Goals Aanvaller]]+Tabel59[[#This Row],[Goals OffG]])</f>
        <v>78</v>
      </c>
      <c r="BD52" s="293">
        <f>IF(Tabel59[[#This Row],[Aantal games Alg]]=0,0,Tabel59[[#This Row],[Goals OffA]]/Tabel59[[#This Row],[Aantal games Alg]])</f>
        <v>6.5</v>
      </c>
      <c r="BE52" s="214">
        <f>Tabel59[[#This Row],[Goals DefA]]+Tabel59[[#This Row],[Goals OffA]]</f>
        <v>111</v>
      </c>
      <c r="BF52" s="214">
        <f>IF(Tabel59[[#This Row],[Aantal games Alg]]=0,0,Tabel59[[#This Row],[Goals Alg]]/Tabel59[[#This Row],[Aantal games Alg]])</f>
        <v>9.25</v>
      </c>
      <c r="BG52" s="148">
        <f ca="1">SUMIF(Tabel158[Team Rood],Tabel59[[#This Row],[Team]],Tabel158[ET])</f>
        <v>0</v>
      </c>
      <c r="BH52" s="150">
        <f ca="1">SUMIF(Tabel158[Team Groen],Tabel59[[#This Row],[Team]],Tabel158[ET])</f>
        <v>0</v>
      </c>
      <c r="BI52" s="153">
        <f ca="1">SUM(Tabel59[[#This Row],[ET Groen tot]],Tabel59[[#This Row],[ET Rood tot]])</f>
        <v>0</v>
      </c>
      <c r="BJ52" s="155">
        <f ca="1">IF(Tabel59[[#This Row],[Aantal games Alg]]=0,0,Tabel59[[#This Row],[ET tot]]/Tabel59[[#This Row],[Aantal games Alg]])</f>
        <v>0</v>
      </c>
    </row>
    <row r="53" spans="1:62" x14ac:dyDescent="0.25">
      <c r="A53" s="124">
        <f ca="1">IF(Tabel158[[#This Row],[Rood Verdediging]]&lt;&gt;"",IF(A53="",NOW(),A53),"")</f>
        <v>43878.947694907409</v>
      </c>
      <c r="B53" s="128">
        <f ca="1">IF(Tabel158[[#This Row],[Rood Verdediging]]&lt;&gt;"",IF(B53="",NOW(),B53),"")</f>
        <v>43878.947694907409</v>
      </c>
      <c r="C53" s="126">
        <f ca="1">IF(Tabel158[[#This Row],[Score]]&lt;&gt;"",IF(C53="",NOW(),C53),"")</f>
        <v>43878.947694907409</v>
      </c>
      <c r="D53" s="127">
        <f ca="1">IF(OR(Tabel158[[#This Row],[Starttijd]]="",Tabel158[[#This Row],[Eindtijd]]=""),"",Tabel158[[#This Row],[Eindtijd]]-Tabel158[[#This Row],[Starttijd]])</f>
        <v>0</v>
      </c>
      <c r="E53" s="74">
        <v>53</v>
      </c>
      <c r="F53" s="205" t="s">
        <v>19</v>
      </c>
      <c r="G53" s="210">
        <v>3</v>
      </c>
      <c r="H53" s="205" t="s">
        <v>11</v>
      </c>
      <c r="I53" s="210">
        <v>4</v>
      </c>
      <c r="J53" s="206" t="s">
        <v>8</v>
      </c>
      <c r="K53" s="212">
        <v>1</v>
      </c>
      <c r="L53" s="206" t="s">
        <v>6</v>
      </c>
      <c r="M53" s="212">
        <v>10</v>
      </c>
      <c r="N53" s="81">
        <f t="shared" si="0"/>
        <v>7</v>
      </c>
      <c r="O53" s="82">
        <f t="shared" si="1"/>
        <v>11</v>
      </c>
      <c r="P53" s="70" t="str">
        <f t="shared" si="2"/>
        <v>GROEN</v>
      </c>
      <c r="Q53" s="86" t="str">
        <f t="shared" si="3"/>
        <v>Louis</v>
      </c>
      <c r="R53" s="87" t="str">
        <f t="shared" si="4"/>
        <v>Stef D</v>
      </c>
      <c r="S53" t="str">
        <f>Tabel158[[#This Row],[Rood Verdediging]]&amp;Tabel158[[#This Row],[Rood Aanval]]</f>
        <v>NicolasMatthijs</v>
      </c>
      <c r="T53" t="str">
        <f>Tabel158[[#This Row],[Groen Verdediging]]&amp;Tabel158[[#This Row],[Groen Aanval]]</f>
        <v>LouisStef D</v>
      </c>
      <c r="U53" t="str">
        <f>Tabel158[[#This Row],[Winnaar 1]]&amp;Tabel158[[#This Row],[Winnaar 2]]</f>
        <v>LouisStef D</v>
      </c>
      <c r="V53" s="147" t="b">
        <f>IF(Tabel158[[#This Row],[Team Rood]]=Tabel158[[#This Row],[Winnaars]],Tabel158[[#This Row],[Team Rood]])</f>
        <v>0</v>
      </c>
      <c r="W53" s="147" t="str">
        <f>IF(Tabel158[[#This Row],[Team Groen]]=Tabel158[[#This Row],[Winnaars]],Tabel158[[#This Row],[Team Groen]])</f>
        <v>LouisStef D</v>
      </c>
      <c r="X53" s="147"/>
      <c r="AH53" s="251" t="s">
        <v>162</v>
      </c>
      <c r="AI53" s="233" t="s">
        <v>163</v>
      </c>
      <c r="AJ53" s="140" t="str">
        <f t="shared" si="13"/>
        <v>Matthijs*Bert*</v>
      </c>
      <c r="AK53" s="160">
        <f>IF(Tabel59[[#This Row],[Aantal Games Rood]]=0,0,(Tabel59[[#This Row],[Wins Rood]])/Tabel59[[#This Row],[Aantal Games Rood]])</f>
        <v>0.5</v>
      </c>
      <c r="AL53" s="159">
        <f>IF(Tabel59[[#This Row],[Aantal Games Groen]]=0,0,(Tabel59[[#This Row],[Wins Groen]])/Tabel59[[#This Row],[Aantal Games Groen]])</f>
        <v>0</v>
      </c>
      <c r="AM53" s="156">
        <f>IF(Tabel59[[#This Row],[Aantal games Alg]]=0,0,(Tabel59[[#This Row],[Wins Alg]])/Tabel59[[#This Row],[Aantal games Alg]])</f>
        <v>0.33333333333333331</v>
      </c>
      <c r="AN53" s="133">
        <f>COUNTIF(Tabel158[Winaar rood],Tabel59[[#This Row],[Team]])</f>
        <v>1</v>
      </c>
      <c r="AO53" s="134">
        <f>COUNTIF(Tabel158[Winnaar Groen],Tabel59[[#This Row],[Team]])</f>
        <v>0</v>
      </c>
      <c r="AP53">
        <f>COUNTIF(Tabel158[Winnaars],Tabel59[[#This Row],[Team]])</f>
        <v>1</v>
      </c>
      <c r="AQ53" s="135">
        <f>Tabel59[[#This Row],[Aantal Games Rood]]-Tabel59[[#This Row],[Wins Rood]]</f>
        <v>1</v>
      </c>
      <c r="AR53" s="136">
        <f>Tabel59[[#This Row],[Aantal Games Groen]]-Tabel59[[#This Row],[Wins Groen]]</f>
        <v>1</v>
      </c>
      <c r="AS53" s="137">
        <f>Tabel59[[#This Row],[Aantal games Alg]]-Tabel59[[#This Row],[Wins Alg]]</f>
        <v>2</v>
      </c>
      <c r="AT53" s="138">
        <f>COUNTIF(Tabel158[Team Rood],Tabel59[[#This Row],[Team]])</f>
        <v>2</v>
      </c>
      <c r="AU53" s="136">
        <f>COUNTIF(Tabel158[Team Groen],Tabel59[[#This Row],[Team]])</f>
        <v>1</v>
      </c>
      <c r="AV53" s="112">
        <f>Tabel59[[#This Row],[Aantal Games Rood]]+Tabel59[[#This Row],[Aantal Games Groen]]</f>
        <v>3</v>
      </c>
      <c r="AW53" s="138">
        <f>SUMIF(Tabel158[Team Rood],Tabel59[[#This Row],[Team]],Tabel158[Score])</f>
        <v>6</v>
      </c>
      <c r="AX53" s="138">
        <f>SUMIF(Tabel158[Team Rood],Tabel59[[#This Row],[Team]],Tabel158[Score2])</f>
        <v>12</v>
      </c>
      <c r="AY53" s="134">
        <f>SUMIF(Tabel158[Team Groen],Tabel59[[#This Row],[Team]],Tabel158[Score3])</f>
        <v>4</v>
      </c>
      <c r="AZ53" s="136">
        <f>SUMIF(Tabel158[Team Groen],Tabel59[[#This Row],[Team]],Tabel158[Score4])</f>
        <v>4</v>
      </c>
      <c r="BA53">
        <f>SUM(Tabel59[[#This Row],[Goals Verdediger]]+Tabel59[[#This Row],[Goals DefG]])</f>
        <v>10</v>
      </c>
      <c r="BB53">
        <f>IF(Tabel59[[#This Row],[Aantal games Alg]]=0,0,Tabel59[[#This Row],[Goals DefA]]/Tabel59[[#This Row],[Aantal games Alg]])</f>
        <v>3.3333333333333335</v>
      </c>
      <c r="BC53">
        <f>SUM(Tabel59[[#This Row],[Goals Aanvaller]]+Tabel59[[#This Row],[Goals OffG]])</f>
        <v>16</v>
      </c>
      <c r="BD53">
        <f>IF(Tabel59[[#This Row],[Aantal games Alg]]=0,0,Tabel59[[#This Row],[Goals OffA]]/Tabel59[[#This Row],[Aantal games Alg]])</f>
        <v>5.333333333333333</v>
      </c>
      <c r="BE53" s="112">
        <f>Tabel59[[#This Row],[Goals DefA]]+Tabel59[[#This Row],[Goals OffA]]</f>
        <v>26</v>
      </c>
      <c r="BF53" s="112">
        <f>IF(Tabel59[[#This Row],[Aantal games Alg]]=0,0,Tabel59[[#This Row],[Goals Alg]]/Tabel59[[#This Row],[Aantal games Alg]])</f>
        <v>8.6666666666666661</v>
      </c>
      <c r="BG53" s="148">
        <f ca="1">SUMIF(Tabel158[Team Rood],Tabel59[[#This Row],[Team]],Tabel158[ET])</f>
        <v>0</v>
      </c>
      <c r="BH53" s="150">
        <f ca="1">SUMIF(Tabel158[Team Groen],Tabel59[[#This Row],[Team]],Tabel158[ET])</f>
        <v>0</v>
      </c>
      <c r="BI53" s="153">
        <f ca="1">SUM(Tabel59[[#This Row],[ET Groen tot]],Tabel59[[#This Row],[ET Rood tot]])</f>
        <v>0</v>
      </c>
      <c r="BJ53" s="155">
        <f ca="1">IF(Tabel59[[#This Row],[Aantal games Alg]]=0,0,Tabel59[[#This Row],[ET tot]]/Tabel59[[#This Row],[Aantal games Alg]])</f>
        <v>0</v>
      </c>
    </row>
    <row r="54" spans="1:62" x14ac:dyDescent="0.25">
      <c r="A54" s="124">
        <f ca="1">IF(Tabel158[[#This Row],[Rood Verdediging]]&lt;&gt;"",IF(A54="",NOW(),A54),"")</f>
        <v>43878.947694907409</v>
      </c>
      <c r="B54" s="128">
        <f ca="1">IF(Tabel158[[#This Row],[Rood Verdediging]]&lt;&gt;"",IF(B54="",NOW(),B54),"")</f>
        <v>43878.947694907409</v>
      </c>
      <c r="C54" s="126">
        <f ca="1">IF(Tabel158[[#This Row],[Score]]&lt;&gt;"",IF(C54="",NOW(),C54),"")</f>
        <v>43878.947694907409</v>
      </c>
      <c r="D54" s="127">
        <f ca="1">IF(OR(Tabel158[[#This Row],[Starttijd]]="",Tabel158[[#This Row],[Eindtijd]]=""),"",Tabel158[[#This Row],[Eindtijd]]-Tabel158[[#This Row],[Starttijd]])</f>
        <v>0</v>
      </c>
      <c r="E54" s="74">
        <v>54</v>
      </c>
      <c r="F54" s="205" t="s">
        <v>0</v>
      </c>
      <c r="G54" s="210">
        <v>7</v>
      </c>
      <c r="H54" s="205" t="s">
        <v>19</v>
      </c>
      <c r="I54" s="210">
        <v>4</v>
      </c>
      <c r="J54" s="206" t="s">
        <v>11</v>
      </c>
      <c r="K54" s="212">
        <v>4</v>
      </c>
      <c r="L54" s="206" t="s">
        <v>6</v>
      </c>
      <c r="M54" s="212">
        <v>5</v>
      </c>
      <c r="N54" s="81">
        <f t="shared" si="0"/>
        <v>11</v>
      </c>
      <c r="O54" s="82">
        <f t="shared" si="1"/>
        <v>9</v>
      </c>
      <c r="P54" s="70" t="str">
        <f t="shared" si="2"/>
        <v>ROOD</v>
      </c>
      <c r="Q54" s="86" t="str">
        <f t="shared" si="3"/>
        <v>Jonas</v>
      </c>
      <c r="R54" s="87" t="str">
        <f t="shared" si="4"/>
        <v>Nicolas</v>
      </c>
      <c r="S54" t="str">
        <f>Tabel158[[#This Row],[Rood Verdediging]]&amp;Tabel158[[#This Row],[Rood Aanval]]</f>
        <v>JonasNicolas</v>
      </c>
      <c r="T54" t="str">
        <f>Tabel158[[#This Row],[Groen Verdediging]]&amp;Tabel158[[#This Row],[Groen Aanval]]</f>
        <v>MatthijsStef D</v>
      </c>
      <c r="U54" t="str">
        <f>Tabel158[[#This Row],[Winnaar 1]]&amp;Tabel158[[#This Row],[Winnaar 2]]</f>
        <v>JonasNicolas</v>
      </c>
      <c r="V54" s="147" t="str">
        <f>IF(Tabel158[[#This Row],[Team Rood]]=Tabel158[[#This Row],[Winnaars]],Tabel158[[#This Row],[Team Rood]])</f>
        <v>JonasNicolas</v>
      </c>
      <c r="W54" s="147" t="b">
        <f>IF(Tabel158[[#This Row],[Team Groen]]=Tabel158[[#This Row],[Winnaars]],Tabel158[[#This Row],[Team Groen]])</f>
        <v>0</v>
      </c>
      <c r="X54" s="147"/>
      <c r="AH54" s="251" t="s">
        <v>161</v>
      </c>
      <c r="AI54" s="233" t="s">
        <v>162</v>
      </c>
      <c r="AJ54" s="140" t="str">
        <f t="shared" si="13"/>
        <v>Louis*Matthijs*</v>
      </c>
      <c r="AK54" s="160">
        <f>IF(Tabel59[[#This Row],[Aantal Games Rood]]=0,0,(Tabel59[[#This Row],[Wins Rood]])/Tabel59[[#This Row],[Aantal Games Rood]])</f>
        <v>0.25</v>
      </c>
      <c r="AL54" s="159">
        <f>IF(Tabel59[[#This Row],[Aantal Games Groen]]=0,0,(Tabel59[[#This Row],[Wins Groen]])/Tabel59[[#This Row],[Aantal Games Groen]])</f>
        <v>0.33333333333333331</v>
      </c>
      <c r="AM54" s="156">
        <f>IF(Tabel59[[#This Row],[Aantal games Alg]]=0,0,(Tabel59[[#This Row],[Wins Alg]])/Tabel59[[#This Row],[Aantal games Alg]])</f>
        <v>0.2857142857142857</v>
      </c>
      <c r="AN54" s="133">
        <f>COUNTIF(Tabel158[Winaar rood],Tabel59[[#This Row],[Team]])</f>
        <v>1</v>
      </c>
      <c r="AO54" s="134">
        <f>COUNTIF(Tabel158[Winnaar Groen],Tabel59[[#This Row],[Team]])</f>
        <v>1</v>
      </c>
      <c r="AP54">
        <f>COUNTIF(Tabel158[Winnaars],Tabel59[[#This Row],[Team]])</f>
        <v>2</v>
      </c>
      <c r="AQ54" s="135">
        <f>Tabel59[[#This Row],[Aantal Games Rood]]-Tabel59[[#This Row],[Wins Rood]]</f>
        <v>3</v>
      </c>
      <c r="AR54" s="136">
        <f>Tabel59[[#This Row],[Aantal Games Groen]]-Tabel59[[#This Row],[Wins Groen]]</f>
        <v>2</v>
      </c>
      <c r="AS54" s="137">
        <f>Tabel59[[#This Row],[Aantal games Alg]]-Tabel59[[#This Row],[Wins Alg]]</f>
        <v>5</v>
      </c>
      <c r="AT54" s="138">
        <f>COUNTIF(Tabel158[Team Rood],Tabel59[[#This Row],[Team]])</f>
        <v>4</v>
      </c>
      <c r="AU54" s="136">
        <f>COUNTIF(Tabel158[Team Groen],Tabel59[[#This Row],[Team]])</f>
        <v>3</v>
      </c>
      <c r="AV54" s="112">
        <f>Tabel59[[#This Row],[Aantal Games Rood]]+Tabel59[[#This Row],[Aantal Games Groen]]</f>
        <v>7</v>
      </c>
      <c r="AW54" s="138">
        <f>SUMIF(Tabel158[Team Rood],Tabel59[[#This Row],[Team]],Tabel158[Score])</f>
        <v>13</v>
      </c>
      <c r="AX54" s="138">
        <f>SUMIF(Tabel158[Team Rood],Tabel59[[#This Row],[Team]],Tabel158[Score2])</f>
        <v>20</v>
      </c>
      <c r="AY54" s="134">
        <f>SUMIF(Tabel158[Team Groen],Tabel59[[#This Row],[Team]],Tabel158[Score3])</f>
        <v>5</v>
      </c>
      <c r="AZ54" s="136">
        <f>SUMIF(Tabel158[Team Groen],Tabel59[[#This Row],[Team]],Tabel158[Score4])</f>
        <v>18</v>
      </c>
      <c r="BA54">
        <f>SUM(Tabel59[[#This Row],[Goals Verdediger]]+Tabel59[[#This Row],[Goals DefG]])</f>
        <v>18</v>
      </c>
      <c r="BB54">
        <f>IF(Tabel59[[#This Row],[Aantal games Alg]]=0,0,Tabel59[[#This Row],[Goals DefA]]/Tabel59[[#This Row],[Aantal games Alg]])</f>
        <v>2.5714285714285716</v>
      </c>
      <c r="BC54">
        <f>SUM(Tabel59[[#This Row],[Goals Aanvaller]]+Tabel59[[#This Row],[Goals OffG]])</f>
        <v>38</v>
      </c>
      <c r="BD54">
        <f>IF(Tabel59[[#This Row],[Aantal games Alg]]=0,0,Tabel59[[#This Row],[Goals OffA]]/Tabel59[[#This Row],[Aantal games Alg]])</f>
        <v>5.4285714285714288</v>
      </c>
      <c r="BE54" s="112">
        <f>Tabel59[[#This Row],[Goals DefA]]+Tabel59[[#This Row],[Goals OffA]]</f>
        <v>56</v>
      </c>
      <c r="BF54" s="112">
        <f>IF(Tabel59[[#This Row],[Aantal games Alg]]=0,0,Tabel59[[#This Row],[Goals Alg]]/Tabel59[[#This Row],[Aantal games Alg]])</f>
        <v>8</v>
      </c>
      <c r="BG54" s="148">
        <f ca="1">SUMIF(Tabel158[Team Rood],Tabel59[[#This Row],[Team]],Tabel158[ET])</f>
        <v>0</v>
      </c>
      <c r="BH54" s="150">
        <f ca="1">SUMIF(Tabel158[Team Groen],Tabel59[[#This Row],[Team]],Tabel158[ET])</f>
        <v>0</v>
      </c>
      <c r="BI54" s="153">
        <f ca="1">SUM(Tabel59[[#This Row],[ET Groen tot]],Tabel59[[#This Row],[ET Rood tot]])</f>
        <v>0</v>
      </c>
      <c r="BJ54" s="155">
        <f ca="1">IF(Tabel59[[#This Row],[Aantal games Alg]]=0,0,Tabel59[[#This Row],[ET tot]]/Tabel59[[#This Row],[Aantal games Alg]])</f>
        <v>0</v>
      </c>
    </row>
    <row r="55" spans="1:62" x14ac:dyDescent="0.25">
      <c r="A55" s="124">
        <f ca="1">IF(Tabel158[[#This Row],[Rood Verdediging]]&lt;&gt;"",IF(A55="",NOW(),A55),"")</f>
        <v>43878.947694907409</v>
      </c>
      <c r="B55" s="128">
        <f ca="1">IF(Tabel158[[#This Row],[Rood Verdediging]]&lt;&gt;"",IF(B55="",NOW(),B55),"")</f>
        <v>43878.947694907409</v>
      </c>
      <c r="C55" s="126">
        <f ca="1">IF(Tabel158[[#This Row],[Score]]&lt;&gt;"",IF(C55="",NOW(),C55),"")</f>
        <v>43878.947694907409</v>
      </c>
      <c r="D55" s="127">
        <f ca="1">IF(OR(Tabel158[[#This Row],[Starttijd]]="",Tabel158[[#This Row],[Eindtijd]]=""),"",Tabel158[[#This Row],[Eindtijd]]-Tabel158[[#This Row],[Starttijd]])</f>
        <v>0</v>
      </c>
      <c r="E55" s="74">
        <v>55</v>
      </c>
      <c r="F55" s="205" t="s">
        <v>19</v>
      </c>
      <c r="G55" s="210">
        <v>1</v>
      </c>
      <c r="H55" s="205" t="s">
        <v>8</v>
      </c>
      <c r="I55" s="210">
        <v>8</v>
      </c>
      <c r="J55" s="206" t="s">
        <v>6</v>
      </c>
      <c r="K55" s="212">
        <v>1</v>
      </c>
      <c r="L55" s="206" t="s">
        <v>11</v>
      </c>
      <c r="M55" s="212">
        <v>10</v>
      </c>
      <c r="N55" s="81">
        <f t="shared" si="0"/>
        <v>9</v>
      </c>
      <c r="O55" s="82">
        <f t="shared" si="1"/>
        <v>11</v>
      </c>
      <c r="P55" s="70" t="str">
        <f t="shared" si="2"/>
        <v>GROEN</v>
      </c>
      <c r="Q55" s="86" t="str">
        <f t="shared" si="3"/>
        <v>Stef D</v>
      </c>
      <c r="R55" s="87" t="str">
        <f t="shared" si="4"/>
        <v>Matthijs</v>
      </c>
      <c r="S55" t="str">
        <f>Tabel158[[#This Row],[Rood Verdediging]]&amp;Tabel158[[#This Row],[Rood Aanval]]</f>
        <v>NicolasLouis</v>
      </c>
      <c r="T55" t="str">
        <f>Tabel158[[#This Row],[Groen Verdediging]]&amp;Tabel158[[#This Row],[Groen Aanval]]</f>
        <v>Stef DMatthijs</v>
      </c>
      <c r="U55" t="str">
        <f>Tabel158[[#This Row],[Winnaar 1]]&amp;Tabel158[[#This Row],[Winnaar 2]]</f>
        <v>Stef DMatthijs</v>
      </c>
      <c r="V55" s="147" t="b">
        <f>IF(Tabel158[[#This Row],[Team Rood]]=Tabel158[[#This Row],[Winnaars]],Tabel158[[#This Row],[Team Rood]])</f>
        <v>0</v>
      </c>
      <c r="W55" s="147" t="str">
        <f>IF(Tabel158[[#This Row],[Team Groen]]=Tabel158[[#This Row],[Winnaars]],Tabel158[[#This Row],[Team Groen]])</f>
        <v>Stef DMatthijs</v>
      </c>
      <c r="X55" s="147"/>
      <c r="AH55" s="251" t="s">
        <v>170</v>
      </c>
      <c r="AI55" s="233" t="s">
        <v>169</v>
      </c>
      <c r="AJ55" s="140" t="str">
        <f t="shared" si="13"/>
        <v>Nico*Stef*</v>
      </c>
      <c r="AK55" s="160">
        <f>IF(Tabel59[[#This Row],[Aantal Games Rood]]=0,0,(Tabel59[[#This Row],[Wins Rood]])/Tabel59[[#This Row],[Aantal Games Rood]])</f>
        <v>0.31578947368421051</v>
      </c>
      <c r="AL55" s="159">
        <f>IF(Tabel59[[#This Row],[Aantal Games Groen]]=0,0,(Tabel59[[#This Row],[Wins Groen]])/Tabel59[[#This Row],[Aantal Games Groen]])</f>
        <v>0.125</v>
      </c>
      <c r="AM55" s="156">
        <f>IF(Tabel59[[#This Row],[Aantal games Alg]]=0,0,(Tabel59[[#This Row],[Wins Alg]])/Tabel59[[#This Row],[Aantal games Alg]])</f>
        <v>0.25925925925925924</v>
      </c>
      <c r="AN55" s="138">
        <f>COUNTIF(Tabel158[Winaar rood],Tabel59[[#This Row],[Team]])</f>
        <v>6</v>
      </c>
      <c r="AO55" s="134">
        <f>COUNTIF(Tabel158[Winnaar Groen],Tabel59[[#This Row],[Team]])</f>
        <v>1</v>
      </c>
      <c r="AP55">
        <f>COUNTIF(Tabel158[Winnaars],Tabel59[[#This Row],[Team]])</f>
        <v>7</v>
      </c>
      <c r="AQ55" s="135">
        <f>Tabel59[[#This Row],[Aantal Games Rood]]-Tabel59[[#This Row],[Wins Rood]]</f>
        <v>13</v>
      </c>
      <c r="AR55" s="136">
        <f>Tabel59[[#This Row],[Aantal Games Groen]]-Tabel59[[#This Row],[Wins Groen]]</f>
        <v>7</v>
      </c>
      <c r="AS55" s="137">
        <f>Tabel59[[#This Row],[Aantal games Alg]]-Tabel59[[#This Row],[Wins Alg]]</f>
        <v>20</v>
      </c>
      <c r="AT55" s="138">
        <f>COUNTIF(Tabel158[Team Rood],Tabel59[[#This Row],[Team]])</f>
        <v>19</v>
      </c>
      <c r="AU55" s="136">
        <f>COUNTIF(Tabel158[Team Groen],Tabel59[[#This Row],[Team]])</f>
        <v>8</v>
      </c>
      <c r="AV55" s="112">
        <f>Tabel59[[#This Row],[Aantal Games Rood]]+Tabel59[[#This Row],[Aantal Games Groen]]</f>
        <v>27</v>
      </c>
      <c r="AW55" s="138">
        <f>SUMIF(Tabel158[Team Rood],Tabel59[[#This Row],[Team]],Tabel158[Score])</f>
        <v>21</v>
      </c>
      <c r="AX55" s="138">
        <f>SUMIF(Tabel158[Team Rood],Tabel59[[#This Row],[Team]],Tabel158[Score2])</f>
        <v>137</v>
      </c>
      <c r="AY55" s="134">
        <f>SUMIF(Tabel158[Team Groen],Tabel59[[#This Row],[Team]],Tabel158[Score3])</f>
        <v>10</v>
      </c>
      <c r="AZ55" s="136">
        <f>SUMIF(Tabel158[Team Groen],Tabel59[[#This Row],[Team]],Tabel158[Score4])</f>
        <v>63</v>
      </c>
      <c r="BA55">
        <f>SUM(Tabel59[[#This Row],[Goals Verdediger]]+Tabel59[[#This Row],[Goals DefG]])</f>
        <v>31</v>
      </c>
      <c r="BB55">
        <f>IF(Tabel59[[#This Row],[Aantal games Alg]]=0,0,Tabel59[[#This Row],[Goals DefA]]/Tabel59[[#This Row],[Aantal games Alg]])</f>
        <v>1.1481481481481481</v>
      </c>
      <c r="BC55">
        <f>SUM(Tabel59[[#This Row],[Goals Aanvaller]]+Tabel59[[#This Row],[Goals OffG]])</f>
        <v>200</v>
      </c>
      <c r="BD55">
        <f>IF(Tabel59[[#This Row],[Aantal games Alg]]=0,0,Tabel59[[#This Row],[Goals OffA]]/Tabel59[[#This Row],[Aantal games Alg]])</f>
        <v>7.4074074074074074</v>
      </c>
      <c r="BE55" s="112">
        <f>Tabel59[[#This Row],[Goals DefA]]+Tabel59[[#This Row],[Goals OffA]]</f>
        <v>231</v>
      </c>
      <c r="BF55" s="112">
        <f>IF(Tabel59[[#This Row],[Aantal games Alg]]=0,0,Tabel59[[#This Row],[Goals Alg]]/Tabel59[[#This Row],[Aantal games Alg]])</f>
        <v>8.5555555555555554</v>
      </c>
      <c r="BG55" s="148">
        <f ca="1">SUMIF(Tabel158[Team Rood],Tabel59[[#This Row],[Team]],Tabel158[ET])</f>
        <v>0</v>
      </c>
      <c r="BH55" s="150">
        <f ca="1">SUMIF(Tabel158[Team Groen],Tabel59[[#This Row],[Team]],Tabel158[ET])</f>
        <v>0</v>
      </c>
      <c r="BI55" s="153">
        <f ca="1">SUM(Tabel59[[#This Row],[ET Groen tot]],Tabel59[[#This Row],[ET Rood tot]])</f>
        <v>0</v>
      </c>
      <c r="BJ55" s="155">
        <f ca="1">IF(Tabel59[[#This Row],[Aantal games Alg]]=0,0,Tabel59[[#This Row],[ET tot]]/Tabel59[[#This Row],[Aantal games Alg]])</f>
        <v>0</v>
      </c>
    </row>
    <row r="56" spans="1:62" x14ac:dyDescent="0.25">
      <c r="A56" s="124">
        <f ca="1">IF(Tabel158[[#This Row],[Rood Verdediging]]&lt;&gt;"",IF(A56="",NOW(),A56),"")</f>
        <v>43878.947694907409</v>
      </c>
      <c r="B56" s="128">
        <f ca="1">IF(Tabel158[[#This Row],[Rood Verdediging]]&lt;&gt;"",IF(B56="",NOW(),B56),"")</f>
        <v>43878.947694907409</v>
      </c>
      <c r="C56" s="126">
        <f ca="1">IF(Tabel158[[#This Row],[Score]]&lt;&gt;"",IF(C56="",NOW(),C56),"")</f>
        <v>43878.947694907409</v>
      </c>
      <c r="D56" s="127">
        <f ca="1">IF(OR(Tabel158[[#This Row],[Starttijd]]="",Tabel158[[#This Row],[Eindtijd]]=""),"",Tabel158[[#This Row],[Eindtijd]]-Tabel158[[#This Row],[Starttijd]])</f>
        <v>0</v>
      </c>
      <c r="E56" s="74">
        <v>56</v>
      </c>
      <c r="F56" s="205" t="s">
        <v>0</v>
      </c>
      <c r="G56" s="210">
        <v>4</v>
      </c>
      <c r="H56" s="205" t="s">
        <v>6</v>
      </c>
      <c r="I56" s="210">
        <v>7</v>
      </c>
      <c r="J56" s="206" t="s">
        <v>8</v>
      </c>
      <c r="K56" s="212">
        <v>3</v>
      </c>
      <c r="L56" s="206" t="s">
        <v>11</v>
      </c>
      <c r="M56" s="212">
        <v>4</v>
      </c>
      <c r="N56" s="81">
        <f t="shared" si="0"/>
        <v>11</v>
      </c>
      <c r="O56" s="82">
        <f t="shared" si="1"/>
        <v>7</v>
      </c>
      <c r="P56" s="70" t="str">
        <f t="shared" si="2"/>
        <v>ROOD</v>
      </c>
      <c r="Q56" s="86" t="str">
        <f t="shared" si="3"/>
        <v>Jonas</v>
      </c>
      <c r="R56" s="87" t="str">
        <f t="shared" si="4"/>
        <v>Stef D</v>
      </c>
      <c r="S56" t="str">
        <f>Tabel158[[#This Row],[Rood Verdediging]]&amp;Tabel158[[#This Row],[Rood Aanval]]</f>
        <v>JonasStef D</v>
      </c>
      <c r="T56" t="str">
        <f>Tabel158[[#This Row],[Groen Verdediging]]&amp;Tabel158[[#This Row],[Groen Aanval]]</f>
        <v>LouisMatthijs</v>
      </c>
      <c r="U56" t="str">
        <f>Tabel158[[#This Row],[Winnaar 1]]&amp;Tabel158[[#This Row],[Winnaar 2]]</f>
        <v>JonasStef D</v>
      </c>
      <c r="V56" s="147" t="str">
        <f>IF(Tabel158[[#This Row],[Team Rood]]=Tabel158[[#This Row],[Winnaars]],Tabel158[[#This Row],[Team Rood]])</f>
        <v>JonasStef D</v>
      </c>
      <c r="W56" s="147" t="b">
        <f>IF(Tabel158[[#This Row],[Team Groen]]=Tabel158[[#This Row],[Winnaars]],Tabel158[[#This Row],[Team Groen]])</f>
        <v>0</v>
      </c>
      <c r="X56" s="147"/>
      <c r="AH56" s="251" t="s">
        <v>159</v>
      </c>
      <c r="AI56" s="233" t="s">
        <v>158</v>
      </c>
      <c r="AJ56" s="140" t="str">
        <f t="shared" si="13"/>
        <v>Jonas*Arno*</v>
      </c>
      <c r="AK56" s="160">
        <f>IF(Tabel59[[#This Row],[Aantal Games Rood]]=0,0,(Tabel59[[#This Row],[Wins Rood]])/Tabel59[[#This Row],[Aantal Games Rood]])</f>
        <v>0</v>
      </c>
      <c r="AL56" s="159">
        <f>IF(Tabel59[[#This Row],[Aantal Games Groen]]=0,0,(Tabel59[[#This Row],[Wins Groen]])/Tabel59[[#This Row],[Aantal Games Groen]])</f>
        <v>0.5</v>
      </c>
      <c r="AM56" s="156">
        <f>IF(Tabel59[[#This Row],[Aantal games Alg]]=0,0,(Tabel59[[#This Row],[Wins Alg]])/Tabel59[[#This Row],[Aantal games Alg]])</f>
        <v>0.25</v>
      </c>
      <c r="AN56" s="138">
        <f>COUNTIF(Tabel158[Winaar rood],Tabel59[[#This Row],[Team]])</f>
        <v>0</v>
      </c>
      <c r="AO56" s="134">
        <f>COUNTIF(Tabel158[Winnaar Groen],Tabel59[[#This Row],[Team]])</f>
        <v>1</v>
      </c>
      <c r="AP56">
        <f>COUNTIF(Tabel158[Winnaars],Tabel59[[#This Row],[Team]])</f>
        <v>1</v>
      </c>
      <c r="AQ56" s="135">
        <f>Tabel59[[#This Row],[Aantal Games Rood]]-Tabel59[[#This Row],[Wins Rood]]</f>
        <v>2</v>
      </c>
      <c r="AR56" s="136">
        <f>Tabel59[[#This Row],[Aantal Games Groen]]-Tabel59[[#This Row],[Wins Groen]]</f>
        <v>1</v>
      </c>
      <c r="AS56" s="137">
        <f>Tabel59[[#This Row],[Aantal games Alg]]-Tabel59[[#This Row],[Wins Alg]]</f>
        <v>3</v>
      </c>
      <c r="AT56" s="138">
        <f>COUNTIF(Tabel158[Team Rood],Tabel59[[#This Row],[Team]])</f>
        <v>2</v>
      </c>
      <c r="AU56" s="136">
        <f>COUNTIF(Tabel158[Team Groen],Tabel59[[#This Row],[Team]])</f>
        <v>2</v>
      </c>
      <c r="AV56" s="112">
        <f>Tabel59[[#This Row],[Aantal Games Rood]]+Tabel59[[#This Row],[Aantal Games Groen]]</f>
        <v>4</v>
      </c>
      <c r="AW56" s="138">
        <f>SUMIF(Tabel158[Team Rood],Tabel59[[#This Row],[Team]],Tabel158[Score])</f>
        <v>8</v>
      </c>
      <c r="AX56" s="138">
        <f>SUMIF(Tabel158[Team Rood],Tabel59[[#This Row],[Team]],Tabel158[Score2])</f>
        <v>6</v>
      </c>
      <c r="AY56" s="134">
        <f>SUMIF(Tabel158[Team Groen],Tabel59[[#This Row],[Team]],Tabel158[Score3])</f>
        <v>6</v>
      </c>
      <c r="AZ56" s="136">
        <f>SUMIF(Tabel158[Team Groen],Tabel59[[#This Row],[Team]],Tabel158[Score4])</f>
        <v>14</v>
      </c>
      <c r="BA56">
        <f>SUM(Tabel59[[#This Row],[Goals Verdediger]]+Tabel59[[#This Row],[Goals DefG]])</f>
        <v>14</v>
      </c>
      <c r="BB56">
        <f>IF(Tabel59[[#This Row],[Aantal games Alg]]=0,0,Tabel59[[#This Row],[Goals DefA]]/Tabel59[[#This Row],[Aantal games Alg]])</f>
        <v>3.5</v>
      </c>
      <c r="BC56">
        <f>SUM(Tabel59[[#This Row],[Goals Aanvaller]]+Tabel59[[#This Row],[Goals OffG]])</f>
        <v>20</v>
      </c>
      <c r="BD56">
        <f>IF(Tabel59[[#This Row],[Aantal games Alg]]=0,0,Tabel59[[#This Row],[Goals OffA]]/Tabel59[[#This Row],[Aantal games Alg]])</f>
        <v>5</v>
      </c>
      <c r="BE56" s="112">
        <f>Tabel59[[#This Row],[Goals DefA]]+Tabel59[[#This Row],[Goals OffA]]</f>
        <v>34</v>
      </c>
      <c r="BF56" s="112">
        <f>IF(Tabel59[[#This Row],[Aantal games Alg]]=0,0,Tabel59[[#This Row],[Goals Alg]]/Tabel59[[#This Row],[Aantal games Alg]])</f>
        <v>8.5</v>
      </c>
      <c r="BG56" s="148">
        <f ca="1">SUMIF(Tabel158[Team Rood],Tabel59[[#This Row],[Team]],Tabel158[ET])</f>
        <v>0</v>
      </c>
      <c r="BH56" s="150">
        <f ca="1">SUMIF(Tabel158[Team Groen],Tabel59[[#This Row],[Team]],Tabel158[ET])</f>
        <v>0</v>
      </c>
      <c r="BI56" s="153">
        <f ca="1">SUM(Tabel59[[#This Row],[ET Groen tot]],Tabel59[[#This Row],[ET Rood tot]])</f>
        <v>0</v>
      </c>
      <c r="BJ56" s="155">
        <f ca="1">IF(Tabel59[[#This Row],[Aantal games Alg]]=0,0,Tabel59[[#This Row],[ET tot]]/Tabel59[[#This Row],[Aantal games Alg]])</f>
        <v>0</v>
      </c>
    </row>
    <row r="57" spans="1:62" x14ac:dyDescent="0.25">
      <c r="A57" s="124">
        <f ca="1">IF(Tabel158[[#This Row],[Rood Verdediging]]&lt;&gt;"",IF(A57="",NOW(),A57),"")</f>
        <v>43878.947694907409</v>
      </c>
      <c r="B57" s="128">
        <f ca="1">IF(Tabel158[[#This Row],[Rood Verdediging]]&lt;&gt;"",IF(B57="",NOW(),B57),"")</f>
        <v>43878.947694907409</v>
      </c>
      <c r="C57" s="126">
        <f ca="1">IF(Tabel158[[#This Row],[Score]]&lt;&gt;"",IF(C57="",NOW(),C57),"")</f>
        <v>43878.947694907409</v>
      </c>
      <c r="D57" s="127">
        <f ca="1">IF(OR(Tabel158[[#This Row],[Starttijd]]="",Tabel158[[#This Row],[Eindtijd]]=""),"",Tabel158[[#This Row],[Eindtijd]]-Tabel158[[#This Row],[Starttijd]])</f>
        <v>0</v>
      </c>
      <c r="E57" s="74">
        <v>57</v>
      </c>
      <c r="F57" s="205" t="s">
        <v>8</v>
      </c>
      <c r="G57" s="210">
        <v>5</v>
      </c>
      <c r="H57" s="205" t="s">
        <v>19</v>
      </c>
      <c r="I57" s="210">
        <v>4</v>
      </c>
      <c r="J57" s="206" t="s">
        <v>11</v>
      </c>
      <c r="K57" s="212">
        <v>2</v>
      </c>
      <c r="L57" s="206" t="s">
        <v>0</v>
      </c>
      <c r="M57" s="212">
        <v>9</v>
      </c>
      <c r="N57" s="81">
        <f t="shared" si="0"/>
        <v>9</v>
      </c>
      <c r="O57" s="82">
        <f t="shared" si="1"/>
        <v>11</v>
      </c>
      <c r="P57" s="70" t="str">
        <f t="shared" si="2"/>
        <v>GROEN</v>
      </c>
      <c r="Q57" s="86" t="str">
        <f t="shared" si="3"/>
        <v>Matthijs</v>
      </c>
      <c r="R57" s="87" t="str">
        <f t="shared" si="4"/>
        <v>Jonas</v>
      </c>
      <c r="S57" t="str">
        <f>Tabel158[[#This Row],[Rood Verdediging]]&amp;Tabel158[[#This Row],[Rood Aanval]]</f>
        <v>LouisNicolas</v>
      </c>
      <c r="T57" t="str">
        <f>Tabel158[[#This Row],[Groen Verdediging]]&amp;Tabel158[[#This Row],[Groen Aanval]]</f>
        <v>MatthijsJonas</v>
      </c>
      <c r="U57" t="str">
        <f>Tabel158[[#This Row],[Winnaar 1]]&amp;Tabel158[[#This Row],[Winnaar 2]]</f>
        <v>MatthijsJonas</v>
      </c>
      <c r="V57" s="147" t="b">
        <f>IF(Tabel158[[#This Row],[Team Rood]]=Tabel158[[#This Row],[Winnaars]],Tabel158[[#This Row],[Team Rood]])</f>
        <v>0</v>
      </c>
      <c r="W57" s="147" t="str">
        <f>IF(Tabel158[[#This Row],[Team Groen]]=Tabel158[[#This Row],[Winnaars]],Tabel158[[#This Row],[Team Groen]])</f>
        <v>MatthijsJonas</v>
      </c>
      <c r="X57" s="147"/>
      <c r="AH57" s="251" t="s">
        <v>164</v>
      </c>
      <c r="AI57" s="233" t="s">
        <v>161</v>
      </c>
      <c r="AJ57" s="140" t="str">
        <f t="shared" si="13"/>
        <v>Karel*Louis*</v>
      </c>
      <c r="AK57" s="160">
        <f>IF(Tabel59[[#This Row],[Aantal Games Rood]]=0,0,(Tabel59[[#This Row],[Wins Rood]])/Tabel59[[#This Row],[Aantal Games Rood]])</f>
        <v>0.5</v>
      </c>
      <c r="AL57" s="159">
        <f>IF(Tabel59[[#This Row],[Aantal Games Groen]]=0,0,(Tabel59[[#This Row],[Wins Groen]])/Tabel59[[#This Row],[Aantal Games Groen]])</f>
        <v>0</v>
      </c>
      <c r="AM57" s="156">
        <f>IF(Tabel59[[#This Row],[Aantal games Alg]]=0,0,(Tabel59[[#This Row],[Wins Alg]])/Tabel59[[#This Row],[Aantal games Alg]])</f>
        <v>0.25</v>
      </c>
      <c r="AN57" s="138">
        <f>COUNTIF(Tabel158[Winaar rood],Tabel59[[#This Row],[Team]])</f>
        <v>1</v>
      </c>
      <c r="AO57" s="134">
        <f>COUNTIF(Tabel158[Winnaar Groen],Tabel59[[#This Row],[Team]])</f>
        <v>0</v>
      </c>
      <c r="AP57">
        <f>COUNTIF(Tabel158[Winnaars],Tabel59[[#This Row],[Team]])</f>
        <v>1</v>
      </c>
      <c r="AQ57" s="135">
        <f>Tabel59[[#This Row],[Aantal Games Rood]]-Tabel59[[#This Row],[Wins Rood]]</f>
        <v>1</v>
      </c>
      <c r="AR57" s="136">
        <f>Tabel59[[#This Row],[Aantal Games Groen]]-Tabel59[[#This Row],[Wins Groen]]</f>
        <v>2</v>
      </c>
      <c r="AS57" s="137">
        <f>Tabel59[[#This Row],[Aantal games Alg]]-Tabel59[[#This Row],[Wins Alg]]</f>
        <v>3</v>
      </c>
      <c r="AT57" s="138">
        <f>COUNTIF(Tabel158[Team Rood],Tabel59[[#This Row],[Team]])</f>
        <v>2</v>
      </c>
      <c r="AU57" s="136">
        <f>COUNTIF(Tabel158[Team Groen],Tabel59[[#This Row],[Team]])</f>
        <v>2</v>
      </c>
      <c r="AV57" s="112">
        <f>Tabel59[[#This Row],[Aantal Games Rood]]+Tabel59[[#This Row],[Aantal Games Groen]]</f>
        <v>4</v>
      </c>
      <c r="AW57" s="138">
        <f>SUMIF(Tabel158[Team Rood],Tabel59[[#This Row],[Team]],Tabel158[Score])</f>
        <v>2</v>
      </c>
      <c r="AX57" s="138">
        <f>SUMIF(Tabel158[Team Rood],Tabel59[[#This Row],[Team]],Tabel158[Score2])</f>
        <v>12</v>
      </c>
      <c r="AY57" s="134">
        <f>SUMIF(Tabel158[Team Groen],Tabel59[[#This Row],[Team]],Tabel158[Score3])</f>
        <v>5</v>
      </c>
      <c r="AZ57" s="136">
        <f>SUMIF(Tabel158[Team Groen],Tabel59[[#This Row],[Team]],Tabel158[Score4])</f>
        <v>11</v>
      </c>
      <c r="BA57">
        <f>SUM(Tabel59[[#This Row],[Goals Verdediger]]+Tabel59[[#This Row],[Goals DefG]])</f>
        <v>7</v>
      </c>
      <c r="BB57">
        <f>IF(Tabel59[[#This Row],[Aantal games Alg]]=0,0,Tabel59[[#This Row],[Goals DefA]]/Tabel59[[#This Row],[Aantal games Alg]])</f>
        <v>1.75</v>
      </c>
      <c r="BC57">
        <f>SUM(Tabel59[[#This Row],[Goals Aanvaller]]+Tabel59[[#This Row],[Goals OffG]])</f>
        <v>23</v>
      </c>
      <c r="BD57">
        <f>IF(Tabel59[[#This Row],[Aantal games Alg]]=0,0,Tabel59[[#This Row],[Goals OffA]]/Tabel59[[#This Row],[Aantal games Alg]])</f>
        <v>5.75</v>
      </c>
      <c r="BE57" s="112">
        <f>Tabel59[[#This Row],[Goals DefA]]+Tabel59[[#This Row],[Goals OffA]]</f>
        <v>30</v>
      </c>
      <c r="BF57" s="112">
        <f>IF(Tabel59[[#This Row],[Aantal games Alg]]=0,0,Tabel59[[#This Row],[Goals Alg]]/Tabel59[[#This Row],[Aantal games Alg]])</f>
        <v>7.5</v>
      </c>
      <c r="BG57" s="148">
        <f ca="1">SUMIF(Tabel158[Team Rood],Tabel59[[#This Row],[Team]],Tabel158[ET])</f>
        <v>0</v>
      </c>
      <c r="BH57" s="150">
        <f ca="1">SUMIF(Tabel158[Team Groen],Tabel59[[#This Row],[Team]],Tabel158[ET])</f>
        <v>0</v>
      </c>
      <c r="BI57" s="153">
        <f ca="1">SUM(Tabel59[[#This Row],[ET Groen tot]],Tabel59[[#This Row],[ET Rood tot]])</f>
        <v>0</v>
      </c>
      <c r="BJ57" s="155">
        <f ca="1">IF(Tabel59[[#This Row],[Aantal games Alg]]=0,0,Tabel59[[#This Row],[ET tot]]/Tabel59[[#This Row],[Aantal games Alg]])</f>
        <v>0</v>
      </c>
    </row>
    <row r="58" spans="1:62" x14ac:dyDescent="0.25">
      <c r="A58" s="124">
        <f ca="1">IF(Tabel158[[#This Row],[Rood Verdediging]]&lt;&gt;"",IF(A58="",NOW(),A58),"")</f>
        <v>43878.947694907409</v>
      </c>
      <c r="B58" s="128">
        <f ca="1">IF(Tabel158[[#This Row],[Rood Verdediging]]&lt;&gt;"",IF(B58="",NOW(),B58),"")</f>
        <v>43878.947694907409</v>
      </c>
      <c r="C58" s="126">
        <f ca="1">IF(Tabel158[[#This Row],[Score]]&lt;&gt;"",IF(C58="",NOW(),C58),"")</f>
        <v>43878.947694907409</v>
      </c>
      <c r="D58" s="127">
        <f ca="1">IF(OR(Tabel158[[#This Row],[Starttijd]]="",Tabel158[[#This Row],[Eindtijd]]=""),"",Tabel158[[#This Row],[Eindtijd]]-Tabel158[[#This Row],[Starttijd]])</f>
        <v>0</v>
      </c>
      <c r="E58" s="74">
        <v>58</v>
      </c>
      <c r="F58" s="205" t="s">
        <v>11</v>
      </c>
      <c r="G58" s="210">
        <v>1</v>
      </c>
      <c r="H58" s="205" t="s">
        <v>6</v>
      </c>
      <c r="I58" s="210">
        <v>10</v>
      </c>
      <c r="J58" s="206" t="s">
        <v>0</v>
      </c>
      <c r="K58" s="212">
        <v>1</v>
      </c>
      <c r="L58" s="206" t="s">
        <v>8</v>
      </c>
      <c r="M58" s="212">
        <v>3</v>
      </c>
      <c r="N58" s="81">
        <f t="shared" si="0"/>
        <v>11</v>
      </c>
      <c r="O58" s="82">
        <f t="shared" si="1"/>
        <v>4</v>
      </c>
      <c r="P58" s="70" t="str">
        <f t="shared" si="2"/>
        <v>ROOD</v>
      </c>
      <c r="Q58" s="86" t="str">
        <f t="shared" si="3"/>
        <v>Matthijs</v>
      </c>
      <c r="R58" s="87" t="str">
        <f t="shared" si="4"/>
        <v>Stef D</v>
      </c>
      <c r="S58" t="str">
        <f>Tabel158[[#This Row],[Rood Verdediging]]&amp;Tabel158[[#This Row],[Rood Aanval]]</f>
        <v>MatthijsStef D</v>
      </c>
      <c r="T58" t="str">
        <f>Tabel158[[#This Row],[Groen Verdediging]]&amp;Tabel158[[#This Row],[Groen Aanval]]</f>
        <v>JonasLouis</v>
      </c>
      <c r="U58" t="str">
        <f>Tabel158[[#This Row],[Winnaar 1]]&amp;Tabel158[[#This Row],[Winnaar 2]]</f>
        <v>MatthijsStef D</v>
      </c>
      <c r="V58" s="147" t="str">
        <f>IF(Tabel158[[#This Row],[Team Rood]]=Tabel158[[#This Row],[Winnaars]],Tabel158[[#This Row],[Team Rood]])</f>
        <v>MatthijsStef D</v>
      </c>
      <c r="W58" s="147" t="b">
        <f>IF(Tabel158[[#This Row],[Team Groen]]=Tabel158[[#This Row],[Winnaars]],Tabel158[[#This Row],[Team Groen]])</f>
        <v>0</v>
      </c>
      <c r="X58" s="147"/>
      <c r="AH58" s="251" t="s">
        <v>164</v>
      </c>
      <c r="AI58" s="233" t="s">
        <v>162</v>
      </c>
      <c r="AJ58" s="140" t="str">
        <f t="shared" si="13"/>
        <v>Karel*Matthijs*</v>
      </c>
      <c r="AK58" s="160">
        <f>IF(Tabel59[[#This Row],[Aantal Games Rood]]=0,0,(Tabel59[[#This Row],[Wins Rood]])/Tabel59[[#This Row],[Aantal Games Rood]])</f>
        <v>0.5</v>
      </c>
      <c r="AL58" s="159">
        <f>IF(Tabel59[[#This Row],[Aantal Games Groen]]=0,0,(Tabel59[[#This Row],[Wins Groen]])/Tabel59[[#This Row],[Aantal Games Groen]])</f>
        <v>0</v>
      </c>
      <c r="AM58" s="156">
        <f>IF(Tabel59[[#This Row],[Aantal games Alg]]=0,0,(Tabel59[[#This Row],[Wins Alg]])/Tabel59[[#This Row],[Aantal games Alg]])</f>
        <v>0.25</v>
      </c>
      <c r="AN58" s="133">
        <f>COUNTIF(Tabel158[Winaar rood],Tabel59[[#This Row],[Team]])</f>
        <v>2</v>
      </c>
      <c r="AO58" s="134">
        <f>COUNTIF(Tabel158[Winnaar Groen],Tabel59[[#This Row],[Team]])</f>
        <v>0</v>
      </c>
      <c r="AP58">
        <f>COUNTIF(Tabel158[Winnaars],Tabel59[[#This Row],[Team]])</f>
        <v>2</v>
      </c>
      <c r="AQ58" s="135">
        <f>Tabel59[[#This Row],[Aantal Games Rood]]-Tabel59[[#This Row],[Wins Rood]]</f>
        <v>2</v>
      </c>
      <c r="AR58" s="136">
        <f>Tabel59[[#This Row],[Aantal Games Groen]]-Tabel59[[#This Row],[Wins Groen]]</f>
        <v>4</v>
      </c>
      <c r="AS58" s="137">
        <f>Tabel59[[#This Row],[Aantal games Alg]]-Tabel59[[#This Row],[Wins Alg]]</f>
        <v>6</v>
      </c>
      <c r="AT58" s="138">
        <f>COUNTIF(Tabel158[Team Rood],Tabel59[[#This Row],[Team]])</f>
        <v>4</v>
      </c>
      <c r="AU58" s="136">
        <f>COUNTIF(Tabel158[Team Groen],Tabel59[[#This Row],[Team]])</f>
        <v>4</v>
      </c>
      <c r="AV58" s="112">
        <f>Tabel59[[#This Row],[Aantal Games Rood]]+Tabel59[[#This Row],[Aantal Games Groen]]</f>
        <v>8</v>
      </c>
      <c r="AW58" s="138">
        <f>SUMIF(Tabel158[Team Rood],Tabel59[[#This Row],[Team]],Tabel158[Score])</f>
        <v>22</v>
      </c>
      <c r="AX58" s="138">
        <f>SUMIF(Tabel158[Team Rood],Tabel59[[#This Row],[Team]],Tabel158[Score2])</f>
        <v>21</v>
      </c>
      <c r="AY58" s="134">
        <f>SUMIF(Tabel158[Team Groen],Tabel59[[#This Row],[Team]],Tabel158[Score3])</f>
        <v>12</v>
      </c>
      <c r="AZ58" s="136">
        <f>SUMIF(Tabel158[Team Groen],Tabel59[[#This Row],[Team]],Tabel158[Score4])</f>
        <v>12</v>
      </c>
      <c r="BA58">
        <f>SUM(Tabel59[[#This Row],[Goals Verdediger]]+Tabel59[[#This Row],[Goals DefG]])</f>
        <v>34</v>
      </c>
      <c r="BB58">
        <f>IF(Tabel59[[#This Row],[Aantal games Alg]]=0,0,Tabel59[[#This Row],[Goals DefA]]/Tabel59[[#This Row],[Aantal games Alg]])</f>
        <v>4.25</v>
      </c>
      <c r="BC58">
        <f>SUM(Tabel59[[#This Row],[Goals Aanvaller]]+Tabel59[[#This Row],[Goals OffG]])</f>
        <v>33</v>
      </c>
      <c r="BD58">
        <f>IF(Tabel59[[#This Row],[Aantal games Alg]]=0,0,Tabel59[[#This Row],[Goals OffA]]/Tabel59[[#This Row],[Aantal games Alg]])</f>
        <v>4.125</v>
      </c>
      <c r="BE58" s="112">
        <f>Tabel59[[#This Row],[Goals DefA]]+Tabel59[[#This Row],[Goals OffA]]</f>
        <v>67</v>
      </c>
      <c r="BF58" s="112">
        <f>IF(Tabel59[[#This Row],[Aantal games Alg]]=0,0,Tabel59[[#This Row],[Goals Alg]]/Tabel59[[#This Row],[Aantal games Alg]])</f>
        <v>8.375</v>
      </c>
      <c r="BG58" s="148">
        <f ca="1">SUMIF(Tabel158[Team Rood],Tabel59[[#This Row],[Team]],Tabel158[ET])</f>
        <v>0</v>
      </c>
      <c r="BH58" s="150">
        <f ca="1">SUMIF(Tabel158[Team Groen],Tabel59[[#This Row],[Team]],Tabel158[ET])</f>
        <v>0</v>
      </c>
      <c r="BI58" s="153">
        <f ca="1">SUM(Tabel59[[#This Row],[ET Groen tot]],Tabel59[[#This Row],[ET Rood tot]])</f>
        <v>0</v>
      </c>
      <c r="BJ58" s="155">
        <f ca="1">IF(Tabel59[[#This Row],[Aantal games Alg]]=0,0,Tabel59[[#This Row],[ET tot]]/Tabel59[[#This Row],[Aantal games Alg]])</f>
        <v>0</v>
      </c>
    </row>
    <row r="59" spans="1:62" x14ac:dyDescent="0.25">
      <c r="A59" s="124">
        <f ca="1">IF(Tabel158[[#This Row],[Rood Verdediging]]&lt;&gt;"",IF(A59="",NOW(),A59),"")</f>
        <v>43878.947694907409</v>
      </c>
      <c r="B59" s="128">
        <f ca="1">IF(Tabel158[[#This Row],[Rood Verdediging]]&lt;&gt;"",IF(B59="",NOW(),B59),"")</f>
        <v>43878.947694907409</v>
      </c>
      <c r="C59" s="126">
        <f ca="1">IF(Tabel158[[#This Row],[Score]]&lt;&gt;"",IF(C59="",NOW(),C59),"")</f>
        <v>43878.947694907409</v>
      </c>
      <c r="D59" s="127">
        <f ca="1">IF(OR(Tabel158[[#This Row],[Starttijd]]="",Tabel158[[#This Row],[Eindtijd]]=""),"",Tabel158[[#This Row],[Eindtijd]]-Tabel158[[#This Row],[Starttijd]])</f>
        <v>0</v>
      </c>
      <c r="E59" s="74">
        <v>59</v>
      </c>
      <c r="F59" s="205" t="s">
        <v>19</v>
      </c>
      <c r="G59" s="210">
        <v>1</v>
      </c>
      <c r="H59" s="205" t="s">
        <v>6</v>
      </c>
      <c r="I59" s="210">
        <v>12</v>
      </c>
      <c r="J59" s="206" t="s">
        <v>0</v>
      </c>
      <c r="K59" s="212">
        <v>2</v>
      </c>
      <c r="L59" s="206" t="s">
        <v>8</v>
      </c>
      <c r="M59" s="212">
        <v>9</v>
      </c>
      <c r="N59" s="81">
        <f t="shared" si="0"/>
        <v>13</v>
      </c>
      <c r="O59" s="82">
        <f t="shared" si="1"/>
        <v>11</v>
      </c>
      <c r="P59" s="70" t="str">
        <f t="shared" si="2"/>
        <v>ROOD</v>
      </c>
      <c r="Q59" s="86" t="str">
        <f t="shared" si="3"/>
        <v>Nicolas</v>
      </c>
      <c r="R59" s="87" t="str">
        <f t="shared" si="4"/>
        <v>Stef D</v>
      </c>
      <c r="S59" t="str">
        <f>Tabel158[[#This Row],[Rood Verdediging]]&amp;Tabel158[[#This Row],[Rood Aanval]]</f>
        <v>NicolasStef D</v>
      </c>
      <c r="T59" t="str">
        <f>Tabel158[[#This Row],[Groen Verdediging]]&amp;Tabel158[[#This Row],[Groen Aanval]]</f>
        <v>JonasLouis</v>
      </c>
      <c r="U59" t="str">
        <f>Tabel158[[#This Row],[Winnaar 1]]&amp;Tabel158[[#This Row],[Winnaar 2]]</f>
        <v>NicolasStef D</v>
      </c>
      <c r="V59" s="147" t="str">
        <f>IF(Tabel158[[#This Row],[Team Rood]]=Tabel158[[#This Row],[Winnaars]],Tabel158[[#This Row],[Team Rood]])</f>
        <v>NicolasStef D</v>
      </c>
      <c r="W59" s="147" t="b">
        <f>IF(Tabel158[[#This Row],[Team Groen]]=Tabel158[[#This Row],[Winnaars]],Tabel158[[#This Row],[Team Groen]])</f>
        <v>0</v>
      </c>
      <c r="X59" s="147"/>
      <c r="AH59" s="251" t="s">
        <v>161</v>
      </c>
      <c r="AI59" s="233" t="s">
        <v>159</v>
      </c>
      <c r="AJ59" s="140" t="str">
        <f t="shared" si="13"/>
        <v>Louis*Jonas*</v>
      </c>
      <c r="AK59" s="160">
        <f>IF(Tabel59[[#This Row],[Aantal Games Rood]]=0,0,(Tabel59[[#This Row],[Wins Rood]])/Tabel59[[#This Row],[Aantal Games Rood]])</f>
        <v>0.25</v>
      </c>
      <c r="AL59" s="159">
        <f>IF(Tabel59[[#This Row],[Aantal Games Groen]]=0,0,(Tabel59[[#This Row],[Wins Groen]])/Tabel59[[#This Row],[Aantal Games Groen]])</f>
        <v>0.25</v>
      </c>
      <c r="AM59" s="156">
        <f>IF(Tabel59[[#This Row],[Aantal games Alg]]=0,0,(Tabel59[[#This Row],[Wins Alg]])/Tabel59[[#This Row],[Aantal games Alg]])</f>
        <v>0.25</v>
      </c>
      <c r="AN59" s="133">
        <f>COUNTIF(Tabel158[Winaar rood],Tabel59[[#This Row],[Team]])</f>
        <v>1</v>
      </c>
      <c r="AO59" s="134">
        <f>COUNTIF(Tabel158[Winnaar Groen],Tabel59[[#This Row],[Team]])</f>
        <v>1</v>
      </c>
      <c r="AP59">
        <f>COUNTIF(Tabel158[Winnaars],Tabel59[[#This Row],[Team]])</f>
        <v>2</v>
      </c>
      <c r="AQ59" s="135">
        <f>Tabel59[[#This Row],[Aantal Games Rood]]-Tabel59[[#This Row],[Wins Rood]]</f>
        <v>3</v>
      </c>
      <c r="AR59" s="136">
        <f>Tabel59[[#This Row],[Aantal Games Groen]]-Tabel59[[#This Row],[Wins Groen]]</f>
        <v>3</v>
      </c>
      <c r="AS59" s="137">
        <f>Tabel59[[#This Row],[Aantal games Alg]]-Tabel59[[#This Row],[Wins Alg]]</f>
        <v>6</v>
      </c>
      <c r="AT59" s="138">
        <f>COUNTIF(Tabel158[Team Rood],Tabel59[[#This Row],[Team]])</f>
        <v>4</v>
      </c>
      <c r="AU59" s="136">
        <f>COUNTIF(Tabel158[Team Groen],Tabel59[[#This Row],[Team]])</f>
        <v>4</v>
      </c>
      <c r="AV59" s="214">
        <f>Tabel59[[#This Row],[Aantal Games Rood]]+Tabel59[[#This Row],[Aantal Games Groen]]</f>
        <v>8</v>
      </c>
      <c r="AW59" s="138">
        <f>SUMIF(Tabel158[Team Rood],Tabel59[[#This Row],[Team]],Tabel158[Score])</f>
        <v>10</v>
      </c>
      <c r="AX59" s="138">
        <f>SUMIF(Tabel158[Team Rood],Tabel59[[#This Row],[Team]],Tabel158[Score2])</f>
        <v>25</v>
      </c>
      <c r="AY59" s="134">
        <f>SUMIF(Tabel158[Team Groen],Tabel59[[#This Row],[Team]],Tabel158[Score3])</f>
        <v>10</v>
      </c>
      <c r="AZ59" s="136">
        <f>SUMIF(Tabel158[Team Groen],Tabel59[[#This Row],[Team]],Tabel158[Score4])</f>
        <v>22</v>
      </c>
      <c r="BA59">
        <f>SUM(Tabel59[[#This Row],[Goals Verdediger]]+Tabel59[[#This Row],[Goals DefG]])</f>
        <v>20</v>
      </c>
      <c r="BB59">
        <f>IF(Tabel59[[#This Row],[Aantal games Alg]]=0,0,Tabel59[[#This Row],[Goals DefA]]/Tabel59[[#This Row],[Aantal games Alg]])</f>
        <v>2.5</v>
      </c>
      <c r="BC59">
        <f>SUM(Tabel59[[#This Row],[Goals Aanvaller]]+Tabel59[[#This Row],[Goals OffG]])</f>
        <v>47</v>
      </c>
      <c r="BD59">
        <f>IF(Tabel59[[#This Row],[Aantal games Alg]]=0,0,Tabel59[[#This Row],[Goals OffA]]/Tabel59[[#This Row],[Aantal games Alg]])</f>
        <v>5.875</v>
      </c>
      <c r="BE59" s="112">
        <f>Tabel59[[#This Row],[Goals DefA]]+Tabel59[[#This Row],[Goals OffA]]</f>
        <v>67</v>
      </c>
      <c r="BF59" s="112">
        <f>IF(Tabel59[[#This Row],[Aantal games Alg]]=0,0,Tabel59[[#This Row],[Goals Alg]]/Tabel59[[#This Row],[Aantal games Alg]])</f>
        <v>8.375</v>
      </c>
      <c r="BG59" s="148">
        <f ca="1">SUMIF(Tabel158[Team Rood],Tabel59[[#This Row],[Team]],Tabel158[ET])</f>
        <v>0</v>
      </c>
      <c r="BH59" s="150">
        <f ca="1">SUMIF(Tabel158[Team Groen],Tabel59[[#This Row],[Team]],Tabel158[ET])</f>
        <v>0</v>
      </c>
      <c r="BI59" s="153">
        <f ca="1">SUM(Tabel59[[#This Row],[ET Groen tot]],Tabel59[[#This Row],[ET Rood tot]])</f>
        <v>0</v>
      </c>
      <c r="BJ59" s="155">
        <f ca="1">IF(Tabel59[[#This Row],[Aantal games Alg]]=0,0,Tabel59[[#This Row],[ET tot]]/Tabel59[[#This Row],[Aantal games Alg]])</f>
        <v>0</v>
      </c>
    </row>
    <row r="60" spans="1:62" x14ac:dyDescent="0.25">
      <c r="A60" s="124">
        <f ca="1">IF(Tabel158[[#This Row],[Rood Verdediging]]&lt;&gt;"",IF(A60="",NOW(),A60),"")</f>
        <v>43878.947694907409</v>
      </c>
      <c r="B60" s="128">
        <f ca="1">IF(Tabel158[[#This Row],[Rood Verdediging]]&lt;&gt;"",IF(B60="",NOW(),B60),"")</f>
        <v>43878.947694907409</v>
      </c>
      <c r="C60" s="126">
        <f ca="1">IF(Tabel158[[#This Row],[Score]]&lt;&gt;"",IF(C60="",NOW(),C60),"")</f>
        <v>43878.947694907409</v>
      </c>
      <c r="D60" s="127">
        <f ca="1">IF(OR(Tabel158[[#This Row],[Starttijd]]="",Tabel158[[#This Row],[Eindtijd]]=""),"",Tabel158[[#This Row],[Eindtijd]]-Tabel158[[#This Row],[Starttijd]])</f>
        <v>0</v>
      </c>
      <c r="E60" s="74">
        <v>60</v>
      </c>
      <c r="F60" s="205" t="s">
        <v>0</v>
      </c>
      <c r="G60" s="210">
        <v>4</v>
      </c>
      <c r="H60" s="205" t="s">
        <v>6</v>
      </c>
      <c r="I60" s="210">
        <v>7</v>
      </c>
      <c r="J60" s="206" t="s">
        <v>11</v>
      </c>
      <c r="K60" s="212">
        <v>4</v>
      </c>
      <c r="L60" s="206" t="s">
        <v>8</v>
      </c>
      <c r="M60" s="212">
        <v>5</v>
      </c>
      <c r="N60" s="81">
        <f t="shared" si="0"/>
        <v>11</v>
      </c>
      <c r="O60" s="82">
        <f t="shared" si="1"/>
        <v>9</v>
      </c>
      <c r="P60" s="70" t="str">
        <f t="shared" si="2"/>
        <v>ROOD</v>
      </c>
      <c r="Q60" s="86" t="str">
        <f t="shared" si="3"/>
        <v>Jonas</v>
      </c>
      <c r="R60" s="87" t="str">
        <f t="shared" si="4"/>
        <v>Stef D</v>
      </c>
      <c r="S60" t="str">
        <f>Tabel158[[#This Row],[Rood Verdediging]]&amp;Tabel158[[#This Row],[Rood Aanval]]</f>
        <v>JonasStef D</v>
      </c>
      <c r="T60" t="str">
        <f>Tabel158[[#This Row],[Groen Verdediging]]&amp;Tabel158[[#This Row],[Groen Aanval]]</f>
        <v>MatthijsLouis</v>
      </c>
      <c r="U60" t="str">
        <f>Tabel158[[#This Row],[Winnaar 1]]&amp;Tabel158[[#This Row],[Winnaar 2]]</f>
        <v>JonasStef D</v>
      </c>
      <c r="V60" s="147" t="str">
        <f>IF(Tabel158[[#This Row],[Team Rood]]=Tabel158[[#This Row],[Winnaars]],Tabel158[[#This Row],[Team Rood]])</f>
        <v>JonasStef D</v>
      </c>
      <c r="W60" s="147" t="b">
        <f>IF(Tabel158[[#This Row],[Team Groen]]=Tabel158[[#This Row],[Winnaars]],Tabel158[[#This Row],[Team Groen]])</f>
        <v>0</v>
      </c>
      <c r="X60" s="147"/>
      <c r="AH60" s="251" t="s">
        <v>161</v>
      </c>
      <c r="AI60" s="233" t="s">
        <v>170</v>
      </c>
      <c r="AJ60" s="140" t="str">
        <f t="shared" si="13"/>
        <v>Louis*Nico*</v>
      </c>
      <c r="AK60" s="160">
        <f>IF(Tabel59[[#This Row],[Aantal Games Rood]]=0,0,(Tabel59[[#This Row],[Wins Rood]])/Tabel59[[#This Row],[Aantal Games Rood]])</f>
        <v>0.33333333333333331</v>
      </c>
      <c r="AL60" s="159">
        <f>IF(Tabel59[[#This Row],[Aantal Games Groen]]=0,0,(Tabel59[[#This Row],[Wins Groen]])/Tabel59[[#This Row],[Aantal Games Groen]])</f>
        <v>0.2</v>
      </c>
      <c r="AM60" s="156">
        <f>IF(Tabel59[[#This Row],[Aantal games Alg]]=0,0,(Tabel59[[#This Row],[Wins Alg]])/Tabel59[[#This Row],[Aantal games Alg]])</f>
        <v>0.25</v>
      </c>
      <c r="AN60" s="133">
        <f>COUNTIF(Tabel158[Winaar rood],Tabel59[[#This Row],[Team]])</f>
        <v>1</v>
      </c>
      <c r="AO60" s="134">
        <f>COUNTIF(Tabel158[Winnaar Groen],Tabel59[[#This Row],[Team]])</f>
        <v>1</v>
      </c>
      <c r="AP60">
        <f>COUNTIF(Tabel158[Winnaars],Tabel59[[#This Row],[Team]])</f>
        <v>2</v>
      </c>
      <c r="AQ60" s="135">
        <f>Tabel59[[#This Row],[Aantal Games Rood]]-Tabel59[[#This Row],[Wins Rood]]</f>
        <v>2</v>
      </c>
      <c r="AR60" s="136">
        <f>Tabel59[[#This Row],[Aantal Games Groen]]-Tabel59[[#This Row],[Wins Groen]]</f>
        <v>4</v>
      </c>
      <c r="AS60" s="137">
        <f>Tabel59[[#This Row],[Aantal games Alg]]-Tabel59[[#This Row],[Wins Alg]]</f>
        <v>6</v>
      </c>
      <c r="AT60" s="138">
        <f>COUNTIF(Tabel158[Team Rood],Tabel59[[#This Row],[Team]])</f>
        <v>3</v>
      </c>
      <c r="AU60" s="136">
        <f>COUNTIF(Tabel158[Team Groen],Tabel59[[#This Row],[Team]])</f>
        <v>5</v>
      </c>
      <c r="AV60" s="112">
        <f>Tabel59[[#This Row],[Aantal Games Rood]]+Tabel59[[#This Row],[Aantal Games Groen]]</f>
        <v>8</v>
      </c>
      <c r="AW60" s="138">
        <f>SUMIF(Tabel158[Team Rood],Tabel59[[#This Row],[Team]],Tabel158[Score])</f>
        <v>13</v>
      </c>
      <c r="AX60" s="138">
        <f>SUMIF(Tabel158[Team Rood],Tabel59[[#This Row],[Team]],Tabel158[Score2])</f>
        <v>13</v>
      </c>
      <c r="AY60" s="134">
        <f>SUMIF(Tabel158[Team Groen],Tabel59[[#This Row],[Team]],Tabel158[Score3])</f>
        <v>19</v>
      </c>
      <c r="AZ60" s="136">
        <f>SUMIF(Tabel158[Team Groen],Tabel59[[#This Row],[Team]],Tabel158[Score4])</f>
        <v>24</v>
      </c>
      <c r="BA60">
        <f>SUM(Tabel59[[#This Row],[Goals Verdediger]]+Tabel59[[#This Row],[Goals DefG]])</f>
        <v>32</v>
      </c>
      <c r="BB60">
        <f>IF(Tabel59[[#This Row],[Aantal games Alg]]=0,0,Tabel59[[#This Row],[Goals DefA]]/Tabel59[[#This Row],[Aantal games Alg]])</f>
        <v>4</v>
      </c>
      <c r="BC60">
        <f>SUM(Tabel59[[#This Row],[Goals Aanvaller]]+Tabel59[[#This Row],[Goals OffG]])</f>
        <v>37</v>
      </c>
      <c r="BD60">
        <f>IF(Tabel59[[#This Row],[Aantal games Alg]]=0,0,Tabel59[[#This Row],[Goals OffA]]/Tabel59[[#This Row],[Aantal games Alg]])</f>
        <v>4.625</v>
      </c>
      <c r="BE60" s="112">
        <f>Tabel59[[#This Row],[Goals DefA]]+Tabel59[[#This Row],[Goals OffA]]</f>
        <v>69</v>
      </c>
      <c r="BF60" s="112">
        <f>IF(Tabel59[[#This Row],[Aantal games Alg]]=0,0,Tabel59[[#This Row],[Goals Alg]]/Tabel59[[#This Row],[Aantal games Alg]])</f>
        <v>8.625</v>
      </c>
      <c r="BG60" s="148">
        <f ca="1">SUMIF(Tabel158[Team Rood],Tabel59[[#This Row],[Team]],Tabel158[ET])</f>
        <v>0</v>
      </c>
      <c r="BH60" s="150">
        <f ca="1">SUMIF(Tabel158[Team Groen],Tabel59[[#This Row],[Team]],Tabel158[ET])</f>
        <v>0</v>
      </c>
      <c r="BI60" s="153">
        <f ca="1">SUM(Tabel59[[#This Row],[ET Groen tot]],Tabel59[[#This Row],[ET Rood tot]])</f>
        <v>0</v>
      </c>
      <c r="BJ60" s="155">
        <f ca="1">IF(Tabel59[[#This Row],[Aantal games Alg]]=0,0,Tabel59[[#This Row],[ET tot]]/Tabel59[[#This Row],[Aantal games Alg]])</f>
        <v>0</v>
      </c>
    </row>
    <row r="61" spans="1:62" x14ac:dyDescent="0.25">
      <c r="A61" s="124">
        <f ca="1">IF(Tabel158[[#This Row],[Rood Verdediging]]&lt;&gt;"",IF(A61="",NOW(),A61),"")</f>
        <v>43878.947694907409</v>
      </c>
      <c r="B61" s="128">
        <f ca="1">IF(Tabel158[[#This Row],[Rood Verdediging]]&lt;&gt;"",IF(B61="",NOW(),B61),"")</f>
        <v>43878.947694907409</v>
      </c>
      <c r="C61" s="126">
        <f ca="1">IF(Tabel158[[#This Row],[Score]]&lt;&gt;"",IF(C61="",NOW(),C61),"")</f>
        <v>43878.947694907409</v>
      </c>
      <c r="D61" s="127">
        <f ca="1">IF(OR(Tabel158[[#This Row],[Starttijd]]="",Tabel158[[#This Row],[Eindtijd]]=""),"",Tabel158[[#This Row],[Eindtijd]]-Tabel158[[#This Row],[Starttijd]])</f>
        <v>0</v>
      </c>
      <c r="E61" s="74">
        <v>61</v>
      </c>
      <c r="F61" s="205" t="s">
        <v>8</v>
      </c>
      <c r="G61" s="210">
        <v>1</v>
      </c>
      <c r="H61" s="205" t="s">
        <v>6</v>
      </c>
      <c r="I61" s="210">
        <v>10</v>
      </c>
      <c r="J61" s="206" t="s">
        <v>19</v>
      </c>
      <c r="K61" s="212">
        <v>0</v>
      </c>
      <c r="L61" s="206" t="s">
        <v>11</v>
      </c>
      <c r="M61" s="212">
        <v>4</v>
      </c>
      <c r="N61" s="81">
        <f t="shared" si="0"/>
        <v>11</v>
      </c>
      <c r="O61" s="82">
        <f t="shared" si="1"/>
        <v>4</v>
      </c>
      <c r="P61" s="70" t="str">
        <f t="shared" si="2"/>
        <v>ROOD</v>
      </c>
      <c r="Q61" s="86" t="str">
        <f t="shared" si="3"/>
        <v>Louis</v>
      </c>
      <c r="R61" s="87" t="str">
        <f t="shared" si="4"/>
        <v>Stef D</v>
      </c>
      <c r="S61" t="str">
        <f>Tabel158[[#This Row],[Rood Verdediging]]&amp;Tabel158[[#This Row],[Rood Aanval]]</f>
        <v>LouisStef D</v>
      </c>
      <c r="T61" t="str">
        <f>Tabel158[[#This Row],[Groen Verdediging]]&amp;Tabel158[[#This Row],[Groen Aanval]]</f>
        <v>NicolasMatthijs</v>
      </c>
      <c r="U61" t="str">
        <f>Tabel158[[#This Row],[Winnaar 1]]&amp;Tabel158[[#This Row],[Winnaar 2]]</f>
        <v>LouisStef D</v>
      </c>
      <c r="V61" s="147" t="str">
        <f>IF(Tabel158[[#This Row],[Team Rood]]=Tabel158[[#This Row],[Winnaars]],Tabel158[[#This Row],[Team Rood]])</f>
        <v>LouisStef D</v>
      </c>
      <c r="W61" s="147" t="b">
        <f>IF(Tabel158[[#This Row],[Team Groen]]=Tabel158[[#This Row],[Winnaars]],Tabel158[[#This Row],[Team Groen]])</f>
        <v>0</v>
      </c>
      <c r="X61" s="147"/>
      <c r="AH61" s="251" t="s">
        <v>170</v>
      </c>
      <c r="AI61" s="233" t="s">
        <v>163</v>
      </c>
      <c r="AJ61" s="140" t="str">
        <f t="shared" si="13"/>
        <v>Nico*Bert*</v>
      </c>
      <c r="AK61" s="160">
        <f>IF(Tabel59[[#This Row],[Aantal Games Rood]]=0,0,(Tabel59[[#This Row],[Wins Rood]])/Tabel59[[#This Row],[Aantal Games Rood]])</f>
        <v>0</v>
      </c>
      <c r="AL61" s="159">
        <f>IF(Tabel59[[#This Row],[Aantal Games Groen]]=0,0,(Tabel59[[#This Row],[Wins Groen]])/Tabel59[[#This Row],[Aantal Games Groen]])</f>
        <v>0.33333333333333331</v>
      </c>
      <c r="AM61" s="156">
        <f>IF(Tabel59[[#This Row],[Aantal games Alg]]=0,0,(Tabel59[[#This Row],[Wins Alg]])/Tabel59[[#This Row],[Aantal games Alg]])</f>
        <v>0.25</v>
      </c>
      <c r="AN61" s="138">
        <f>COUNTIF(Tabel158[Winaar rood],Tabel59[[#This Row],[Team]])</f>
        <v>0</v>
      </c>
      <c r="AO61" s="134">
        <f>COUNTIF(Tabel158[Winnaar Groen],Tabel59[[#This Row],[Team]])</f>
        <v>1</v>
      </c>
      <c r="AP61">
        <f>COUNTIF(Tabel158[Winnaars],Tabel59[[#This Row],[Team]])</f>
        <v>1</v>
      </c>
      <c r="AQ61" s="135">
        <f>Tabel59[[#This Row],[Aantal Games Rood]]-Tabel59[[#This Row],[Wins Rood]]</f>
        <v>1</v>
      </c>
      <c r="AR61" s="136">
        <f>Tabel59[[#This Row],[Aantal Games Groen]]-Tabel59[[#This Row],[Wins Groen]]</f>
        <v>2</v>
      </c>
      <c r="AS61" s="137">
        <f>Tabel59[[#This Row],[Aantal games Alg]]-Tabel59[[#This Row],[Wins Alg]]</f>
        <v>3</v>
      </c>
      <c r="AT61" s="138">
        <f>COUNTIF(Tabel158[Team Rood],Tabel59[[#This Row],[Team]])</f>
        <v>1</v>
      </c>
      <c r="AU61" s="136">
        <f>COUNTIF(Tabel158[Team Groen],Tabel59[[#This Row],[Team]])</f>
        <v>3</v>
      </c>
      <c r="AV61" s="112">
        <f>Tabel59[[#This Row],[Aantal Games Rood]]+Tabel59[[#This Row],[Aantal Games Groen]]</f>
        <v>4</v>
      </c>
      <c r="AW61" s="138">
        <f>SUMIF(Tabel158[Team Rood],Tabel59[[#This Row],[Team]],Tabel158[Score])</f>
        <v>0</v>
      </c>
      <c r="AX61" s="138">
        <f>SUMIF(Tabel158[Team Rood],Tabel59[[#This Row],[Team]],Tabel158[Score2])</f>
        <v>8</v>
      </c>
      <c r="AY61" s="134">
        <f>SUMIF(Tabel158[Team Groen],Tabel59[[#This Row],[Team]],Tabel158[Score3])</f>
        <v>8</v>
      </c>
      <c r="AZ61" s="136">
        <f>SUMIF(Tabel158[Team Groen],Tabel59[[#This Row],[Team]],Tabel158[Score4])</f>
        <v>13</v>
      </c>
      <c r="BA61">
        <f>SUM(Tabel59[[#This Row],[Goals Verdediger]]+Tabel59[[#This Row],[Goals DefG]])</f>
        <v>8</v>
      </c>
      <c r="BB61">
        <f>IF(Tabel59[[#This Row],[Aantal games Alg]]=0,0,Tabel59[[#This Row],[Goals DefA]]/Tabel59[[#This Row],[Aantal games Alg]])</f>
        <v>2</v>
      </c>
      <c r="BC61">
        <f>SUM(Tabel59[[#This Row],[Goals Aanvaller]]+Tabel59[[#This Row],[Goals OffG]])</f>
        <v>21</v>
      </c>
      <c r="BD61">
        <f>IF(Tabel59[[#This Row],[Aantal games Alg]]=0,0,Tabel59[[#This Row],[Goals OffA]]/Tabel59[[#This Row],[Aantal games Alg]])</f>
        <v>5.25</v>
      </c>
      <c r="BE61" s="112">
        <f>Tabel59[[#This Row],[Goals DefA]]+Tabel59[[#This Row],[Goals OffA]]</f>
        <v>29</v>
      </c>
      <c r="BF61" s="112">
        <f>IF(Tabel59[[#This Row],[Aantal games Alg]]=0,0,Tabel59[[#This Row],[Goals Alg]]/Tabel59[[#This Row],[Aantal games Alg]])</f>
        <v>7.25</v>
      </c>
      <c r="BG61" s="148">
        <f ca="1">SUMIF(Tabel158[Team Rood],Tabel59[[#This Row],[Team]],Tabel158[ET])</f>
        <v>0</v>
      </c>
      <c r="BH61" s="150">
        <f ca="1">SUMIF(Tabel158[Team Groen],Tabel59[[#This Row],[Team]],Tabel158[ET])</f>
        <v>0</v>
      </c>
      <c r="BI61" s="153">
        <f ca="1">SUM(Tabel59[[#This Row],[ET Groen tot]],Tabel59[[#This Row],[ET Rood tot]])</f>
        <v>0</v>
      </c>
      <c r="BJ61" s="155">
        <f ca="1">IF(Tabel59[[#This Row],[Aantal games Alg]]=0,0,Tabel59[[#This Row],[ET tot]]/Tabel59[[#This Row],[Aantal games Alg]])</f>
        <v>0</v>
      </c>
    </row>
    <row r="62" spans="1:62" x14ac:dyDescent="0.25">
      <c r="A62" s="124">
        <f ca="1">IF(Tabel158[[#This Row],[Rood Verdediging]]&lt;&gt;"",IF(A62="",NOW(),A62),"")</f>
        <v>43878.947694907409</v>
      </c>
      <c r="B62" s="128">
        <f ca="1">IF(Tabel158[[#This Row],[Rood Verdediging]]&lt;&gt;"",IF(B62="",NOW(),B62),"")</f>
        <v>43878.947694907409</v>
      </c>
      <c r="C62" s="126">
        <f ca="1">IF(Tabel158[[#This Row],[Score]]&lt;&gt;"",IF(C62="",NOW(),C62),"")</f>
        <v>43878.947694907409</v>
      </c>
      <c r="D62" s="127">
        <f ca="1">IF(OR(Tabel158[[#This Row],[Starttijd]]="",Tabel158[[#This Row],[Eindtijd]]=""),"",Tabel158[[#This Row],[Eindtijd]]-Tabel158[[#This Row],[Starttijd]])</f>
        <v>0</v>
      </c>
      <c r="E62" s="74">
        <v>62</v>
      </c>
      <c r="F62" s="205" t="s">
        <v>6</v>
      </c>
      <c r="G62" s="210">
        <v>2</v>
      </c>
      <c r="H62" s="205" t="s">
        <v>11</v>
      </c>
      <c r="I62" s="210">
        <v>9</v>
      </c>
      <c r="J62" s="206" t="s">
        <v>0</v>
      </c>
      <c r="K62" s="212">
        <v>3</v>
      </c>
      <c r="L62" s="206" t="s">
        <v>19</v>
      </c>
      <c r="M62" s="212">
        <v>4</v>
      </c>
      <c r="N62" s="81">
        <f t="shared" si="0"/>
        <v>11</v>
      </c>
      <c r="O62" s="82">
        <f t="shared" si="1"/>
        <v>7</v>
      </c>
      <c r="P62" s="70" t="str">
        <f t="shared" si="2"/>
        <v>ROOD</v>
      </c>
      <c r="Q62" s="86" t="str">
        <f t="shared" si="3"/>
        <v>Stef D</v>
      </c>
      <c r="R62" s="87" t="str">
        <f t="shared" si="4"/>
        <v>Matthijs</v>
      </c>
      <c r="S62" t="str">
        <f>Tabel158[[#This Row],[Rood Verdediging]]&amp;Tabel158[[#This Row],[Rood Aanval]]</f>
        <v>Stef DMatthijs</v>
      </c>
      <c r="T62" t="str">
        <f>Tabel158[[#This Row],[Groen Verdediging]]&amp;Tabel158[[#This Row],[Groen Aanval]]</f>
        <v>JonasNicolas</v>
      </c>
      <c r="U62" t="str">
        <f>Tabel158[[#This Row],[Winnaar 1]]&amp;Tabel158[[#This Row],[Winnaar 2]]</f>
        <v>Stef DMatthijs</v>
      </c>
      <c r="V62" s="147" t="str">
        <f>IF(Tabel158[[#This Row],[Team Rood]]=Tabel158[[#This Row],[Winnaars]],Tabel158[[#This Row],[Team Rood]])</f>
        <v>Stef DMatthijs</v>
      </c>
      <c r="W62" s="147" t="b">
        <f>IF(Tabel158[[#This Row],[Team Groen]]=Tabel158[[#This Row],[Winnaars]],Tabel158[[#This Row],[Team Groen]])</f>
        <v>0</v>
      </c>
      <c r="X62" s="147"/>
      <c r="AH62" s="251" t="s">
        <v>164</v>
      </c>
      <c r="AI62" s="233" t="s">
        <v>170</v>
      </c>
      <c r="AJ62" s="140" t="str">
        <f t="shared" si="13"/>
        <v>Karel*Nico*</v>
      </c>
      <c r="AK62" s="160">
        <f>IF(Tabel59[[#This Row],[Aantal Games Rood]]=0,0,(Tabel59[[#This Row],[Wins Rood]])/Tabel59[[#This Row],[Aantal Games Rood]])</f>
        <v>0.25</v>
      </c>
      <c r="AL62" s="159">
        <f>IF(Tabel59[[#This Row],[Aantal Games Groen]]=0,0,(Tabel59[[#This Row],[Wins Groen]])/Tabel59[[#This Row],[Aantal Games Groen]])</f>
        <v>0.16666666666666666</v>
      </c>
      <c r="AM62" s="156">
        <f>IF(Tabel59[[#This Row],[Aantal games Alg]]=0,0,(Tabel59[[#This Row],[Wins Alg]])/Tabel59[[#This Row],[Aantal games Alg]])</f>
        <v>0.2</v>
      </c>
      <c r="AN62" s="138">
        <f>COUNTIF(Tabel158[Winaar rood],Tabel59[[#This Row],[Team]])</f>
        <v>1</v>
      </c>
      <c r="AO62" s="134">
        <f>COUNTIF(Tabel158[Winnaar Groen],Tabel59[[#This Row],[Team]])</f>
        <v>1</v>
      </c>
      <c r="AP62">
        <f>COUNTIF(Tabel158[Winnaars],Tabel59[[#This Row],[Team]])</f>
        <v>2</v>
      </c>
      <c r="AQ62" s="135">
        <f>Tabel59[[#This Row],[Aantal Games Rood]]-Tabel59[[#This Row],[Wins Rood]]</f>
        <v>3</v>
      </c>
      <c r="AR62" s="136">
        <f>Tabel59[[#This Row],[Aantal Games Groen]]-Tabel59[[#This Row],[Wins Groen]]</f>
        <v>5</v>
      </c>
      <c r="AS62" s="137">
        <f>Tabel59[[#This Row],[Aantal games Alg]]-Tabel59[[#This Row],[Wins Alg]]</f>
        <v>8</v>
      </c>
      <c r="AT62" s="138">
        <f>COUNTIF(Tabel158[Team Rood],Tabel59[[#This Row],[Team]])</f>
        <v>4</v>
      </c>
      <c r="AU62" s="136">
        <f>COUNTIF(Tabel158[Team Groen],Tabel59[[#This Row],[Team]])</f>
        <v>6</v>
      </c>
      <c r="AV62" s="112">
        <f>Tabel59[[#This Row],[Aantal Games Rood]]+Tabel59[[#This Row],[Aantal Games Groen]]</f>
        <v>10</v>
      </c>
      <c r="AW62" s="138">
        <f>SUMIF(Tabel158[Team Rood],Tabel59[[#This Row],[Team]],Tabel158[Score])</f>
        <v>9</v>
      </c>
      <c r="AX62" s="138">
        <f>SUMIF(Tabel158[Team Rood],Tabel59[[#This Row],[Team]],Tabel158[Score2])</f>
        <v>24</v>
      </c>
      <c r="AY62" s="134">
        <f>SUMIF(Tabel158[Team Groen],Tabel59[[#This Row],[Team]],Tabel158[Score3])</f>
        <v>15</v>
      </c>
      <c r="AZ62" s="136">
        <f>SUMIF(Tabel158[Team Groen],Tabel59[[#This Row],[Team]],Tabel158[Score4])</f>
        <v>27</v>
      </c>
      <c r="BA62">
        <f>SUM(Tabel59[[#This Row],[Goals Verdediger]]+Tabel59[[#This Row],[Goals DefG]])</f>
        <v>24</v>
      </c>
      <c r="BB62">
        <f>IF(Tabel59[[#This Row],[Aantal games Alg]]=0,0,Tabel59[[#This Row],[Goals DefA]]/Tabel59[[#This Row],[Aantal games Alg]])</f>
        <v>2.4</v>
      </c>
      <c r="BC62">
        <f>SUM(Tabel59[[#This Row],[Goals Aanvaller]]+Tabel59[[#This Row],[Goals OffG]])</f>
        <v>51</v>
      </c>
      <c r="BD62">
        <f>IF(Tabel59[[#This Row],[Aantal games Alg]]=0,0,Tabel59[[#This Row],[Goals OffA]]/Tabel59[[#This Row],[Aantal games Alg]])</f>
        <v>5.0999999999999996</v>
      </c>
      <c r="BE62" s="112">
        <f>Tabel59[[#This Row],[Goals DefA]]+Tabel59[[#This Row],[Goals OffA]]</f>
        <v>75</v>
      </c>
      <c r="BF62" s="112">
        <f>IF(Tabel59[[#This Row],[Aantal games Alg]]=0,0,Tabel59[[#This Row],[Goals Alg]]/Tabel59[[#This Row],[Aantal games Alg]])</f>
        <v>7.5</v>
      </c>
      <c r="BG62" s="148">
        <f ca="1">SUMIF(Tabel158[Team Rood],Tabel59[[#This Row],[Team]],Tabel158[ET])</f>
        <v>0</v>
      </c>
      <c r="BH62" s="150">
        <f ca="1">SUMIF(Tabel158[Team Groen],Tabel59[[#This Row],[Team]],Tabel158[ET])</f>
        <v>0</v>
      </c>
      <c r="BI62" s="153">
        <f ca="1">SUM(Tabel59[[#This Row],[ET Groen tot]],Tabel59[[#This Row],[ET Rood tot]])</f>
        <v>0</v>
      </c>
      <c r="BJ62" s="155">
        <f ca="1">IF(Tabel59[[#This Row],[Aantal games Alg]]=0,0,Tabel59[[#This Row],[ET tot]]/Tabel59[[#This Row],[Aantal games Alg]])</f>
        <v>0</v>
      </c>
    </row>
    <row r="63" spans="1:62" x14ac:dyDescent="0.25">
      <c r="A63" s="124">
        <f ca="1">IF(Tabel158[[#This Row],[Rood Verdediging]]&lt;&gt;"",IF(A63="",NOW(),A63),"")</f>
        <v>43878.947694907409</v>
      </c>
      <c r="B63" s="128">
        <f ca="1">IF(Tabel158[[#This Row],[Rood Verdediging]]&lt;&gt;"",IF(B63="",NOW(),B63),"")</f>
        <v>43878.947694907409</v>
      </c>
      <c r="C63" s="126">
        <f ca="1">IF(Tabel158[[#This Row],[Score]]&lt;&gt;"",IF(C63="",NOW(),C63),"")</f>
        <v>43878.947694907409</v>
      </c>
      <c r="D63" s="127">
        <f ca="1">IF(OR(Tabel158[[#This Row],[Starttijd]]="",Tabel158[[#This Row],[Eindtijd]]=""),"",Tabel158[[#This Row],[Eindtijd]]-Tabel158[[#This Row],[Starttijd]])</f>
        <v>0</v>
      </c>
      <c r="E63" s="74">
        <v>63</v>
      </c>
      <c r="F63" s="205" t="s">
        <v>11</v>
      </c>
      <c r="G63" s="210">
        <v>2</v>
      </c>
      <c r="H63" s="205" t="s">
        <v>6</v>
      </c>
      <c r="I63" s="210">
        <v>9</v>
      </c>
      <c r="J63" s="206" t="s">
        <v>8</v>
      </c>
      <c r="K63" s="212">
        <v>2</v>
      </c>
      <c r="L63" s="206" t="s">
        <v>0</v>
      </c>
      <c r="M63" s="212">
        <v>3</v>
      </c>
      <c r="N63" s="81">
        <f t="shared" si="0"/>
        <v>11</v>
      </c>
      <c r="O63" s="82">
        <f t="shared" si="1"/>
        <v>5</v>
      </c>
      <c r="P63" s="70" t="str">
        <f t="shared" si="2"/>
        <v>ROOD</v>
      </c>
      <c r="Q63" s="86" t="str">
        <f t="shared" si="3"/>
        <v>Matthijs</v>
      </c>
      <c r="R63" s="87" t="str">
        <f t="shared" si="4"/>
        <v>Stef D</v>
      </c>
      <c r="S63" t="str">
        <f>Tabel158[[#This Row],[Rood Verdediging]]&amp;Tabel158[[#This Row],[Rood Aanval]]</f>
        <v>MatthijsStef D</v>
      </c>
      <c r="T63" t="str">
        <f>Tabel158[[#This Row],[Groen Verdediging]]&amp;Tabel158[[#This Row],[Groen Aanval]]</f>
        <v>LouisJonas</v>
      </c>
      <c r="U63" t="str">
        <f>Tabel158[[#This Row],[Winnaar 1]]&amp;Tabel158[[#This Row],[Winnaar 2]]</f>
        <v>MatthijsStef D</v>
      </c>
      <c r="V63" s="147" t="str">
        <f>IF(Tabel158[[#This Row],[Team Rood]]=Tabel158[[#This Row],[Winnaars]],Tabel158[[#This Row],[Team Rood]])</f>
        <v>MatthijsStef D</v>
      </c>
      <c r="W63" s="147" t="b">
        <f>IF(Tabel158[[#This Row],[Team Groen]]=Tabel158[[#This Row],[Winnaars]],Tabel158[[#This Row],[Team Groen]])</f>
        <v>0</v>
      </c>
      <c r="X63" s="147"/>
      <c r="AH63" s="251" t="s">
        <v>170</v>
      </c>
      <c r="AI63" s="233" t="s">
        <v>159</v>
      </c>
      <c r="AJ63" s="140" t="str">
        <f t="shared" si="13"/>
        <v>Nico*Jonas*</v>
      </c>
      <c r="AK63" s="160">
        <f>IF(Tabel59[[#This Row],[Aantal Games Rood]]=0,0,(Tabel59[[#This Row],[Wins Rood]])/Tabel59[[#This Row],[Aantal Games Rood]])</f>
        <v>0</v>
      </c>
      <c r="AL63" s="159">
        <f>IF(Tabel59[[#This Row],[Aantal Games Groen]]=0,0,(Tabel59[[#This Row],[Wins Groen]])/Tabel59[[#This Row],[Aantal Games Groen]])</f>
        <v>0.25</v>
      </c>
      <c r="AM63" s="156">
        <f>IF(Tabel59[[#This Row],[Aantal games Alg]]=0,0,(Tabel59[[#This Row],[Wins Alg]])/Tabel59[[#This Row],[Aantal games Alg]])</f>
        <v>0.2</v>
      </c>
      <c r="AN63" s="138">
        <f>COUNTIF(Tabel158[Winaar rood],Tabel59[[#This Row],[Team]])</f>
        <v>0</v>
      </c>
      <c r="AO63" s="134">
        <f>COUNTIF(Tabel158[Winnaar Groen],Tabel59[[#This Row],[Team]])</f>
        <v>2</v>
      </c>
      <c r="AP63">
        <f>COUNTIF(Tabel158[Winnaars],Tabel59[[#This Row],[Team]])</f>
        <v>2</v>
      </c>
      <c r="AQ63" s="135">
        <f>Tabel59[[#This Row],[Aantal Games Rood]]-Tabel59[[#This Row],[Wins Rood]]</f>
        <v>2</v>
      </c>
      <c r="AR63" s="136">
        <f>Tabel59[[#This Row],[Aantal Games Groen]]-Tabel59[[#This Row],[Wins Groen]]</f>
        <v>6</v>
      </c>
      <c r="AS63" s="137">
        <f>Tabel59[[#This Row],[Aantal games Alg]]-Tabel59[[#This Row],[Wins Alg]]</f>
        <v>8</v>
      </c>
      <c r="AT63" s="138">
        <f>COUNTIF(Tabel158[Team Rood],Tabel59[[#This Row],[Team]])</f>
        <v>2</v>
      </c>
      <c r="AU63" s="136">
        <f>COUNTIF(Tabel158[Team Groen],Tabel59[[#This Row],[Team]])</f>
        <v>8</v>
      </c>
      <c r="AV63" s="112">
        <f>Tabel59[[#This Row],[Aantal Games Rood]]+Tabel59[[#This Row],[Aantal Games Groen]]</f>
        <v>10</v>
      </c>
      <c r="AW63" s="138">
        <f>SUMIF(Tabel158[Team Rood],Tabel59[[#This Row],[Team]],Tabel158[Score])</f>
        <v>3</v>
      </c>
      <c r="AX63" s="138">
        <f>SUMIF(Tabel158[Team Rood],Tabel59[[#This Row],[Team]],Tabel158[Score2])</f>
        <v>11</v>
      </c>
      <c r="AY63" s="134">
        <f>SUMIF(Tabel158[Team Groen],Tabel59[[#This Row],[Team]],Tabel158[Score3])</f>
        <v>16</v>
      </c>
      <c r="AZ63" s="136">
        <f>SUMIF(Tabel158[Team Groen],Tabel59[[#This Row],[Team]],Tabel158[Score4])</f>
        <v>60</v>
      </c>
      <c r="BA63">
        <f>SUM(Tabel59[[#This Row],[Goals Verdediger]]+Tabel59[[#This Row],[Goals DefG]])</f>
        <v>19</v>
      </c>
      <c r="BB63">
        <f>IF(Tabel59[[#This Row],[Aantal games Alg]]=0,0,Tabel59[[#This Row],[Goals DefA]]/Tabel59[[#This Row],[Aantal games Alg]])</f>
        <v>1.9</v>
      </c>
      <c r="BC63">
        <f>SUM(Tabel59[[#This Row],[Goals Aanvaller]]+Tabel59[[#This Row],[Goals OffG]])</f>
        <v>71</v>
      </c>
      <c r="BD63">
        <f>IF(Tabel59[[#This Row],[Aantal games Alg]]=0,0,Tabel59[[#This Row],[Goals OffA]]/Tabel59[[#This Row],[Aantal games Alg]])</f>
        <v>7.1</v>
      </c>
      <c r="BE63" s="112">
        <f>Tabel59[[#This Row],[Goals DefA]]+Tabel59[[#This Row],[Goals OffA]]</f>
        <v>90</v>
      </c>
      <c r="BF63" s="112">
        <f>IF(Tabel59[[#This Row],[Aantal games Alg]]=0,0,Tabel59[[#This Row],[Goals Alg]]/Tabel59[[#This Row],[Aantal games Alg]])</f>
        <v>9</v>
      </c>
      <c r="BG63" s="148">
        <f ca="1">SUMIF(Tabel158[Team Rood],Tabel59[[#This Row],[Team]],Tabel158[ET])</f>
        <v>0</v>
      </c>
      <c r="BH63" s="150">
        <f ca="1">SUMIF(Tabel158[Team Groen],Tabel59[[#This Row],[Team]],Tabel158[ET])</f>
        <v>0</v>
      </c>
      <c r="BI63" s="153">
        <f ca="1">SUM(Tabel59[[#This Row],[ET Groen tot]],Tabel59[[#This Row],[ET Rood tot]])</f>
        <v>0</v>
      </c>
      <c r="BJ63" s="155">
        <f ca="1">IF(Tabel59[[#This Row],[Aantal games Alg]]=0,0,Tabel59[[#This Row],[ET tot]]/Tabel59[[#This Row],[Aantal games Alg]])</f>
        <v>0</v>
      </c>
    </row>
    <row r="64" spans="1:62" x14ac:dyDescent="0.25">
      <c r="A64" s="124">
        <f ca="1">IF(Tabel158[[#This Row],[Rood Verdediging]]&lt;&gt;"",IF(A64="",NOW(),A64),"")</f>
        <v>43878.947694907409</v>
      </c>
      <c r="B64" s="128">
        <f ca="1">IF(Tabel158[[#This Row],[Rood Verdediging]]&lt;&gt;"",IF(B64="",NOW(),B64),"")</f>
        <v>43878.947694907409</v>
      </c>
      <c r="C64" s="126">
        <f ca="1">IF(Tabel158[[#This Row],[Score]]&lt;&gt;"",IF(C64="",NOW(),C64),"")</f>
        <v>43878.947694907409</v>
      </c>
      <c r="D64" s="127">
        <f ca="1">IF(OR(Tabel158[[#This Row],[Starttijd]]="",Tabel158[[#This Row],[Eindtijd]]=""),"",Tabel158[[#This Row],[Eindtijd]]-Tabel158[[#This Row],[Starttijd]])</f>
        <v>0</v>
      </c>
      <c r="E64" s="74">
        <v>64</v>
      </c>
      <c r="F64" s="205" t="s">
        <v>13</v>
      </c>
      <c r="G64" s="210">
        <v>2</v>
      </c>
      <c r="H64" s="205" t="s">
        <v>6</v>
      </c>
      <c r="I64" s="210">
        <v>9</v>
      </c>
      <c r="J64" s="206" t="s">
        <v>3</v>
      </c>
      <c r="K64" s="212">
        <v>2</v>
      </c>
      <c r="L64" s="206" t="s">
        <v>15</v>
      </c>
      <c r="M64" s="212">
        <v>7</v>
      </c>
      <c r="N64" s="81">
        <f>IF(ISBLANK(F64),"",SUM(G64,I64))</f>
        <v>11</v>
      </c>
      <c r="O64" s="82">
        <f>IF(ISBLANK(F64),"",SUM(K64,M64))</f>
        <v>9</v>
      </c>
      <c r="P64" s="70" t="str">
        <f t="shared" si="2"/>
        <v>ROOD</v>
      </c>
      <c r="Q64" s="86" t="str">
        <f>IF(N64&gt;O64,F64,IF(N64="","",J64))</f>
        <v>Bert</v>
      </c>
      <c r="R64" s="87" t="str">
        <f>IF(N64&gt;O64,H64,IF(N64="","",L64))</f>
        <v>Stef D</v>
      </c>
      <c r="S64" t="str">
        <f>Tabel158[[#This Row],[Rood Verdediging]]&amp;Tabel158[[#This Row],[Rood Aanval]]</f>
        <v>BertStef D</v>
      </c>
      <c r="T64" t="str">
        <f>Tabel158[[#This Row],[Groen Verdediging]]&amp;Tabel158[[#This Row],[Groen Aanval]]</f>
        <v>KarelStijn</v>
      </c>
      <c r="U64" t="str">
        <f>Tabel158[[#This Row],[Winnaar 1]]&amp;Tabel158[[#This Row],[Winnaar 2]]</f>
        <v>BertStef D</v>
      </c>
      <c r="V64" s="147" t="str">
        <f>IF(Tabel158[[#This Row],[Team Rood]]=Tabel158[[#This Row],[Winnaars]],Tabel158[[#This Row],[Team Rood]])</f>
        <v>BertStef D</v>
      </c>
      <c r="W64" s="147" t="b">
        <f>IF(Tabel158[[#This Row],[Team Groen]]=Tabel158[[#This Row],[Winnaars]],Tabel158[[#This Row],[Team Groen]])</f>
        <v>0</v>
      </c>
      <c r="X64" s="147"/>
      <c r="AH64" s="251" t="s">
        <v>170</v>
      </c>
      <c r="AI64" s="233" t="s">
        <v>160</v>
      </c>
      <c r="AJ64" s="140" t="str">
        <f t="shared" si="13"/>
        <v>Nico*Tiemen*</v>
      </c>
      <c r="AK64" s="160">
        <f>IF(Tabel59[[#This Row],[Aantal Games Rood]]=0,0,(Tabel59[[#This Row],[Wins Rood]])/Tabel59[[#This Row],[Aantal Games Rood]])</f>
        <v>0.33333333333333331</v>
      </c>
      <c r="AL64" s="159">
        <f>IF(Tabel59[[#This Row],[Aantal Games Groen]]=0,0,(Tabel59[[#This Row],[Wins Groen]])/Tabel59[[#This Row],[Aantal Games Groen]])</f>
        <v>0</v>
      </c>
      <c r="AM64" s="156">
        <f>IF(Tabel59[[#This Row],[Aantal games Alg]]=0,0,(Tabel59[[#This Row],[Wins Alg]])/Tabel59[[#This Row],[Aantal games Alg]])</f>
        <v>0.2</v>
      </c>
      <c r="AN64" s="138">
        <f>COUNTIF(Tabel158[Winaar rood],Tabel59[[#This Row],[Team]])</f>
        <v>1</v>
      </c>
      <c r="AO64" s="134">
        <f>COUNTIF(Tabel158[Winnaar Groen],Tabel59[[#This Row],[Team]])</f>
        <v>0</v>
      </c>
      <c r="AP64" s="293">
        <f>COUNTIF(Tabel158[Winnaars],Tabel59[[#This Row],[Team]])</f>
        <v>1</v>
      </c>
      <c r="AQ64" s="135">
        <f>Tabel59[[#This Row],[Aantal Games Rood]]-Tabel59[[#This Row],[Wins Rood]]</f>
        <v>2</v>
      </c>
      <c r="AR64" s="136">
        <f>Tabel59[[#This Row],[Aantal Games Groen]]-Tabel59[[#This Row],[Wins Groen]]</f>
        <v>2</v>
      </c>
      <c r="AS64" s="137">
        <f>Tabel59[[#This Row],[Aantal games Alg]]-Tabel59[[#This Row],[Wins Alg]]</f>
        <v>4</v>
      </c>
      <c r="AT64" s="138">
        <f>COUNTIF(Tabel158[Team Rood],Tabel59[[#This Row],[Team]])</f>
        <v>3</v>
      </c>
      <c r="AU64" s="136">
        <f>COUNTIF(Tabel158[Team Groen],Tabel59[[#This Row],[Team]])</f>
        <v>2</v>
      </c>
      <c r="AV64" s="214">
        <f>Tabel59[[#This Row],[Aantal Games Rood]]+Tabel59[[#This Row],[Aantal Games Groen]]</f>
        <v>5</v>
      </c>
      <c r="AW64" s="138">
        <f>SUMIF(Tabel158[Team Rood],Tabel59[[#This Row],[Team]],Tabel158[Score])</f>
        <v>6</v>
      </c>
      <c r="AX64" s="138">
        <f>SUMIF(Tabel158[Team Rood],Tabel59[[#This Row],[Team]],Tabel158[Score2])</f>
        <v>15</v>
      </c>
      <c r="AY64" s="134">
        <f>SUMIF(Tabel158[Team Groen],Tabel59[[#This Row],[Team]],Tabel158[Score3])</f>
        <v>3</v>
      </c>
      <c r="AZ64" s="136">
        <f>SUMIF(Tabel158[Team Groen],Tabel59[[#This Row],[Team]],Tabel158[Score4])</f>
        <v>13</v>
      </c>
      <c r="BA64" s="293">
        <f>SUM(Tabel59[[#This Row],[Goals Verdediger]]+Tabel59[[#This Row],[Goals DefG]])</f>
        <v>9</v>
      </c>
      <c r="BB64" s="293">
        <f>IF(Tabel59[[#This Row],[Aantal games Alg]]=0,0,Tabel59[[#This Row],[Goals DefA]]/Tabel59[[#This Row],[Aantal games Alg]])</f>
        <v>1.8</v>
      </c>
      <c r="BC64" s="293">
        <f>SUM(Tabel59[[#This Row],[Goals Aanvaller]]+Tabel59[[#This Row],[Goals OffG]])</f>
        <v>28</v>
      </c>
      <c r="BD64" s="293">
        <f>IF(Tabel59[[#This Row],[Aantal games Alg]]=0,0,Tabel59[[#This Row],[Goals OffA]]/Tabel59[[#This Row],[Aantal games Alg]])</f>
        <v>5.6</v>
      </c>
      <c r="BE64" s="214">
        <f>Tabel59[[#This Row],[Goals DefA]]+Tabel59[[#This Row],[Goals OffA]]</f>
        <v>37</v>
      </c>
      <c r="BF64" s="214">
        <f>IF(Tabel59[[#This Row],[Aantal games Alg]]=0,0,Tabel59[[#This Row],[Goals Alg]]/Tabel59[[#This Row],[Aantal games Alg]])</f>
        <v>7.4</v>
      </c>
      <c r="BG64" s="148">
        <f ca="1">SUMIF(Tabel158[Team Rood],Tabel59[[#This Row],[Team]],Tabel158[ET])</f>
        <v>0</v>
      </c>
      <c r="BH64" s="150">
        <f ca="1">SUMIF(Tabel158[Team Groen],Tabel59[[#This Row],[Team]],Tabel158[ET])</f>
        <v>0</v>
      </c>
      <c r="BI64" s="153">
        <f ca="1">SUM(Tabel59[[#This Row],[ET Groen tot]],Tabel59[[#This Row],[ET Rood tot]])</f>
        <v>0</v>
      </c>
      <c r="BJ64" s="155">
        <f ca="1">IF(Tabel59[[#This Row],[Aantal games Alg]]=0,0,Tabel59[[#This Row],[ET tot]]/Tabel59[[#This Row],[Aantal games Alg]])</f>
        <v>0</v>
      </c>
    </row>
    <row r="65" spans="1:62" x14ac:dyDescent="0.25">
      <c r="A65" s="124">
        <f ca="1">IF(Tabel158[[#This Row],[Rood Verdediging]]&lt;&gt;"",IF(A65="",NOW(),A65),"")</f>
        <v>43878.947694907409</v>
      </c>
      <c r="B65" s="128">
        <f ca="1">IF(Tabel158[[#This Row],[Rood Verdediging]]&lt;&gt;"",IF(B65="",NOW(),B65),"")</f>
        <v>43878.947694907409</v>
      </c>
      <c r="C65" s="126">
        <f ca="1">IF(Tabel158[[#This Row],[Score]]&lt;&gt;"",IF(C65="",NOW(),C65),"")</f>
        <v>43878.947694907409</v>
      </c>
      <c r="D65" s="127">
        <f ca="1">IF(OR(Tabel158[[#This Row],[Starttijd]]="",Tabel158[[#This Row],[Eindtijd]]=""),"",Tabel158[[#This Row],[Eindtijd]]-Tabel158[[#This Row],[Starttijd]])</f>
        <v>0</v>
      </c>
      <c r="E65" s="74">
        <v>65</v>
      </c>
      <c r="F65" s="205" t="s">
        <v>8</v>
      </c>
      <c r="G65" s="210">
        <v>4</v>
      </c>
      <c r="H65" s="205" t="s">
        <v>6</v>
      </c>
      <c r="I65" s="210">
        <v>10</v>
      </c>
      <c r="J65" s="206" t="s">
        <v>7</v>
      </c>
      <c r="K65" s="212">
        <v>5</v>
      </c>
      <c r="L65" s="206" t="s">
        <v>15</v>
      </c>
      <c r="M65" s="212">
        <v>7</v>
      </c>
      <c r="N65" s="81">
        <f t="shared" ref="N65:N128" si="14">IF(ISBLANK(F65),"",SUM(G65,I65))</f>
        <v>14</v>
      </c>
      <c r="O65" s="82">
        <f t="shared" ref="O65:O128" si="15">IF(ISBLANK(F65),"",SUM(K65,M65))</f>
        <v>12</v>
      </c>
      <c r="P65" s="70" t="str">
        <f t="shared" si="2"/>
        <v>ROOD</v>
      </c>
      <c r="Q65" s="86" t="str">
        <f t="shared" ref="Q65:Q128" si="16">IF(N65&gt;O65,F65,IF(N65="","",J65))</f>
        <v>Louis</v>
      </c>
      <c r="R65" s="87" t="str">
        <f t="shared" ref="R65:R128" si="17">IF(N65&gt;O65,H65,IF(N65="","",L65))</f>
        <v>Stef D</v>
      </c>
      <c r="S65" t="str">
        <f>Tabel158[[#This Row],[Rood Verdediging]]&amp;Tabel158[[#This Row],[Rood Aanval]]</f>
        <v>LouisStef D</v>
      </c>
      <c r="T65" t="str">
        <f>Tabel158[[#This Row],[Groen Verdediging]]&amp;Tabel158[[#This Row],[Groen Aanval]]</f>
        <v>TiemenStijn</v>
      </c>
      <c r="U65" t="str">
        <f>Tabel158[[#This Row],[Winnaar 1]]&amp;Tabel158[[#This Row],[Winnaar 2]]</f>
        <v>LouisStef D</v>
      </c>
      <c r="V65" s="147" t="str">
        <f>IF(Tabel158[[#This Row],[Team Rood]]=Tabel158[[#This Row],[Winnaars]],Tabel158[[#This Row],[Team Rood]])</f>
        <v>LouisStef D</v>
      </c>
      <c r="W65" s="147" t="b">
        <f>IF(Tabel158[[#This Row],[Team Groen]]=Tabel158[[#This Row],[Winnaars]],Tabel158[[#This Row],[Team Groen]])</f>
        <v>0</v>
      </c>
      <c r="X65" s="147"/>
      <c r="AH65" s="251" t="s">
        <v>160</v>
      </c>
      <c r="AI65" s="233" t="s">
        <v>162</v>
      </c>
      <c r="AJ65" s="140" t="str">
        <f t="shared" si="13"/>
        <v>Tiemen*Matthijs*</v>
      </c>
      <c r="AK65" s="160">
        <f>IF(Tabel59[[#This Row],[Aantal Games Rood]]=0,0,(Tabel59[[#This Row],[Wins Rood]])/Tabel59[[#This Row],[Aantal Games Rood]])</f>
        <v>0</v>
      </c>
      <c r="AL65" s="159">
        <f>IF(Tabel59[[#This Row],[Aantal Games Groen]]=0,0,(Tabel59[[#This Row],[Wins Groen]])/Tabel59[[#This Row],[Aantal Games Groen]])</f>
        <v>0.5</v>
      </c>
      <c r="AM65" s="156">
        <f>IF(Tabel59[[#This Row],[Aantal games Alg]]=0,0,(Tabel59[[#This Row],[Wins Alg]])/Tabel59[[#This Row],[Aantal games Alg]])</f>
        <v>0.2</v>
      </c>
      <c r="AN65" s="138">
        <f>COUNTIF(Tabel158[Winaar rood],Tabel59[[#This Row],[Team]])</f>
        <v>0</v>
      </c>
      <c r="AO65" s="134">
        <f>COUNTIF(Tabel158[Winnaar Groen],Tabel59[[#This Row],[Team]])</f>
        <v>1</v>
      </c>
      <c r="AP65">
        <f>COUNTIF(Tabel158[Winnaars],Tabel59[[#This Row],[Team]])</f>
        <v>1</v>
      </c>
      <c r="AQ65" s="135">
        <f>Tabel59[[#This Row],[Aantal Games Rood]]-Tabel59[[#This Row],[Wins Rood]]</f>
        <v>3</v>
      </c>
      <c r="AR65" s="136">
        <f>Tabel59[[#This Row],[Aantal Games Groen]]-Tabel59[[#This Row],[Wins Groen]]</f>
        <v>1</v>
      </c>
      <c r="AS65" s="137">
        <f>Tabel59[[#This Row],[Aantal games Alg]]-Tabel59[[#This Row],[Wins Alg]]</f>
        <v>4</v>
      </c>
      <c r="AT65" s="138">
        <f>COUNTIF(Tabel158[Team Rood],Tabel59[[#This Row],[Team]])</f>
        <v>3</v>
      </c>
      <c r="AU65" s="136">
        <f>COUNTIF(Tabel158[Team Groen],Tabel59[[#This Row],[Team]])</f>
        <v>2</v>
      </c>
      <c r="AV65" s="214">
        <f>Tabel59[[#This Row],[Aantal Games Rood]]+Tabel59[[#This Row],[Aantal Games Groen]]</f>
        <v>5</v>
      </c>
      <c r="AW65" s="138">
        <f>SUMIF(Tabel158[Team Rood],Tabel59[[#This Row],[Team]],Tabel158[Score])</f>
        <v>4</v>
      </c>
      <c r="AX65" s="138">
        <f>SUMIF(Tabel158[Team Rood],Tabel59[[#This Row],[Team]],Tabel158[Score2])</f>
        <v>20</v>
      </c>
      <c r="AY65" s="134">
        <f>SUMIF(Tabel158[Team Groen],Tabel59[[#This Row],[Team]],Tabel158[Score3])</f>
        <v>9</v>
      </c>
      <c r="AZ65" s="136">
        <f>SUMIF(Tabel158[Team Groen],Tabel59[[#This Row],[Team]],Tabel158[Score4])</f>
        <v>10</v>
      </c>
      <c r="BA65">
        <f>SUM(Tabel59[[#This Row],[Goals Verdediger]]+Tabel59[[#This Row],[Goals DefG]])</f>
        <v>13</v>
      </c>
      <c r="BB65">
        <f>IF(Tabel59[[#This Row],[Aantal games Alg]]=0,0,Tabel59[[#This Row],[Goals DefA]]/Tabel59[[#This Row],[Aantal games Alg]])</f>
        <v>2.6</v>
      </c>
      <c r="BC65">
        <f>SUM(Tabel59[[#This Row],[Goals Aanvaller]]+Tabel59[[#This Row],[Goals OffG]])</f>
        <v>30</v>
      </c>
      <c r="BD65">
        <f>IF(Tabel59[[#This Row],[Aantal games Alg]]=0,0,Tabel59[[#This Row],[Goals OffA]]/Tabel59[[#This Row],[Aantal games Alg]])</f>
        <v>6</v>
      </c>
      <c r="BE65" s="112">
        <f>Tabel59[[#This Row],[Goals DefA]]+Tabel59[[#This Row],[Goals OffA]]</f>
        <v>43</v>
      </c>
      <c r="BF65" s="112">
        <f>IF(Tabel59[[#This Row],[Aantal games Alg]]=0,0,Tabel59[[#This Row],[Goals Alg]]/Tabel59[[#This Row],[Aantal games Alg]])</f>
        <v>8.6</v>
      </c>
      <c r="BG65" s="148">
        <f ca="1">SUMIF(Tabel158[Team Rood],Tabel59[[#This Row],[Team]],Tabel158[ET])</f>
        <v>0</v>
      </c>
      <c r="BH65" s="150">
        <f ca="1">SUMIF(Tabel158[Team Groen],Tabel59[[#This Row],[Team]],Tabel158[ET])</f>
        <v>0</v>
      </c>
      <c r="BI65" s="153">
        <f ca="1">SUM(Tabel59[[#This Row],[ET Groen tot]],Tabel59[[#This Row],[ET Rood tot]])</f>
        <v>0</v>
      </c>
      <c r="BJ65" s="155">
        <f ca="1">IF(Tabel59[[#This Row],[Aantal games Alg]]=0,0,Tabel59[[#This Row],[ET tot]]/Tabel59[[#This Row],[Aantal games Alg]])</f>
        <v>0</v>
      </c>
    </row>
    <row r="66" spans="1:62" x14ac:dyDescent="0.25">
      <c r="A66" s="124">
        <f ca="1">IF(Tabel158[[#This Row],[Rood Verdediging]]&lt;&gt;"",IF(A66="",NOW(),A66),"")</f>
        <v>43878.947694907409</v>
      </c>
      <c r="B66" s="128">
        <f ca="1">IF(Tabel158[[#This Row],[Rood Verdediging]]&lt;&gt;"",IF(B66="",NOW(),B66),"")</f>
        <v>43878.947694907409</v>
      </c>
      <c r="C66" s="126">
        <f ca="1">IF(Tabel158[[#This Row],[Score]]&lt;&gt;"",IF(C66="",NOW(),C66),"")</f>
        <v>43878.947694907409</v>
      </c>
      <c r="D66" s="127">
        <f ca="1">IF(OR(Tabel158[[#This Row],[Starttijd]]="",Tabel158[[#This Row],[Eindtijd]]=""),"",Tabel158[[#This Row],[Eindtijd]]-Tabel158[[#This Row],[Starttijd]])</f>
        <v>0</v>
      </c>
      <c r="E66" s="74">
        <v>66</v>
      </c>
      <c r="F66" s="205" t="s">
        <v>0</v>
      </c>
      <c r="G66" s="210">
        <v>5</v>
      </c>
      <c r="H66" s="205" t="s">
        <v>3</v>
      </c>
      <c r="I66" s="210">
        <v>6</v>
      </c>
      <c r="J66" s="206" t="s">
        <v>7</v>
      </c>
      <c r="K66" s="212">
        <v>1</v>
      </c>
      <c r="L66" s="206" t="s">
        <v>13</v>
      </c>
      <c r="M66" s="212">
        <v>6</v>
      </c>
      <c r="N66" s="81">
        <f t="shared" si="14"/>
        <v>11</v>
      </c>
      <c r="O66" s="82">
        <f t="shared" si="15"/>
        <v>7</v>
      </c>
      <c r="P66" s="70" t="str">
        <f t="shared" ref="P66:P129" si="18">IF(N66&gt;O66,"ROOD",IF(N66=O66,"","GROEN"))</f>
        <v>ROOD</v>
      </c>
      <c r="Q66" s="86" t="str">
        <f t="shared" si="16"/>
        <v>Jonas</v>
      </c>
      <c r="R66" s="87" t="str">
        <f t="shared" si="17"/>
        <v>Karel</v>
      </c>
      <c r="S66" t="str">
        <f>Tabel158[[#This Row],[Rood Verdediging]]&amp;Tabel158[[#This Row],[Rood Aanval]]</f>
        <v>JonasKarel</v>
      </c>
      <c r="T66" t="str">
        <f>Tabel158[[#This Row],[Groen Verdediging]]&amp;Tabel158[[#This Row],[Groen Aanval]]</f>
        <v>TiemenBert</v>
      </c>
      <c r="U66" t="str">
        <f>Tabel158[[#This Row],[Winnaar 1]]&amp;Tabel158[[#This Row],[Winnaar 2]]</f>
        <v>JonasKarel</v>
      </c>
      <c r="V66" s="147" t="str">
        <f>IF(Tabel158[[#This Row],[Team Rood]]=Tabel158[[#This Row],[Winnaars]],Tabel158[[#This Row],[Team Rood]])</f>
        <v>JonasKarel</v>
      </c>
      <c r="W66" s="147" t="b">
        <f>IF(Tabel158[[#This Row],[Team Groen]]=Tabel158[[#This Row],[Winnaars]],Tabel158[[#This Row],[Team Groen]])</f>
        <v>0</v>
      </c>
      <c r="X66" s="147"/>
      <c r="AH66" s="251" t="s">
        <v>159</v>
      </c>
      <c r="AI66" s="233" t="s">
        <v>161</v>
      </c>
      <c r="AJ66" s="140" t="str">
        <f t="shared" ref="AJ66:AJ97" si="19">AH66&amp;AI66</f>
        <v>Jonas*Louis*</v>
      </c>
      <c r="AK66" s="160">
        <f>IF(Tabel59[[#This Row],[Aantal Games Rood]]=0,0,(Tabel59[[#This Row],[Wins Rood]])/Tabel59[[#This Row],[Aantal Games Rood]])</f>
        <v>0.33333333333333331</v>
      </c>
      <c r="AL66" s="159">
        <f>IF(Tabel59[[#This Row],[Aantal Games Groen]]=0,0,(Tabel59[[#This Row],[Wins Groen]])/Tabel59[[#This Row],[Aantal Games Groen]])</f>
        <v>0</v>
      </c>
      <c r="AM66" s="156">
        <f>IF(Tabel59[[#This Row],[Aantal games Alg]]=0,0,(Tabel59[[#This Row],[Wins Alg]])/Tabel59[[#This Row],[Aantal games Alg]])</f>
        <v>0.14285714285714285</v>
      </c>
      <c r="AN66" s="138">
        <f>COUNTIF(Tabel158[Winaar rood],Tabel59[[#This Row],[Team]])</f>
        <v>1</v>
      </c>
      <c r="AO66" s="134">
        <f>COUNTIF(Tabel158[Winnaar Groen],Tabel59[[#This Row],[Team]])</f>
        <v>0</v>
      </c>
      <c r="AP66">
        <f>COUNTIF(Tabel158[Winnaars],Tabel59[[#This Row],[Team]])</f>
        <v>1</v>
      </c>
      <c r="AQ66" s="135">
        <f>Tabel59[[#This Row],[Aantal Games Rood]]-Tabel59[[#This Row],[Wins Rood]]</f>
        <v>2</v>
      </c>
      <c r="AR66" s="136">
        <f>Tabel59[[#This Row],[Aantal Games Groen]]-Tabel59[[#This Row],[Wins Groen]]</f>
        <v>4</v>
      </c>
      <c r="AS66" s="137">
        <f>Tabel59[[#This Row],[Aantal games Alg]]-Tabel59[[#This Row],[Wins Alg]]</f>
        <v>6</v>
      </c>
      <c r="AT66" s="138">
        <f>COUNTIF(Tabel158[Team Rood],Tabel59[[#This Row],[Team]])</f>
        <v>3</v>
      </c>
      <c r="AU66" s="136">
        <f>COUNTIF(Tabel158[Team Groen],Tabel59[[#This Row],[Team]])</f>
        <v>4</v>
      </c>
      <c r="AV66" s="112">
        <f>Tabel59[[#This Row],[Aantal Games Rood]]+Tabel59[[#This Row],[Aantal Games Groen]]</f>
        <v>7</v>
      </c>
      <c r="AW66" s="138">
        <f>SUMIF(Tabel158[Team Rood],Tabel59[[#This Row],[Team]],Tabel158[Score])</f>
        <v>10</v>
      </c>
      <c r="AX66" s="138">
        <f>SUMIF(Tabel158[Team Rood],Tabel59[[#This Row],[Team]],Tabel158[Score2])</f>
        <v>17</v>
      </c>
      <c r="AY66" s="134">
        <f>SUMIF(Tabel158[Team Groen],Tabel59[[#This Row],[Team]],Tabel158[Score3])</f>
        <v>6</v>
      </c>
      <c r="AZ66" s="136">
        <f>SUMIF(Tabel158[Team Groen],Tabel59[[#This Row],[Team]],Tabel158[Score4])</f>
        <v>17</v>
      </c>
      <c r="BA66">
        <f>SUM(Tabel59[[#This Row],[Goals Verdediger]]+Tabel59[[#This Row],[Goals DefG]])</f>
        <v>16</v>
      </c>
      <c r="BB66">
        <f>IF(Tabel59[[#This Row],[Aantal games Alg]]=0,0,Tabel59[[#This Row],[Goals DefA]]/Tabel59[[#This Row],[Aantal games Alg]])</f>
        <v>2.2857142857142856</v>
      </c>
      <c r="BC66">
        <f>SUM(Tabel59[[#This Row],[Goals Aanvaller]]+Tabel59[[#This Row],[Goals OffG]])</f>
        <v>34</v>
      </c>
      <c r="BD66">
        <f>IF(Tabel59[[#This Row],[Aantal games Alg]]=0,0,Tabel59[[#This Row],[Goals OffA]]/Tabel59[[#This Row],[Aantal games Alg]])</f>
        <v>4.8571428571428568</v>
      </c>
      <c r="BE66" s="112">
        <f>Tabel59[[#This Row],[Goals DefA]]+Tabel59[[#This Row],[Goals OffA]]</f>
        <v>50</v>
      </c>
      <c r="BF66" s="112">
        <f>IF(Tabel59[[#This Row],[Aantal games Alg]]=0,0,Tabel59[[#This Row],[Goals Alg]]/Tabel59[[#This Row],[Aantal games Alg]])</f>
        <v>7.1428571428571432</v>
      </c>
      <c r="BG66" s="148">
        <f ca="1">SUMIF(Tabel158[Team Rood],Tabel59[[#This Row],[Team]],Tabel158[ET])</f>
        <v>0</v>
      </c>
      <c r="BH66" s="150">
        <f ca="1">SUMIF(Tabel158[Team Groen],Tabel59[[#This Row],[Team]],Tabel158[ET])</f>
        <v>0</v>
      </c>
      <c r="BI66" s="153">
        <f ca="1">SUM(Tabel59[[#This Row],[ET Groen tot]],Tabel59[[#This Row],[ET Rood tot]])</f>
        <v>0</v>
      </c>
      <c r="BJ66" s="155">
        <f ca="1">IF(Tabel59[[#This Row],[Aantal games Alg]]=0,0,Tabel59[[#This Row],[ET tot]]/Tabel59[[#This Row],[Aantal games Alg]])</f>
        <v>0</v>
      </c>
    </row>
    <row r="67" spans="1:62" x14ac:dyDescent="0.25">
      <c r="A67" s="124">
        <f ca="1">IF(Tabel158[[#This Row],[Rood Verdediging]]&lt;&gt;"",IF(A67="",NOW(),A67),"")</f>
        <v>43878.947694907409</v>
      </c>
      <c r="B67" s="128">
        <f ca="1">IF(Tabel158[[#This Row],[Rood Verdediging]]&lt;&gt;"",IF(B67="",NOW(),B67),"")</f>
        <v>43878.947694907409</v>
      </c>
      <c r="C67" s="126">
        <f ca="1">IF(Tabel158[[#This Row],[Score]]&lt;&gt;"",IF(C67="",NOW(),C67),"")</f>
        <v>43878.947694907409</v>
      </c>
      <c r="D67" s="127">
        <f ca="1">IF(OR(Tabel158[[#This Row],[Starttijd]]="",Tabel158[[#This Row],[Eindtijd]]=""),"",Tabel158[[#This Row],[Eindtijd]]-Tabel158[[#This Row],[Starttijd]])</f>
        <v>0</v>
      </c>
      <c r="E67" s="74">
        <v>67</v>
      </c>
      <c r="F67" s="205" t="s">
        <v>0</v>
      </c>
      <c r="G67" s="210">
        <v>2</v>
      </c>
      <c r="H67" s="205" t="s">
        <v>7</v>
      </c>
      <c r="I67" s="210">
        <v>8</v>
      </c>
      <c r="J67" s="206" t="s">
        <v>8</v>
      </c>
      <c r="K67" s="212">
        <v>5</v>
      </c>
      <c r="L67" s="206" t="s">
        <v>6</v>
      </c>
      <c r="M67" s="212">
        <v>7</v>
      </c>
      <c r="N67" s="81">
        <f t="shared" si="14"/>
        <v>10</v>
      </c>
      <c r="O67" s="82">
        <f t="shared" si="15"/>
        <v>12</v>
      </c>
      <c r="P67" s="70" t="str">
        <f t="shared" si="18"/>
        <v>GROEN</v>
      </c>
      <c r="Q67" s="86" t="str">
        <f t="shared" si="16"/>
        <v>Louis</v>
      </c>
      <c r="R67" s="87" t="str">
        <f t="shared" si="17"/>
        <v>Stef D</v>
      </c>
      <c r="S67" t="str">
        <f>Tabel158[[#This Row],[Rood Verdediging]]&amp;Tabel158[[#This Row],[Rood Aanval]]</f>
        <v>JonasTiemen</v>
      </c>
      <c r="T67" t="str">
        <f>Tabel158[[#This Row],[Groen Verdediging]]&amp;Tabel158[[#This Row],[Groen Aanval]]</f>
        <v>LouisStef D</v>
      </c>
      <c r="U67" t="str">
        <f>Tabel158[[#This Row],[Winnaar 1]]&amp;Tabel158[[#This Row],[Winnaar 2]]</f>
        <v>LouisStef D</v>
      </c>
      <c r="V67" s="147" t="b">
        <f>IF(Tabel158[[#This Row],[Team Rood]]=Tabel158[[#This Row],[Winnaars]],Tabel158[[#This Row],[Team Rood]])</f>
        <v>0</v>
      </c>
      <c r="W67" s="147" t="str">
        <f>IF(Tabel158[[#This Row],[Team Groen]]=Tabel158[[#This Row],[Winnaars]],Tabel158[[#This Row],[Team Groen]])</f>
        <v>LouisStef D</v>
      </c>
      <c r="X67" s="147"/>
      <c r="AH67" s="251" t="s">
        <v>159</v>
      </c>
      <c r="AI67" s="233" t="s">
        <v>170</v>
      </c>
      <c r="AJ67" s="140" t="str">
        <f t="shared" si="19"/>
        <v>Jonas*Nico*</v>
      </c>
      <c r="AK67" s="160">
        <f>IF(Tabel59[[#This Row],[Aantal Games Rood]]=0,0,(Tabel59[[#This Row],[Wins Rood]])/Tabel59[[#This Row],[Aantal Games Rood]])</f>
        <v>0.125</v>
      </c>
      <c r="AL67" s="159">
        <f>IF(Tabel59[[#This Row],[Aantal Games Groen]]=0,0,(Tabel59[[#This Row],[Wins Groen]])/Tabel59[[#This Row],[Aantal Games Groen]])</f>
        <v>0</v>
      </c>
      <c r="AM67" s="156">
        <f>IF(Tabel59[[#This Row],[Aantal games Alg]]=0,0,(Tabel59[[#This Row],[Wins Alg]])/Tabel59[[#This Row],[Aantal games Alg]])</f>
        <v>6.25E-2</v>
      </c>
      <c r="AN67" s="138">
        <f>COUNTIF(Tabel158[Winaar rood],Tabel59[[#This Row],[Team]])</f>
        <v>1</v>
      </c>
      <c r="AO67" s="134">
        <f>COUNTIF(Tabel158[Winnaar Groen],Tabel59[[#This Row],[Team]])</f>
        <v>0</v>
      </c>
      <c r="AP67">
        <f>COUNTIF(Tabel158[Winnaars],Tabel59[[#This Row],[Team]])</f>
        <v>1</v>
      </c>
      <c r="AQ67" s="135">
        <f>Tabel59[[#This Row],[Aantal Games Rood]]-Tabel59[[#This Row],[Wins Rood]]</f>
        <v>7</v>
      </c>
      <c r="AR67" s="136">
        <f>Tabel59[[#This Row],[Aantal Games Groen]]-Tabel59[[#This Row],[Wins Groen]]</f>
        <v>8</v>
      </c>
      <c r="AS67" s="137">
        <f>Tabel59[[#This Row],[Aantal games Alg]]-Tabel59[[#This Row],[Wins Alg]]</f>
        <v>15</v>
      </c>
      <c r="AT67" s="138">
        <f>COUNTIF(Tabel158[Team Rood],Tabel59[[#This Row],[Team]])</f>
        <v>8</v>
      </c>
      <c r="AU67" s="136">
        <f>COUNTIF(Tabel158[Team Groen],Tabel59[[#This Row],[Team]])</f>
        <v>8</v>
      </c>
      <c r="AV67" s="112">
        <f>Tabel59[[#This Row],[Aantal Games Rood]]+Tabel59[[#This Row],[Aantal Games Groen]]</f>
        <v>16</v>
      </c>
      <c r="AW67" s="138">
        <f>SUMIF(Tabel158[Team Rood],Tabel59[[#This Row],[Team]],Tabel158[Score])</f>
        <v>37</v>
      </c>
      <c r="AX67" s="138">
        <f>SUMIF(Tabel158[Team Rood],Tabel59[[#This Row],[Team]],Tabel158[Score2])</f>
        <v>30</v>
      </c>
      <c r="AY67" s="134">
        <f>SUMIF(Tabel158[Team Groen],Tabel59[[#This Row],[Team]],Tabel158[Score3])</f>
        <v>22</v>
      </c>
      <c r="AZ67" s="136">
        <f>SUMIF(Tabel158[Team Groen],Tabel59[[#This Row],[Team]],Tabel158[Score4])</f>
        <v>27</v>
      </c>
      <c r="BA67">
        <f>SUM(Tabel59[[#This Row],[Goals Verdediger]]+Tabel59[[#This Row],[Goals DefG]])</f>
        <v>59</v>
      </c>
      <c r="BB67">
        <f>IF(Tabel59[[#This Row],[Aantal games Alg]]=0,0,Tabel59[[#This Row],[Goals DefA]]/Tabel59[[#This Row],[Aantal games Alg]])</f>
        <v>3.6875</v>
      </c>
      <c r="BC67">
        <f>SUM(Tabel59[[#This Row],[Goals Aanvaller]]+Tabel59[[#This Row],[Goals OffG]])</f>
        <v>57</v>
      </c>
      <c r="BD67">
        <f>IF(Tabel59[[#This Row],[Aantal games Alg]]=0,0,Tabel59[[#This Row],[Goals OffA]]/Tabel59[[#This Row],[Aantal games Alg]])</f>
        <v>3.5625</v>
      </c>
      <c r="BE67" s="112">
        <f>Tabel59[[#This Row],[Goals DefA]]+Tabel59[[#This Row],[Goals OffA]]</f>
        <v>116</v>
      </c>
      <c r="BF67" s="112">
        <f>IF(Tabel59[[#This Row],[Aantal games Alg]]=0,0,Tabel59[[#This Row],[Goals Alg]]/Tabel59[[#This Row],[Aantal games Alg]])</f>
        <v>7.25</v>
      </c>
      <c r="BG67" s="148">
        <f ca="1">SUMIF(Tabel158[Team Rood],Tabel59[[#This Row],[Team]],Tabel158[ET])</f>
        <v>0</v>
      </c>
      <c r="BH67" s="150">
        <f ca="1">SUMIF(Tabel158[Team Groen],Tabel59[[#This Row],[Team]],Tabel158[ET])</f>
        <v>0</v>
      </c>
      <c r="BI67" s="153">
        <f ca="1">SUM(Tabel59[[#This Row],[ET Groen tot]],Tabel59[[#This Row],[ET Rood tot]])</f>
        <v>0</v>
      </c>
      <c r="BJ67" s="155">
        <f ca="1">IF(Tabel59[[#This Row],[Aantal games Alg]]=0,0,Tabel59[[#This Row],[ET tot]]/Tabel59[[#This Row],[Aantal games Alg]])</f>
        <v>0</v>
      </c>
    </row>
    <row r="68" spans="1:62" x14ac:dyDescent="0.25">
      <c r="A68" s="124">
        <f ca="1">IF(Tabel158[[#This Row],[Rood Verdediging]]&lt;&gt;"",IF(A68="",NOW(),A68),"")</f>
        <v>43878.947694907409</v>
      </c>
      <c r="B68" s="128">
        <f ca="1">IF(Tabel158[[#This Row],[Rood Verdediging]]&lt;&gt;"",IF(B68="",NOW(),B68),"")</f>
        <v>43878.947694907409</v>
      </c>
      <c r="C68" s="126">
        <f ca="1">IF(Tabel158[[#This Row],[Score]]&lt;&gt;"",IF(C68="",NOW(),C68),"")</f>
        <v>43878.947694907409</v>
      </c>
      <c r="D68" s="127">
        <f ca="1">IF(OR(Tabel158[[#This Row],[Starttijd]]="",Tabel158[[#This Row],[Eindtijd]]=""),"",Tabel158[[#This Row],[Eindtijd]]-Tabel158[[#This Row],[Starttijd]])</f>
        <v>0</v>
      </c>
      <c r="E68" s="74">
        <v>68</v>
      </c>
      <c r="F68" s="205" t="s">
        <v>3</v>
      </c>
      <c r="G68" s="210">
        <v>6</v>
      </c>
      <c r="H68" s="205" t="s">
        <v>13</v>
      </c>
      <c r="I68" s="210">
        <v>5</v>
      </c>
      <c r="J68" s="206" t="s">
        <v>8</v>
      </c>
      <c r="K68" s="212">
        <v>3</v>
      </c>
      <c r="L68" s="206" t="s">
        <v>15</v>
      </c>
      <c r="M68" s="212">
        <v>3</v>
      </c>
      <c r="N68" s="81">
        <f t="shared" si="14"/>
        <v>11</v>
      </c>
      <c r="O68" s="82">
        <f t="shared" si="15"/>
        <v>6</v>
      </c>
      <c r="P68" s="70" t="str">
        <f t="shared" si="18"/>
        <v>ROOD</v>
      </c>
      <c r="Q68" s="86" t="str">
        <f t="shared" si="16"/>
        <v>Karel</v>
      </c>
      <c r="R68" s="87" t="str">
        <f t="shared" si="17"/>
        <v>Bert</v>
      </c>
      <c r="S68" t="str">
        <f>Tabel158[[#This Row],[Rood Verdediging]]&amp;Tabel158[[#This Row],[Rood Aanval]]</f>
        <v>KarelBert</v>
      </c>
      <c r="T68" t="str">
        <f>Tabel158[[#This Row],[Groen Verdediging]]&amp;Tabel158[[#This Row],[Groen Aanval]]</f>
        <v>LouisStijn</v>
      </c>
      <c r="U68" t="str">
        <f>Tabel158[[#This Row],[Winnaar 1]]&amp;Tabel158[[#This Row],[Winnaar 2]]</f>
        <v>KarelBert</v>
      </c>
      <c r="V68" s="147" t="str">
        <f>IF(Tabel158[[#This Row],[Team Rood]]=Tabel158[[#This Row],[Winnaars]],Tabel158[[#This Row],[Team Rood]])</f>
        <v>KarelBert</v>
      </c>
      <c r="W68" s="147" t="b">
        <f>IF(Tabel158[[#This Row],[Team Groen]]=Tabel158[[#This Row],[Winnaars]],Tabel158[[#This Row],[Team Groen]])</f>
        <v>0</v>
      </c>
      <c r="X68" s="147"/>
      <c r="AH68" s="251" t="s">
        <v>158</v>
      </c>
      <c r="AI68" s="233" t="s">
        <v>163</v>
      </c>
      <c r="AJ68" s="140" t="str">
        <f t="shared" si="19"/>
        <v>Arno*Bert*</v>
      </c>
      <c r="AK68" s="160">
        <f>IF(Tabel59[[#This Row],[Aantal Games Rood]]=0,0,(Tabel59[[#This Row],[Wins Rood]])/Tabel59[[#This Row],[Aantal Games Rood]])</f>
        <v>0</v>
      </c>
      <c r="AL68" s="159">
        <f>IF(Tabel59[[#This Row],[Aantal Games Groen]]=0,0,(Tabel59[[#This Row],[Wins Groen]])/Tabel59[[#This Row],[Aantal Games Groen]])</f>
        <v>0</v>
      </c>
      <c r="AM68" s="156">
        <f>IF(Tabel59[[#This Row],[Aantal games Alg]]=0,0,(Tabel59[[#This Row],[Wins Alg]])/Tabel59[[#This Row],[Aantal games Alg]])</f>
        <v>0</v>
      </c>
      <c r="AN68" s="133">
        <f>COUNTIF(Tabel158[Winaar rood],Tabel59[[#This Row],[Team]])</f>
        <v>0</v>
      </c>
      <c r="AO68" s="134">
        <f>COUNTIF(Tabel158[Winnaar Groen],Tabel59[[#This Row],[Team]])</f>
        <v>0</v>
      </c>
      <c r="AP68">
        <f>COUNTIF(Tabel158[Winnaars],Tabel59[[#This Row],[Team]])</f>
        <v>0</v>
      </c>
      <c r="AQ68" s="135">
        <f>Tabel59[[#This Row],[Aantal Games Rood]]-Tabel59[[#This Row],[Wins Rood]]</f>
        <v>0</v>
      </c>
      <c r="AR68" s="136">
        <f>Tabel59[[#This Row],[Aantal Games Groen]]-Tabel59[[#This Row],[Wins Groen]]</f>
        <v>0</v>
      </c>
      <c r="AS68" s="137">
        <f>Tabel59[[#This Row],[Aantal games Alg]]-Tabel59[[#This Row],[Wins Alg]]</f>
        <v>0</v>
      </c>
      <c r="AT68" s="138">
        <f>COUNTIF(Tabel158[Team Rood],Tabel59[[#This Row],[Team]])</f>
        <v>0</v>
      </c>
      <c r="AU68" s="136">
        <f>COUNTIF(Tabel158[Team Groen],Tabel59[[#This Row],[Team]])</f>
        <v>0</v>
      </c>
      <c r="AV68" s="112">
        <f>Tabel59[[#This Row],[Aantal Games Rood]]+Tabel59[[#This Row],[Aantal Games Groen]]</f>
        <v>0</v>
      </c>
      <c r="AW68" s="138">
        <f>SUMIF(Tabel158[Team Rood],Tabel59[[#This Row],[Team]],Tabel158[Score])</f>
        <v>0</v>
      </c>
      <c r="AX68" s="138">
        <f>SUMIF(Tabel158[Team Rood],Tabel59[[#This Row],[Team]],Tabel158[Score2])</f>
        <v>0</v>
      </c>
      <c r="AY68" s="134">
        <f>SUMIF(Tabel158[Team Groen],Tabel59[[#This Row],[Team]],Tabel158[Score3])</f>
        <v>0</v>
      </c>
      <c r="AZ68" s="136">
        <f>SUMIF(Tabel158[Team Groen],Tabel59[[#This Row],[Team]],Tabel158[Score4])</f>
        <v>0</v>
      </c>
      <c r="BA68">
        <f>SUM(Tabel59[[#This Row],[Goals Verdediger]]+Tabel59[[#This Row],[Goals DefG]])</f>
        <v>0</v>
      </c>
      <c r="BB68">
        <f>IF(Tabel59[[#This Row],[Aantal games Alg]]=0,0,Tabel59[[#This Row],[Goals DefA]]/Tabel59[[#This Row],[Aantal games Alg]])</f>
        <v>0</v>
      </c>
      <c r="BC68">
        <f>SUM(Tabel59[[#This Row],[Goals Aanvaller]]+Tabel59[[#This Row],[Goals OffG]])</f>
        <v>0</v>
      </c>
      <c r="BD68">
        <f>IF(Tabel59[[#This Row],[Aantal games Alg]]=0,0,Tabel59[[#This Row],[Goals OffA]]/Tabel59[[#This Row],[Aantal games Alg]])</f>
        <v>0</v>
      </c>
      <c r="BE68" s="214">
        <f>Tabel59[[#This Row],[Goals DefA]]+Tabel59[[#This Row],[Goals OffA]]</f>
        <v>0</v>
      </c>
      <c r="BF68" s="112">
        <f>IF(Tabel59[[#This Row],[Aantal games Alg]]=0,0,Tabel59[[#This Row],[Goals Alg]]/Tabel59[[#This Row],[Aantal games Alg]])</f>
        <v>0</v>
      </c>
      <c r="BG68" s="148">
        <f>SUMIF(Tabel158[Team Rood],Tabel59[[#This Row],[Team]],Tabel158[ET])</f>
        <v>0</v>
      </c>
      <c r="BH68" s="150">
        <f>SUMIF(Tabel158[Team Groen],Tabel59[[#This Row],[Team]],Tabel158[ET])</f>
        <v>0</v>
      </c>
      <c r="BI68" s="153">
        <f>SUM(Tabel59[[#This Row],[ET Groen tot]],Tabel59[[#This Row],[ET Rood tot]])</f>
        <v>0</v>
      </c>
      <c r="BJ68" s="155">
        <f>IF(Tabel59[[#This Row],[Aantal games Alg]]=0,0,Tabel59[[#This Row],[ET tot]]/Tabel59[[#This Row],[Aantal games Alg]])</f>
        <v>0</v>
      </c>
    </row>
    <row r="69" spans="1:62" x14ac:dyDescent="0.25">
      <c r="A69" s="124">
        <f ca="1">IF(Tabel158[[#This Row],[Rood Verdediging]]&lt;&gt;"",IF(A69="",NOW(),A69),"")</f>
        <v>43878.947694907409</v>
      </c>
      <c r="B69" s="128">
        <f ca="1">IF(Tabel158[[#This Row],[Rood Verdediging]]&lt;&gt;"",IF(B69="",NOW(),B69),"")</f>
        <v>43878.947694907409</v>
      </c>
      <c r="C69" s="126">
        <f ca="1">IF(Tabel158[[#This Row],[Score]]&lt;&gt;"",IF(C69="",NOW(),C69),"")</f>
        <v>43878.947694907409</v>
      </c>
      <c r="D69" s="127">
        <f ca="1">IF(OR(Tabel158[[#This Row],[Starttijd]]="",Tabel158[[#This Row],[Eindtijd]]=""),"",Tabel158[[#This Row],[Eindtijd]]-Tabel158[[#This Row],[Starttijd]])</f>
        <v>0</v>
      </c>
      <c r="E69" s="74">
        <v>69</v>
      </c>
      <c r="F69" s="205" t="s">
        <v>7</v>
      </c>
      <c r="G69" s="210">
        <v>5</v>
      </c>
      <c r="H69" s="205" t="s">
        <v>0</v>
      </c>
      <c r="I69" s="210">
        <v>6</v>
      </c>
      <c r="J69" s="206" t="s">
        <v>19</v>
      </c>
      <c r="K69" s="212">
        <v>0</v>
      </c>
      <c r="L69" s="206" t="s">
        <v>6</v>
      </c>
      <c r="M69" s="212">
        <v>6</v>
      </c>
      <c r="N69" s="81">
        <f t="shared" si="14"/>
        <v>11</v>
      </c>
      <c r="O69" s="82">
        <f t="shared" si="15"/>
        <v>6</v>
      </c>
      <c r="P69" s="70" t="str">
        <f t="shared" si="18"/>
        <v>ROOD</v>
      </c>
      <c r="Q69" s="86" t="str">
        <f t="shared" si="16"/>
        <v>Tiemen</v>
      </c>
      <c r="R69" s="87" t="str">
        <f t="shared" si="17"/>
        <v>Jonas</v>
      </c>
      <c r="S69" t="str">
        <f>Tabel158[[#This Row],[Rood Verdediging]]&amp;Tabel158[[#This Row],[Rood Aanval]]</f>
        <v>TiemenJonas</v>
      </c>
      <c r="T69" t="str">
        <f>Tabel158[[#This Row],[Groen Verdediging]]&amp;Tabel158[[#This Row],[Groen Aanval]]</f>
        <v>NicolasStef D</v>
      </c>
      <c r="U69" t="str">
        <f>Tabel158[[#This Row],[Winnaar 1]]&amp;Tabel158[[#This Row],[Winnaar 2]]</f>
        <v>TiemenJonas</v>
      </c>
      <c r="V69" s="147" t="str">
        <f>IF(Tabel158[[#This Row],[Team Rood]]=Tabel158[[#This Row],[Winnaars]],Tabel158[[#This Row],[Team Rood]])</f>
        <v>TiemenJonas</v>
      </c>
      <c r="W69" s="147" t="b">
        <f>IF(Tabel158[[#This Row],[Team Groen]]=Tabel158[[#This Row],[Winnaars]],Tabel158[[#This Row],[Team Groen]])</f>
        <v>0</v>
      </c>
      <c r="X69" s="147"/>
      <c r="AH69" s="251" t="s">
        <v>158</v>
      </c>
      <c r="AI69" s="233" t="s">
        <v>168</v>
      </c>
      <c r="AJ69" s="140" t="str">
        <f t="shared" si="19"/>
        <v>Arno*Coghe*</v>
      </c>
      <c r="AK69" s="160">
        <f>IF(Tabel59[[#This Row],[Aantal Games Rood]]=0,0,(Tabel59[[#This Row],[Wins Rood]])/Tabel59[[#This Row],[Aantal Games Rood]])</f>
        <v>0</v>
      </c>
      <c r="AL69" s="159">
        <f>IF(Tabel59[[#This Row],[Aantal Games Groen]]=0,0,(Tabel59[[#This Row],[Wins Groen]])/Tabel59[[#This Row],[Aantal Games Groen]])</f>
        <v>0</v>
      </c>
      <c r="AM69" s="156">
        <f>IF(Tabel59[[#This Row],[Aantal games Alg]]=0,0,(Tabel59[[#This Row],[Wins Alg]])/Tabel59[[#This Row],[Aantal games Alg]])</f>
        <v>0</v>
      </c>
      <c r="AN69" s="171">
        <f>COUNTIF(Tabel158[Winaar rood],Tabel59[[#This Row],[Team]])</f>
        <v>0</v>
      </c>
      <c r="AO69" s="169">
        <f>COUNTIF(Tabel158[Winnaar Groen],Tabel59[[#This Row],[Team]])</f>
        <v>0</v>
      </c>
      <c r="AP69" s="170">
        <f>COUNTIF(Tabel158[Winnaars],Tabel59[[#This Row],[Team]])</f>
        <v>0</v>
      </c>
      <c r="AQ69" s="163">
        <f>Tabel59[[#This Row],[Aantal Games Rood]]-Tabel59[[#This Row],[Wins Rood]]</f>
        <v>0</v>
      </c>
      <c r="AR69" s="169">
        <f>Tabel59[[#This Row],[Aantal Games Groen]]-Tabel59[[#This Row],[Wins Groen]]</f>
        <v>0</v>
      </c>
      <c r="AS69" s="165">
        <f>Tabel59[[#This Row],[Aantal games Alg]]-Tabel59[[#This Row],[Wins Alg]]</f>
        <v>0</v>
      </c>
      <c r="AT69" s="171">
        <f>COUNTIF(Tabel158[Team Rood],Tabel59[[#This Row],[Team]])</f>
        <v>0</v>
      </c>
      <c r="AU69" s="169">
        <f>COUNTIF(Tabel158[Team Groen],Tabel59[[#This Row],[Team]])</f>
        <v>0</v>
      </c>
      <c r="AV69" s="170">
        <f>Tabel59[[#This Row],[Aantal Games Rood]]+Tabel59[[#This Row],[Aantal Games Groen]]</f>
        <v>0</v>
      </c>
      <c r="AW69" s="171">
        <f>SUMIF(Tabel158[Team Rood],Tabel59[[#This Row],[Team]],Tabel158[Score])</f>
        <v>0</v>
      </c>
      <c r="AX69" s="171">
        <f>SUMIF(Tabel158[Team Rood],Tabel59[[#This Row],[Team]],Tabel158[Score2])</f>
        <v>0</v>
      </c>
      <c r="AY69" s="136">
        <f>SUMIF(Tabel158[Team Groen],Tabel59[[#This Row],[Team]],Tabel158[Score3])</f>
        <v>0</v>
      </c>
      <c r="AZ69" s="169">
        <f>SUMIF(Tabel158[Team Groen],Tabel59[[#This Row],[Team]],Tabel158[Score4])</f>
        <v>0</v>
      </c>
      <c r="BA69" s="172">
        <f>SUM(Tabel59[[#This Row],[Goals Verdediger]]+Tabel59[[#This Row],[Goals DefG]])</f>
        <v>0</v>
      </c>
      <c r="BB69" s="170">
        <f>IF(Tabel59[[#This Row],[Aantal games Alg]]=0,0,Tabel59[[#This Row],[Goals DefA]]/Tabel59[[#This Row],[Aantal games Alg]])</f>
        <v>0</v>
      </c>
      <c r="BC69" s="172">
        <f>SUM(Tabel59[[#This Row],[Goals Aanvaller]]+Tabel59[[#This Row],[Goals OffG]])</f>
        <v>0</v>
      </c>
      <c r="BD69" s="170">
        <f>IF(Tabel59[[#This Row],[Aantal games Alg]]=0,0,Tabel59[[#This Row],[Goals OffA]]/Tabel59[[#This Row],[Aantal games Alg]])</f>
        <v>0</v>
      </c>
      <c r="BE69" s="170">
        <f>Tabel59[[#This Row],[Goals DefA]]+Tabel59[[#This Row],[Goals OffA]]</f>
        <v>0</v>
      </c>
      <c r="BF69" s="170">
        <f>IF(Tabel59[[#This Row],[Aantal games Alg]]=0,0,Tabel59[[#This Row],[Goals Alg]]/Tabel59[[#This Row],[Aantal games Alg]])</f>
        <v>0</v>
      </c>
      <c r="BG69" s="148">
        <f>SUMIF(Tabel158[Team Rood],Tabel59[[#This Row],[Team]],Tabel158[ET])</f>
        <v>0</v>
      </c>
      <c r="BH69" s="150">
        <f>SUMIF(Tabel158[Team Groen],Tabel59[[#This Row],[Team]],Tabel158[ET])</f>
        <v>0</v>
      </c>
      <c r="BI69" s="153">
        <f>SUM(Tabel59[[#This Row],[ET Groen tot]],Tabel59[[#This Row],[ET Rood tot]])</f>
        <v>0</v>
      </c>
      <c r="BJ69" s="155">
        <f>IF(Tabel59[[#This Row],[Aantal games Alg]]=0,0,Tabel59[[#This Row],[ET tot]]/Tabel59[[#This Row],[Aantal games Alg]])</f>
        <v>0</v>
      </c>
    </row>
    <row r="70" spans="1:62" x14ac:dyDescent="0.25">
      <c r="A70" s="124">
        <f ca="1">IF(Tabel158[[#This Row],[Rood Verdediging]]&lt;&gt;"",IF(A70="",NOW(),A70),"")</f>
        <v>43878.947694907409</v>
      </c>
      <c r="B70" s="128">
        <f ca="1">IF(Tabel158[[#This Row],[Rood Verdediging]]&lt;&gt;"",IF(B70="",NOW(),B70),"")</f>
        <v>43878.947694907409</v>
      </c>
      <c r="C70" s="126">
        <f ca="1">IF(Tabel158[[#This Row],[Score]]&lt;&gt;"",IF(C70="",NOW(),C70),"")</f>
        <v>43878.947694907409</v>
      </c>
      <c r="D70" s="127">
        <f ca="1">IF(OR(Tabel158[[#This Row],[Starttijd]]="",Tabel158[[#This Row],[Eindtijd]]=""),"",Tabel158[[#This Row],[Eindtijd]]-Tabel158[[#This Row],[Starttijd]])</f>
        <v>0</v>
      </c>
      <c r="E70" s="74">
        <v>70</v>
      </c>
      <c r="F70" s="205" t="s">
        <v>3</v>
      </c>
      <c r="G70" s="210">
        <v>3</v>
      </c>
      <c r="H70" s="205" t="s">
        <v>6</v>
      </c>
      <c r="I70" s="210">
        <v>8</v>
      </c>
      <c r="J70" s="206" t="s">
        <v>0</v>
      </c>
      <c r="K70" s="212">
        <v>5</v>
      </c>
      <c r="L70" s="206" t="s">
        <v>15</v>
      </c>
      <c r="M70" s="212">
        <v>3</v>
      </c>
      <c r="N70" s="81">
        <f t="shared" si="14"/>
        <v>11</v>
      </c>
      <c r="O70" s="82">
        <f t="shared" si="15"/>
        <v>8</v>
      </c>
      <c r="P70" s="70" t="str">
        <f t="shared" si="18"/>
        <v>ROOD</v>
      </c>
      <c r="Q70" s="86" t="str">
        <f t="shared" si="16"/>
        <v>Karel</v>
      </c>
      <c r="R70" s="87" t="str">
        <f t="shared" si="17"/>
        <v>Stef D</v>
      </c>
      <c r="S70" t="str">
        <f>Tabel158[[#This Row],[Rood Verdediging]]&amp;Tabel158[[#This Row],[Rood Aanval]]</f>
        <v>KarelStef D</v>
      </c>
      <c r="T70" t="str">
        <f>Tabel158[[#This Row],[Groen Verdediging]]&amp;Tabel158[[#This Row],[Groen Aanval]]</f>
        <v>JonasStijn</v>
      </c>
      <c r="U70" t="str">
        <f>Tabel158[[#This Row],[Winnaar 1]]&amp;Tabel158[[#This Row],[Winnaar 2]]</f>
        <v>KarelStef D</v>
      </c>
      <c r="V70" s="147" t="str">
        <f>IF(Tabel158[[#This Row],[Team Rood]]=Tabel158[[#This Row],[Winnaars]],Tabel158[[#This Row],[Team Rood]])</f>
        <v>KarelStef D</v>
      </c>
      <c r="W70" s="147" t="b">
        <f>IF(Tabel158[[#This Row],[Team Groen]]=Tabel158[[#This Row],[Winnaars]],Tabel158[[#This Row],[Team Groen]])</f>
        <v>0</v>
      </c>
      <c r="X70" s="147"/>
      <c r="AH70" s="251" t="s">
        <v>158</v>
      </c>
      <c r="AI70" s="233" t="s">
        <v>67</v>
      </c>
      <c r="AJ70" s="140" t="str">
        <f t="shared" si="19"/>
        <v>Arno*Lawrence</v>
      </c>
      <c r="AK70" s="160">
        <f>IF(Tabel59[[#This Row],[Aantal Games Rood]]=0,0,(Tabel59[[#This Row],[Wins Rood]])/Tabel59[[#This Row],[Aantal Games Rood]])</f>
        <v>0</v>
      </c>
      <c r="AL70" s="159">
        <f>IF(Tabel59[[#This Row],[Aantal Games Groen]]=0,0,(Tabel59[[#This Row],[Wins Groen]])/Tabel59[[#This Row],[Aantal Games Groen]])</f>
        <v>0</v>
      </c>
      <c r="AM70" s="156">
        <f>IF(Tabel59[[#This Row],[Aantal games Alg]]=0,0,(Tabel59[[#This Row],[Wins Alg]])/Tabel59[[#This Row],[Aantal games Alg]])</f>
        <v>0</v>
      </c>
      <c r="AN70" s="133">
        <f>COUNTIF(Tabel158[Winaar rood],Tabel59[[#This Row],[Team]])</f>
        <v>0</v>
      </c>
      <c r="AO70" s="134">
        <f>COUNTIF(Tabel158[Winnaar Groen],Tabel59[[#This Row],[Team]])</f>
        <v>0</v>
      </c>
      <c r="AP70">
        <f>COUNTIF(Tabel158[Winnaars],Tabel59[[#This Row],[Team]])</f>
        <v>0</v>
      </c>
      <c r="AQ70" s="135">
        <f>Tabel59[[#This Row],[Aantal Games Rood]]-Tabel59[[#This Row],[Wins Rood]]</f>
        <v>0</v>
      </c>
      <c r="AR70" s="136">
        <f>Tabel59[[#This Row],[Aantal Games Groen]]-Tabel59[[#This Row],[Wins Groen]]</f>
        <v>0</v>
      </c>
      <c r="AS70" s="137">
        <f>Tabel59[[#This Row],[Aantal games Alg]]-Tabel59[[#This Row],[Wins Alg]]</f>
        <v>0</v>
      </c>
      <c r="AT70" s="138">
        <f>COUNTIF(Tabel158[Team Rood],Tabel59[[#This Row],[Team]])</f>
        <v>0</v>
      </c>
      <c r="AU70" s="136">
        <f>COUNTIF(Tabel158[Team Groen],Tabel59[[#This Row],[Team]])</f>
        <v>0</v>
      </c>
      <c r="AV70" s="214">
        <f>Tabel59[[#This Row],[Aantal Games Rood]]+Tabel59[[#This Row],[Aantal Games Groen]]</f>
        <v>0</v>
      </c>
      <c r="AW70" s="138">
        <f>SUMIF(Tabel158[Team Rood],Tabel59[[#This Row],[Team]],Tabel158[Score])</f>
        <v>0</v>
      </c>
      <c r="AX70" s="138">
        <f>SUMIF(Tabel158[Team Rood],Tabel59[[#This Row],[Team]],Tabel158[Score2])</f>
        <v>0</v>
      </c>
      <c r="AY70" s="134">
        <f>SUMIF(Tabel158[Team Groen],Tabel59[[#This Row],[Team]],Tabel158[Score3])</f>
        <v>0</v>
      </c>
      <c r="AZ70" s="136">
        <f>SUMIF(Tabel158[Team Groen],Tabel59[[#This Row],[Team]],Tabel158[Score4])</f>
        <v>0</v>
      </c>
      <c r="BA70">
        <f>SUM(Tabel59[[#This Row],[Goals Verdediger]]+Tabel59[[#This Row],[Goals DefG]])</f>
        <v>0</v>
      </c>
      <c r="BB70">
        <f>IF(Tabel59[[#This Row],[Aantal games Alg]]=0,0,Tabel59[[#This Row],[Goals DefA]]/Tabel59[[#This Row],[Aantal games Alg]])</f>
        <v>0</v>
      </c>
      <c r="BC70">
        <f>SUM(Tabel59[[#This Row],[Goals Aanvaller]]+Tabel59[[#This Row],[Goals OffG]])</f>
        <v>0</v>
      </c>
      <c r="BD70">
        <f>IF(Tabel59[[#This Row],[Aantal games Alg]]=0,0,Tabel59[[#This Row],[Goals OffA]]/Tabel59[[#This Row],[Aantal games Alg]])</f>
        <v>0</v>
      </c>
      <c r="BE70" s="112">
        <f>Tabel59[[#This Row],[Goals DefA]]+Tabel59[[#This Row],[Goals OffA]]</f>
        <v>0</v>
      </c>
      <c r="BF70" s="112">
        <f>IF(Tabel59[[#This Row],[Aantal games Alg]]=0,0,Tabel59[[#This Row],[Goals Alg]]/Tabel59[[#This Row],[Aantal games Alg]])</f>
        <v>0</v>
      </c>
      <c r="BG70" s="148">
        <f>SUMIF(Tabel158[Team Rood],Tabel59[[#This Row],[Team]],Tabel158[ET])</f>
        <v>0</v>
      </c>
      <c r="BH70" s="150">
        <f>SUMIF(Tabel158[Team Groen],Tabel59[[#This Row],[Team]],Tabel158[ET])</f>
        <v>0</v>
      </c>
      <c r="BI70" s="153">
        <f>SUM(Tabel59[[#This Row],[ET Groen tot]],Tabel59[[#This Row],[ET Rood tot]])</f>
        <v>0</v>
      </c>
      <c r="BJ70" s="155">
        <f>IF(Tabel59[[#This Row],[Aantal games Alg]]=0,0,Tabel59[[#This Row],[ET tot]]/Tabel59[[#This Row],[Aantal games Alg]])</f>
        <v>0</v>
      </c>
    </row>
    <row r="71" spans="1:62" x14ac:dyDescent="0.25">
      <c r="A71" s="124">
        <f ca="1">IF(Tabel158[[#This Row],[Rood Verdediging]]&lt;&gt;"",IF(A71="",NOW(),A71),"")</f>
        <v>43878.947694907409</v>
      </c>
      <c r="B71" s="128">
        <f ca="1">IF(Tabel158[[#This Row],[Rood Verdediging]]&lt;&gt;"",IF(B71="",NOW(),B71),"")</f>
        <v>43878.947694907409</v>
      </c>
      <c r="C71" s="126">
        <f ca="1">IF(Tabel158[[#This Row],[Score]]&lt;&gt;"",IF(C71="",NOW(),C71),"")</f>
        <v>43878.947694907409</v>
      </c>
      <c r="D71" s="127">
        <f ca="1">IF(OR(Tabel158[[#This Row],[Starttijd]]="",Tabel158[[#This Row],[Eindtijd]]=""),"",Tabel158[[#This Row],[Eindtijd]]-Tabel158[[#This Row],[Starttijd]])</f>
        <v>0</v>
      </c>
      <c r="E71" s="74">
        <v>71</v>
      </c>
      <c r="F71" s="205" t="s">
        <v>6</v>
      </c>
      <c r="G71" s="210">
        <v>4</v>
      </c>
      <c r="H71" s="205" t="s">
        <v>7</v>
      </c>
      <c r="I71" s="210">
        <v>7</v>
      </c>
      <c r="J71" s="206" t="s">
        <v>15</v>
      </c>
      <c r="K71" s="212">
        <v>0</v>
      </c>
      <c r="L71" s="206" t="s">
        <v>19</v>
      </c>
      <c r="M71" s="212">
        <v>5</v>
      </c>
      <c r="N71" s="81">
        <f t="shared" si="14"/>
        <v>11</v>
      </c>
      <c r="O71" s="82">
        <f t="shared" si="15"/>
        <v>5</v>
      </c>
      <c r="P71" s="70" t="str">
        <f t="shared" si="18"/>
        <v>ROOD</v>
      </c>
      <c r="Q71" s="86" t="str">
        <f t="shared" si="16"/>
        <v>Stef D</v>
      </c>
      <c r="R71" s="87" t="str">
        <f t="shared" si="17"/>
        <v>Tiemen</v>
      </c>
      <c r="S71" t="str">
        <f>Tabel158[[#This Row],[Rood Verdediging]]&amp;Tabel158[[#This Row],[Rood Aanval]]</f>
        <v>Stef DTiemen</v>
      </c>
      <c r="T71" t="str">
        <f>Tabel158[[#This Row],[Groen Verdediging]]&amp;Tabel158[[#This Row],[Groen Aanval]]</f>
        <v>StijnNicolas</v>
      </c>
      <c r="U71" t="str">
        <f>Tabel158[[#This Row],[Winnaar 1]]&amp;Tabel158[[#This Row],[Winnaar 2]]</f>
        <v>Stef DTiemen</v>
      </c>
      <c r="V71" s="147" t="str">
        <f>IF(Tabel158[[#This Row],[Team Rood]]=Tabel158[[#This Row],[Winnaars]],Tabel158[[#This Row],[Team Rood]])</f>
        <v>Stef DTiemen</v>
      </c>
      <c r="W71" s="147" t="b">
        <f>IF(Tabel158[[#This Row],[Team Groen]]=Tabel158[[#This Row],[Winnaars]],Tabel158[[#This Row],[Team Groen]])</f>
        <v>0</v>
      </c>
      <c r="X71" s="147"/>
      <c r="AH71" s="251" t="s">
        <v>158</v>
      </c>
      <c r="AI71" s="233" t="s">
        <v>161</v>
      </c>
      <c r="AJ71" s="140" t="str">
        <f t="shared" si="19"/>
        <v>Arno*Louis*</v>
      </c>
      <c r="AK71" s="160">
        <f>IF(Tabel59[[#This Row],[Aantal Games Rood]]=0,0,(Tabel59[[#This Row],[Wins Rood]])/Tabel59[[#This Row],[Aantal Games Rood]])</f>
        <v>0</v>
      </c>
      <c r="AL71" s="159">
        <f>IF(Tabel59[[#This Row],[Aantal Games Groen]]=0,0,(Tabel59[[#This Row],[Wins Groen]])/Tabel59[[#This Row],[Aantal Games Groen]])</f>
        <v>0</v>
      </c>
      <c r="AM71" s="156">
        <f>IF(Tabel59[[#This Row],[Aantal games Alg]]=0,0,(Tabel59[[#This Row],[Wins Alg]])/Tabel59[[#This Row],[Aantal games Alg]])</f>
        <v>0</v>
      </c>
      <c r="AN71" s="133">
        <f>COUNTIF(Tabel158[Winaar rood],Tabel59[[#This Row],[Team]])</f>
        <v>0</v>
      </c>
      <c r="AO71" s="134">
        <f>COUNTIF(Tabel158[Winnaar Groen],Tabel59[[#This Row],[Team]])</f>
        <v>0</v>
      </c>
      <c r="AP71">
        <f>COUNTIF(Tabel158[Winnaars],Tabel59[[#This Row],[Team]])</f>
        <v>0</v>
      </c>
      <c r="AQ71" s="135">
        <f>Tabel59[[#This Row],[Aantal Games Rood]]-Tabel59[[#This Row],[Wins Rood]]</f>
        <v>0</v>
      </c>
      <c r="AR71" s="136">
        <f>Tabel59[[#This Row],[Aantal Games Groen]]-Tabel59[[#This Row],[Wins Groen]]</f>
        <v>0</v>
      </c>
      <c r="AS71" s="137">
        <f>Tabel59[[#This Row],[Aantal games Alg]]-Tabel59[[#This Row],[Wins Alg]]</f>
        <v>0</v>
      </c>
      <c r="AT71" s="138">
        <f>COUNTIF(Tabel158[Team Rood],Tabel59[[#This Row],[Team]])</f>
        <v>0</v>
      </c>
      <c r="AU71" s="136">
        <f>COUNTIF(Tabel158[Team Groen],Tabel59[[#This Row],[Team]])</f>
        <v>0</v>
      </c>
      <c r="AV71" s="112">
        <f>Tabel59[[#This Row],[Aantal Games Rood]]+Tabel59[[#This Row],[Aantal Games Groen]]</f>
        <v>0</v>
      </c>
      <c r="AW71" s="138">
        <f>SUMIF(Tabel158[Team Rood],Tabel59[[#This Row],[Team]],Tabel158[Score])</f>
        <v>0</v>
      </c>
      <c r="AX71" s="138">
        <f>SUMIF(Tabel158[Team Rood],Tabel59[[#This Row],[Team]],Tabel158[Score2])</f>
        <v>0</v>
      </c>
      <c r="AY71" s="134">
        <f>SUMIF(Tabel158[Team Groen],Tabel59[[#This Row],[Team]],Tabel158[Score3])</f>
        <v>0</v>
      </c>
      <c r="AZ71" s="136">
        <f>SUMIF(Tabel158[Team Groen],Tabel59[[#This Row],[Team]],Tabel158[Score4])</f>
        <v>0</v>
      </c>
      <c r="BA71">
        <f>SUM(Tabel59[[#This Row],[Goals Verdediger]]+Tabel59[[#This Row],[Goals DefG]])</f>
        <v>0</v>
      </c>
      <c r="BB71">
        <f>IF(Tabel59[[#This Row],[Aantal games Alg]]=0,0,Tabel59[[#This Row],[Goals DefA]]/Tabel59[[#This Row],[Aantal games Alg]])</f>
        <v>0</v>
      </c>
      <c r="BC71">
        <f>SUM(Tabel59[[#This Row],[Goals Aanvaller]]+Tabel59[[#This Row],[Goals OffG]])</f>
        <v>0</v>
      </c>
      <c r="BD71">
        <f>IF(Tabel59[[#This Row],[Aantal games Alg]]=0,0,Tabel59[[#This Row],[Goals OffA]]/Tabel59[[#This Row],[Aantal games Alg]])</f>
        <v>0</v>
      </c>
      <c r="BE71" s="112">
        <f>Tabel59[[#This Row],[Goals DefA]]+Tabel59[[#This Row],[Goals OffA]]</f>
        <v>0</v>
      </c>
      <c r="BF71" s="112">
        <f>IF(Tabel59[[#This Row],[Aantal games Alg]]=0,0,Tabel59[[#This Row],[Goals Alg]]/Tabel59[[#This Row],[Aantal games Alg]])</f>
        <v>0</v>
      </c>
      <c r="BG71" s="148">
        <f>SUMIF(Tabel158[Team Rood],Tabel59[[#This Row],[Team]],Tabel158[ET])</f>
        <v>0</v>
      </c>
      <c r="BH71" s="150">
        <f>SUMIF(Tabel158[Team Groen],Tabel59[[#This Row],[Team]],Tabel158[ET])</f>
        <v>0</v>
      </c>
      <c r="BI71" s="153">
        <f>SUM(Tabel59[[#This Row],[ET Groen tot]],Tabel59[[#This Row],[ET Rood tot]])</f>
        <v>0</v>
      </c>
      <c r="BJ71" s="155">
        <f>IF(Tabel59[[#This Row],[Aantal games Alg]]=0,0,Tabel59[[#This Row],[ET tot]]/Tabel59[[#This Row],[Aantal games Alg]])</f>
        <v>0</v>
      </c>
    </row>
    <row r="72" spans="1:62" x14ac:dyDescent="0.25">
      <c r="A72" s="124">
        <f ca="1">IF(Tabel158[[#This Row],[Rood Verdediging]]&lt;&gt;"",IF(A72="",NOW(),A72),"")</f>
        <v>43878.947694907409</v>
      </c>
      <c r="B72" s="128">
        <f ca="1">IF(Tabel158[[#This Row],[Rood Verdediging]]&lt;&gt;"",IF(B72="",NOW(),B72),"")</f>
        <v>43878.947694907409</v>
      </c>
      <c r="C72" s="126">
        <f ca="1">IF(Tabel158[[#This Row],[Score]]&lt;&gt;"",IF(C72="",NOW(),C72),"")</f>
        <v>43878.947694907409</v>
      </c>
      <c r="D72" s="127">
        <f ca="1">IF(OR(Tabel158[[#This Row],[Starttijd]]="",Tabel158[[#This Row],[Eindtijd]]=""),"",Tabel158[[#This Row],[Eindtijd]]-Tabel158[[#This Row],[Starttijd]])</f>
        <v>0</v>
      </c>
      <c r="E72" s="74">
        <v>72</v>
      </c>
      <c r="F72" s="205" t="s">
        <v>6</v>
      </c>
      <c r="G72" s="210">
        <v>5</v>
      </c>
      <c r="H72" s="205" t="s">
        <v>15</v>
      </c>
      <c r="I72" s="210">
        <v>1</v>
      </c>
      <c r="J72" s="206" t="s">
        <v>7</v>
      </c>
      <c r="K72" s="212">
        <v>6</v>
      </c>
      <c r="L72" s="206" t="s">
        <v>19</v>
      </c>
      <c r="M72" s="212">
        <v>5</v>
      </c>
      <c r="N72" s="81">
        <f t="shared" si="14"/>
        <v>6</v>
      </c>
      <c r="O72" s="82">
        <f t="shared" si="15"/>
        <v>11</v>
      </c>
      <c r="P72" s="70" t="str">
        <f t="shared" si="18"/>
        <v>GROEN</v>
      </c>
      <c r="Q72" s="86" t="str">
        <f t="shared" si="16"/>
        <v>Tiemen</v>
      </c>
      <c r="R72" s="87" t="str">
        <f t="shared" si="17"/>
        <v>Nicolas</v>
      </c>
      <c r="S72" t="str">
        <f>Tabel158[[#This Row],[Rood Verdediging]]&amp;Tabel158[[#This Row],[Rood Aanval]]</f>
        <v>Stef DStijn</v>
      </c>
      <c r="T72" t="str">
        <f>Tabel158[[#This Row],[Groen Verdediging]]&amp;Tabel158[[#This Row],[Groen Aanval]]</f>
        <v>TiemenNicolas</v>
      </c>
      <c r="U72" t="str">
        <f>Tabel158[[#This Row],[Winnaar 1]]&amp;Tabel158[[#This Row],[Winnaar 2]]</f>
        <v>TiemenNicolas</v>
      </c>
      <c r="V72" s="147" t="b">
        <f>IF(Tabel158[[#This Row],[Team Rood]]=Tabel158[[#This Row],[Winnaars]],Tabel158[[#This Row],[Team Rood]])</f>
        <v>0</v>
      </c>
      <c r="W72" s="147" t="str">
        <f>IF(Tabel158[[#This Row],[Team Groen]]=Tabel158[[#This Row],[Winnaars]],Tabel158[[#This Row],[Team Groen]])</f>
        <v>TiemenNicolas</v>
      </c>
      <c r="X72" s="147"/>
      <c r="AH72" s="251" t="s">
        <v>158</v>
      </c>
      <c r="AI72" s="233" t="s">
        <v>162</v>
      </c>
      <c r="AJ72" s="140" t="str">
        <f t="shared" si="19"/>
        <v>Arno*Matthijs*</v>
      </c>
      <c r="AK72" s="160">
        <f>IF(Tabel59[[#This Row],[Aantal Games Rood]]=0,0,(Tabel59[[#This Row],[Wins Rood]])/Tabel59[[#This Row],[Aantal Games Rood]])</f>
        <v>0</v>
      </c>
      <c r="AL72" s="159">
        <f>IF(Tabel59[[#This Row],[Aantal Games Groen]]=0,0,(Tabel59[[#This Row],[Wins Groen]])/Tabel59[[#This Row],[Aantal Games Groen]])</f>
        <v>0</v>
      </c>
      <c r="AM72" s="156">
        <f>IF(Tabel59[[#This Row],[Aantal games Alg]]=0,0,(Tabel59[[#This Row],[Wins Alg]])/Tabel59[[#This Row],[Aantal games Alg]])</f>
        <v>0</v>
      </c>
      <c r="AN72" s="138">
        <f>COUNTIF(Tabel158[Winaar rood],Tabel59[[#This Row],[Team]])</f>
        <v>0</v>
      </c>
      <c r="AO72" s="134">
        <f>COUNTIF(Tabel158[Winnaar Groen],Tabel59[[#This Row],[Team]])</f>
        <v>0</v>
      </c>
      <c r="AP72">
        <f>COUNTIF(Tabel158[Winnaars],Tabel59[[#This Row],[Team]])</f>
        <v>0</v>
      </c>
      <c r="AQ72" s="135">
        <f>Tabel59[[#This Row],[Aantal Games Rood]]-Tabel59[[#This Row],[Wins Rood]]</f>
        <v>1</v>
      </c>
      <c r="AR72" s="136">
        <f>Tabel59[[#This Row],[Aantal Games Groen]]-Tabel59[[#This Row],[Wins Groen]]</f>
        <v>0</v>
      </c>
      <c r="AS72" s="137">
        <f>Tabel59[[#This Row],[Aantal games Alg]]-Tabel59[[#This Row],[Wins Alg]]</f>
        <v>1</v>
      </c>
      <c r="AT72" s="138">
        <f>COUNTIF(Tabel158[Team Rood],Tabel59[[#This Row],[Team]])</f>
        <v>1</v>
      </c>
      <c r="AU72" s="136">
        <f>COUNTIF(Tabel158[Team Groen],Tabel59[[#This Row],[Team]])</f>
        <v>0</v>
      </c>
      <c r="AV72" s="112">
        <f>Tabel59[[#This Row],[Aantal Games Rood]]+Tabel59[[#This Row],[Aantal Games Groen]]</f>
        <v>1</v>
      </c>
      <c r="AW72" s="138">
        <f>SUMIF(Tabel158[Team Rood],Tabel59[[#This Row],[Team]],Tabel158[Score])</f>
        <v>6</v>
      </c>
      <c r="AX72" s="138">
        <f>SUMIF(Tabel158[Team Rood],Tabel59[[#This Row],[Team]],Tabel158[Score2])</f>
        <v>1</v>
      </c>
      <c r="AY72" s="134">
        <f>SUMIF(Tabel158[Team Groen],Tabel59[[#This Row],[Team]],Tabel158[Score3])</f>
        <v>0</v>
      </c>
      <c r="AZ72" s="136">
        <f>SUMIF(Tabel158[Team Groen],Tabel59[[#This Row],[Team]],Tabel158[Score4])</f>
        <v>0</v>
      </c>
      <c r="BA72">
        <f>SUM(Tabel59[[#This Row],[Goals Verdediger]]+Tabel59[[#This Row],[Goals DefG]])</f>
        <v>6</v>
      </c>
      <c r="BB72">
        <f>IF(Tabel59[[#This Row],[Aantal games Alg]]=0,0,Tabel59[[#This Row],[Goals DefA]]/Tabel59[[#This Row],[Aantal games Alg]])</f>
        <v>6</v>
      </c>
      <c r="BC72">
        <f>SUM(Tabel59[[#This Row],[Goals Aanvaller]]+Tabel59[[#This Row],[Goals OffG]])</f>
        <v>1</v>
      </c>
      <c r="BD72">
        <f>IF(Tabel59[[#This Row],[Aantal games Alg]]=0,0,Tabel59[[#This Row],[Goals OffA]]/Tabel59[[#This Row],[Aantal games Alg]])</f>
        <v>1</v>
      </c>
      <c r="BE72" s="112">
        <f>Tabel59[[#This Row],[Goals DefA]]+Tabel59[[#This Row],[Goals OffA]]</f>
        <v>7</v>
      </c>
      <c r="BF72" s="112">
        <f>IF(Tabel59[[#This Row],[Aantal games Alg]]=0,0,Tabel59[[#This Row],[Goals Alg]]/Tabel59[[#This Row],[Aantal games Alg]])</f>
        <v>7</v>
      </c>
      <c r="BG72" s="148">
        <f ca="1">SUMIF(Tabel158[Team Rood],Tabel59[[#This Row],[Team]],Tabel158[ET])</f>
        <v>0</v>
      </c>
      <c r="BH72" s="150">
        <f>SUMIF(Tabel158[Team Groen],Tabel59[[#This Row],[Team]],Tabel158[ET])</f>
        <v>0</v>
      </c>
      <c r="BI72" s="153">
        <f ca="1">SUM(Tabel59[[#This Row],[ET Groen tot]],Tabel59[[#This Row],[ET Rood tot]])</f>
        <v>0</v>
      </c>
      <c r="BJ72" s="155">
        <f ca="1">IF(Tabel59[[#This Row],[Aantal games Alg]]=0,0,Tabel59[[#This Row],[ET tot]]/Tabel59[[#This Row],[Aantal games Alg]])</f>
        <v>0</v>
      </c>
    </row>
    <row r="73" spans="1:62" x14ac:dyDescent="0.25">
      <c r="A73" s="124">
        <f ca="1">IF(Tabel158[[#This Row],[Rood Verdediging]]&lt;&gt;"",IF(A73="",NOW(),A73),"")</f>
        <v>43878.947694907409</v>
      </c>
      <c r="B73" s="128">
        <f ca="1">IF(Tabel158[[#This Row],[Rood Verdediging]]&lt;&gt;"",IF(B73="",NOW(),B73),"")</f>
        <v>43878.947694907409</v>
      </c>
      <c r="C73" s="126">
        <f ca="1">IF(Tabel158[[#This Row],[Score]]&lt;&gt;"",IF(C73="",NOW(),C73),"")</f>
        <v>43878.947694907409</v>
      </c>
      <c r="D73" s="127">
        <f ca="1">IF(OR(Tabel158[[#This Row],[Starttijd]]="",Tabel158[[#This Row],[Eindtijd]]=""),"",Tabel158[[#This Row],[Eindtijd]]-Tabel158[[#This Row],[Starttijd]])</f>
        <v>0</v>
      </c>
      <c r="E73" s="74">
        <v>73</v>
      </c>
      <c r="F73" s="205" t="s">
        <v>6</v>
      </c>
      <c r="G73" s="210">
        <v>6</v>
      </c>
      <c r="H73" s="205" t="s">
        <v>15</v>
      </c>
      <c r="I73" s="210">
        <v>2</v>
      </c>
      <c r="J73" s="206" t="s">
        <v>3</v>
      </c>
      <c r="K73" s="212">
        <v>2</v>
      </c>
      <c r="L73" s="206" t="s">
        <v>13</v>
      </c>
      <c r="M73" s="212">
        <v>9</v>
      </c>
      <c r="N73" s="81">
        <f t="shared" si="14"/>
        <v>8</v>
      </c>
      <c r="O73" s="82">
        <f t="shared" si="15"/>
        <v>11</v>
      </c>
      <c r="P73" s="70" t="str">
        <f t="shared" si="18"/>
        <v>GROEN</v>
      </c>
      <c r="Q73" s="86" t="str">
        <f t="shared" si="16"/>
        <v>Karel</v>
      </c>
      <c r="R73" s="87" t="str">
        <f t="shared" si="17"/>
        <v>Bert</v>
      </c>
      <c r="S73" t="str">
        <f>Tabel158[[#This Row],[Rood Verdediging]]&amp;Tabel158[[#This Row],[Rood Aanval]]</f>
        <v>Stef DStijn</v>
      </c>
      <c r="T73" t="str">
        <f>Tabel158[[#This Row],[Groen Verdediging]]&amp;Tabel158[[#This Row],[Groen Aanval]]</f>
        <v>KarelBert</v>
      </c>
      <c r="U73" t="str">
        <f>Tabel158[[#This Row],[Winnaar 1]]&amp;Tabel158[[#This Row],[Winnaar 2]]</f>
        <v>KarelBert</v>
      </c>
      <c r="V73" s="147" t="b">
        <f>IF(Tabel158[[#This Row],[Team Rood]]=Tabel158[[#This Row],[Winnaars]],Tabel158[[#This Row],[Team Rood]])</f>
        <v>0</v>
      </c>
      <c r="W73" s="147" t="str">
        <f>IF(Tabel158[[#This Row],[Team Groen]]=Tabel158[[#This Row],[Winnaars]],Tabel158[[#This Row],[Team Groen]])</f>
        <v>KarelBert</v>
      </c>
      <c r="X73" s="147"/>
      <c r="AH73" s="251" t="s">
        <v>158</v>
      </c>
      <c r="AI73" s="233" t="s">
        <v>170</v>
      </c>
      <c r="AJ73" s="140" t="str">
        <f t="shared" si="19"/>
        <v>Arno*Nico*</v>
      </c>
      <c r="AK73" s="160">
        <f>IF(Tabel59[[#This Row],[Aantal Games Rood]]=0,0,(Tabel59[[#This Row],[Wins Rood]])/Tabel59[[#This Row],[Aantal Games Rood]])</f>
        <v>0</v>
      </c>
      <c r="AL73" s="159">
        <f>IF(Tabel59[[#This Row],[Aantal Games Groen]]=0,0,(Tabel59[[#This Row],[Wins Groen]])/Tabel59[[#This Row],[Aantal Games Groen]])</f>
        <v>0</v>
      </c>
      <c r="AM73" s="156">
        <f>IF(Tabel59[[#This Row],[Aantal games Alg]]=0,0,(Tabel59[[#This Row],[Wins Alg]])/Tabel59[[#This Row],[Aantal games Alg]])</f>
        <v>0</v>
      </c>
      <c r="AN73" s="138">
        <f>COUNTIF(Tabel158[Winaar rood],Tabel59[[#This Row],[Team]])</f>
        <v>0</v>
      </c>
      <c r="AO73" s="134">
        <f>COUNTIF(Tabel158[Winnaar Groen],Tabel59[[#This Row],[Team]])</f>
        <v>0</v>
      </c>
      <c r="AP73">
        <f>COUNTIF(Tabel158[Winnaars],Tabel59[[#This Row],[Team]])</f>
        <v>0</v>
      </c>
      <c r="AQ73" s="135">
        <f>Tabel59[[#This Row],[Aantal Games Rood]]-Tabel59[[#This Row],[Wins Rood]]</f>
        <v>0</v>
      </c>
      <c r="AR73" s="136">
        <f>Tabel59[[#This Row],[Aantal Games Groen]]-Tabel59[[#This Row],[Wins Groen]]</f>
        <v>1</v>
      </c>
      <c r="AS73" s="137">
        <f>Tabel59[[#This Row],[Aantal games Alg]]-Tabel59[[#This Row],[Wins Alg]]</f>
        <v>1</v>
      </c>
      <c r="AT73" s="138">
        <f>COUNTIF(Tabel158[Team Rood],Tabel59[[#This Row],[Team]])</f>
        <v>0</v>
      </c>
      <c r="AU73" s="136">
        <f>COUNTIF(Tabel158[Team Groen],Tabel59[[#This Row],[Team]])</f>
        <v>1</v>
      </c>
      <c r="AV73" s="112">
        <f>Tabel59[[#This Row],[Aantal Games Rood]]+Tabel59[[#This Row],[Aantal Games Groen]]</f>
        <v>1</v>
      </c>
      <c r="AW73" s="138">
        <f>SUMIF(Tabel158[Team Rood],Tabel59[[#This Row],[Team]],Tabel158[Score])</f>
        <v>0</v>
      </c>
      <c r="AX73" s="138">
        <f>SUMIF(Tabel158[Team Rood],Tabel59[[#This Row],[Team]],Tabel158[Score2])</f>
        <v>0</v>
      </c>
      <c r="AY73" s="134">
        <f>SUMIF(Tabel158[Team Groen],Tabel59[[#This Row],[Team]],Tabel158[Score3])</f>
        <v>3</v>
      </c>
      <c r="AZ73" s="136">
        <f>SUMIF(Tabel158[Team Groen],Tabel59[[#This Row],[Team]],Tabel158[Score4])</f>
        <v>1</v>
      </c>
      <c r="BA73">
        <f>SUM(Tabel59[[#This Row],[Goals Verdediger]]+Tabel59[[#This Row],[Goals DefG]])</f>
        <v>3</v>
      </c>
      <c r="BB73">
        <f>IF(Tabel59[[#This Row],[Aantal games Alg]]=0,0,Tabel59[[#This Row],[Goals DefA]]/Tabel59[[#This Row],[Aantal games Alg]])</f>
        <v>3</v>
      </c>
      <c r="BC73">
        <f>SUM(Tabel59[[#This Row],[Goals Aanvaller]]+Tabel59[[#This Row],[Goals OffG]])</f>
        <v>1</v>
      </c>
      <c r="BD73">
        <f>IF(Tabel59[[#This Row],[Aantal games Alg]]=0,0,Tabel59[[#This Row],[Goals OffA]]/Tabel59[[#This Row],[Aantal games Alg]])</f>
        <v>1</v>
      </c>
      <c r="BE73" s="112">
        <f>Tabel59[[#This Row],[Goals DefA]]+Tabel59[[#This Row],[Goals OffA]]</f>
        <v>4</v>
      </c>
      <c r="BF73" s="112">
        <f>IF(Tabel59[[#This Row],[Aantal games Alg]]=0,0,Tabel59[[#This Row],[Goals Alg]]/Tabel59[[#This Row],[Aantal games Alg]])</f>
        <v>4</v>
      </c>
      <c r="BG73" s="148">
        <f>SUMIF(Tabel158[Team Rood],Tabel59[[#This Row],[Team]],Tabel158[ET])</f>
        <v>0</v>
      </c>
      <c r="BH73" s="150">
        <f ca="1">SUMIF(Tabel158[Team Groen],Tabel59[[#This Row],[Team]],Tabel158[ET])</f>
        <v>0</v>
      </c>
      <c r="BI73" s="153">
        <f ca="1">SUM(Tabel59[[#This Row],[ET Groen tot]],Tabel59[[#This Row],[ET Rood tot]])</f>
        <v>0</v>
      </c>
      <c r="BJ73" s="155">
        <f ca="1">IF(Tabel59[[#This Row],[Aantal games Alg]]=0,0,Tabel59[[#This Row],[ET tot]]/Tabel59[[#This Row],[Aantal games Alg]])</f>
        <v>0</v>
      </c>
    </row>
    <row r="74" spans="1:62" x14ac:dyDescent="0.25">
      <c r="A74" s="124">
        <f ca="1">IF(Tabel158[[#This Row],[Rood Verdediging]]&lt;&gt;"",IF(A74="",NOW(),A74),"")</f>
        <v>43878.947694907409</v>
      </c>
      <c r="B74" s="128">
        <f ca="1">IF(Tabel158[[#This Row],[Rood Verdediging]]&lt;&gt;"",IF(B74="",NOW(),B74),"")</f>
        <v>43878.947694907409</v>
      </c>
      <c r="C74" s="126">
        <f ca="1">IF(Tabel158[[#This Row],[Score]]&lt;&gt;"",IF(C74="",NOW(),C74),"")</f>
        <v>43878.947694907409</v>
      </c>
      <c r="D74" s="127">
        <f ca="1">IF(OR(Tabel158[[#This Row],[Starttijd]]="",Tabel158[[#This Row],[Eindtijd]]=""),"",Tabel158[[#This Row],[Eindtijd]]-Tabel158[[#This Row],[Starttijd]])</f>
        <v>0</v>
      </c>
      <c r="E74" s="74">
        <v>74</v>
      </c>
      <c r="F74" s="205" t="s">
        <v>3</v>
      </c>
      <c r="G74" s="210">
        <v>2</v>
      </c>
      <c r="H74" s="205" t="s">
        <v>15</v>
      </c>
      <c r="I74" s="210">
        <v>4</v>
      </c>
      <c r="J74" s="206" t="s">
        <v>6</v>
      </c>
      <c r="K74" s="212">
        <v>1</v>
      </c>
      <c r="L74" s="206" t="s">
        <v>13</v>
      </c>
      <c r="M74" s="212">
        <v>10</v>
      </c>
      <c r="N74" s="81">
        <f t="shared" si="14"/>
        <v>6</v>
      </c>
      <c r="O74" s="82">
        <f t="shared" si="15"/>
        <v>11</v>
      </c>
      <c r="P74" s="70" t="str">
        <f t="shared" si="18"/>
        <v>GROEN</v>
      </c>
      <c r="Q74" s="86" t="str">
        <f t="shared" si="16"/>
        <v>Stef D</v>
      </c>
      <c r="R74" s="87" t="str">
        <f t="shared" si="17"/>
        <v>Bert</v>
      </c>
      <c r="S74" t="str">
        <f>Tabel158[[#This Row],[Rood Verdediging]]&amp;Tabel158[[#This Row],[Rood Aanval]]</f>
        <v>KarelStijn</v>
      </c>
      <c r="T74" t="str">
        <f>Tabel158[[#This Row],[Groen Verdediging]]&amp;Tabel158[[#This Row],[Groen Aanval]]</f>
        <v>Stef DBert</v>
      </c>
      <c r="U74" t="str">
        <f>Tabel158[[#This Row],[Winnaar 1]]&amp;Tabel158[[#This Row],[Winnaar 2]]</f>
        <v>Stef DBert</v>
      </c>
      <c r="V74" s="147" t="b">
        <f>IF(Tabel158[[#This Row],[Team Rood]]=Tabel158[[#This Row],[Winnaars]],Tabel158[[#This Row],[Team Rood]])</f>
        <v>0</v>
      </c>
      <c r="W74" s="147" t="str">
        <f>IF(Tabel158[[#This Row],[Team Groen]]=Tabel158[[#This Row],[Winnaars]],Tabel158[[#This Row],[Team Groen]])</f>
        <v>Stef DBert</v>
      </c>
      <c r="X74" s="147"/>
      <c r="AH74" s="251" t="s">
        <v>158</v>
      </c>
      <c r="AI74" s="233" t="s">
        <v>166</v>
      </c>
      <c r="AJ74" s="140" t="str">
        <f t="shared" si="19"/>
        <v>Arno*Stijn*</v>
      </c>
      <c r="AK74" s="160">
        <f>IF(Tabel59[[#This Row],[Aantal Games Rood]]=0,0,(Tabel59[[#This Row],[Wins Rood]])/Tabel59[[#This Row],[Aantal Games Rood]])</f>
        <v>0</v>
      </c>
      <c r="AL74" s="159">
        <f>IF(Tabel59[[#This Row],[Aantal Games Groen]]=0,0,(Tabel59[[#This Row],[Wins Groen]])/Tabel59[[#This Row],[Aantal Games Groen]])</f>
        <v>0</v>
      </c>
      <c r="AM74" s="156">
        <f>IF(Tabel59[[#This Row],[Aantal games Alg]]=0,0,(Tabel59[[#This Row],[Wins Alg]])/Tabel59[[#This Row],[Aantal games Alg]])</f>
        <v>0</v>
      </c>
      <c r="AN74" s="133">
        <f>COUNTIF(Tabel158[Winaar rood],Tabel59[[#This Row],[Team]])</f>
        <v>0</v>
      </c>
      <c r="AO74" s="134">
        <f>COUNTIF(Tabel158[Winnaar Groen],Tabel59[[#This Row],[Team]])</f>
        <v>0</v>
      </c>
      <c r="AP74">
        <f>COUNTIF(Tabel158[Winnaars],Tabel59[[#This Row],[Team]])</f>
        <v>0</v>
      </c>
      <c r="AQ74" s="135">
        <f>Tabel59[[#This Row],[Aantal Games Rood]]-Tabel59[[#This Row],[Wins Rood]]</f>
        <v>0</v>
      </c>
      <c r="AR74" s="136">
        <f>Tabel59[[#This Row],[Aantal Games Groen]]-Tabel59[[#This Row],[Wins Groen]]</f>
        <v>0</v>
      </c>
      <c r="AS74" s="137">
        <f>Tabel59[[#This Row],[Aantal games Alg]]-Tabel59[[#This Row],[Wins Alg]]</f>
        <v>0</v>
      </c>
      <c r="AT74" s="138">
        <f>COUNTIF(Tabel158[Team Rood],Tabel59[[#This Row],[Team]])</f>
        <v>0</v>
      </c>
      <c r="AU74" s="136">
        <f>COUNTIF(Tabel158[Team Groen],Tabel59[[#This Row],[Team]])</f>
        <v>0</v>
      </c>
      <c r="AV74" s="112">
        <f>Tabel59[[#This Row],[Aantal Games Rood]]+Tabel59[[#This Row],[Aantal Games Groen]]</f>
        <v>0</v>
      </c>
      <c r="AW74" s="138">
        <f>SUMIF(Tabel158[Team Rood],Tabel59[[#This Row],[Team]],Tabel158[Score])</f>
        <v>0</v>
      </c>
      <c r="AX74" s="138">
        <f>SUMIF(Tabel158[Team Rood],Tabel59[[#This Row],[Team]],Tabel158[Score2])</f>
        <v>0</v>
      </c>
      <c r="AY74" s="134">
        <f>SUMIF(Tabel158[Team Groen],Tabel59[[#This Row],[Team]],Tabel158[Score3])</f>
        <v>0</v>
      </c>
      <c r="AZ74" s="136">
        <f>SUMIF(Tabel158[Team Groen],Tabel59[[#This Row],[Team]],Tabel158[Score4])</f>
        <v>0</v>
      </c>
      <c r="BA74">
        <f>SUM(Tabel59[[#This Row],[Goals Verdediger]]+Tabel59[[#This Row],[Goals DefG]])</f>
        <v>0</v>
      </c>
      <c r="BB74">
        <f>IF(Tabel59[[#This Row],[Aantal games Alg]]=0,0,Tabel59[[#This Row],[Goals DefA]]/Tabel59[[#This Row],[Aantal games Alg]])</f>
        <v>0</v>
      </c>
      <c r="BC74">
        <f>SUM(Tabel59[[#This Row],[Goals Aanvaller]]+Tabel59[[#This Row],[Goals OffG]])</f>
        <v>0</v>
      </c>
      <c r="BD74">
        <f>IF(Tabel59[[#This Row],[Aantal games Alg]]=0,0,Tabel59[[#This Row],[Goals OffA]]/Tabel59[[#This Row],[Aantal games Alg]])</f>
        <v>0</v>
      </c>
      <c r="BE74" s="112">
        <f>Tabel59[[#This Row],[Goals DefA]]+Tabel59[[#This Row],[Goals OffA]]</f>
        <v>0</v>
      </c>
      <c r="BF74" s="112">
        <f>IF(Tabel59[[#This Row],[Aantal games Alg]]=0,0,Tabel59[[#This Row],[Goals Alg]]/Tabel59[[#This Row],[Aantal games Alg]])</f>
        <v>0</v>
      </c>
      <c r="BG74" s="148">
        <f>SUMIF(Tabel158[Team Rood],Tabel59[[#This Row],[Team]],Tabel158[ET])</f>
        <v>0</v>
      </c>
      <c r="BH74" s="150">
        <f>SUMIF(Tabel158[Team Groen],Tabel59[[#This Row],[Team]],Tabel158[ET])</f>
        <v>0</v>
      </c>
      <c r="BI74" s="153">
        <f>SUM(Tabel59[[#This Row],[ET Groen tot]],Tabel59[[#This Row],[ET Rood tot]])</f>
        <v>0</v>
      </c>
      <c r="BJ74" s="155">
        <f>IF(Tabel59[[#This Row],[Aantal games Alg]]=0,0,Tabel59[[#This Row],[ET tot]]/Tabel59[[#This Row],[Aantal games Alg]])</f>
        <v>0</v>
      </c>
    </row>
    <row r="75" spans="1:62" x14ac:dyDescent="0.25">
      <c r="A75" s="124">
        <f ca="1">IF(Tabel158[[#This Row],[Rood Verdediging]]&lt;&gt;"",IF(A75="",NOW(),A75),"")</f>
        <v>43878.947694907409</v>
      </c>
      <c r="B75" s="128">
        <f ca="1">IF(Tabel158[[#This Row],[Rood Verdediging]]&lt;&gt;"",IF(B75="",NOW(),B75),"")</f>
        <v>43878.947694907409</v>
      </c>
      <c r="C75" s="126">
        <f ca="1">IF(Tabel158[[#This Row],[Score]]&lt;&gt;"",IF(C75="",NOW(),C75),"")</f>
        <v>43878.947694907409</v>
      </c>
      <c r="D75" s="127">
        <f ca="1">IF(OR(Tabel158[[#This Row],[Starttijd]]="",Tabel158[[#This Row],[Eindtijd]]=""),"",Tabel158[[#This Row],[Eindtijd]]-Tabel158[[#This Row],[Starttijd]])</f>
        <v>0</v>
      </c>
      <c r="E75" s="74">
        <v>75</v>
      </c>
      <c r="F75" s="205" t="s">
        <v>7</v>
      </c>
      <c r="G75" s="210">
        <v>2</v>
      </c>
      <c r="H75" s="205" t="s">
        <v>6</v>
      </c>
      <c r="I75" s="210">
        <v>10</v>
      </c>
      <c r="J75" s="206" t="s">
        <v>11</v>
      </c>
      <c r="K75" s="212">
        <v>5</v>
      </c>
      <c r="L75" s="206" t="s">
        <v>0</v>
      </c>
      <c r="M75" s="212">
        <v>5</v>
      </c>
      <c r="N75" s="81">
        <f t="shared" si="14"/>
        <v>12</v>
      </c>
      <c r="O75" s="82">
        <f t="shared" si="15"/>
        <v>10</v>
      </c>
      <c r="P75" s="70" t="str">
        <f t="shared" si="18"/>
        <v>ROOD</v>
      </c>
      <c r="Q75" s="86" t="str">
        <f t="shared" si="16"/>
        <v>Tiemen</v>
      </c>
      <c r="R75" s="87" t="str">
        <f t="shared" si="17"/>
        <v>Stef D</v>
      </c>
      <c r="S75" t="str">
        <f>Tabel158[[#This Row],[Rood Verdediging]]&amp;Tabel158[[#This Row],[Rood Aanval]]</f>
        <v>TiemenStef D</v>
      </c>
      <c r="T75" t="str">
        <f>Tabel158[[#This Row],[Groen Verdediging]]&amp;Tabel158[[#This Row],[Groen Aanval]]</f>
        <v>MatthijsJonas</v>
      </c>
      <c r="U75" t="str">
        <f>Tabel158[[#This Row],[Winnaar 1]]&amp;Tabel158[[#This Row],[Winnaar 2]]</f>
        <v>TiemenStef D</v>
      </c>
      <c r="V75" s="147" t="str">
        <f>IF(Tabel158[[#This Row],[Team Rood]]=Tabel158[[#This Row],[Winnaars]],Tabel158[[#This Row],[Team Rood]])</f>
        <v>TiemenStef D</v>
      </c>
      <c r="W75" s="147" t="b">
        <f>IF(Tabel158[[#This Row],[Team Groen]]=Tabel158[[#This Row],[Winnaars]],Tabel158[[#This Row],[Team Groen]])</f>
        <v>0</v>
      </c>
      <c r="X75" s="147"/>
      <c r="AH75" s="251" t="s">
        <v>158</v>
      </c>
      <c r="AI75" s="233" t="s">
        <v>157</v>
      </c>
      <c r="AJ75" s="140" t="str">
        <f t="shared" si="19"/>
        <v>Arno*Tobi*</v>
      </c>
      <c r="AK75" s="160">
        <f>IF(Tabel59[[#This Row],[Aantal Games Rood]]=0,0,(Tabel59[[#This Row],[Wins Rood]])/Tabel59[[#This Row],[Aantal Games Rood]])</f>
        <v>0</v>
      </c>
      <c r="AL75" s="159">
        <f>IF(Tabel59[[#This Row],[Aantal Games Groen]]=0,0,(Tabel59[[#This Row],[Wins Groen]])/Tabel59[[#This Row],[Aantal Games Groen]])</f>
        <v>0</v>
      </c>
      <c r="AM75" s="156">
        <f>IF(Tabel59[[#This Row],[Aantal games Alg]]=0,0,(Tabel59[[#This Row],[Wins Alg]])/Tabel59[[#This Row],[Aantal games Alg]])</f>
        <v>0</v>
      </c>
      <c r="AN75" s="133">
        <f>COUNTIF(Tabel158[Winaar rood],Tabel59[[#This Row],[Team]])</f>
        <v>0</v>
      </c>
      <c r="AO75" s="134">
        <f>COUNTIF(Tabel158[Winnaar Groen],Tabel59[[#This Row],[Team]])</f>
        <v>0</v>
      </c>
      <c r="AP75">
        <f>COUNTIF(Tabel158[Winnaars],Tabel59[[#This Row],[Team]])</f>
        <v>0</v>
      </c>
      <c r="AQ75" s="135">
        <f>Tabel59[[#This Row],[Aantal Games Rood]]-Tabel59[[#This Row],[Wins Rood]]</f>
        <v>0</v>
      </c>
      <c r="AR75" s="136">
        <f>Tabel59[[#This Row],[Aantal Games Groen]]-Tabel59[[#This Row],[Wins Groen]]</f>
        <v>0</v>
      </c>
      <c r="AS75" s="137">
        <f>Tabel59[[#This Row],[Aantal games Alg]]-Tabel59[[#This Row],[Wins Alg]]</f>
        <v>0</v>
      </c>
      <c r="AT75" s="138">
        <f>COUNTIF(Tabel158[Team Rood],Tabel59[[#This Row],[Team]])</f>
        <v>0</v>
      </c>
      <c r="AU75" s="136">
        <f>COUNTIF(Tabel158[Team Groen],Tabel59[[#This Row],[Team]])</f>
        <v>0</v>
      </c>
      <c r="AV75" s="112">
        <f>Tabel59[[#This Row],[Aantal Games Rood]]+Tabel59[[#This Row],[Aantal Games Groen]]</f>
        <v>0</v>
      </c>
      <c r="AW75" s="138">
        <f>SUMIF(Tabel158[Team Rood],Tabel59[[#This Row],[Team]],Tabel158[Score])</f>
        <v>0</v>
      </c>
      <c r="AX75" s="138">
        <f>SUMIF(Tabel158[Team Rood],Tabel59[[#This Row],[Team]],Tabel158[Score2])</f>
        <v>0</v>
      </c>
      <c r="AY75" s="134">
        <f>SUMIF(Tabel158[Team Groen],Tabel59[[#This Row],[Team]],Tabel158[Score3])</f>
        <v>0</v>
      </c>
      <c r="AZ75" s="136">
        <f>SUMIF(Tabel158[Team Groen],Tabel59[[#This Row],[Team]],Tabel158[Score4])</f>
        <v>0</v>
      </c>
      <c r="BA75">
        <f>SUM(Tabel59[[#This Row],[Goals Verdediger]]+Tabel59[[#This Row],[Goals DefG]])</f>
        <v>0</v>
      </c>
      <c r="BB75">
        <f>IF(Tabel59[[#This Row],[Aantal games Alg]]=0,0,Tabel59[[#This Row],[Goals DefA]]/Tabel59[[#This Row],[Aantal games Alg]])</f>
        <v>0</v>
      </c>
      <c r="BC75">
        <f>SUM(Tabel59[[#This Row],[Goals Aanvaller]]+Tabel59[[#This Row],[Goals OffG]])</f>
        <v>0</v>
      </c>
      <c r="BD75">
        <f>IF(Tabel59[[#This Row],[Aantal games Alg]]=0,0,Tabel59[[#This Row],[Goals OffA]]/Tabel59[[#This Row],[Aantal games Alg]])</f>
        <v>0</v>
      </c>
      <c r="BE75" s="112">
        <f>Tabel59[[#This Row],[Goals DefA]]+Tabel59[[#This Row],[Goals OffA]]</f>
        <v>0</v>
      </c>
      <c r="BF75" s="112">
        <f>IF(Tabel59[[#This Row],[Aantal games Alg]]=0,0,Tabel59[[#This Row],[Goals Alg]]/Tabel59[[#This Row],[Aantal games Alg]])</f>
        <v>0</v>
      </c>
      <c r="BG75" s="148">
        <f>SUMIF(Tabel158[Team Rood],Tabel59[[#This Row],[Team]],Tabel158[ET])</f>
        <v>0</v>
      </c>
      <c r="BH75" s="150">
        <f>SUMIF(Tabel158[Team Groen],Tabel59[[#This Row],[Team]],Tabel158[ET])</f>
        <v>0</v>
      </c>
      <c r="BI75" s="153">
        <f>SUM(Tabel59[[#This Row],[ET Groen tot]],Tabel59[[#This Row],[ET Rood tot]])</f>
        <v>0</v>
      </c>
      <c r="BJ75" s="155">
        <f>IF(Tabel59[[#This Row],[Aantal games Alg]]=0,0,Tabel59[[#This Row],[ET tot]]/Tabel59[[#This Row],[Aantal games Alg]])</f>
        <v>0</v>
      </c>
    </row>
    <row r="76" spans="1:62" x14ac:dyDescent="0.25">
      <c r="A76" s="124">
        <f ca="1">IF(Tabel158[[#This Row],[Rood Verdediging]]&lt;&gt;"",IF(A76="",NOW(),A76),"")</f>
        <v>43878.947694907409</v>
      </c>
      <c r="B76" s="128">
        <f ca="1">IF(Tabel158[[#This Row],[Rood Verdediging]]&lt;&gt;"",IF(B76="",NOW(),B76),"")</f>
        <v>43878.947694907409</v>
      </c>
      <c r="C76" s="126">
        <f ca="1">IF(Tabel158[[#This Row],[Score]]&lt;&gt;"",IF(C76="",NOW(),C76),"")</f>
        <v>43878.947694907409</v>
      </c>
      <c r="D76" s="127">
        <f ca="1">IF(OR(Tabel158[[#This Row],[Starttijd]]="",Tabel158[[#This Row],[Eindtijd]]=""),"",Tabel158[[#This Row],[Eindtijd]]-Tabel158[[#This Row],[Starttijd]])</f>
        <v>0</v>
      </c>
      <c r="E76" s="74">
        <v>76</v>
      </c>
      <c r="F76" s="205" t="s">
        <v>8</v>
      </c>
      <c r="G76" s="210">
        <v>1</v>
      </c>
      <c r="H76" s="205" t="s">
        <v>13</v>
      </c>
      <c r="I76" s="210">
        <v>8</v>
      </c>
      <c r="J76" s="206" t="s">
        <v>6</v>
      </c>
      <c r="K76" s="212">
        <v>4</v>
      </c>
      <c r="L76" s="206" t="s">
        <v>67</v>
      </c>
      <c r="M76" s="212">
        <v>7</v>
      </c>
      <c r="N76" s="81">
        <f t="shared" si="14"/>
        <v>9</v>
      </c>
      <c r="O76" s="82">
        <f t="shared" si="15"/>
        <v>11</v>
      </c>
      <c r="P76" s="70" t="str">
        <f t="shared" si="18"/>
        <v>GROEN</v>
      </c>
      <c r="Q76" s="86" t="str">
        <f t="shared" si="16"/>
        <v>Stef D</v>
      </c>
      <c r="R76" s="87" t="str">
        <f t="shared" si="17"/>
        <v>Lawrence</v>
      </c>
      <c r="S76" t="str">
        <f>Tabel158[[#This Row],[Rood Verdediging]]&amp;Tabel158[[#This Row],[Rood Aanval]]</f>
        <v>LouisBert</v>
      </c>
      <c r="T76" t="str">
        <f>Tabel158[[#This Row],[Groen Verdediging]]&amp;Tabel158[[#This Row],[Groen Aanval]]</f>
        <v>Stef DLawrence</v>
      </c>
      <c r="U76" t="str">
        <f>Tabel158[[#This Row],[Winnaar 1]]&amp;Tabel158[[#This Row],[Winnaar 2]]</f>
        <v>Stef DLawrence</v>
      </c>
      <c r="V76" s="147" t="b">
        <f>IF(Tabel158[[#This Row],[Team Rood]]=Tabel158[[#This Row],[Winnaars]],Tabel158[[#This Row],[Team Rood]])</f>
        <v>0</v>
      </c>
      <c r="W76" s="147" t="str">
        <f>IF(Tabel158[[#This Row],[Team Groen]]=Tabel158[[#This Row],[Winnaars]],Tabel158[[#This Row],[Team Groen]])</f>
        <v>Stef DLawrence</v>
      </c>
      <c r="X76" s="147"/>
      <c r="AH76" s="251" t="s">
        <v>163</v>
      </c>
      <c r="AI76" s="233" t="s">
        <v>158</v>
      </c>
      <c r="AJ76" s="140" t="str">
        <f t="shared" si="19"/>
        <v>Bert*Arno*</v>
      </c>
      <c r="AK76" s="160">
        <f>IF(Tabel59[[#This Row],[Aantal Games Rood]]=0,0,(Tabel59[[#This Row],[Wins Rood]])/Tabel59[[#This Row],[Aantal Games Rood]])</f>
        <v>0</v>
      </c>
      <c r="AL76" s="159">
        <f>IF(Tabel59[[#This Row],[Aantal Games Groen]]=0,0,(Tabel59[[#This Row],[Wins Groen]])/Tabel59[[#This Row],[Aantal Games Groen]])</f>
        <v>0</v>
      </c>
      <c r="AM76" s="156">
        <f>IF(Tabel59[[#This Row],[Aantal games Alg]]=0,0,(Tabel59[[#This Row],[Wins Alg]])/Tabel59[[#This Row],[Aantal games Alg]])</f>
        <v>0</v>
      </c>
      <c r="AN76" s="133">
        <f>COUNTIF(Tabel158[Winaar rood],Tabel59[[#This Row],[Team]])</f>
        <v>0</v>
      </c>
      <c r="AO76" s="134">
        <f>COUNTIF(Tabel158[Winnaar Groen],Tabel59[[#This Row],[Team]])</f>
        <v>0</v>
      </c>
      <c r="AP76" s="293">
        <f>COUNTIF(Tabel158[Winnaars],Tabel59[[#This Row],[Team]])</f>
        <v>0</v>
      </c>
      <c r="AQ76" s="135">
        <f>Tabel59[[#This Row],[Aantal Games Rood]]-Tabel59[[#This Row],[Wins Rood]]</f>
        <v>0</v>
      </c>
      <c r="AR76" s="136">
        <f>Tabel59[[#This Row],[Aantal Games Groen]]-Tabel59[[#This Row],[Wins Groen]]</f>
        <v>0</v>
      </c>
      <c r="AS76" s="137">
        <f>Tabel59[[#This Row],[Aantal games Alg]]-Tabel59[[#This Row],[Wins Alg]]</f>
        <v>0</v>
      </c>
      <c r="AT76" s="138">
        <f>COUNTIF(Tabel158[Team Rood],Tabel59[[#This Row],[Team]])</f>
        <v>0</v>
      </c>
      <c r="AU76" s="136">
        <f>COUNTIF(Tabel158[Team Groen],Tabel59[[#This Row],[Team]])</f>
        <v>0</v>
      </c>
      <c r="AV76" s="214">
        <f>Tabel59[[#This Row],[Aantal Games Rood]]+Tabel59[[#This Row],[Aantal Games Groen]]</f>
        <v>0</v>
      </c>
      <c r="AW76" s="138">
        <f>SUMIF(Tabel158[Team Rood],Tabel59[[#This Row],[Team]],Tabel158[Score])</f>
        <v>0</v>
      </c>
      <c r="AX76" s="138">
        <f>SUMIF(Tabel158[Team Rood],Tabel59[[#This Row],[Team]],Tabel158[Score2])</f>
        <v>0</v>
      </c>
      <c r="AY76" s="134">
        <f>SUMIF(Tabel158[Team Groen],Tabel59[[#This Row],[Team]],Tabel158[Score3])</f>
        <v>0</v>
      </c>
      <c r="AZ76" s="136">
        <f>SUMIF(Tabel158[Team Groen],Tabel59[[#This Row],[Team]],Tabel158[Score4])</f>
        <v>0</v>
      </c>
      <c r="BA76" s="293">
        <f>SUM(Tabel59[[#This Row],[Goals Verdediger]]+Tabel59[[#This Row],[Goals DefG]])</f>
        <v>0</v>
      </c>
      <c r="BB76" s="293">
        <f>IF(Tabel59[[#This Row],[Aantal games Alg]]=0,0,Tabel59[[#This Row],[Goals DefA]]/Tabel59[[#This Row],[Aantal games Alg]])</f>
        <v>0</v>
      </c>
      <c r="BC76" s="293">
        <f>SUM(Tabel59[[#This Row],[Goals Aanvaller]]+Tabel59[[#This Row],[Goals OffG]])</f>
        <v>0</v>
      </c>
      <c r="BD76" s="293">
        <f>IF(Tabel59[[#This Row],[Aantal games Alg]]=0,0,Tabel59[[#This Row],[Goals OffA]]/Tabel59[[#This Row],[Aantal games Alg]])</f>
        <v>0</v>
      </c>
      <c r="BE76" s="214">
        <f>Tabel59[[#This Row],[Goals DefA]]+Tabel59[[#This Row],[Goals OffA]]</f>
        <v>0</v>
      </c>
      <c r="BF76" s="214">
        <f>IF(Tabel59[[#This Row],[Aantal games Alg]]=0,0,Tabel59[[#This Row],[Goals Alg]]/Tabel59[[#This Row],[Aantal games Alg]])</f>
        <v>0</v>
      </c>
      <c r="BG76" s="148">
        <f>SUMIF(Tabel158[Team Rood],Tabel59[[#This Row],[Team]],Tabel158[ET])</f>
        <v>0</v>
      </c>
      <c r="BH76" s="150">
        <f>SUMIF(Tabel158[Team Groen],Tabel59[[#This Row],[Team]],Tabel158[ET])</f>
        <v>0</v>
      </c>
      <c r="BI76" s="153">
        <f>SUM(Tabel59[[#This Row],[ET Groen tot]],Tabel59[[#This Row],[ET Rood tot]])</f>
        <v>0</v>
      </c>
      <c r="BJ76" s="155">
        <f>IF(Tabel59[[#This Row],[Aantal games Alg]]=0,0,Tabel59[[#This Row],[ET tot]]/Tabel59[[#This Row],[Aantal games Alg]])</f>
        <v>0</v>
      </c>
    </row>
    <row r="77" spans="1:62" x14ac:dyDescent="0.25">
      <c r="A77" s="124">
        <f ca="1">IF(Tabel158[[#This Row],[Rood Verdediging]]&lt;&gt;"",IF(A77="",NOW(),A77),"")</f>
        <v>43878.947694907409</v>
      </c>
      <c r="B77" s="128">
        <f ca="1">IF(Tabel158[[#This Row],[Rood Verdediging]]&lt;&gt;"",IF(B77="",NOW(),B77),"")</f>
        <v>43878.947694907409</v>
      </c>
      <c r="C77" s="126">
        <f ca="1">IF(Tabel158[[#This Row],[Score]]&lt;&gt;"",IF(C77="",NOW(),C77),"")</f>
        <v>43878.947694907409</v>
      </c>
      <c r="D77" s="127">
        <f ca="1">IF(OR(Tabel158[[#This Row],[Starttijd]]="",Tabel158[[#This Row],[Eindtijd]]=""),"",Tabel158[[#This Row],[Eindtijd]]-Tabel158[[#This Row],[Starttijd]])</f>
        <v>0</v>
      </c>
      <c r="E77" s="74">
        <v>77</v>
      </c>
      <c r="F77" s="205" t="s">
        <v>11</v>
      </c>
      <c r="G77" s="210">
        <v>3</v>
      </c>
      <c r="H77" s="205" t="s">
        <v>7</v>
      </c>
      <c r="I77" s="210">
        <v>9</v>
      </c>
      <c r="J77" s="206" t="s">
        <v>0</v>
      </c>
      <c r="K77" s="212">
        <v>6</v>
      </c>
      <c r="L77" s="206" t="s">
        <v>67</v>
      </c>
      <c r="M77" s="212">
        <v>8</v>
      </c>
      <c r="N77" s="81">
        <f t="shared" si="14"/>
        <v>12</v>
      </c>
      <c r="O77" s="82">
        <f t="shared" si="15"/>
        <v>14</v>
      </c>
      <c r="P77" s="70" t="str">
        <f t="shared" si="18"/>
        <v>GROEN</v>
      </c>
      <c r="Q77" s="86" t="str">
        <f t="shared" si="16"/>
        <v>Jonas</v>
      </c>
      <c r="R77" s="87" t="str">
        <f t="shared" si="17"/>
        <v>Lawrence</v>
      </c>
      <c r="S77" t="str">
        <f>Tabel158[[#This Row],[Rood Verdediging]]&amp;Tabel158[[#This Row],[Rood Aanval]]</f>
        <v>MatthijsTiemen</v>
      </c>
      <c r="T77" t="str">
        <f>Tabel158[[#This Row],[Groen Verdediging]]&amp;Tabel158[[#This Row],[Groen Aanval]]</f>
        <v>JonasLawrence</v>
      </c>
      <c r="U77" t="str">
        <f>Tabel158[[#This Row],[Winnaar 1]]&amp;Tabel158[[#This Row],[Winnaar 2]]</f>
        <v>JonasLawrence</v>
      </c>
      <c r="V77" s="147" t="b">
        <f>IF(Tabel158[[#This Row],[Team Rood]]=Tabel158[[#This Row],[Winnaars]],Tabel158[[#This Row],[Team Rood]])</f>
        <v>0</v>
      </c>
      <c r="W77" s="147" t="str">
        <f>IF(Tabel158[[#This Row],[Team Groen]]=Tabel158[[#This Row],[Winnaars]],Tabel158[[#This Row],[Team Groen]])</f>
        <v>JonasLawrence</v>
      </c>
      <c r="X77" s="147"/>
      <c r="AH77" s="251" t="s">
        <v>163</v>
      </c>
      <c r="AI77" s="233" t="s">
        <v>168</v>
      </c>
      <c r="AJ77" s="140" t="str">
        <f t="shared" si="19"/>
        <v>Bert*Coghe*</v>
      </c>
      <c r="AK77" s="160">
        <f>IF(Tabel59[[#This Row],[Aantal Games Rood]]=0,0,(Tabel59[[#This Row],[Wins Rood]])/Tabel59[[#This Row],[Aantal Games Rood]])</f>
        <v>0</v>
      </c>
      <c r="AL77" s="159">
        <f>IF(Tabel59[[#This Row],[Aantal Games Groen]]=0,0,(Tabel59[[#This Row],[Wins Groen]])/Tabel59[[#This Row],[Aantal Games Groen]])</f>
        <v>0</v>
      </c>
      <c r="AM77" s="156">
        <f>IF(Tabel59[[#This Row],[Aantal games Alg]]=0,0,(Tabel59[[#This Row],[Wins Alg]])/Tabel59[[#This Row],[Aantal games Alg]])</f>
        <v>0</v>
      </c>
      <c r="AN77" s="171">
        <f>COUNTIF(Tabel158[Winaar rood],Tabel59[[#This Row],[Team]])</f>
        <v>0</v>
      </c>
      <c r="AO77" s="169">
        <f>COUNTIF(Tabel158[Winnaar Groen],Tabel59[[#This Row],[Team]])</f>
        <v>0</v>
      </c>
      <c r="AP77" s="170">
        <f>COUNTIF(Tabel158[Winnaars],Tabel59[[#This Row],[Team]])</f>
        <v>0</v>
      </c>
      <c r="AQ77" s="163">
        <f>Tabel59[[#This Row],[Aantal Games Rood]]-Tabel59[[#This Row],[Wins Rood]]</f>
        <v>0</v>
      </c>
      <c r="AR77" s="169">
        <f>Tabel59[[#This Row],[Aantal Games Groen]]-Tabel59[[#This Row],[Wins Groen]]</f>
        <v>0</v>
      </c>
      <c r="AS77" s="165">
        <f>Tabel59[[#This Row],[Aantal games Alg]]-Tabel59[[#This Row],[Wins Alg]]</f>
        <v>0</v>
      </c>
      <c r="AT77" s="171">
        <f>COUNTIF(Tabel158[Team Rood],Tabel59[[#This Row],[Team]])</f>
        <v>0</v>
      </c>
      <c r="AU77" s="169">
        <f>COUNTIF(Tabel158[Team Groen],Tabel59[[#This Row],[Team]])</f>
        <v>0</v>
      </c>
      <c r="AV77" s="170">
        <f>Tabel59[[#This Row],[Aantal Games Rood]]+Tabel59[[#This Row],[Aantal Games Groen]]</f>
        <v>0</v>
      </c>
      <c r="AW77" s="171">
        <f>SUMIF(Tabel158[Team Rood],Tabel59[[#This Row],[Team]],Tabel158[Score])</f>
        <v>0</v>
      </c>
      <c r="AX77" s="171">
        <f>SUMIF(Tabel158[Team Rood],Tabel59[[#This Row],[Team]],Tabel158[Score2])</f>
        <v>0</v>
      </c>
      <c r="AY77" s="136">
        <f>SUMIF(Tabel158[Team Groen],Tabel59[[#This Row],[Team]],Tabel158[Score3])</f>
        <v>0</v>
      </c>
      <c r="AZ77" s="169">
        <f>SUMIF(Tabel158[Team Groen],Tabel59[[#This Row],[Team]],Tabel158[Score4])</f>
        <v>0</v>
      </c>
      <c r="BA77" s="172">
        <f>SUM(Tabel59[[#This Row],[Goals Verdediger]]+Tabel59[[#This Row],[Goals DefG]])</f>
        <v>0</v>
      </c>
      <c r="BB77" s="170">
        <f>IF(Tabel59[[#This Row],[Aantal games Alg]]=0,0,Tabel59[[#This Row],[Goals DefA]]/Tabel59[[#This Row],[Aantal games Alg]])</f>
        <v>0</v>
      </c>
      <c r="BC77" s="172">
        <f>SUM(Tabel59[[#This Row],[Goals Aanvaller]]+Tabel59[[#This Row],[Goals OffG]])</f>
        <v>0</v>
      </c>
      <c r="BD77" s="170">
        <f>IF(Tabel59[[#This Row],[Aantal games Alg]]=0,0,Tabel59[[#This Row],[Goals OffA]]/Tabel59[[#This Row],[Aantal games Alg]])</f>
        <v>0</v>
      </c>
      <c r="BE77" s="170">
        <f>Tabel59[[#This Row],[Goals DefA]]+Tabel59[[#This Row],[Goals OffA]]</f>
        <v>0</v>
      </c>
      <c r="BF77" s="170">
        <f>IF(Tabel59[[#This Row],[Aantal games Alg]]=0,0,Tabel59[[#This Row],[Goals Alg]]/Tabel59[[#This Row],[Aantal games Alg]])</f>
        <v>0</v>
      </c>
      <c r="BG77" s="148">
        <f>SUMIF(Tabel158[Team Rood],Tabel59[[#This Row],[Team]],Tabel158[ET])</f>
        <v>0</v>
      </c>
      <c r="BH77" s="150">
        <f>SUMIF(Tabel158[Team Groen],Tabel59[[#This Row],[Team]],Tabel158[ET])</f>
        <v>0</v>
      </c>
      <c r="BI77" s="153">
        <f>SUM(Tabel59[[#This Row],[ET Groen tot]],Tabel59[[#This Row],[ET Rood tot]])</f>
        <v>0</v>
      </c>
      <c r="BJ77" s="155">
        <f>IF(Tabel59[[#This Row],[Aantal games Alg]]=0,0,Tabel59[[#This Row],[ET tot]]/Tabel59[[#This Row],[Aantal games Alg]])</f>
        <v>0</v>
      </c>
    </row>
    <row r="78" spans="1:62" x14ac:dyDescent="0.25">
      <c r="A78" s="124">
        <f ca="1">IF(Tabel158[[#This Row],[Rood Verdediging]]&lt;&gt;"",IF(A78="",NOW(),A78),"")</f>
        <v>43878.947694907409</v>
      </c>
      <c r="B78" s="128">
        <f ca="1">IF(Tabel158[[#This Row],[Rood Verdediging]]&lt;&gt;"",IF(B78="",NOW(),B78),"")</f>
        <v>43878.947694907409</v>
      </c>
      <c r="C78" s="126">
        <f ca="1">IF(Tabel158[[#This Row],[Score]]&lt;&gt;"",IF(C78="",NOW(),C78),"")</f>
        <v>43878.947694907409</v>
      </c>
      <c r="D78" s="127">
        <f ca="1">IF(OR(Tabel158[[#This Row],[Starttijd]]="",Tabel158[[#This Row],[Eindtijd]]=""),"",Tabel158[[#This Row],[Eindtijd]]-Tabel158[[#This Row],[Starttijd]])</f>
        <v>0</v>
      </c>
      <c r="E78" s="74">
        <v>78</v>
      </c>
      <c r="F78" s="205" t="s">
        <v>8</v>
      </c>
      <c r="G78" s="210">
        <v>2</v>
      </c>
      <c r="H78" s="205" t="s">
        <v>6</v>
      </c>
      <c r="I78" s="210">
        <v>3</v>
      </c>
      <c r="J78" s="206" t="s">
        <v>7</v>
      </c>
      <c r="K78" s="212">
        <v>5</v>
      </c>
      <c r="L78" s="206" t="s">
        <v>13</v>
      </c>
      <c r="M78" s="212">
        <v>6</v>
      </c>
      <c r="N78" s="81">
        <f t="shared" si="14"/>
        <v>5</v>
      </c>
      <c r="O78" s="82">
        <f t="shared" si="15"/>
        <v>11</v>
      </c>
      <c r="P78" s="70" t="str">
        <f t="shared" si="18"/>
        <v>GROEN</v>
      </c>
      <c r="Q78" s="86" t="str">
        <f t="shared" si="16"/>
        <v>Tiemen</v>
      </c>
      <c r="R78" s="87" t="str">
        <f t="shared" si="17"/>
        <v>Bert</v>
      </c>
      <c r="S78" t="str">
        <f>Tabel158[[#This Row],[Rood Verdediging]]&amp;Tabel158[[#This Row],[Rood Aanval]]</f>
        <v>LouisStef D</v>
      </c>
      <c r="T78" t="str">
        <f>Tabel158[[#This Row],[Groen Verdediging]]&amp;Tabel158[[#This Row],[Groen Aanval]]</f>
        <v>TiemenBert</v>
      </c>
      <c r="U78" t="str">
        <f>Tabel158[[#This Row],[Winnaar 1]]&amp;Tabel158[[#This Row],[Winnaar 2]]</f>
        <v>TiemenBert</v>
      </c>
      <c r="V78" s="147" t="b">
        <f>IF(Tabel158[[#This Row],[Team Rood]]=Tabel158[[#This Row],[Winnaars]],Tabel158[[#This Row],[Team Rood]])</f>
        <v>0</v>
      </c>
      <c r="W78" s="147" t="str">
        <f>IF(Tabel158[[#This Row],[Team Groen]]=Tabel158[[#This Row],[Winnaars]],Tabel158[[#This Row],[Team Groen]])</f>
        <v>TiemenBert</v>
      </c>
      <c r="X78" s="147"/>
      <c r="AH78" s="251" t="s">
        <v>163</v>
      </c>
      <c r="AI78" s="233" t="s">
        <v>164</v>
      </c>
      <c r="AJ78" s="140" t="str">
        <f t="shared" si="19"/>
        <v>Bert*Karel*</v>
      </c>
      <c r="AK78" s="160">
        <f>IF(Tabel59[[#This Row],[Aantal Games Rood]]=0,0,(Tabel59[[#This Row],[Wins Rood]])/Tabel59[[#This Row],[Aantal Games Rood]])</f>
        <v>0</v>
      </c>
      <c r="AL78" s="159">
        <f>IF(Tabel59[[#This Row],[Aantal Games Groen]]=0,0,(Tabel59[[#This Row],[Wins Groen]])/Tabel59[[#This Row],[Aantal Games Groen]])</f>
        <v>0</v>
      </c>
      <c r="AM78" s="156">
        <f>IF(Tabel59[[#This Row],[Aantal games Alg]]=0,0,(Tabel59[[#This Row],[Wins Alg]])/Tabel59[[#This Row],[Aantal games Alg]])</f>
        <v>0</v>
      </c>
      <c r="AN78" s="133">
        <f>COUNTIF(Tabel158[Winaar rood],Tabel59[[#This Row],[Team]])</f>
        <v>0</v>
      </c>
      <c r="AO78" s="134">
        <f>COUNTIF(Tabel158[Winnaar Groen],Tabel59[[#This Row],[Team]])</f>
        <v>0</v>
      </c>
      <c r="AP78">
        <f>COUNTIF(Tabel158[Winnaars],Tabel59[[#This Row],[Team]])</f>
        <v>0</v>
      </c>
      <c r="AQ78" s="135">
        <f>Tabel59[[#This Row],[Aantal Games Rood]]-Tabel59[[#This Row],[Wins Rood]]</f>
        <v>0</v>
      </c>
      <c r="AR78" s="136">
        <f>Tabel59[[#This Row],[Aantal Games Groen]]-Tabel59[[#This Row],[Wins Groen]]</f>
        <v>0</v>
      </c>
      <c r="AS78" s="137">
        <f>Tabel59[[#This Row],[Aantal games Alg]]-Tabel59[[#This Row],[Wins Alg]]</f>
        <v>0</v>
      </c>
      <c r="AT78" s="138">
        <f>COUNTIF(Tabel158[Team Rood],Tabel59[[#This Row],[Team]])</f>
        <v>0</v>
      </c>
      <c r="AU78" s="136">
        <f>COUNTIF(Tabel158[Team Groen],Tabel59[[#This Row],[Team]])</f>
        <v>0</v>
      </c>
      <c r="AV78" s="112">
        <f>Tabel59[[#This Row],[Aantal Games Rood]]+Tabel59[[#This Row],[Aantal Games Groen]]</f>
        <v>0</v>
      </c>
      <c r="AW78" s="138">
        <f>SUMIF(Tabel158[Team Rood],Tabel59[[#This Row],[Team]],Tabel158[Score])</f>
        <v>0</v>
      </c>
      <c r="AX78" s="138">
        <f>SUMIF(Tabel158[Team Rood],Tabel59[[#This Row],[Team]],Tabel158[Score2])</f>
        <v>0</v>
      </c>
      <c r="AY78" s="134">
        <f>SUMIF(Tabel158[Team Groen],Tabel59[[#This Row],[Team]],Tabel158[Score3])</f>
        <v>0</v>
      </c>
      <c r="AZ78" s="136">
        <f>SUMIF(Tabel158[Team Groen],Tabel59[[#This Row],[Team]],Tabel158[Score4])</f>
        <v>0</v>
      </c>
      <c r="BA78">
        <f>SUM(Tabel59[[#This Row],[Goals Verdediger]]+Tabel59[[#This Row],[Goals DefG]])</f>
        <v>0</v>
      </c>
      <c r="BB78">
        <f>IF(Tabel59[[#This Row],[Aantal games Alg]]=0,0,Tabel59[[#This Row],[Goals DefA]]/Tabel59[[#This Row],[Aantal games Alg]])</f>
        <v>0</v>
      </c>
      <c r="BC78">
        <f>SUM(Tabel59[[#This Row],[Goals Aanvaller]]+Tabel59[[#This Row],[Goals OffG]])</f>
        <v>0</v>
      </c>
      <c r="BD78">
        <f>IF(Tabel59[[#This Row],[Aantal games Alg]]=0,0,Tabel59[[#This Row],[Goals OffA]]/Tabel59[[#This Row],[Aantal games Alg]])</f>
        <v>0</v>
      </c>
      <c r="BE78" s="112">
        <f>Tabel59[[#This Row],[Goals DefA]]+Tabel59[[#This Row],[Goals OffA]]</f>
        <v>0</v>
      </c>
      <c r="BF78" s="112">
        <f>IF(Tabel59[[#This Row],[Aantal games Alg]]=0,0,Tabel59[[#This Row],[Goals Alg]]/Tabel59[[#This Row],[Aantal games Alg]])</f>
        <v>0</v>
      </c>
      <c r="BG78" s="148">
        <f>SUMIF(Tabel158[Team Rood],Tabel59[[#This Row],[Team]],Tabel158[ET])</f>
        <v>0</v>
      </c>
      <c r="BH78" s="150">
        <f>SUMIF(Tabel158[Team Groen],Tabel59[[#This Row],[Team]],Tabel158[ET])</f>
        <v>0</v>
      </c>
      <c r="BI78" s="153">
        <f>SUM(Tabel59[[#This Row],[ET Groen tot]],Tabel59[[#This Row],[ET Rood tot]])</f>
        <v>0</v>
      </c>
      <c r="BJ78" s="155">
        <f>IF(Tabel59[[#This Row],[Aantal games Alg]]=0,0,Tabel59[[#This Row],[ET tot]]/Tabel59[[#This Row],[Aantal games Alg]])</f>
        <v>0</v>
      </c>
    </row>
    <row r="79" spans="1:62" x14ac:dyDescent="0.25">
      <c r="A79" s="124">
        <f ca="1">IF(Tabel158[[#This Row],[Rood Verdediging]]&lt;&gt;"",IF(A79="",NOW(),A79),"")</f>
        <v>43878.947694907409</v>
      </c>
      <c r="B79" s="128">
        <f ca="1">IF(Tabel158[[#This Row],[Rood Verdediging]]&lt;&gt;"",IF(B79="",NOW(),B79),"")</f>
        <v>43878.947694907409</v>
      </c>
      <c r="C79" s="126">
        <f ca="1">IF(Tabel158[[#This Row],[Score]]&lt;&gt;"",IF(C79="",NOW(),C79),"")</f>
        <v>43878.947694907409</v>
      </c>
      <c r="D79" s="127">
        <f ca="1">IF(OR(Tabel158[[#This Row],[Starttijd]]="",Tabel158[[#This Row],[Eindtijd]]=""),"",Tabel158[[#This Row],[Eindtijd]]-Tabel158[[#This Row],[Starttijd]])</f>
        <v>0</v>
      </c>
      <c r="E79" s="74">
        <v>79</v>
      </c>
      <c r="F79" s="205" t="s">
        <v>11</v>
      </c>
      <c r="G79" s="210">
        <v>1</v>
      </c>
      <c r="H79" s="205" t="s">
        <v>67</v>
      </c>
      <c r="I79" s="210">
        <v>8</v>
      </c>
      <c r="J79" s="206" t="s">
        <v>0</v>
      </c>
      <c r="K79" s="212">
        <v>6</v>
      </c>
      <c r="L79" s="206" t="s">
        <v>6</v>
      </c>
      <c r="M79" s="212">
        <v>5</v>
      </c>
      <c r="N79" s="81">
        <f t="shared" si="14"/>
        <v>9</v>
      </c>
      <c r="O79" s="82">
        <f t="shared" si="15"/>
        <v>11</v>
      </c>
      <c r="P79" s="70" t="str">
        <f t="shared" si="18"/>
        <v>GROEN</v>
      </c>
      <c r="Q79" s="86" t="str">
        <f t="shared" si="16"/>
        <v>Jonas</v>
      </c>
      <c r="R79" s="87" t="str">
        <f t="shared" si="17"/>
        <v>Stef D</v>
      </c>
      <c r="S79" t="str">
        <f>Tabel158[[#This Row],[Rood Verdediging]]&amp;Tabel158[[#This Row],[Rood Aanval]]</f>
        <v>MatthijsLawrence</v>
      </c>
      <c r="T79" t="str">
        <f>Tabel158[[#This Row],[Groen Verdediging]]&amp;Tabel158[[#This Row],[Groen Aanval]]</f>
        <v>JonasStef D</v>
      </c>
      <c r="U79" t="str">
        <f>Tabel158[[#This Row],[Winnaar 1]]&amp;Tabel158[[#This Row],[Winnaar 2]]</f>
        <v>JonasStef D</v>
      </c>
      <c r="V79" s="147" t="b">
        <f>IF(Tabel158[[#This Row],[Team Rood]]=Tabel158[[#This Row],[Winnaars]],Tabel158[[#This Row],[Team Rood]])</f>
        <v>0</v>
      </c>
      <c r="W79" s="147" t="str">
        <f>IF(Tabel158[[#This Row],[Team Groen]]=Tabel158[[#This Row],[Winnaars]],Tabel158[[#This Row],[Team Groen]])</f>
        <v>JonasStef D</v>
      </c>
      <c r="X79" s="147"/>
      <c r="AH79" s="251" t="s">
        <v>163</v>
      </c>
      <c r="AI79" s="233" t="s">
        <v>67</v>
      </c>
      <c r="AJ79" s="140" t="str">
        <f t="shared" si="19"/>
        <v>Bert*Lawrence</v>
      </c>
      <c r="AK79" s="160">
        <f>IF(Tabel59[[#This Row],[Aantal Games Rood]]=0,0,(Tabel59[[#This Row],[Wins Rood]])/Tabel59[[#This Row],[Aantal Games Rood]])</f>
        <v>0</v>
      </c>
      <c r="AL79" s="159">
        <f>IF(Tabel59[[#This Row],[Aantal Games Groen]]=0,0,(Tabel59[[#This Row],[Wins Groen]])/Tabel59[[#This Row],[Aantal Games Groen]])</f>
        <v>0</v>
      </c>
      <c r="AM79" s="156">
        <f>IF(Tabel59[[#This Row],[Aantal games Alg]]=0,0,(Tabel59[[#This Row],[Wins Alg]])/Tabel59[[#This Row],[Aantal games Alg]])</f>
        <v>0</v>
      </c>
      <c r="AN79" s="133">
        <f>COUNTIF(Tabel158[Winaar rood],Tabel59[[#This Row],[Team]])</f>
        <v>0</v>
      </c>
      <c r="AO79" s="134">
        <f>COUNTIF(Tabel158[Winnaar Groen],Tabel59[[#This Row],[Team]])</f>
        <v>0</v>
      </c>
      <c r="AP79">
        <f>COUNTIF(Tabel158[Winnaars],Tabel59[[#This Row],[Team]])</f>
        <v>0</v>
      </c>
      <c r="AQ79" s="135">
        <f>Tabel59[[#This Row],[Aantal Games Rood]]-Tabel59[[#This Row],[Wins Rood]]</f>
        <v>0</v>
      </c>
      <c r="AR79" s="136">
        <f>Tabel59[[#This Row],[Aantal Games Groen]]-Tabel59[[#This Row],[Wins Groen]]</f>
        <v>0</v>
      </c>
      <c r="AS79" s="137">
        <f>Tabel59[[#This Row],[Aantal games Alg]]-Tabel59[[#This Row],[Wins Alg]]</f>
        <v>0</v>
      </c>
      <c r="AT79" s="138">
        <f>COUNTIF(Tabel158[Team Rood],Tabel59[[#This Row],[Team]])</f>
        <v>0</v>
      </c>
      <c r="AU79" s="136">
        <f>COUNTIF(Tabel158[Team Groen],Tabel59[[#This Row],[Team]])</f>
        <v>0</v>
      </c>
      <c r="AV79" s="112">
        <f>Tabel59[[#This Row],[Aantal Games Rood]]+Tabel59[[#This Row],[Aantal Games Groen]]</f>
        <v>0</v>
      </c>
      <c r="AW79" s="138">
        <f>SUMIF(Tabel158[Team Rood],Tabel59[[#This Row],[Team]],Tabel158[Score])</f>
        <v>0</v>
      </c>
      <c r="AX79" s="138">
        <f>SUMIF(Tabel158[Team Rood],Tabel59[[#This Row],[Team]],Tabel158[Score2])</f>
        <v>0</v>
      </c>
      <c r="AY79" s="134">
        <f>SUMIF(Tabel158[Team Groen],Tabel59[[#This Row],[Team]],Tabel158[Score3])</f>
        <v>0</v>
      </c>
      <c r="AZ79" s="136">
        <f>SUMIF(Tabel158[Team Groen],Tabel59[[#This Row],[Team]],Tabel158[Score4])</f>
        <v>0</v>
      </c>
      <c r="BA79">
        <f>SUM(Tabel59[[#This Row],[Goals Verdediger]]+Tabel59[[#This Row],[Goals DefG]])</f>
        <v>0</v>
      </c>
      <c r="BB79">
        <f>IF(Tabel59[[#This Row],[Aantal games Alg]]=0,0,Tabel59[[#This Row],[Goals DefA]]/Tabel59[[#This Row],[Aantal games Alg]])</f>
        <v>0</v>
      </c>
      <c r="BC79">
        <f>SUM(Tabel59[[#This Row],[Goals Aanvaller]]+Tabel59[[#This Row],[Goals OffG]])</f>
        <v>0</v>
      </c>
      <c r="BD79">
        <f>IF(Tabel59[[#This Row],[Aantal games Alg]]=0,0,Tabel59[[#This Row],[Goals OffA]]/Tabel59[[#This Row],[Aantal games Alg]])</f>
        <v>0</v>
      </c>
      <c r="BE79" s="112">
        <f>Tabel59[[#This Row],[Goals DefA]]+Tabel59[[#This Row],[Goals OffA]]</f>
        <v>0</v>
      </c>
      <c r="BF79" s="112">
        <f>IF(Tabel59[[#This Row],[Aantal games Alg]]=0,0,Tabel59[[#This Row],[Goals Alg]]/Tabel59[[#This Row],[Aantal games Alg]])</f>
        <v>0</v>
      </c>
      <c r="BG79" s="148">
        <f>SUMIF(Tabel158[Team Rood],Tabel59[[#This Row],[Team]],Tabel158[ET])</f>
        <v>0</v>
      </c>
      <c r="BH79" s="150">
        <f>SUMIF(Tabel158[Team Groen],Tabel59[[#This Row],[Team]],Tabel158[ET])</f>
        <v>0</v>
      </c>
      <c r="BI79" s="153">
        <f>SUM(Tabel59[[#This Row],[ET Groen tot]],Tabel59[[#This Row],[ET Rood tot]])</f>
        <v>0</v>
      </c>
      <c r="BJ79" s="155">
        <f>IF(Tabel59[[#This Row],[Aantal games Alg]]=0,0,Tabel59[[#This Row],[ET tot]]/Tabel59[[#This Row],[Aantal games Alg]])</f>
        <v>0</v>
      </c>
    </row>
    <row r="80" spans="1:62" x14ac:dyDescent="0.25">
      <c r="A80" s="124">
        <f ca="1">IF(Tabel158[[#This Row],[Rood Verdediging]]&lt;&gt;"",IF(A80="",NOW(),A80),"")</f>
        <v>43878.947694907409</v>
      </c>
      <c r="B80" s="128">
        <f ca="1">IF(Tabel158[[#This Row],[Rood Verdediging]]&lt;&gt;"",IF(B80="",NOW(),B80),"")</f>
        <v>43878.947694907409</v>
      </c>
      <c r="C80" s="126">
        <f ca="1">IF(Tabel158[[#This Row],[Score]]&lt;&gt;"",IF(C80="",NOW(),C80),"")</f>
        <v>43878.947694907409</v>
      </c>
      <c r="D80" s="127">
        <f ca="1">IF(OR(Tabel158[[#This Row],[Starttijd]]="",Tabel158[[#This Row],[Eindtijd]]=""),"",Tabel158[[#This Row],[Eindtijd]]-Tabel158[[#This Row],[Starttijd]])</f>
        <v>0</v>
      </c>
      <c r="E80" s="74">
        <v>80</v>
      </c>
      <c r="F80" s="205" t="s">
        <v>0</v>
      </c>
      <c r="G80" s="210">
        <v>4</v>
      </c>
      <c r="H80" s="205" t="s">
        <v>7</v>
      </c>
      <c r="I80" s="210">
        <v>7</v>
      </c>
      <c r="J80" s="206" t="s">
        <v>8</v>
      </c>
      <c r="K80" s="212">
        <v>4</v>
      </c>
      <c r="L80" s="206" t="s">
        <v>13</v>
      </c>
      <c r="M80" s="212">
        <v>5</v>
      </c>
      <c r="N80" s="81">
        <f t="shared" si="14"/>
        <v>11</v>
      </c>
      <c r="O80" s="82">
        <f t="shared" si="15"/>
        <v>9</v>
      </c>
      <c r="P80" s="70" t="str">
        <f t="shared" si="18"/>
        <v>ROOD</v>
      </c>
      <c r="Q80" s="86" t="str">
        <f t="shared" si="16"/>
        <v>Jonas</v>
      </c>
      <c r="R80" s="87" t="str">
        <f t="shared" si="17"/>
        <v>Tiemen</v>
      </c>
      <c r="S80" t="str">
        <f>Tabel158[[#This Row],[Rood Verdediging]]&amp;Tabel158[[#This Row],[Rood Aanval]]</f>
        <v>JonasTiemen</v>
      </c>
      <c r="T80" t="str">
        <f>Tabel158[[#This Row],[Groen Verdediging]]&amp;Tabel158[[#This Row],[Groen Aanval]]</f>
        <v>LouisBert</v>
      </c>
      <c r="U80" t="str">
        <f>Tabel158[[#This Row],[Winnaar 1]]&amp;Tabel158[[#This Row],[Winnaar 2]]</f>
        <v>JonasTiemen</v>
      </c>
      <c r="V80" s="147" t="str">
        <f>IF(Tabel158[[#This Row],[Team Rood]]=Tabel158[[#This Row],[Winnaars]],Tabel158[[#This Row],[Team Rood]])</f>
        <v>JonasTiemen</v>
      </c>
      <c r="W80" s="147" t="b">
        <f>IF(Tabel158[[#This Row],[Team Groen]]=Tabel158[[#This Row],[Winnaars]],Tabel158[[#This Row],[Team Groen]])</f>
        <v>0</v>
      </c>
      <c r="X80" s="147"/>
      <c r="AH80" s="251" t="s">
        <v>163</v>
      </c>
      <c r="AI80" s="233" t="s">
        <v>161</v>
      </c>
      <c r="AJ80" s="140" t="str">
        <f t="shared" si="19"/>
        <v>Bert*Louis*</v>
      </c>
      <c r="AK80" s="160">
        <f>IF(Tabel59[[#This Row],[Aantal Games Rood]]=0,0,(Tabel59[[#This Row],[Wins Rood]])/Tabel59[[#This Row],[Aantal Games Rood]])</f>
        <v>0</v>
      </c>
      <c r="AL80" s="159">
        <f>IF(Tabel59[[#This Row],[Aantal Games Groen]]=0,0,(Tabel59[[#This Row],[Wins Groen]])/Tabel59[[#This Row],[Aantal Games Groen]])</f>
        <v>0</v>
      </c>
      <c r="AM80" s="156">
        <f>IF(Tabel59[[#This Row],[Aantal games Alg]]=0,0,(Tabel59[[#This Row],[Wins Alg]])/Tabel59[[#This Row],[Aantal games Alg]])</f>
        <v>0</v>
      </c>
      <c r="AN80" s="138">
        <f>COUNTIF(Tabel158[Winaar rood],Tabel59[[#This Row],[Team]])</f>
        <v>0</v>
      </c>
      <c r="AO80" s="134">
        <f>COUNTIF(Tabel158[Winnaar Groen],Tabel59[[#This Row],[Team]])</f>
        <v>0</v>
      </c>
      <c r="AP80">
        <f>COUNTIF(Tabel158[Winnaars],Tabel59[[#This Row],[Team]])</f>
        <v>0</v>
      </c>
      <c r="AQ80" s="135">
        <f>Tabel59[[#This Row],[Aantal Games Rood]]-Tabel59[[#This Row],[Wins Rood]]</f>
        <v>0</v>
      </c>
      <c r="AR80" s="136">
        <f>Tabel59[[#This Row],[Aantal Games Groen]]-Tabel59[[#This Row],[Wins Groen]]</f>
        <v>2</v>
      </c>
      <c r="AS80" s="137">
        <f>Tabel59[[#This Row],[Aantal games Alg]]-Tabel59[[#This Row],[Wins Alg]]</f>
        <v>2</v>
      </c>
      <c r="AT80" s="138">
        <f>COUNTIF(Tabel158[Team Rood],Tabel59[[#This Row],[Team]])</f>
        <v>0</v>
      </c>
      <c r="AU80" s="136">
        <f>COUNTIF(Tabel158[Team Groen],Tabel59[[#This Row],[Team]])</f>
        <v>2</v>
      </c>
      <c r="AV80" s="112">
        <f>Tabel59[[#This Row],[Aantal Games Rood]]+Tabel59[[#This Row],[Aantal Games Groen]]</f>
        <v>2</v>
      </c>
      <c r="AW80" s="138">
        <f>SUMIF(Tabel158[Team Rood],Tabel59[[#This Row],[Team]],Tabel158[Score])</f>
        <v>0</v>
      </c>
      <c r="AX80" s="138">
        <f>SUMIF(Tabel158[Team Rood],Tabel59[[#This Row],[Team]],Tabel158[Score2])</f>
        <v>0</v>
      </c>
      <c r="AY80" s="134">
        <f>SUMIF(Tabel158[Team Groen],Tabel59[[#This Row],[Team]],Tabel158[Score3])</f>
        <v>7</v>
      </c>
      <c r="AZ80" s="136">
        <f>SUMIF(Tabel158[Team Groen],Tabel59[[#This Row],[Team]],Tabel158[Score4])</f>
        <v>7</v>
      </c>
      <c r="BA80">
        <f>SUM(Tabel59[[#This Row],[Goals Verdediger]]+Tabel59[[#This Row],[Goals DefG]])</f>
        <v>7</v>
      </c>
      <c r="BB80">
        <f>IF(Tabel59[[#This Row],[Aantal games Alg]]=0,0,Tabel59[[#This Row],[Goals DefA]]/Tabel59[[#This Row],[Aantal games Alg]])</f>
        <v>3.5</v>
      </c>
      <c r="BC80">
        <f>SUM(Tabel59[[#This Row],[Goals Aanvaller]]+Tabel59[[#This Row],[Goals OffG]])</f>
        <v>7</v>
      </c>
      <c r="BD80">
        <f>IF(Tabel59[[#This Row],[Aantal games Alg]]=0,0,Tabel59[[#This Row],[Goals OffA]]/Tabel59[[#This Row],[Aantal games Alg]])</f>
        <v>3.5</v>
      </c>
      <c r="BE80" s="112">
        <f>Tabel59[[#This Row],[Goals DefA]]+Tabel59[[#This Row],[Goals OffA]]</f>
        <v>14</v>
      </c>
      <c r="BF80" s="112">
        <f>IF(Tabel59[[#This Row],[Aantal games Alg]]=0,0,Tabel59[[#This Row],[Goals Alg]]/Tabel59[[#This Row],[Aantal games Alg]])</f>
        <v>7</v>
      </c>
      <c r="BG80" s="148">
        <f>SUMIF(Tabel158[Team Rood],Tabel59[[#This Row],[Team]],Tabel158[ET])</f>
        <v>0</v>
      </c>
      <c r="BH80" s="150">
        <f ca="1">SUMIF(Tabel158[Team Groen],Tabel59[[#This Row],[Team]],Tabel158[ET])</f>
        <v>0</v>
      </c>
      <c r="BI80" s="153">
        <f ca="1">SUM(Tabel59[[#This Row],[ET Groen tot]],Tabel59[[#This Row],[ET Rood tot]])</f>
        <v>0</v>
      </c>
      <c r="BJ80" s="155">
        <f ca="1">IF(Tabel59[[#This Row],[Aantal games Alg]]=0,0,Tabel59[[#This Row],[ET tot]]/Tabel59[[#This Row],[Aantal games Alg]])</f>
        <v>0</v>
      </c>
    </row>
    <row r="81" spans="1:62" x14ac:dyDescent="0.25">
      <c r="A81" s="124">
        <f ca="1">IF(Tabel158[[#This Row],[Rood Verdediging]]&lt;&gt;"",IF(A81="",NOW(),A81),"")</f>
        <v>43878.947694907409</v>
      </c>
      <c r="B81" s="128">
        <f ca="1">IF(Tabel158[[#This Row],[Rood Verdediging]]&lt;&gt;"",IF(B81="",NOW(),B81),"")</f>
        <v>43878.947694907409</v>
      </c>
      <c r="C81" s="126">
        <f ca="1">IF(Tabel158[[#This Row],[Score]]&lt;&gt;"",IF(C81="",NOW(),C81),"")</f>
        <v>43878.947694907409</v>
      </c>
      <c r="D81" s="127">
        <f ca="1">IF(OR(Tabel158[[#This Row],[Starttijd]]="",Tabel158[[#This Row],[Eindtijd]]=""),"",Tabel158[[#This Row],[Eindtijd]]-Tabel158[[#This Row],[Starttijd]])</f>
        <v>0</v>
      </c>
      <c r="E81" s="74">
        <v>81</v>
      </c>
      <c r="F81" s="205" t="s">
        <v>0</v>
      </c>
      <c r="G81" s="210">
        <v>3</v>
      </c>
      <c r="H81" s="205" t="s">
        <v>11</v>
      </c>
      <c r="I81" s="210">
        <v>8</v>
      </c>
      <c r="J81" s="206" t="s">
        <v>67</v>
      </c>
      <c r="K81" s="212">
        <v>1</v>
      </c>
      <c r="L81" s="206" t="s">
        <v>6</v>
      </c>
      <c r="M81" s="212">
        <v>8</v>
      </c>
      <c r="N81" s="81">
        <f t="shared" si="14"/>
        <v>11</v>
      </c>
      <c r="O81" s="82">
        <f t="shared" si="15"/>
        <v>9</v>
      </c>
      <c r="P81" s="70" t="str">
        <f t="shared" si="18"/>
        <v>ROOD</v>
      </c>
      <c r="Q81" s="86" t="str">
        <f t="shared" si="16"/>
        <v>Jonas</v>
      </c>
      <c r="R81" s="87" t="str">
        <f t="shared" si="17"/>
        <v>Matthijs</v>
      </c>
      <c r="S81" t="str">
        <f>Tabel158[[#This Row],[Rood Verdediging]]&amp;Tabel158[[#This Row],[Rood Aanval]]</f>
        <v>JonasMatthijs</v>
      </c>
      <c r="T81" t="str">
        <f>Tabel158[[#This Row],[Groen Verdediging]]&amp;Tabel158[[#This Row],[Groen Aanval]]</f>
        <v>LawrenceStef D</v>
      </c>
      <c r="U81" t="str">
        <f>Tabel158[[#This Row],[Winnaar 1]]&amp;Tabel158[[#This Row],[Winnaar 2]]</f>
        <v>JonasMatthijs</v>
      </c>
      <c r="V81" s="147" t="str">
        <f>IF(Tabel158[[#This Row],[Team Rood]]=Tabel158[[#This Row],[Winnaars]],Tabel158[[#This Row],[Team Rood]])</f>
        <v>JonasMatthijs</v>
      </c>
      <c r="W81" s="147" t="b">
        <f>IF(Tabel158[[#This Row],[Team Groen]]=Tabel158[[#This Row],[Winnaars]],Tabel158[[#This Row],[Team Groen]])</f>
        <v>0</v>
      </c>
      <c r="X81" s="147"/>
      <c r="AH81" s="251" t="s">
        <v>163</v>
      </c>
      <c r="AI81" s="233" t="s">
        <v>170</v>
      </c>
      <c r="AJ81" s="140" t="str">
        <f t="shared" si="19"/>
        <v>Bert*Nico*</v>
      </c>
      <c r="AK81" s="160">
        <f>IF(Tabel59[[#This Row],[Aantal Games Rood]]=0,0,(Tabel59[[#This Row],[Wins Rood]])/Tabel59[[#This Row],[Aantal Games Rood]])</f>
        <v>0</v>
      </c>
      <c r="AL81" s="159">
        <f>IF(Tabel59[[#This Row],[Aantal Games Groen]]=0,0,(Tabel59[[#This Row],[Wins Groen]])/Tabel59[[#This Row],[Aantal Games Groen]])</f>
        <v>0</v>
      </c>
      <c r="AM81" s="156">
        <f>IF(Tabel59[[#This Row],[Aantal games Alg]]=0,0,(Tabel59[[#This Row],[Wins Alg]])/Tabel59[[#This Row],[Aantal games Alg]])</f>
        <v>0</v>
      </c>
      <c r="AN81" s="133">
        <f>COUNTIF(Tabel158[Winaar rood],Tabel59[[#This Row],[Team]])</f>
        <v>0</v>
      </c>
      <c r="AO81" s="134">
        <f>COUNTIF(Tabel158[Winnaar Groen],Tabel59[[#This Row],[Team]])</f>
        <v>0</v>
      </c>
      <c r="AP81">
        <f>COUNTIF(Tabel158[Winnaars],Tabel59[[#This Row],[Team]])</f>
        <v>0</v>
      </c>
      <c r="AQ81" s="135">
        <f>Tabel59[[#This Row],[Aantal Games Rood]]-Tabel59[[#This Row],[Wins Rood]]</f>
        <v>0</v>
      </c>
      <c r="AR81" s="136">
        <f>Tabel59[[#This Row],[Aantal Games Groen]]-Tabel59[[#This Row],[Wins Groen]]</f>
        <v>0</v>
      </c>
      <c r="AS81" s="137">
        <f>Tabel59[[#This Row],[Aantal games Alg]]-Tabel59[[#This Row],[Wins Alg]]</f>
        <v>0</v>
      </c>
      <c r="AT81" s="138">
        <f>COUNTIF(Tabel158[Team Rood],Tabel59[[#This Row],[Team]])</f>
        <v>0</v>
      </c>
      <c r="AU81" s="136">
        <f>COUNTIF(Tabel158[Team Groen],Tabel59[[#This Row],[Team]])</f>
        <v>0</v>
      </c>
      <c r="AV81" s="112">
        <f>Tabel59[[#This Row],[Aantal Games Rood]]+Tabel59[[#This Row],[Aantal Games Groen]]</f>
        <v>0</v>
      </c>
      <c r="AW81" s="138">
        <f>SUMIF(Tabel158[Team Rood],Tabel59[[#This Row],[Team]],Tabel158[Score])</f>
        <v>0</v>
      </c>
      <c r="AX81" s="138">
        <f>SUMIF(Tabel158[Team Rood],Tabel59[[#This Row],[Team]],Tabel158[Score2])</f>
        <v>0</v>
      </c>
      <c r="AY81" s="134">
        <f>SUMIF(Tabel158[Team Groen],Tabel59[[#This Row],[Team]],Tabel158[Score3])</f>
        <v>0</v>
      </c>
      <c r="AZ81" s="136">
        <f>SUMIF(Tabel158[Team Groen],Tabel59[[#This Row],[Team]],Tabel158[Score4])</f>
        <v>0</v>
      </c>
      <c r="BA81">
        <f>SUM(Tabel59[[#This Row],[Goals Verdediger]]+Tabel59[[#This Row],[Goals DefG]])</f>
        <v>0</v>
      </c>
      <c r="BB81">
        <f>IF(Tabel59[[#This Row],[Aantal games Alg]]=0,0,Tabel59[[#This Row],[Goals DefA]]/Tabel59[[#This Row],[Aantal games Alg]])</f>
        <v>0</v>
      </c>
      <c r="BC81">
        <f>SUM(Tabel59[[#This Row],[Goals Aanvaller]]+Tabel59[[#This Row],[Goals OffG]])</f>
        <v>0</v>
      </c>
      <c r="BD81">
        <f>IF(Tabel59[[#This Row],[Aantal games Alg]]=0,0,Tabel59[[#This Row],[Goals OffA]]/Tabel59[[#This Row],[Aantal games Alg]])</f>
        <v>0</v>
      </c>
      <c r="BE81" s="112">
        <f>Tabel59[[#This Row],[Goals DefA]]+Tabel59[[#This Row],[Goals OffA]]</f>
        <v>0</v>
      </c>
      <c r="BF81" s="112">
        <f>IF(Tabel59[[#This Row],[Aantal games Alg]]=0,0,Tabel59[[#This Row],[Goals Alg]]/Tabel59[[#This Row],[Aantal games Alg]])</f>
        <v>0</v>
      </c>
      <c r="BG81" s="148">
        <f>SUMIF(Tabel158[Team Rood],Tabel59[[#This Row],[Team]],Tabel158[ET])</f>
        <v>0</v>
      </c>
      <c r="BH81" s="150">
        <f>SUMIF(Tabel158[Team Groen],Tabel59[[#This Row],[Team]],Tabel158[ET])</f>
        <v>0</v>
      </c>
      <c r="BI81" s="153">
        <f>SUM(Tabel59[[#This Row],[ET Groen tot]],Tabel59[[#This Row],[ET Rood tot]])</f>
        <v>0</v>
      </c>
      <c r="BJ81" s="155">
        <f>IF(Tabel59[[#This Row],[Aantal games Alg]]=0,0,Tabel59[[#This Row],[ET tot]]/Tabel59[[#This Row],[Aantal games Alg]])</f>
        <v>0</v>
      </c>
    </row>
    <row r="82" spans="1:62" x14ac:dyDescent="0.25">
      <c r="A82" s="124">
        <f ca="1">IF(Tabel158[[#This Row],[Rood Verdediging]]&lt;&gt;"",IF(A82="",NOW(),A82),"")</f>
        <v>43878.947694907409</v>
      </c>
      <c r="B82" s="128">
        <f ca="1">IF(Tabel158[[#This Row],[Rood Verdediging]]&lt;&gt;"",IF(B82="",NOW(),B82),"")</f>
        <v>43878.947694907409</v>
      </c>
      <c r="C82" s="126">
        <f ca="1">IF(Tabel158[[#This Row],[Score]]&lt;&gt;"",IF(C82="",NOW(),C82),"")</f>
        <v>43878.947694907409</v>
      </c>
      <c r="D82" s="127">
        <f ca="1">IF(OR(Tabel158[[#This Row],[Starttijd]]="",Tabel158[[#This Row],[Eindtijd]]=""),"",Tabel158[[#This Row],[Eindtijd]]-Tabel158[[#This Row],[Starttijd]])</f>
        <v>0</v>
      </c>
      <c r="E82" s="74">
        <v>82</v>
      </c>
      <c r="F82" s="205" t="s">
        <v>13</v>
      </c>
      <c r="G82" s="210">
        <v>3</v>
      </c>
      <c r="H82" s="205" t="s">
        <v>7</v>
      </c>
      <c r="I82" s="210">
        <v>8</v>
      </c>
      <c r="J82" s="206" t="s">
        <v>8</v>
      </c>
      <c r="K82" s="212">
        <v>0</v>
      </c>
      <c r="L82" s="206" t="s">
        <v>6</v>
      </c>
      <c r="M82" s="212">
        <v>6</v>
      </c>
      <c r="N82" s="81">
        <f t="shared" si="14"/>
        <v>11</v>
      </c>
      <c r="O82" s="82">
        <f t="shared" si="15"/>
        <v>6</v>
      </c>
      <c r="P82" s="70" t="str">
        <f t="shared" si="18"/>
        <v>ROOD</v>
      </c>
      <c r="Q82" s="86" t="str">
        <f t="shared" si="16"/>
        <v>Bert</v>
      </c>
      <c r="R82" s="87" t="str">
        <f t="shared" si="17"/>
        <v>Tiemen</v>
      </c>
      <c r="S82" t="str">
        <f>Tabel158[[#This Row],[Rood Verdediging]]&amp;Tabel158[[#This Row],[Rood Aanval]]</f>
        <v>BertTiemen</v>
      </c>
      <c r="T82" t="str">
        <f>Tabel158[[#This Row],[Groen Verdediging]]&amp;Tabel158[[#This Row],[Groen Aanval]]</f>
        <v>LouisStef D</v>
      </c>
      <c r="U82" t="str">
        <f>Tabel158[[#This Row],[Winnaar 1]]&amp;Tabel158[[#This Row],[Winnaar 2]]</f>
        <v>BertTiemen</v>
      </c>
      <c r="V82" s="147" t="str">
        <f>IF(Tabel158[[#This Row],[Team Rood]]=Tabel158[[#This Row],[Winnaars]],Tabel158[[#This Row],[Team Rood]])</f>
        <v>BertTiemen</v>
      </c>
      <c r="W82" s="147" t="b">
        <f>IF(Tabel158[[#This Row],[Team Groen]]=Tabel158[[#This Row],[Winnaars]],Tabel158[[#This Row],[Team Groen]])</f>
        <v>0</v>
      </c>
      <c r="X82" s="147"/>
      <c r="AH82" s="251" t="s">
        <v>163</v>
      </c>
      <c r="AI82" s="233" t="s">
        <v>166</v>
      </c>
      <c r="AJ82" s="140" t="str">
        <f t="shared" si="19"/>
        <v>Bert*Stijn*</v>
      </c>
      <c r="AK82" s="160">
        <f>IF(Tabel59[[#This Row],[Aantal Games Rood]]=0,0,(Tabel59[[#This Row],[Wins Rood]])/Tabel59[[#This Row],[Aantal Games Rood]])</f>
        <v>0</v>
      </c>
      <c r="AL82" s="159">
        <f>IF(Tabel59[[#This Row],[Aantal Games Groen]]=0,0,(Tabel59[[#This Row],[Wins Groen]])/Tabel59[[#This Row],[Aantal Games Groen]])</f>
        <v>0</v>
      </c>
      <c r="AM82" s="156">
        <f>IF(Tabel59[[#This Row],[Aantal games Alg]]=0,0,(Tabel59[[#This Row],[Wins Alg]])/Tabel59[[#This Row],[Aantal games Alg]])</f>
        <v>0</v>
      </c>
      <c r="AN82" s="133">
        <f>COUNTIF(Tabel158[Winaar rood],Tabel59[[#This Row],[Team]])</f>
        <v>0</v>
      </c>
      <c r="AO82" s="134">
        <f>COUNTIF(Tabel158[Winnaar Groen],Tabel59[[#This Row],[Team]])</f>
        <v>0</v>
      </c>
      <c r="AP82">
        <f>COUNTIF(Tabel158[Winnaars],Tabel59[[#This Row],[Team]])</f>
        <v>0</v>
      </c>
      <c r="AQ82" s="135">
        <f>Tabel59[[#This Row],[Aantal Games Rood]]-Tabel59[[#This Row],[Wins Rood]]</f>
        <v>0</v>
      </c>
      <c r="AR82" s="136">
        <f>Tabel59[[#This Row],[Aantal Games Groen]]-Tabel59[[#This Row],[Wins Groen]]</f>
        <v>0</v>
      </c>
      <c r="AS82" s="137">
        <f>Tabel59[[#This Row],[Aantal games Alg]]-Tabel59[[#This Row],[Wins Alg]]</f>
        <v>0</v>
      </c>
      <c r="AT82" s="138">
        <f>COUNTIF(Tabel158[Team Rood],Tabel59[[#This Row],[Team]])</f>
        <v>0</v>
      </c>
      <c r="AU82" s="136">
        <f>COUNTIF(Tabel158[Team Groen],Tabel59[[#This Row],[Team]])</f>
        <v>0</v>
      </c>
      <c r="AV82" s="112">
        <f>Tabel59[[#This Row],[Aantal Games Rood]]+Tabel59[[#This Row],[Aantal Games Groen]]</f>
        <v>0</v>
      </c>
      <c r="AW82" s="138">
        <f>SUMIF(Tabel158[Team Rood],Tabel59[[#This Row],[Team]],Tabel158[Score])</f>
        <v>0</v>
      </c>
      <c r="AX82" s="138">
        <f>SUMIF(Tabel158[Team Rood],Tabel59[[#This Row],[Team]],Tabel158[Score2])</f>
        <v>0</v>
      </c>
      <c r="AY82" s="134">
        <f>SUMIF(Tabel158[Team Groen],Tabel59[[#This Row],[Team]],Tabel158[Score3])</f>
        <v>0</v>
      </c>
      <c r="AZ82" s="136">
        <f>SUMIF(Tabel158[Team Groen],Tabel59[[#This Row],[Team]],Tabel158[Score4])</f>
        <v>0</v>
      </c>
      <c r="BA82">
        <f>SUM(Tabel59[[#This Row],[Goals Verdediger]]+Tabel59[[#This Row],[Goals DefG]])</f>
        <v>0</v>
      </c>
      <c r="BB82">
        <f>IF(Tabel59[[#This Row],[Aantal games Alg]]=0,0,Tabel59[[#This Row],[Goals DefA]]/Tabel59[[#This Row],[Aantal games Alg]])</f>
        <v>0</v>
      </c>
      <c r="BC82">
        <f>SUM(Tabel59[[#This Row],[Goals Aanvaller]]+Tabel59[[#This Row],[Goals OffG]])</f>
        <v>0</v>
      </c>
      <c r="BD82">
        <f>IF(Tabel59[[#This Row],[Aantal games Alg]]=0,0,Tabel59[[#This Row],[Goals OffA]]/Tabel59[[#This Row],[Aantal games Alg]])</f>
        <v>0</v>
      </c>
      <c r="BE82" s="112">
        <f>Tabel59[[#This Row],[Goals DefA]]+Tabel59[[#This Row],[Goals OffA]]</f>
        <v>0</v>
      </c>
      <c r="BF82" s="112">
        <f>IF(Tabel59[[#This Row],[Aantal games Alg]]=0,0,Tabel59[[#This Row],[Goals Alg]]/Tabel59[[#This Row],[Aantal games Alg]])</f>
        <v>0</v>
      </c>
      <c r="BG82" s="148">
        <f>SUMIF(Tabel158[Team Rood],Tabel59[[#This Row],[Team]],Tabel158[ET])</f>
        <v>0</v>
      </c>
      <c r="BH82" s="150">
        <f>SUMIF(Tabel158[Team Groen],Tabel59[[#This Row],[Team]],Tabel158[ET])</f>
        <v>0</v>
      </c>
      <c r="BI82" s="153">
        <f>SUM(Tabel59[[#This Row],[ET Groen tot]],Tabel59[[#This Row],[ET Rood tot]])</f>
        <v>0</v>
      </c>
      <c r="BJ82" s="155">
        <f>IF(Tabel59[[#This Row],[Aantal games Alg]]=0,0,Tabel59[[#This Row],[ET tot]]/Tabel59[[#This Row],[Aantal games Alg]])</f>
        <v>0</v>
      </c>
    </row>
    <row r="83" spans="1:62" x14ac:dyDescent="0.25">
      <c r="A83" s="124">
        <f ca="1">IF(Tabel158[[#This Row],[Rood Verdediging]]&lt;&gt;"",IF(A83="",NOW(),A83),"")</f>
        <v>43878.947694907409</v>
      </c>
      <c r="B83" s="128">
        <f ca="1">IF(Tabel158[[#This Row],[Rood Verdediging]]&lt;&gt;"",IF(B83="",NOW(),B83),"")</f>
        <v>43878.947694907409</v>
      </c>
      <c r="C83" s="126">
        <f ca="1">IF(Tabel158[[#This Row],[Score]]&lt;&gt;"",IF(C83="",NOW(),C83),"")</f>
        <v>43878.947694907409</v>
      </c>
      <c r="D83" s="127">
        <f ca="1">IF(OR(Tabel158[[#This Row],[Starttijd]]="",Tabel158[[#This Row],[Eindtijd]]=""),"",Tabel158[[#This Row],[Eindtijd]]-Tabel158[[#This Row],[Starttijd]])</f>
        <v>0</v>
      </c>
      <c r="E83" s="74">
        <v>83</v>
      </c>
      <c r="F83" s="205" t="s">
        <v>11</v>
      </c>
      <c r="G83" s="210">
        <v>0</v>
      </c>
      <c r="H83" s="205" t="s">
        <v>8</v>
      </c>
      <c r="I83" s="210">
        <v>4</v>
      </c>
      <c r="J83" s="206" t="s">
        <v>6</v>
      </c>
      <c r="K83" s="212">
        <v>4</v>
      </c>
      <c r="L83" s="206" t="s">
        <v>13</v>
      </c>
      <c r="M83" s="212">
        <v>7</v>
      </c>
      <c r="N83" s="81">
        <f t="shared" si="14"/>
        <v>4</v>
      </c>
      <c r="O83" s="82">
        <f t="shared" si="15"/>
        <v>11</v>
      </c>
      <c r="P83" s="70" t="str">
        <f t="shared" si="18"/>
        <v>GROEN</v>
      </c>
      <c r="Q83" s="86" t="str">
        <f t="shared" si="16"/>
        <v>Stef D</v>
      </c>
      <c r="R83" s="87" t="str">
        <f t="shared" si="17"/>
        <v>Bert</v>
      </c>
      <c r="S83" t="str">
        <f>Tabel158[[#This Row],[Rood Verdediging]]&amp;Tabel158[[#This Row],[Rood Aanval]]</f>
        <v>MatthijsLouis</v>
      </c>
      <c r="T83" t="str">
        <f>Tabel158[[#This Row],[Groen Verdediging]]&amp;Tabel158[[#This Row],[Groen Aanval]]</f>
        <v>Stef DBert</v>
      </c>
      <c r="U83" t="str">
        <f>Tabel158[[#This Row],[Winnaar 1]]&amp;Tabel158[[#This Row],[Winnaar 2]]</f>
        <v>Stef DBert</v>
      </c>
      <c r="V83" s="147" t="b">
        <f>IF(Tabel158[[#This Row],[Team Rood]]=Tabel158[[#This Row],[Winnaars]],Tabel158[[#This Row],[Team Rood]])</f>
        <v>0</v>
      </c>
      <c r="W83" s="147" t="str">
        <f>IF(Tabel158[[#This Row],[Team Groen]]=Tabel158[[#This Row],[Winnaars]],Tabel158[[#This Row],[Team Groen]])</f>
        <v>Stef DBert</v>
      </c>
      <c r="X83" s="147"/>
      <c r="AH83" s="251" t="s">
        <v>163</v>
      </c>
      <c r="AI83" s="233" t="s">
        <v>157</v>
      </c>
      <c r="AJ83" s="140" t="str">
        <f t="shared" si="19"/>
        <v>Bert*Tobi*</v>
      </c>
      <c r="AK83" s="160">
        <f>IF(Tabel59[[#This Row],[Aantal Games Rood]]=0,0,(Tabel59[[#This Row],[Wins Rood]])/Tabel59[[#This Row],[Aantal Games Rood]])</f>
        <v>0</v>
      </c>
      <c r="AL83" s="159">
        <f>IF(Tabel59[[#This Row],[Aantal Games Groen]]=0,0,(Tabel59[[#This Row],[Wins Groen]])/Tabel59[[#This Row],[Aantal Games Groen]])</f>
        <v>0</v>
      </c>
      <c r="AM83" s="156">
        <f>IF(Tabel59[[#This Row],[Aantal games Alg]]=0,0,(Tabel59[[#This Row],[Wins Alg]])/Tabel59[[#This Row],[Aantal games Alg]])</f>
        <v>0</v>
      </c>
      <c r="AN83" s="133">
        <f>COUNTIF(Tabel158[Winaar rood],Tabel59[[#This Row],[Team]])</f>
        <v>0</v>
      </c>
      <c r="AO83" s="134">
        <f>COUNTIF(Tabel158[Winnaar Groen],Tabel59[[#This Row],[Team]])</f>
        <v>0</v>
      </c>
      <c r="AP83">
        <f>COUNTIF(Tabel158[Winnaars],Tabel59[[#This Row],[Team]])</f>
        <v>0</v>
      </c>
      <c r="AQ83" s="135">
        <f>Tabel59[[#This Row],[Aantal Games Rood]]-Tabel59[[#This Row],[Wins Rood]]</f>
        <v>0</v>
      </c>
      <c r="AR83" s="136">
        <f>Tabel59[[#This Row],[Aantal Games Groen]]-Tabel59[[#This Row],[Wins Groen]]</f>
        <v>0</v>
      </c>
      <c r="AS83" s="137">
        <f>Tabel59[[#This Row],[Aantal games Alg]]-Tabel59[[#This Row],[Wins Alg]]</f>
        <v>0</v>
      </c>
      <c r="AT83" s="138">
        <f>COUNTIF(Tabel158[Team Rood],Tabel59[[#This Row],[Team]])</f>
        <v>0</v>
      </c>
      <c r="AU83" s="136">
        <f>COUNTIF(Tabel158[Team Groen],Tabel59[[#This Row],[Team]])</f>
        <v>0</v>
      </c>
      <c r="AV83" s="214">
        <f>Tabel59[[#This Row],[Aantal Games Rood]]+Tabel59[[#This Row],[Aantal Games Groen]]</f>
        <v>0</v>
      </c>
      <c r="AW83" s="138">
        <f>SUMIF(Tabel158[Team Rood],Tabel59[[#This Row],[Team]],Tabel158[Score])</f>
        <v>0</v>
      </c>
      <c r="AX83" s="138">
        <f>SUMIF(Tabel158[Team Rood],Tabel59[[#This Row],[Team]],Tabel158[Score2])</f>
        <v>0</v>
      </c>
      <c r="AY83" s="134">
        <f>SUMIF(Tabel158[Team Groen],Tabel59[[#This Row],[Team]],Tabel158[Score3])</f>
        <v>0</v>
      </c>
      <c r="AZ83" s="136">
        <f>SUMIF(Tabel158[Team Groen],Tabel59[[#This Row],[Team]],Tabel158[Score4])</f>
        <v>0</v>
      </c>
      <c r="BA83">
        <f>SUM(Tabel59[[#This Row],[Goals Verdediger]]+Tabel59[[#This Row],[Goals DefG]])</f>
        <v>0</v>
      </c>
      <c r="BB83">
        <f>IF(Tabel59[[#This Row],[Aantal games Alg]]=0,0,Tabel59[[#This Row],[Goals DefA]]/Tabel59[[#This Row],[Aantal games Alg]])</f>
        <v>0</v>
      </c>
      <c r="BC83">
        <f>SUM(Tabel59[[#This Row],[Goals Aanvaller]]+Tabel59[[#This Row],[Goals OffG]])</f>
        <v>0</v>
      </c>
      <c r="BD83">
        <f>IF(Tabel59[[#This Row],[Aantal games Alg]]=0,0,Tabel59[[#This Row],[Goals OffA]]/Tabel59[[#This Row],[Aantal games Alg]])</f>
        <v>0</v>
      </c>
      <c r="BE83" s="112">
        <f>Tabel59[[#This Row],[Goals DefA]]+Tabel59[[#This Row],[Goals OffA]]</f>
        <v>0</v>
      </c>
      <c r="BF83" s="112">
        <f>IF(Tabel59[[#This Row],[Aantal games Alg]]=0,0,Tabel59[[#This Row],[Goals Alg]]/Tabel59[[#This Row],[Aantal games Alg]])</f>
        <v>0</v>
      </c>
      <c r="BG83" s="148">
        <f>SUMIF(Tabel158[Team Rood],Tabel59[[#This Row],[Team]],Tabel158[ET])</f>
        <v>0</v>
      </c>
      <c r="BH83" s="150">
        <f>SUMIF(Tabel158[Team Groen],Tabel59[[#This Row],[Team]],Tabel158[ET])</f>
        <v>0</v>
      </c>
      <c r="BI83" s="153">
        <f>SUM(Tabel59[[#This Row],[ET Groen tot]],Tabel59[[#This Row],[ET Rood tot]])</f>
        <v>0</v>
      </c>
      <c r="BJ83" s="155">
        <f>IF(Tabel59[[#This Row],[Aantal games Alg]]=0,0,Tabel59[[#This Row],[ET tot]]/Tabel59[[#This Row],[Aantal games Alg]])</f>
        <v>0</v>
      </c>
    </row>
    <row r="84" spans="1:62" x14ac:dyDescent="0.25">
      <c r="A84" s="124">
        <f ca="1">IF(Tabel158[[#This Row],[Rood Verdediging]]&lt;&gt;"",IF(A84="",NOW(),A84),"")</f>
        <v>43878.947694907409</v>
      </c>
      <c r="B84" s="128">
        <f ca="1">IF(Tabel158[[#This Row],[Rood Verdediging]]&lt;&gt;"",IF(B84="",NOW(),B84),"")</f>
        <v>43878.947694907409</v>
      </c>
      <c r="C84" s="126">
        <f ca="1">IF(Tabel158[[#This Row],[Score]]&lt;&gt;"",IF(C84="",NOW(),C84),"")</f>
        <v>43878.947694907409</v>
      </c>
      <c r="D84" s="127">
        <f ca="1">IF(OR(Tabel158[[#This Row],[Starttijd]]="",Tabel158[[#This Row],[Eindtijd]]=""),"",Tabel158[[#This Row],[Eindtijd]]-Tabel158[[#This Row],[Starttijd]])</f>
        <v>0</v>
      </c>
      <c r="E84" s="74">
        <v>84</v>
      </c>
      <c r="F84" s="205" t="s">
        <v>11</v>
      </c>
      <c r="G84" s="210">
        <v>3</v>
      </c>
      <c r="H84" s="205" t="s">
        <v>6</v>
      </c>
      <c r="I84" s="210">
        <v>5</v>
      </c>
      <c r="J84" s="206" t="s">
        <v>8</v>
      </c>
      <c r="K84" s="212">
        <v>2</v>
      </c>
      <c r="L84" s="206" t="s">
        <v>13</v>
      </c>
      <c r="M84" s="212">
        <v>9</v>
      </c>
      <c r="N84" s="81">
        <f t="shared" si="14"/>
        <v>8</v>
      </c>
      <c r="O84" s="82">
        <f t="shared" si="15"/>
        <v>11</v>
      </c>
      <c r="P84" s="70" t="str">
        <f t="shared" si="18"/>
        <v>GROEN</v>
      </c>
      <c r="Q84" s="86" t="str">
        <f t="shared" si="16"/>
        <v>Louis</v>
      </c>
      <c r="R84" s="87" t="str">
        <f t="shared" si="17"/>
        <v>Bert</v>
      </c>
      <c r="S84" t="str">
        <f>Tabel158[[#This Row],[Rood Verdediging]]&amp;Tabel158[[#This Row],[Rood Aanval]]</f>
        <v>MatthijsStef D</v>
      </c>
      <c r="T84" t="str">
        <f>Tabel158[[#This Row],[Groen Verdediging]]&amp;Tabel158[[#This Row],[Groen Aanval]]</f>
        <v>LouisBert</v>
      </c>
      <c r="U84" t="str">
        <f>Tabel158[[#This Row],[Winnaar 1]]&amp;Tabel158[[#This Row],[Winnaar 2]]</f>
        <v>LouisBert</v>
      </c>
      <c r="V84" s="147" t="b">
        <f>IF(Tabel158[[#This Row],[Team Rood]]=Tabel158[[#This Row],[Winnaars]],Tabel158[[#This Row],[Team Rood]])</f>
        <v>0</v>
      </c>
      <c r="W84" s="147" t="str">
        <f>IF(Tabel158[[#This Row],[Team Groen]]=Tabel158[[#This Row],[Winnaars]],Tabel158[[#This Row],[Team Groen]])</f>
        <v>LouisBert</v>
      </c>
      <c r="X84" s="147"/>
      <c r="AH84" s="251" t="s">
        <v>168</v>
      </c>
      <c r="AI84" s="233" t="s">
        <v>158</v>
      </c>
      <c r="AJ84" s="140" t="str">
        <f t="shared" si="19"/>
        <v>Coghe*Arno*</v>
      </c>
      <c r="AK84" s="160">
        <f>IF(Tabel59[[#This Row],[Aantal Games Rood]]=0,0,(Tabel59[[#This Row],[Wins Rood]])/Tabel59[[#This Row],[Aantal Games Rood]])</f>
        <v>0</v>
      </c>
      <c r="AL84" s="162">
        <f>IF(Tabel59[[#This Row],[Aantal Games Groen]]=0,0,(Tabel59[[#This Row],[Wins Groen]])/Tabel59[[#This Row],[Aantal Games Groen]])</f>
        <v>0</v>
      </c>
      <c r="AM84" s="156">
        <f>IF(Tabel59[[#This Row],[Aantal games Alg]]=0,0,(Tabel59[[#This Row],[Wins Alg]])/Tabel59[[#This Row],[Aantal games Alg]])</f>
        <v>0</v>
      </c>
      <c r="AN84" s="171">
        <f>COUNTIF(Tabel158[Winaar rood],Tabel59[[#This Row],[Team]])</f>
        <v>0</v>
      </c>
      <c r="AO84" s="164">
        <f>COUNTIF(Tabel158[Winnaar Groen],Tabel59[[#This Row],[Team]])</f>
        <v>0</v>
      </c>
      <c r="AP84" s="147">
        <f>COUNTIF(Tabel158[Winnaars],Tabel59[[#This Row],[Team]])</f>
        <v>0</v>
      </c>
      <c r="AQ84" s="163">
        <f>Tabel59[[#This Row],[Aantal Games Rood]]-Tabel59[[#This Row],[Wins Rood]]</f>
        <v>0</v>
      </c>
      <c r="AR84" s="164">
        <f>Tabel59[[#This Row],[Aantal Games Groen]]-Tabel59[[#This Row],[Wins Groen]]</f>
        <v>0</v>
      </c>
      <c r="AS84" s="165">
        <f>Tabel59[[#This Row],[Aantal games Alg]]-Tabel59[[#This Row],[Wins Alg]]</f>
        <v>0</v>
      </c>
      <c r="AT84" s="166">
        <f>COUNTIF(Tabel158[Team Rood],Tabel59[[#This Row],[Team]])</f>
        <v>0</v>
      </c>
      <c r="AU84" s="164">
        <f>COUNTIF(Tabel158[Team Groen],Tabel59[[#This Row],[Team]])</f>
        <v>0</v>
      </c>
      <c r="AV84" s="170">
        <f>Tabel59[[#This Row],[Aantal Games Rood]]+Tabel59[[#This Row],[Aantal Games Groen]]</f>
        <v>0</v>
      </c>
      <c r="AW84" s="166">
        <f>SUMIF(Tabel158[Team Rood],Tabel59[[#This Row],[Team]],Tabel158[Score])</f>
        <v>0</v>
      </c>
      <c r="AX84" s="166">
        <f>SUMIF(Tabel158[Team Rood],Tabel59[[#This Row],[Team]],Tabel158[Score2])</f>
        <v>0</v>
      </c>
      <c r="AY84" s="134">
        <f>SUMIF(Tabel158[Team Groen],Tabel59[[#This Row],[Team]],Tabel158[Score3])</f>
        <v>0</v>
      </c>
      <c r="AZ84" s="164">
        <f>SUMIF(Tabel158[Team Groen],Tabel59[[#This Row],[Team]],Tabel158[Score4])</f>
        <v>0</v>
      </c>
      <c r="BA84" s="167">
        <f>SUM(Tabel59[[#This Row],[Goals Verdediger]]+Tabel59[[#This Row],[Goals DefG]])</f>
        <v>0</v>
      </c>
      <c r="BB84" s="147">
        <f>IF(Tabel59[[#This Row],[Aantal games Alg]]=0,0,Tabel59[[#This Row],[Goals DefA]]/Tabel59[[#This Row],[Aantal games Alg]])</f>
        <v>0</v>
      </c>
      <c r="BC84" s="167">
        <f>SUM(Tabel59[[#This Row],[Goals Aanvaller]]+Tabel59[[#This Row],[Goals OffG]])</f>
        <v>0</v>
      </c>
      <c r="BD84" s="147">
        <f>IF(Tabel59[[#This Row],[Aantal games Alg]]=0,0,Tabel59[[#This Row],[Goals OffA]]/Tabel59[[#This Row],[Aantal games Alg]])</f>
        <v>0</v>
      </c>
      <c r="BE84" s="147">
        <f>Tabel59[[#This Row],[Goals DefA]]+Tabel59[[#This Row],[Goals OffA]]</f>
        <v>0</v>
      </c>
      <c r="BF84" s="147">
        <f>IF(Tabel59[[#This Row],[Aantal games Alg]]=0,0,Tabel59[[#This Row],[Goals Alg]]/Tabel59[[#This Row],[Aantal games Alg]])</f>
        <v>0</v>
      </c>
      <c r="BG84" s="148">
        <f>SUMIF(Tabel158[Team Rood],Tabel59[[#This Row],[Team]],Tabel158[ET])</f>
        <v>0</v>
      </c>
      <c r="BH84" s="168">
        <f>SUMIF(Tabel158[Team Groen],Tabel59[[#This Row],[Team]],Tabel158[ET])</f>
        <v>0</v>
      </c>
      <c r="BI84" s="221">
        <f>SUM(Tabel59[[#This Row],[ET Groen tot]],Tabel59[[#This Row],[ET Rood tot]])</f>
        <v>0</v>
      </c>
      <c r="BJ84" s="155">
        <f>IF(Tabel59[[#This Row],[Aantal games Alg]]=0,0,Tabel59[[#This Row],[ET tot]]/Tabel59[[#This Row],[Aantal games Alg]])</f>
        <v>0</v>
      </c>
    </row>
    <row r="85" spans="1:62" x14ac:dyDescent="0.25">
      <c r="A85" s="124">
        <f ca="1">IF(Tabel158[[#This Row],[Rood Verdediging]]&lt;&gt;"",IF(A85="",NOW(),A85),"")</f>
        <v>43878.947694907409</v>
      </c>
      <c r="B85" s="128">
        <f ca="1">IF(Tabel158[[#This Row],[Rood Verdediging]]&lt;&gt;"",IF(B85="",NOW(),B85),"")</f>
        <v>43878.947694907409</v>
      </c>
      <c r="C85" s="126">
        <f ca="1">IF(Tabel158[[#This Row],[Score]]&lt;&gt;"",IF(C85="",NOW(),C85),"")</f>
        <v>43878.947694907409</v>
      </c>
      <c r="D85" s="127">
        <f ca="1">IF(OR(Tabel158[[#This Row],[Starttijd]]="",Tabel158[[#This Row],[Eindtijd]]=""),"",Tabel158[[#This Row],[Eindtijd]]-Tabel158[[#This Row],[Starttijd]])</f>
        <v>0</v>
      </c>
      <c r="E85" s="74">
        <v>85</v>
      </c>
      <c r="F85" s="205" t="s">
        <v>6</v>
      </c>
      <c r="G85" s="210">
        <v>7</v>
      </c>
      <c r="H85" s="205" t="s">
        <v>8</v>
      </c>
      <c r="I85" s="210">
        <v>4</v>
      </c>
      <c r="J85" s="206" t="s">
        <v>19</v>
      </c>
      <c r="K85" s="212">
        <v>2</v>
      </c>
      <c r="L85" s="206" t="s">
        <v>13</v>
      </c>
      <c r="M85" s="212">
        <v>0</v>
      </c>
      <c r="N85" s="81">
        <f t="shared" si="14"/>
        <v>11</v>
      </c>
      <c r="O85" s="82">
        <f t="shared" si="15"/>
        <v>2</v>
      </c>
      <c r="P85" s="70" t="str">
        <f t="shared" si="18"/>
        <v>ROOD</v>
      </c>
      <c r="Q85" s="86" t="str">
        <f t="shared" si="16"/>
        <v>Stef D</v>
      </c>
      <c r="R85" s="87" t="str">
        <f t="shared" si="17"/>
        <v>Louis</v>
      </c>
      <c r="S85" t="str">
        <f>Tabel158[[#This Row],[Rood Verdediging]]&amp;Tabel158[[#This Row],[Rood Aanval]]</f>
        <v>Stef DLouis</v>
      </c>
      <c r="T85" t="str">
        <f>Tabel158[[#This Row],[Groen Verdediging]]&amp;Tabel158[[#This Row],[Groen Aanval]]</f>
        <v>NicolasBert</v>
      </c>
      <c r="U85" t="str">
        <f>Tabel158[[#This Row],[Winnaar 1]]&amp;Tabel158[[#This Row],[Winnaar 2]]</f>
        <v>Stef DLouis</v>
      </c>
      <c r="V85" s="147" t="str">
        <f>IF(Tabel158[[#This Row],[Team Rood]]=Tabel158[[#This Row],[Winnaars]],Tabel158[[#This Row],[Team Rood]])</f>
        <v>Stef DLouis</v>
      </c>
      <c r="W85" s="147" t="b">
        <f>IF(Tabel158[[#This Row],[Team Groen]]=Tabel158[[#This Row],[Winnaars]],Tabel158[[#This Row],[Team Groen]])</f>
        <v>0</v>
      </c>
      <c r="X85" s="147"/>
      <c r="AH85" s="251" t="s">
        <v>168</v>
      </c>
      <c r="AI85" s="233" t="s">
        <v>163</v>
      </c>
      <c r="AJ85" s="140" t="str">
        <f t="shared" si="19"/>
        <v>Coghe*Bert*</v>
      </c>
      <c r="AK85" s="160">
        <f>IF(Tabel59[[#This Row],[Aantal Games Rood]]=0,0,(Tabel59[[#This Row],[Wins Rood]])/Tabel59[[#This Row],[Aantal Games Rood]])</f>
        <v>0</v>
      </c>
      <c r="AL85" s="162">
        <f>IF(Tabel59[[#This Row],[Aantal Games Groen]]=0,0,(Tabel59[[#This Row],[Wins Groen]])/Tabel59[[#This Row],[Aantal Games Groen]])</f>
        <v>0</v>
      </c>
      <c r="AM85" s="156">
        <f>IF(Tabel59[[#This Row],[Aantal games Alg]]=0,0,(Tabel59[[#This Row],[Wins Alg]])/Tabel59[[#This Row],[Aantal games Alg]])</f>
        <v>0</v>
      </c>
      <c r="AN85" s="171">
        <f>COUNTIF(Tabel158[Winaar rood],Tabel59[[#This Row],[Team]])</f>
        <v>0</v>
      </c>
      <c r="AO85" s="164">
        <f>COUNTIF(Tabel158[Winnaar Groen],Tabel59[[#This Row],[Team]])</f>
        <v>0</v>
      </c>
      <c r="AP85" s="147">
        <f>COUNTIF(Tabel158[Winnaars],Tabel59[[#This Row],[Team]])</f>
        <v>0</v>
      </c>
      <c r="AQ85" s="163">
        <f>Tabel59[[#This Row],[Aantal Games Rood]]-Tabel59[[#This Row],[Wins Rood]]</f>
        <v>0</v>
      </c>
      <c r="AR85" s="164">
        <f>Tabel59[[#This Row],[Aantal Games Groen]]-Tabel59[[#This Row],[Wins Groen]]</f>
        <v>0</v>
      </c>
      <c r="AS85" s="165">
        <f>Tabel59[[#This Row],[Aantal games Alg]]-Tabel59[[#This Row],[Wins Alg]]</f>
        <v>0</v>
      </c>
      <c r="AT85" s="166">
        <f>COUNTIF(Tabel158[Team Rood],Tabel59[[#This Row],[Team]])</f>
        <v>0</v>
      </c>
      <c r="AU85" s="164">
        <f>COUNTIF(Tabel158[Team Groen],Tabel59[[#This Row],[Team]])</f>
        <v>0</v>
      </c>
      <c r="AV85" s="170">
        <f>Tabel59[[#This Row],[Aantal Games Rood]]+Tabel59[[#This Row],[Aantal Games Groen]]</f>
        <v>0</v>
      </c>
      <c r="AW85" s="166">
        <f>SUMIF(Tabel158[Team Rood],Tabel59[[#This Row],[Team]],Tabel158[Score])</f>
        <v>0</v>
      </c>
      <c r="AX85" s="166">
        <f>SUMIF(Tabel158[Team Rood],Tabel59[[#This Row],[Team]],Tabel158[Score2])</f>
        <v>0</v>
      </c>
      <c r="AY85" s="134">
        <f>SUMIF(Tabel158[Team Groen],Tabel59[[#This Row],[Team]],Tabel158[Score3])</f>
        <v>0</v>
      </c>
      <c r="AZ85" s="164">
        <f>SUMIF(Tabel158[Team Groen],Tabel59[[#This Row],[Team]],Tabel158[Score4])</f>
        <v>0</v>
      </c>
      <c r="BA85" s="167">
        <f>SUM(Tabel59[[#This Row],[Goals Verdediger]]+Tabel59[[#This Row],[Goals DefG]])</f>
        <v>0</v>
      </c>
      <c r="BB85" s="147">
        <f>IF(Tabel59[[#This Row],[Aantal games Alg]]=0,0,Tabel59[[#This Row],[Goals DefA]]/Tabel59[[#This Row],[Aantal games Alg]])</f>
        <v>0</v>
      </c>
      <c r="BC85" s="167">
        <f>SUM(Tabel59[[#This Row],[Goals Aanvaller]]+Tabel59[[#This Row],[Goals OffG]])</f>
        <v>0</v>
      </c>
      <c r="BD85" s="147">
        <f>IF(Tabel59[[#This Row],[Aantal games Alg]]=0,0,Tabel59[[#This Row],[Goals OffA]]/Tabel59[[#This Row],[Aantal games Alg]])</f>
        <v>0</v>
      </c>
      <c r="BE85" s="147">
        <f>Tabel59[[#This Row],[Goals DefA]]+Tabel59[[#This Row],[Goals OffA]]</f>
        <v>0</v>
      </c>
      <c r="BF85" s="147">
        <f>IF(Tabel59[[#This Row],[Aantal games Alg]]=0,0,Tabel59[[#This Row],[Goals Alg]]/Tabel59[[#This Row],[Aantal games Alg]])</f>
        <v>0</v>
      </c>
      <c r="BG85" s="148">
        <f>SUMIF(Tabel158[Team Rood],Tabel59[[#This Row],[Team]],Tabel158[ET])</f>
        <v>0</v>
      </c>
      <c r="BH85" s="168">
        <f>SUMIF(Tabel158[Team Groen],Tabel59[[#This Row],[Team]],Tabel158[ET])</f>
        <v>0</v>
      </c>
      <c r="BI85" s="221">
        <f>SUM(Tabel59[[#This Row],[ET Groen tot]],Tabel59[[#This Row],[ET Rood tot]])</f>
        <v>0</v>
      </c>
      <c r="BJ85" s="155">
        <f>IF(Tabel59[[#This Row],[Aantal games Alg]]=0,0,Tabel59[[#This Row],[ET tot]]/Tabel59[[#This Row],[Aantal games Alg]])</f>
        <v>0</v>
      </c>
    </row>
    <row r="86" spans="1:62" x14ac:dyDescent="0.25">
      <c r="A86" s="124">
        <f ca="1">IF(Tabel158[[#This Row],[Rood Verdediging]]&lt;&gt;"",IF(A86="",NOW(),A86),"")</f>
        <v>43878.947694907409</v>
      </c>
      <c r="B86" s="128">
        <f ca="1">IF(Tabel158[[#This Row],[Rood Verdediging]]&lt;&gt;"",IF(B86="",NOW(),B86),"")</f>
        <v>43878.947694907409</v>
      </c>
      <c r="C86" s="126">
        <f ca="1">IF(Tabel158[[#This Row],[Score]]&lt;&gt;"",IF(C86="",NOW(),C86),"")</f>
        <v>43878.947694907409</v>
      </c>
      <c r="D86" s="127">
        <f ca="1">IF(OR(Tabel158[[#This Row],[Starttijd]]="",Tabel158[[#This Row],[Eindtijd]]=""),"",Tabel158[[#This Row],[Eindtijd]]-Tabel158[[#This Row],[Starttijd]])</f>
        <v>0</v>
      </c>
      <c r="E86" s="74">
        <v>86</v>
      </c>
      <c r="F86" s="205" t="s">
        <v>6</v>
      </c>
      <c r="G86" s="210">
        <v>2</v>
      </c>
      <c r="H86" s="205" t="s">
        <v>11</v>
      </c>
      <c r="I86" s="210">
        <v>9</v>
      </c>
      <c r="J86" s="206" t="s">
        <v>13</v>
      </c>
      <c r="K86" s="212">
        <v>4</v>
      </c>
      <c r="L86" s="206" t="s">
        <v>8</v>
      </c>
      <c r="M86" s="212">
        <v>2</v>
      </c>
      <c r="N86" s="81">
        <f t="shared" si="14"/>
        <v>11</v>
      </c>
      <c r="O86" s="82">
        <f t="shared" si="15"/>
        <v>6</v>
      </c>
      <c r="P86" s="70" t="str">
        <f t="shared" si="18"/>
        <v>ROOD</v>
      </c>
      <c r="Q86" s="86" t="str">
        <f t="shared" si="16"/>
        <v>Stef D</v>
      </c>
      <c r="R86" s="87" t="str">
        <f t="shared" si="17"/>
        <v>Matthijs</v>
      </c>
      <c r="S86" t="str">
        <f>Tabel158[[#This Row],[Rood Verdediging]]&amp;Tabel158[[#This Row],[Rood Aanval]]</f>
        <v>Stef DMatthijs</v>
      </c>
      <c r="T86" t="str">
        <f>Tabel158[[#This Row],[Groen Verdediging]]&amp;Tabel158[[#This Row],[Groen Aanval]]</f>
        <v>BertLouis</v>
      </c>
      <c r="U86" t="str">
        <f>Tabel158[[#This Row],[Winnaar 1]]&amp;Tabel158[[#This Row],[Winnaar 2]]</f>
        <v>Stef DMatthijs</v>
      </c>
      <c r="V86" s="147" t="str">
        <f>IF(Tabel158[[#This Row],[Team Rood]]=Tabel158[[#This Row],[Winnaars]],Tabel158[[#This Row],[Team Rood]])</f>
        <v>Stef DMatthijs</v>
      </c>
      <c r="W86" s="147" t="b">
        <f>IF(Tabel158[[#This Row],[Team Groen]]=Tabel158[[#This Row],[Winnaars]],Tabel158[[#This Row],[Team Groen]])</f>
        <v>0</v>
      </c>
      <c r="X86" s="147"/>
      <c r="AH86" s="251" t="s">
        <v>168</v>
      </c>
      <c r="AI86" s="233" t="s">
        <v>159</v>
      </c>
      <c r="AJ86" s="140" t="str">
        <f t="shared" si="19"/>
        <v>Coghe*Jonas*</v>
      </c>
      <c r="AK86" s="160">
        <f>IF(Tabel59[[#This Row],[Aantal Games Rood]]=0,0,(Tabel59[[#This Row],[Wins Rood]])/Tabel59[[#This Row],[Aantal Games Rood]])</f>
        <v>0</v>
      </c>
      <c r="AL86" s="162">
        <f>IF(Tabel59[[#This Row],[Aantal Games Groen]]=0,0,(Tabel59[[#This Row],[Wins Groen]])/Tabel59[[#This Row],[Aantal Games Groen]])</f>
        <v>0</v>
      </c>
      <c r="AM86" s="156">
        <f>IF(Tabel59[[#This Row],[Aantal games Alg]]=0,0,(Tabel59[[#This Row],[Wins Alg]])/Tabel59[[#This Row],[Aantal games Alg]])</f>
        <v>0</v>
      </c>
      <c r="AN86" s="171">
        <f>COUNTIF(Tabel158[Winaar rood],Tabel59[[#This Row],[Team]])</f>
        <v>0</v>
      </c>
      <c r="AO86" s="164">
        <f>COUNTIF(Tabel158[Winnaar Groen],Tabel59[[#This Row],[Team]])</f>
        <v>0</v>
      </c>
      <c r="AP86" s="147">
        <f>COUNTIF(Tabel158[Winnaars],Tabel59[[#This Row],[Team]])</f>
        <v>0</v>
      </c>
      <c r="AQ86" s="163">
        <f>Tabel59[[#This Row],[Aantal Games Rood]]-Tabel59[[#This Row],[Wins Rood]]</f>
        <v>0</v>
      </c>
      <c r="AR86" s="164">
        <f>Tabel59[[#This Row],[Aantal Games Groen]]-Tabel59[[#This Row],[Wins Groen]]</f>
        <v>0</v>
      </c>
      <c r="AS86" s="165">
        <f>Tabel59[[#This Row],[Aantal games Alg]]-Tabel59[[#This Row],[Wins Alg]]</f>
        <v>0</v>
      </c>
      <c r="AT86" s="166">
        <f>COUNTIF(Tabel158[Team Rood],Tabel59[[#This Row],[Team]])</f>
        <v>0</v>
      </c>
      <c r="AU86" s="164">
        <f>COUNTIF(Tabel158[Team Groen],Tabel59[[#This Row],[Team]])</f>
        <v>0</v>
      </c>
      <c r="AV86" s="170">
        <f>Tabel59[[#This Row],[Aantal Games Rood]]+Tabel59[[#This Row],[Aantal Games Groen]]</f>
        <v>0</v>
      </c>
      <c r="AW86" s="166">
        <f>SUMIF(Tabel158[Team Rood],Tabel59[[#This Row],[Team]],Tabel158[Score])</f>
        <v>0</v>
      </c>
      <c r="AX86" s="166">
        <f>SUMIF(Tabel158[Team Rood],Tabel59[[#This Row],[Team]],Tabel158[Score2])</f>
        <v>0</v>
      </c>
      <c r="AY86" s="134">
        <f>SUMIF(Tabel158[Team Groen],Tabel59[[#This Row],[Team]],Tabel158[Score3])</f>
        <v>0</v>
      </c>
      <c r="AZ86" s="164">
        <f>SUMIF(Tabel158[Team Groen],Tabel59[[#This Row],[Team]],Tabel158[Score4])</f>
        <v>0</v>
      </c>
      <c r="BA86" s="167">
        <f>SUM(Tabel59[[#This Row],[Goals Verdediger]]+Tabel59[[#This Row],[Goals DefG]])</f>
        <v>0</v>
      </c>
      <c r="BB86" s="147">
        <f>IF(Tabel59[[#This Row],[Aantal games Alg]]=0,0,Tabel59[[#This Row],[Goals DefA]]/Tabel59[[#This Row],[Aantal games Alg]])</f>
        <v>0</v>
      </c>
      <c r="BC86" s="167">
        <f>SUM(Tabel59[[#This Row],[Goals Aanvaller]]+Tabel59[[#This Row],[Goals OffG]])</f>
        <v>0</v>
      </c>
      <c r="BD86" s="147">
        <f>IF(Tabel59[[#This Row],[Aantal games Alg]]=0,0,Tabel59[[#This Row],[Goals OffA]]/Tabel59[[#This Row],[Aantal games Alg]])</f>
        <v>0</v>
      </c>
      <c r="BE86" s="147">
        <f>Tabel59[[#This Row],[Goals DefA]]+Tabel59[[#This Row],[Goals OffA]]</f>
        <v>0</v>
      </c>
      <c r="BF86" s="147">
        <f>IF(Tabel59[[#This Row],[Aantal games Alg]]=0,0,Tabel59[[#This Row],[Goals Alg]]/Tabel59[[#This Row],[Aantal games Alg]])</f>
        <v>0</v>
      </c>
      <c r="BG86" s="148">
        <f>SUMIF(Tabel158[Team Rood],Tabel59[[#This Row],[Team]],Tabel158[ET])</f>
        <v>0</v>
      </c>
      <c r="BH86" s="168">
        <f>SUMIF(Tabel158[Team Groen],Tabel59[[#This Row],[Team]],Tabel158[ET])</f>
        <v>0</v>
      </c>
      <c r="BI86" s="221">
        <f>SUM(Tabel59[[#This Row],[ET Groen tot]],Tabel59[[#This Row],[ET Rood tot]])</f>
        <v>0</v>
      </c>
      <c r="BJ86" s="155">
        <f>IF(Tabel59[[#This Row],[Aantal games Alg]]=0,0,Tabel59[[#This Row],[ET tot]]/Tabel59[[#This Row],[Aantal games Alg]])</f>
        <v>0</v>
      </c>
    </row>
    <row r="87" spans="1:62" x14ac:dyDescent="0.25">
      <c r="A87" s="124">
        <f ca="1">IF(Tabel158[[#This Row],[Rood Verdediging]]&lt;&gt;"",IF(A87="",NOW(),A87),"")</f>
        <v>43878.947694907409</v>
      </c>
      <c r="B87" s="128">
        <f ca="1">IF(Tabel158[[#This Row],[Rood Verdediging]]&lt;&gt;"",IF(B87="",NOW(),B87),"")</f>
        <v>43878.947694907409</v>
      </c>
      <c r="C87" s="126">
        <f ca="1">IF(Tabel158[[#This Row],[Score]]&lt;&gt;"",IF(C87="",NOW(),C87),"")</f>
        <v>43878.947694907409</v>
      </c>
      <c r="D87" s="127">
        <f ca="1">IF(OR(Tabel158[[#This Row],[Starttijd]]="",Tabel158[[#This Row],[Eindtijd]]=""),"",Tabel158[[#This Row],[Eindtijd]]-Tabel158[[#This Row],[Starttijd]])</f>
        <v>0</v>
      </c>
      <c r="E87" s="74">
        <v>87</v>
      </c>
      <c r="F87" s="205" t="s">
        <v>6</v>
      </c>
      <c r="G87" s="210">
        <v>2</v>
      </c>
      <c r="H87" s="205" t="s">
        <v>13</v>
      </c>
      <c r="I87" s="210">
        <v>9</v>
      </c>
      <c r="J87" s="206" t="s">
        <v>8</v>
      </c>
      <c r="K87" s="212">
        <v>4</v>
      </c>
      <c r="L87" s="206" t="s">
        <v>15</v>
      </c>
      <c r="M87" s="212">
        <v>2</v>
      </c>
      <c r="N87" s="81">
        <f t="shared" si="14"/>
        <v>11</v>
      </c>
      <c r="O87" s="82">
        <f t="shared" si="15"/>
        <v>6</v>
      </c>
      <c r="P87" s="70" t="str">
        <f t="shared" si="18"/>
        <v>ROOD</v>
      </c>
      <c r="Q87" s="86" t="str">
        <f t="shared" si="16"/>
        <v>Stef D</v>
      </c>
      <c r="R87" s="87" t="str">
        <f t="shared" si="17"/>
        <v>Bert</v>
      </c>
      <c r="S87" t="str">
        <f>Tabel158[[#This Row],[Rood Verdediging]]&amp;Tabel158[[#This Row],[Rood Aanval]]</f>
        <v>Stef DBert</v>
      </c>
      <c r="T87" t="str">
        <f>Tabel158[[#This Row],[Groen Verdediging]]&amp;Tabel158[[#This Row],[Groen Aanval]]</f>
        <v>LouisStijn</v>
      </c>
      <c r="U87" t="str">
        <f>Tabel158[[#This Row],[Winnaar 1]]&amp;Tabel158[[#This Row],[Winnaar 2]]</f>
        <v>Stef DBert</v>
      </c>
      <c r="V87" s="147" t="str">
        <f>IF(Tabel158[[#This Row],[Team Rood]]=Tabel158[[#This Row],[Winnaars]],Tabel158[[#This Row],[Team Rood]])</f>
        <v>Stef DBert</v>
      </c>
      <c r="W87" s="147" t="b">
        <f>IF(Tabel158[[#This Row],[Team Groen]]=Tabel158[[#This Row],[Winnaars]],Tabel158[[#This Row],[Team Groen]])</f>
        <v>0</v>
      </c>
      <c r="X87" s="147"/>
      <c r="AH87" s="251" t="s">
        <v>168</v>
      </c>
      <c r="AI87" s="233" t="s">
        <v>164</v>
      </c>
      <c r="AJ87" s="140" t="str">
        <f t="shared" si="19"/>
        <v>Coghe*Karel*</v>
      </c>
      <c r="AK87" s="160">
        <f>IF(Tabel59[[#This Row],[Aantal Games Rood]]=0,0,(Tabel59[[#This Row],[Wins Rood]])/Tabel59[[#This Row],[Aantal Games Rood]])</f>
        <v>0</v>
      </c>
      <c r="AL87" s="162">
        <f>IF(Tabel59[[#This Row],[Aantal Games Groen]]=0,0,(Tabel59[[#This Row],[Wins Groen]])/Tabel59[[#This Row],[Aantal Games Groen]])</f>
        <v>0</v>
      </c>
      <c r="AM87" s="156">
        <f>IF(Tabel59[[#This Row],[Aantal games Alg]]=0,0,(Tabel59[[#This Row],[Wins Alg]])/Tabel59[[#This Row],[Aantal games Alg]])</f>
        <v>0</v>
      </c>
      <c r="AN87" s="171">
        <f>COUNTIF(Tabel158[Winaar rood],Tabel59[[#This Row],[Team]])</f>
        <v>0</v>
      </c>
      <c r="AO87" s="164">
        <f>COUNTIF(Tabel158[Winnaar Groen],Tabel59[[#This Row],[Team]])</f>
        <v>0</v>
      </c>
      <c r="AP87" s="147">
        <f>COUNTIF(Tabel158[Winnaars],Tabel59[[#This Row],[Team]])</f>
        <v>0</v>
      </c>
      <c r="AQ87" s="163">
        <f>Tabel59[[#This Row],[Aantal Games Rood]]-Tabel59[[#This Row],[Wins Rood]]</f>
        <v>0</v>
      </c>
      <c r="AR87" s="164">
        <f>Tabel59[[#This Row],[Aantal Games Groen]]-Tabel59[[#This Row],[Wins Groen]]</f>
        <v>0</v>
      </c>
      <c r="AS87" s="165">
        <f>Tabel59[[#This Row],[Aantal games Alg]]-Tabel59[[#This Row],[Wins Alg]]</f>
        <v>0</v>
      </c>
      <c r="AT87" s="166">
        <f>COUNTIF(Tabel158[Team Rood],Tabel59[[#This Row],[Team]])</f>
        <v>0</v>
      </c>
      <c r="AU87" s="164">
        <f>COUNTIF(Tabel158[Team Groen],Tabel59[[#This Row],[Team]])</f>
        <v>0</v>
      </c>
      <c r="AV87" s="170">
        <f>Tabel59[[#This Row],[Aantal Games Rood]]+Tabel59[[#This Row],[Aantal Games Groen]]</f>
        <v>0</v>
      </c>
      <c r="AW87" s="166">
        <f>SUMIF(Tabel158[Team Rood],Tabel59[[#This Row],[Team]],Tabel158[Score])</f>
        <v>0</v>
      </c>
      <c r="AX87" s="166">
        <f>SUMIF(Tabel158[Team Rood],Tabel59[[#This Row],[Team]],Tabel158[Score2])</f>
        <v>0</v>
      </c>
      <c r="AY87" s="134">
        <f>SUMIF(Tabel158[Team Groen],Tabel59[[#This Row],[Team]],Tabel158[Score3])</f>
        <v>0</v>
      </c>
      <c r="AZ87" s="164">
        <f>SUMIF(Tabel158[Team Groen],Tabel59[[#This Row],[Team]],Tabel158[Score4])</f>
        <v>0</v>
      </c>
      <c r="BA87" s="167">
        <f>SUM(Tabel59[[#This Row],[Goals Verdediger]]+Tabel59[[#This Row],[Goals DefG]])</f>
        <v>0</v>
      </c>
      <c r="BB87" s="147">
        <f>IF(Tabel59[[#This Row],[Aantal games Alg]]=0,0,Tabel59[[#This Row],[Goals DefA]]/Tabel59[[#This Row],[Aantal games Alg]])</f>
        <v>0</v>
      </c>
      <c r="BC87" s="167">
        <f>SUM(Tabel59[[#This Row],[Goals Aanvaller]]+Tabel59[[#This Row],[Goals OffG]])</f>
        <v>0</v>
      </c>
      <c r="BD87" s="147">
        <f>IF(Tabel59[[#This Row],[Aantal games Alg]]=0,0,Tabel59[[#This Row],[Goals OffA]]/Tabel59[[#This Row],[Aantal games Alg]])</f>
        <v>0</v>
      </c>
      <c r="BE87" s="147">
        <f>Tabel59[[#This Row],[Goals DefA]]+Tabel59[[#This Row],[Goals OffA]]</f>
        <v>0</v>
      </c>
      <c r="BF87" s="147">
        <f>IF(Tabel59[[#This Row],[Aantal games Alg]]=0,0,Tabel59[[#This Row],[Goals Alg]]/Tabel59[[#This Row],[Aantal games Alg]])</f>
        <v>0</v>
      </c>
      <c r="BG87" s="148">
        <f>SUMIF(Tabel158[Team Rood],Tabel59[[#This Row],[Team]],Tabel158[ET])</f>
        <v>0</v>
      </c>
      <c r="BH87" s="168">
        <f>SUMIF(Tabel158[Team Groen],Tabel59[[#This Row],[Team]],Tabel158[ET])</f>
        <v>0</v>
      </c>
      <c r="BI87" s="221">
        <f>SUM(Tabel59[[#This Row],[ET Groen tot]],Tabel59[[#This Row],[ET Rood tot]])</f>
        <v>0</v>
      </c>
      <c r="BJ87" s="155">
        <f>IF(Tabel59[[#This Row],[Aantal games Alg]]=0,0,Tabel59[[#This Row],[ET tot]]/Tabel59[[#This Row],[Aantal games Alg]])</f>
        <v>0</v>
      </c>
    </row>
    <row r="88" spans="1:62" x14ac:dyDescent="0.25">
      <c r="A88" s="124">
        <f ca="1">IF(Tabel158[[#This Row],[Rood Verdediging]]&lt;&gt;"",IF(A88="",NOW(),A88),"")</f>
        <v>43878.947694907409</v>
      </c>
      <c r="B88" s="128">
        <f ca="1">IF(Tabel158[[#This Row],[Rood Verdediging]]&lt;&gt;"",IF(B88="",NOW(),B88),"")</f>
        <v>43878.947694907409</v>
      </c>
      <c r="C88" s="126">
        <f ca="1">IF(Tabel158[[#This Row],[Score]]&lt;&gt;"",IF(C88="",NOW(),C88),"")</f>
        <v>43878.947694907409</v>
      </c>
      <c r="D88" s="127">
        <f ca="1">IF(OR(Tabel158[[#This Row],[Starttijd]]="",Tabel158[[#This Row],[Eindtijd]]=""),"",Tabel158[[#This Row],[Eindtijd]]-Tabel158[[#This Row],[Starttijd]])</f>
        <v>0</v>
      </c>
      <c r="E88" s="74">
        <v>88</v>
      </c>
      <c r="F88" s="205" t="s">
        <v>11</v>
      </c>
      <c r="G88" s="210">
        <v>1</v>
      </c>
      <c r="H88" s="205" t="s">
        <v>3</v>
      </c>
      <c r="I88" s="210">
        <v>6</v>
      </c>
      <c r="J88" s="206" t="s">
        <v>15</v>
      </c>
      <c r="K88" s="212">
        <v>3</v>
      </c>
      <c r="L88" s="206" t="s">
        <v>6</v>
      </c>
      <c r="M88" s="212">
        <v>8</v>
      </c>
      <c r="N88" s="81">
        <f t="shared" si="14"/>
        <v>7</v>
      </c>
      <c r="O88" s="82">
        <f t="shared" si="15"/>
        <v>11</v>
      </c>
      <c r="P88" s="70" t="str">
        <f t="shared" si="18"/>
        <v>GROEN</v>
      </c>
      <c r="Q88" s="86" t="str">
        <f t="shared" si="16"/>
        <v>Stijn</v>
      </c>
      <c r="R88" s="87" t="str">
        <f t="shared" si="17"/>
        <v>Stef D</v>
      </c>
      <c r="S88" t="str">
        <f>Tabel158[[#This Row],[Rood Verdediging]]&amp;Tabel158[[#This Row],[Rood Aanval]]</f>
        <v>MatthijsKarel</v>
      </c>
      <c r="T88" t="str">
        <f>Tabel158[[#This Row],[Groen Verdediging]]&amp;Tabel158[[#This Row],[Groen Aanval]]</f>
        <v>StijnStef D</v>
      </c>
      <c r="U88" t="str">
        <f>Tabel158[[#This Row],[Winnaar 1]]&amp;Tabel158[[#This Row],[Winnaar 2]]</f>
        <v>StijnStef D</v>
      </c>
      <c r="V88" s="147" t="b">
        <f>IF(Tabel158[[#This Row],[Team Rood]]=Tabel158[[#This Row],[Winnaars]],Tabel158[[#This Row],[Team Rood]])</f>
        <v>0</v>
      </c>
      <c r="W88" s="147" t="str">
        <f>IF(Tabel158[[#This Row],[Team Groen]]=Tabel158[[#This Row],[Winnaars]],Tabel158[[#This Row],[Team Groen]])</f>
        <v>StijnStef D</v>
      </c>
      <c r="X88" s="147"/>
      <c r="AH88" s="251" t="s">
        <v>168</v>
      </c>
      <c r="AI88" s="233" t="s">
        <v>67</v>
      </c>
      <c r="AJ88" s="140" t="str">
        <f t="shared" si="19"/>
        <v>Coghe*Lawrence</v>
      </c>
      <c r="AK88" s="160">
        <f>IF(Tabel59[[#This Row],[Aantal Games Rood]]=0,0,(Tabel59[[#This Row],[Wins Rood]])/Tabel59[[#This Row],[Aantal Games Rood]])</f>
        <v>0</v>
      </c>
      <c r="AL88" s="162">
        <f>IF(Tabel59[[#This Row],[Aantal Games Groen]]=0,0,(Tabel59[[#This Row],[Wins Groen]])/Tabel59[[#This Row],[Aantal Games Groen]])</f>
        <v>0</v>
      </c>
      <c r="AM88" s="156">
        <f>IF(Tabel59[[#This Row],[Aantal games Alg]]=0,0,(Tabel59[[#This Row],[Wins Alg]])/Tabel59[[#This Row],[Aantal games Alg]])</f>
        <v>0</v>
      </c>
      <c r="AN88" s="171">
        <f>COUNTIF(Tabel158[Winaar rood],Tabel59[[#This Row],[Team]])</f>
        <v>0</v>
      </c>
      <c r="AO88" s="164">
        <f>COUNTIF(Tabel158[Winnaar Groen],Tabel59[[#This Row],[Team]])</f>
        <v>0</v>
      </c>
      <c r="AP88" s="147">
        <f>COUNTIF(Tabel158[Winnaars],Tabel59[[#This Row],[Team]])</f>
        <v>0</v>
      </c>
      <c r="AQ88" s="163">
        <f>Tabel59[[#This Row],[Aantal Games Rood]]-Tabel59[[#This Row],[Wins Rood]]</f>
        <v>0</v>
      </c>
      <c r="AR88" s="164">
        <f>Tabel59[[#This Row],[Aantal Games Groen]]-Tabel59[[#This Row],[Wins Groen]]</f>
        <v>0</v>
      </c>
      <c r="AS88" s="165">
        <f>Tabel59[[#This Row],[Aantal games Alg]]-Tabel59[[#This Row],[Wins Alg]]</f>
        <v>0</v>
      </c>
      <c r="AT88" s="166">
        <f>COUNTIF(Tabel158[Team Rood],Tabel59[[#This Row],[Team]])</f>
        <v>0</v>
      </c>
      <c r="AU88" s="164">
        <f>COUNTIF(Tabel158[Team Groen],Tabel59[[#This Row],[Team]])</f>
        <v>0</v>
      </c>
      <c r="AV88" s="170">
        <f>Tabel59[[#This Row],[Aantal Games Rood]]+Tabel59[[#This Row],[Aantal Games Groen]]</f>
        <v>0</v>
      </c>
      <c r="AW88" s="166">
        <f>SUMIF(Tabel158[Team Rood],Tabel59[[#This Row],[Team]],Tabel158[Score])</f>
        <v>0</v>
      </c>
      <c r="AX88" s="166">
        <f>SUMIF(Tabel158[Team Rood],Tabel59[[#This Row],[Team]],Tabel158[Score2])</f>
        <v>0</v>
      </c>
      <c r="AY88" s="134">
        <f>SUMIF(Tabel158[Team Groen],Tabel59[[#This Row],[Team]],Tabel158[Score3])</f>
        <v>0</v>
      </c>
      <c r="AZ88" s="164">
        <f>SUMIF(Tabel158[Team Groen],Tabel59[[#This Row],[Team]],Tabel158[Score4])</f>
        <v>0</v>
      </c>
      <c r="BA88" s="167">
        <f>SUM(Tabel59[[#This Row],[Goals Verdediger]]+Tabel59[[#This Row],[Goals DefG]])</f>
        <v>0</v>
      </c>
      <c r="BB88" s="147">
        <f>IF(Tabel59[[#This Row],[Aantal games Alg]]=0,0,Tabel59[[#This Row],[Goals DefA]]/Tabel59[[#This Row],[Aantal games Alg]])</f>
        <v>0</v>
      </c>
      <c r="BC88" s="167">
        <f>SUM(Tabel59[[#This Row],[Goals Aanvaller]]+Tabel59[[#This Row],[Goals OffG]])</f>
        <v>0</v>
      </c>
      <c r="BD88" s="147">
        <f>IF(Tabel59[[#This Row],[Aantal games Alg]]=0,0,Tabel59[[#This Row],[Goals OffA]]/Tabel59[[#This Row],[Aantal games Alg]])</f>
        <v>0</v>
      </c>
      <c r="BE88" s="147">
        <f>Tabel59[[#This Row],[Goals DefA]]+Tabel59[[#This Row],[Goals OffA]]</f>
        <v>0</v>
      </c>
      <c r="BF88" s="147">
        <f>IF(Tabel59[[#This Row],[Aantal games Alg]]=0,0,Tabel59[[#This Row],[Goals Alg]]/Tabel59[[#This Row],[Aantal games Alg]])</f>
        <v>0</v>
      </c>
      <c r="BG88" s="148">
        <f>SUMIF(Tabel158[Team Rood],Tabel59[[#This Row],[Team]],Tabel158[ET])</f>
        <v>0</v>
      </c>
      <c r="BH88" s="168">
        <f>SUMIF(Tabel158[Team Groen],Tabel59[[#This Row],[Team]],Tabel158[ET])</f>
        <v>0</v>
      </c>
      <c r="BI88" s="221">
        <f>SUM(Tabel59[[#This Row],[ET Groen tot]],Tabel59[[#This Row],[ET Rood tot]])</f>
        <v>0</v>
      </c>
      <c r="BJ88" s="155">
        <f>IF(Tabel59[[#This Row],[Aantal games Alg]]=0,0,Tabel59[[#This Row],[ET tot]]/Tabel59[[#This Row],[Aantal games Alg]])</f>
        <v>0</v>
      </c>
    </row>
    <row r="89" spans="1:62" x14ac:dyDescent="0.25">
      <c r="A89" s="124">
        <f ca="1">IF(Tabel158[[#This Row],[Rood Verdediging]]&lt;&gt;"",IF(A89="",NOW(),A89),"")</f>
        <v>43878.947694907409</v>
      </c>
      <c r="B89" s="128">
        <f ca="1">IF(Tabel158[[#This Row],[Rood Verdediging]]&lt;&gt;"",IF(B89="",NOW(),B89),"")</f>
        <v>43878.947694907409</v>
      </c>
      <c r="C89" s="126">
        <f ca="1">IF(Tabel158[[#This Row],[Score]]&lt;&gt;"",IF(C89="",NOW(),C89),"")</f>
        <v>43878.947694907409</v>
      </c>
      <c r="D89" s="127">
        <f ca="1">IF(OR(Tabel158[[#This Row],[Starttijd]]="",Tabel158[[#This Row],[Eindtijd]]=""),"",Tabel158[[#This Row],[Eindtijd]]-Tabel158[[#This Row],[Starttijd]])</f>
        <v>0</v>
      </c>
      <c r="E89" s="74">
        <v>89</v>
      </c>
      <c r="F89" s="205" t="s">
        <v>8</v>
      </c>
      <c r="G89" s="210">
        <v>4</v>
      </c>
      <c r="H89" s="205" t="s">
        <v>3</v>
      </c>
      <c r="I89" s="210">
        <v>7</v>
      </c>
      <c r="J89" s="206" t="s">
        <v>11</v>
      </c>
      <c r="K89" s="212">
        <v>4</v>
      </c>
      <c r="L89" s="206" t="s">
        <v>13</v>
      </c>
      <c r="M89" s="212">
        <v>4</v>
      </c>
      <c r="N89" s="81">
        <f t="shared" si="14"/>
        <v>11</v>
      </c>
      <c r="O89" s="82">
        <f t="shared" si="15"/>
        <v>8</v>
      </c>
      <c r="P89" s="70" t="str">
        <f t="shared" si="18"/>
        <v>ROOD</v>
      </c>
      <c r="Q89" s="86" t="str">
        <f t="shared" si="16"/>
        <v>Louis</v>
      </c>
      <c r="R89" s="87" t="str">
        <f t="shared" si="17"/>
        <v>Karel</v>
      </c>
      <c r="S89" t="str">
        <f>Tabel158[[#This Row],[Rood Verdediging]]&amp;Tabel158[[#This Row],[Rood Aanval]]</f>
        <v>LouisKarel</v>
      </c>
      <c r="T89" t="str">
        <f>Tabel158[[#This Row],[Groen Verdediging]]&amp;Tabel158[[#This Row],[Groen Aanval]]</f>
        <v>MatthijsBert</v>
      </c>
      <c r="U89" t="str">
        <f>Tabel158[[#This Row],[Winnaar 1]]&amp;Tabel158[[#This Row],[Winnaar 2]]</f>
        <v>LouisKarel</v>
      </c>
      <c r="V89" s="147" t="str">
        <f>IF(Tabel158[[#This Row],[Team Rood]]=Tabel158[[#This Row],[Winnaars]],Tabel158[[#This Row],[Team Rood]])</f>
        <v>LouisKarel</v>
      </c>
      <c r="W89" s="147" t="b">
        <f>IF(Tabel158[[#This Row],[Team Groen]]=Tabel158[[#This Row],[Winnaars]],Tabel158[[#This Row],[Team Groen]])</f>
        <v>0</v>
      </c>
      <c r="X89" s="147"/>
      <c r="AH89" s="251" t="s">
        <v>168</v>
      </c>
      <c r="AI89" s="233" t="s">
        <v>161</v>
      </c>
      <c r="AJ89" s="140" t="str">
        <f t="shared" si="19"/>
        <v>Coghe*Louis*</v>
      </c>
      <c r="AK89" s="160">
        <f>IF(Tabel59[[#This Row],[Aantal Games Rood]]=0,0,(Tabel59[[#This Row],[Wins Rood]])/Tabel59[[#This Row],[Aantal Games Rood]])</f>
        <v>0</v>
      </c>
      <c r="AL89" s="162">
        <f>IF(Tabel59[[#This Row],[Aantal Games Groen]]=0,0,(Tabel59[[#This Row],[Wins Groen]])/Tabel59[[#This Row],[Aantal Games Groen]])</f>
        <v>0</v>
      </c>
      <c r="AM89" s="156">
        <f>IF(Tabel59[[#This Row],[Aantal games Alg]]=0,0,(Tabel59[[#This Row],[Wins Alg]])/Tabel59[[#This Row],[Aantal games Alg]])</f>
        <v>0</v>
      </c>
      <c r="AN89" s="171">
        <f>COUNTIF(Tabel158[Winaar rood],Tabel59[[#This Row],[Team]])</f>
        <v>0</v>
      </c>
      <c r="AO89" s="164">
        <f>COUNTIF(Tabel158[Winnaar Groen],Tabel59[[#This Row],[Team]])</f>
        <v>0</v>
      </c>
      <c r="AP89" s="147">
        <f>COUNTIF(Tabel158[Winnaars],Tabel59[[#This Row],[Team]])</f>
        <v>0</v>
      </c>
      <c r="AQ89" s="163">
        <f>Tabel59[[#This Row],[Aantal Games Rood]]-Tabel59[[#This Row],[Wins Rood]]</f>
        <v>0</v>
      </c>
      <c r="AR89" s="164">
        <f>Tabel59[[#This Row],[Aantal Games Groen]]-Tabel59[[#This Row],[Wins Groen]]</f>
        <v>0</v>
      </c>
      <c r="AS89" s="165">
        <f>Tabel59[[#This Row],[Aantal games Alg]]-Tabel59[[#This Row],[Wins Alg]]</f>
        <v>0</v>
      </c>
      <c r="AT89" s="166">
        <f>COUNTIF(Tabel158[Team Rood],Tabel59[[#This Row],[Team]])</f>
        <v>0</v>
      </c>
      <c r="AU89" s="164">
        <f>COUNTIF(Tabel158[Team Groen],Tabel59[[#This Row],[Team]])</f>
        <v>0</v>
      </c>
      <c r="AV89" s="170">
        <f>Tabel59[[#This Row],[Aantal Games Rood]]+Tabel59[[#This Row],[Aantal Games Groen]]</f>
        <v>0</v>
      </c>
      <c r="AW89" s="166">
        <f>SUMIF(Tabel158[Team Rood],Tabel59[[#This Row],[Team]],Tabel158[Score])</f>
        <v>0</v>
      </c>
      <c r="AX89" s="166">
        <f>SUMIF(Tabel158[Team Rood],Tabel59[[#This Row],[Team]],Tabel158[Score2])</f>
        <v>0</v>
      </c>
      <c r="AY89" s="134">
        <f>SUMIF(Tabel158[Team Groen],Tabel59[[#This Row],[Team]],Tabel158[Score3])</f>
        <v>0</v>
      </c>
      <c r="AZ89" s="164">
        <f>SUMIF(Tabel158[Team Groen],Tabel59[[#This Row],[Team]],Tabel158[Score4])</f>
        <v>0</v>
      </c>
      <c r="BA89" s="167">
        <f>SUM(Tabel59[[#This Row],[Goals Verdediger]]+Tabel59[[#This Row],[Goals DefG]])</f>
        <v>0</v>
      </c>
      <c r="BB89" s="147">
        <f>IF(Tabel59[[#This Row],[Aantal games Alg]]=0,0,Tabel59[[#This Row],[Goals DefA]]/Tabel59[[#This Row],[Aantal games Alg]])</f>
        <v>0</v>
      </c>
      <c r="BC89" s="167">
        <f>SUM(Tabel59[[#This Row],[Goals Aanvaller]]+Tabel59[[#This Row],[Goals OffG]])</f>
        <v>0</v>
      </c>
      <c r="BD89" s="147">
        <f>IF(Tabel59[[#This Row],[Aantal games Alg]]=0,0,Tabel59[[#This Row],[Goals OffA]]/Tabel59[[#This Row],[Aantal games Alg]])</f>
        <v>0</v>
      </c>
      <c r="BE89" s="147">
        <f>Tabel59[[#This Row],[Goals DefA]]+Tabel59[[#This Row],[Goals OffA]]</f>
        <v>0</v>
      </c>
      <c r="BF89" s="147">
        <f>IF(Tabel59[[#This Row],[Aantal games Alg]]=0,0,Tabel59[[#This Row],[Goals Alg]]/Tabel59[[#This Row],[Aantal games Alg]])</f>
        <v>0</v>
      </c>
      <c r="BG89" s="148">
        <f>SUMIF(Tabel158[Team Rood],Tabel59[[#This Row],[Team]],Tabel158[ET])</f>
        <v>0</v>
      </c>
      <c r="BH89" s="168">
        <f>SUMIF(Tabel158[Team Groen],Tabel59[[#This Row],[Team]],Tabel158[ET])</f>
        <v>0</v>
      </c>
      <c r="BI89" s="221">
        <f>SUM(Tabel59[[#This Row],[ET Groen tot]],Tabel59[[#This Row],[ET Rood tot]])</f>
        <v>0</v>
      </c>
      <c r="BJ89" s="155">
        <f>IF(Tabel59[[#This Row],[Aantal games Alg]]=0,0,Tabel59[[#This Row],[ET tot]]/Tabel59[[#This Row],[Aantal games Alg]])</f>
        <v>0</v>
      </c>
    </row>
    <row r="90" spans="1:62" x14ac:dyDescent="0.25">
      <c r="A90" s="124">
        <f ca="1">IF(Tabel158[[#This Row],[Rood Verdediging]]&lt;&gt;"",IF(A90="",NOW(),A90),"")</f>
        <v>43878.947694907409</v>
      </c>
      <c r="B90" s="128">
        <f ca="1">IF(Tabel158[[#This Row],[Rood Verdediging]]&lt;&gt;"",IF(B90="",NOW(),B90),"")</f>
        <v>43878.947694907409</v>
      </c>
      <c r="C90" s="126">
        <f ca="1">IF(Tabel158[[#This Row],[Score]]&lt;&gt;"",IF(C90="",NOW(),C90),"")</f>
        <v>43878.947694907409</v>
      </c>
      <c r="D90" s="127">
        <f ca="1">IF(OR(Tabel158[[#This Row],[Starttijd]]="",Tabel158[[#This Row],[Eindtijd]]=""),"",Tabel158[[#This Row],[Eindtijd]]-Tabel158[[#This Row],[Starttijd]])</f>
        <v>0</v>
      </c>
      <c r="E90" s="74">
        <v>90</v>
      </c>
      <c r="F90" s="205" t="s">
        <v>0</v>
      </c>
      <c r="G90" s="210">
        <v>3</v>
      </c>
      <c r="H90" s="205" t="s">
        <v>6</v>
      </c>
      <c r="I90" s="210">
        <v>8</v>
      </c>
      <c r="J90" s="206" t="s">
        <v>15</v>
      </c>
      <c r="K90" s="212">
        <v>1</v>
      </c>
      <c r="L90" s="206" t="s">
        <v>8</v>
      </c>
      <c r="M90" s="212">
        <v>3</v>
      </c>
      <c r="N90" s="81">
        <f t="shared" si="14"/>
        <v>11</v>
      </c>
      <c r="O90" s="82">
        <f t="shared" si="15"/>
        <v>4</v>
      </c>
      <c r="P90" s="70" t="str">
        <f t="shared" si="18"/>
        <v>ROOD</v>
      </c>
      <c r="Q90" s="86" t="str">
        <f t="shared" si="16"/>
        <v>Jonas</v>
      </c>
      <c r="R90" s="87" t="str">
        <f t="shared" si="17"/>
        <v>Stef D</v>
      </c>
      <c r="S90" t="str">
        <f>Tabel158[[#This Row],[Rood Verdediging]]&amp;Tabel158[[#This Row],[Rood Aanval]]</f>
        <v>JonasStef D</v>
      </c>
      <c r="T90" t="str">
        <f>Tabel158[[#This Row],[Groen Verdediging]]&amp;Tabel158[[#This Row],[Groen Aanval]]</f>
        <v>StijnLouis</v>
      </c>
      <c r="U90" t="str">
        <f>Tabel158[[#This Row],[Winnaar 1]]&amp;Tabel158[[#This Row],[Winnaar 2]]</f>
        <v>JonasStef D</v>
      </c>
      <c r="V90" s="147" t="str">
        <f>IF(Tabel158[[#This Row],[Team Rood]]=Tabel158[[#This Row],[Winnaars]],Tabel158[[#This Row],[Team Rood]])</f>
        <v>JonasStef D</v>
      </c>
      <c r="W90" s="147" t="b">
        <f>IF(Tabel158[[#This Row],[Team Groen]]=Tabel158[[#This Row],[Winnaars]],Tabel158[[#This Row],[Team Groen]])</f>
        <v>0</v>
      </c>
      <c r="X90" s="147"/>
      <c r="AH90" s="251" t="s">
        <v>168</v>
      </c>
      <c r="AI90" s="233" t="s">
        <v>170</v>
      </c>
      <c r="AJ90" s="140" t="str">
        <f t="shared" si="19"/>
        <v>Coghe*Nico*</v>
      </c>
      <c r="AK90" s="160">
        <f>IF(Tabel59[[#This Row],[Aantal Games Rood]]=0,0,(Tabel59[[#This Row],[Wins Rood]])/Tabel59[[#This Row],[Aantal Games Rood]])</f>
        <v>0</v>
      </c>
      <c r="AL90" s="162">
        <f>IF(Tabel59[[#This Row],[Aantal Games Groen]]=0,0,(Tabel59[[#This Row],[Wins Groen]])/Tabel59[[#This Row],[Aantal Games Groen]])</f>
        <v>0</v>
      </c>
      <c r="AM90" s="156">
        <f>IF(Tabel59[[#This Row],[Aantal games Alg]]=0,0,(Tabel59[[#This Row],[Wins Alg]])/Tabel59[[#This Row],[Aantal games Alg]])</f>
        <v>0</v>
      </c>
      <c r="AN90" s="171">
        <f>COUNTIF(Tabel158[Winaar rood],Tabel59[[#This Row],[Team]])</f>
        <v>0</v>
      </c>
      <c r="AO90" s="164">
        <f>COUNTIF(Tabel158[Winnaar Groen],Tabel59[[#This Row],[Team]])</f>
        <v>0</v>
      </c>
      <c r="AP90" s="147">
        <f>COUNTIF(Tabel158[Winnaars],Tabel59[[#This Row],[Team]])</f>
        <v>0</v>
      </c>
      <c r="AQ90" s="163">
        <f>Tabel59[[#This Row],[Aantal Games Rood]]-Tabel59[[#This Row],[Wins Rood]]</f>
        <v>0</v>
      </c>
      <c r="AR90" s="164">
        <f>Tabel59[[#This Row],[Aantal Games Groen]]-Tabel59[[#This Row],[Wins Groen]]</f>
        <v>0</v>
      </c>
      <c r="AS90" s="165">
        <f>Tabel59[[#This Row],[Aantal games Alg]]-Tabel59[[#This Row],[Wins Alg]]</f>
        <v>0</v>
      </c>
      <c r="AT90" s="166">
        <f>COUNTIF(Tabel158[Team Rood],Tabel59[[#This Row],[Team]])</f>
        <v>0</v>
      </c>
      <c r="AU90" s="164">
        <f>COUNTIF(Tabel158[Team Groen],Tabel59[[#This Row],[Team]])</f>
        <v>0</v>
      </c>
      <c r="AV90" s="170">
        <f>Tabel59[[#This Row],[Aantal Games Rood]]+Tabel59[[#This Row],[Aantal Games Groen]]</f>
        <v>0</v>
      </c>
      <c r="AW90" s="166">
        <f>SUMIF(Tabel158[Team Rood],Tabel59[[#This Row],[Team]],Tabel158[Score])</f>
        <v>0</v>
      </c>
      <c r="AX90" s="166">
        <f>SUMIF(Tabel158[Team Rood],Tabel59[[#This Row],[Team]],Tabel158[Score2])</f>
        <v>0</v>
      </c>
      <c r="AY90" s="134">
        <f>SUMIF(Tabel158[Team Groen],Tabel59[[#This Row],[Team]],Tabel158[Score3])</f>
        <v>0</v>
      </c>
      <c r="AZ90" s="164">
        <f>SUMIF(Tabel158[Team Groen],Tabel59[[#This Row],[Team]],Tabel158[Score4])</f>
        <v>0</v>
      </c>
      <c r="BA90" s="167">
        <f>SUM(Tabel59[[#This Row],[Goals Verdediger]]+Tabel59[[#This Row],[Goals DefG]])</f>
        <v>0</v>
      </c>
      <c r="BB90" s="147">
        <f>IF(Tabel59[[#This Row],[Aantal games Alg]]=0,0,Tabel59[[#This Row],[Goals DefA]]/Tabel59[[#This Row],[Aantal games Alg]])</f>
        <v>0</v>
      </c>
      <c r="BC90" s="167">
        <f>SUM(Tabel59[[#This Row],[Goals Aanvaller]]+Tabel59[[#This Row],[Goals OffG]])</f>
        <v>0</v>
      </c>
      <c r="BD90" s="147">
        <f>IF(Tabel59[[#This Row],[Aantal games Alg]]=0,0,Tabel59[[#This Row],[Goals OffA]]/Tabel59[[#This Row],[Aantal games Alg]])</f>
        <v>0</v>
      </c>
      <c r="BE90" s="147">
        <f>Tabel59[[#This Row],[Goals DefA]]+Tabel59[[#This Row],[Goals OffA]]</f>
        <v>0</v>
      </c>
      <c r="BF90" s="147">
        <f>IF(Tabel59[[#This Row],[Aantal games Alg]]=0,0,Tabel59[[#This Row],[Goals Alg]]/Tabel59[[#This Row],[Aantal games Alg]])</f>
        <v>0</v>
      </c>
      <c r="BG90" s="148">
        <f>SUMIF(Tabel158[Team Rood],Tabel59[[#This Row],[Team]],Tabel158[ET])</f>
        <v>0</v>
      </c>
      <c r="BH90" s="168">
        <f>SUMIF(Tabel158[Team Groen],Tabel59[[#This Row],[Team]],Tabel158[ET])</f>
        <v>0</v>
      </c>
      <c r="BI90" s="221">
        <f>SUM(Tabel59[[#This Row],[ET Groen tot]],Tabel59[[#This Row],[ET Rood tot]])</f>
        <v>0</v>
      </c>
      <c r="BJ90" s="155">
        <f>IF(Tabel59[[#This Row],[Aantal games Alg]]=0,0,Tabel59[[#This Row],[ET tot]]/Tabel59[[#This Row],[Aantal games Alg]])</f>
        <v>0</v>
      </c>
    </row>
    <row r="91" spans="1:62" x14ac:dyDescent="0.25">
      <c r="A91" s="124">
        <f ca="1">IF(Tabel158[[#This Row],[Rood Verdediging]]&lt;&gt;"",IF(A91="",NOW(),A91),"")</f>
        <v>43878.947694907409</v>
      </c>
      <c r="B91" s="128">
        <f ca="1">IF(Tabel158[[#This Row],[Rood Verdediging]]&lt;&gt;"",IF(B91="",NOW(),B91),"")</f>
        <v>43878.947694907409</v>
      </c>
      <c r="C91" s="126">
        <f ca="1">IF(Tabel158[[#This Row],[Score]]&lt;&gt;"",IF(C91="",NOW(),C91),"")</f>
        <v>43878.947694907409</v>
      </c>
      <c r="D91" s="127">
        <f ca="1">IF(OR(Tabel158[[#This Row],[Starttijd]]="",Tabel158[[#This Row],[Eindtijd]]=""),"",Tabel158[[#This Row],[Eindtijd]]-Tabel158[[#This Row],[Starttijd]])</f>
        <v>0</v>
      </c>
      <c r="E91" s="74">
        <v>91</v>
      </c>
      <c r="F91" s="205" t="s">
        <v>3</v>
      </c>
      <c r="G91" s="210">
        <v>6</v>
      </c>
      <c r="H91" s="205" t="s">
        <v>13</v>
      </c>
      <c r="I91" s="210">
        <v>5</v>
      </c>
      <c r="J91" s="206" t="s">
        <v>6</v>
      </c>
      <c r="K91" s="212">
        <v>7</v>
      </c>
      <c r="L91" s="206" t="s">
        <v>19</v>
      </c>
      <c r="M91" s="212">
        <v>2</v>
      </c>
      <c r="N91" s="81">
        <f t="shared" si="14"/>
        <v>11</v>
      </c>
      <c r="O91" s="82">
        <f t="shared" si="15"/>
        <v>9</v>
      </c>
      <c r="P91" s="70" t="str">
        <f t="shared" si="18"/>
        <v>ROOD</v>
      </c>
      <c r="Q91" s="86" t="str">
        <f t="shared" si="16"/>
        <v>Karel</v>
      </c>
      <c r="R91" s="87" t="str">
        <f t="shared" si="17"/>
        <v>Bert</v>
      </c>
      <c r="S91" t="str">
        <f>Tabel158[[#This Row],[Rood Verdediging]]&amp;Tabel158[[#This Row],[Rood Aanval]]</f>
        <v>KarelBert</v>
      </c>
      <c r="T91" t="str">
        <f>Tabel158[[#This Row],[Groen Verdediging]]&amp;Tabel158[[#This Row],[Groen Aanval]]</f>
        <v>Stef DNicolas</v>
      </c>
      <c r="U91" t="str">
        <f>Tabel158[[#This Row],[Winnaar 1]]&amp;Tabel158[[#This Row],[Winnaar 2]]</f>
        <v>KarelBert</v>
      </c>
      <c r="V91" s="147" t="str">
        <f>IF(Tabel158[[#This Row],[Team Rood]]=Tabel158[[#This Row],[Winnaars]],Tabel158[[#This Row],[Team Rood]])</f>
        <v>KarelBert</v>
      </c>
      <c r="W91" s="147" t="b">
        <f>IF(Tabel158[[#This Row],[Team Groen]]=Tabel158[[#This Row],[Winnaars]],Tabel158[[#This Row],[Team Groen]])</f>
        <v>0</v>
      </c>
      <c r="X91" s="147"/>
      <c r="AH91" s="251" t="s">
        <v>168</v>
      </c>
      <c r="AI91" s="233" t="s">
        <v>169</v>
      </c>
      <c r="AJ91" s="140" t="str">
        <f t="shared" si="19"/>
        <v>Coghe*Stef*</v>
      </c>
      <c r="AK91" s="160">
        <f>IF(Tabel59[[#This Row],[Aantal Games Rood]]=0,0,(Tabel59[[#This Row],[Wins Rood]])/Tabel59[[#This Row],[Aantal Games Rood]])</f>
        <v>0</v>
      </c>
      <c r="AL91" s="162">
        <f>IF(Tabel59[[#This Row],[Aantal Games Groen]]=0,0,(Tabel59[[#This Row],[Wins Groen]])/Tabel59[[#This Row],[Aantal Games Groen]])</f>
        <v>0</v>
      </c>
      <c r="AM91" s="156">
        <f>IF(Tabel59[[#This Row],[Aantal games Alg]]=0,0,(Tabel59[[#This Row],[Wins Alg]])/Tabel59[[#This Row],[Aantal games Alg]])</f>
        <v>0</v>
      </c>
      <c r="AN91" s="171">
        <f>COUNTIF(Tabel158[Winaar rood],Tabel59[[#This Row],[Team]])</f>
        <v>0</v>
      </c>
      <c r="AO91" s="164">
        <f>COUNTIF(Tabel158[Winnaar Groen],Tabel59[[#This Row],[Team]])</f>
        <v>0</v>
      </c>
      <c r="AP91" s="147">
        <f>COUNTIF(Tabel158[Winnaars],Tabel59[[#This Row],[Team]])</f>
        <v>0</v>
      </c>
      <c r="AQ91" s="163">
        <f>Tabel59[[#This Row],[Aantal Games Rood]]-Tabel59[[#This Row],[Wins Rood]]</f>
        <v>0</v>
      </c>
      <c r="AR91" s="164">
        <f>Tabel59[[#This Row],[Aantal Games Groen]]-Tabel59[[#This Row],[Wins Groen]]</f>
        <v>0</v>
      </c>
      <c r="AS91" s="165">
        <f>Tabel59[[#This Row],[Aantal games Alg]]-Tabel59[[#This Row],[Wins Alg]]</f>
        <v>0</v>
      </c>
      <c r="AT91" s="166">
        <f>COUNTIF(Tabel158[Team Rood],Tabel59[[#This Row],[Team]])</f>
        <v>0</v>
      </c>
      <c r="AU91" s="164">
        <f>COUNTIF(Tabel158[Team Groen],Tabel59[[#This Row],[Team]])</f>
        <v>0</v>
      </c>
      <c r="AV91" s="170">
        <f>Tabel59[[#This Row],[Aantal Games Rood]]+Tabel59[[#This Row],[Aantal Games Groen]]</f>
        <v>0</v>
      </c>
      <c r="AW91" s="166">
        <f>SUMIF(Tabel158[Team Rood],Tabel59[[#This Row],[Team]],Tabel158[Score])</f>
        <v>0</v>
      </c>
      <c r="AX91" s="166">
        <f>SUMIF(Tabel158[Team Rood],Tabel59[[#This Row],[Team]],Tabel158[Score2])</f>
        <v>0</v>
      </c>
      <c r="AY91" s="134">
        <f>SUMIF(Tabel158[Team Groen],Tabel59[[#This Row],[Team]],Tabel158[Score3])</f>
        <v>0</v>
      </c>
      <c r="AZ91" s="164">
        <f>SUMIF(Tabel158[Team Groen],Tabel59[[#This Row],[Team]],Tabel158[Score4])</f>
        <v>0</v>
      </c>
      <c r="BA91" s="167">
        <f>SUM(Tabel59[[#This Row],[Goals Verdediger]]+Tabel59[[#This Row],[Goals DefG]])</f>
        <v>0</v>
      </c>
      <c r="BB91" s="147">
        <f>IF(Tabel59[[#This Row],[Aantal games Alg]]=0,0,Tabel59[[#This Row],[Goals DefA]]/Tabel59[[#This Row],[Aantal games Alg]])</f>
        <v>0</v>
      </c>
      <c r="BC91" s="167">
        <f>SUM(Tabel59[[#This Row],[Goals Aanvaller]]+Tabel59[[#This Row],[Goals OffG]])</f>
        <v>0</v>
      </c>
      <c r="BD91" s="147">
        <f>IF(Tabel59[[#This Row],[Aantal games Alg]]=0,0,Tabel59[[#This Row],[Goals OffA]]/Tabel59[[#This Row],[Aantal games Alg]])</f>
        <v>0</v>
      </c>
      <c r="BE91" s="147">
        <f>Tabel59[[#This Row],[Goals DefA]]+Tabel59[[#This Row],[Goals OffA]]</f>
        <v>0</v>
      </c>
      <c r="BF91" s="147">
        <f>IF(Tabel59[[#This Row],[Aantal games Alg]]=0,0,Tabel59[[#This Row],[Goals Alg]]/Tabel59[[#This Row],[Aantal games Alg]])</f>
        <v>0</v>
      </c>
      <c r="BG91" s="148">
        <f>SUMIF(Tabel158[Team Rood],Tabel59[[#This Row],[Team]],Tabel158[ET])</f>
        <v>0</v>
      </c>
      <c r="BH91" s="168">
        <f>SUMIF(Tabel158[Team Groen],Tabel59[[#This Row],[Team]],Tabel158[ET])</f>
        <v>0</v>
      </c>
      <c r="BI91" s="221">
        <f>SUM(Tabel59[[#This Row],[ET Groen tot]],Tabel59[[#This Row],[ET Rood tot]])</f>
        <v>0</v>
      </c>
      <c r="BJ91" s="155">
        <f>IF(Tabel59[[#This Row],[Aantal games Alg]]=0,0,Tabel59[[#This Row],[ET tot]]/Tabel59[[#This Row],[Aantal games Alg]])</f>
        <v>0</v>
      </c>
    </row>
    <row r="92" spans="1:62" x14ac:dyDescent="0.25">
      <c r="A92" s="124">
        <f ca="1">IF(Tabel158[[#This Row],[Rood Verdediging]]&lt;&gt;"",IF(A92="",NOW(),A92),"")</f>
        <v>43878.947694907409</v>
      </c>
      <c r="B92" s="128">
        <f ca="1">IF(Tabel158[[#This Row],[Rood Verdediging]]&lt;&gt;"",IF(B92="",NOW(),B92),"")</f>
        <v>43878.947694907409</v>
      </c>
      <c r="C92" s="126">
        <f ca="1">IF(Tabel158[[#This Row],[Score]]&lt;&gt;"",IF(C92="",NOW(),C92),"")</f>
        <v>43878.947694907409</v>
      </c>
      <c r="D92" s="127">
        <f ca="1">IF(OR(Tabel158[[#This Row],[Starttijd]]="",Tabel158[[#This Row],[Eindtijd]]=""),"",Tabel158[[#This Row],[Eindtijd]]-Tabel158[[#This Row],[Starttijd]])</f>
        <v>0</v>
      </c>
      <c r="E92" s="74">
        <v>92</v>
      </c>
      <c r="F92" s="205" t="s">
        <v>0</v>
      </c>
      <c r="G92" s="210">
        <v>1</v>
      </c>
      <c r="H92" s="205" t="s">
        <v>11</v>
      </c>
      <c r="I92" s="210">
        <v>9</v>
      </c>
      <c r="J92" s="206" t="s">
        <v>15</v>
      </c>
      <c r="K92" s="212">
        <v>3</v>
      </c>
      <c r="L92" s="206" t="s">
        <v>13</v>
      </c>
      <c r="M92" s="212">
        <v>9</v>
      </c>
      <c r="N92" s="81">
        <f t="shared" si="14"/>
        <v>10</v>
      </c>
      <c r="O92" s="82">
        <f t="shared" si="15"/>
        <v>12</v>
      </c>
      <c r="P92" s="70" t="str">
        <f t="shared" si="18"/>
        <v>GROEN</v>
      </c>
      <c r="Q92" s="86" t="str">
        <f t="shared" si="16"/>
        <v>Stijn</v>
      </c>
      <c r="R92" s="87" t="str">
        <f t="shared" si="17"/>
        <v>Bert</v>
      </c>
      <c r="S92" t="str">
        <f>Tabel158[[#This Row],[Rood Verdediging]]&amp;Tabel158[[#This Row],[Rood Aanval]]</f>
        <v>JonasMatthijs</v>
      </c>
      <c r="T92" t="str">
        <f>Tabel158[[#This Row],[Groen Verdediging]]&amp;Tabel158[[#This Row],[Groen Aanval]]</f>
        <v>StijnBert</v>
      </c>
      <c r="U92" t="str">
        <f>Tabel158[[#This Row],[Winnaar 1]]&amp;Tabel158[[#This Row],[Winnaar 2]]</f>
        <v>StijnBert</v>
      </c>
      <c r="V92" s="147" t="b">
        <f>IF(Tabel158[[#This Row],[Team Rood]]=Tabel158[[#This Row],[Winnaars]],Tabel158[[#This Row],[Team Rood]])</f>
        <v>0</v>
      </c>
      <c r="W92" s="147" t="str">
        <f>IF(Tabel158[[#This Row],[Team Groen]]=Tabel158[[#This Row],[Winnaars]],Tabel158[[#This Row],[Team Groen]])</f>
        <v>StijnBert</v>
      </c>
      <c r="X92" s="147"/>
      <c r="AH92" s="251" t="s">
        <v>168</v>
      </c>
      <c r="AI92" s="233" t="s">
        <v>166</v>
      </c>
      <c r="AJ92" s="140" t="str">
        <f t="shared" si="19"/>
        <v>Coghe*Stijn*</v>
      </c>
      <c r="AK92" s="160">
        <f>IF(Tabel59[[#This Row],[Aantal Games Rood]]=0,0,(Tabel59[[#This Row],[Wins Rood]])/Tabel59[[#This Row],[Aantal Games Rood]])</f>
        <v>0</v>
      </c>
      <c r="AL92" s="162">
        <f>IF(Tabel59[[#This Row],[Aantal Games Groen]]=0,0,(Tabel59[[#This Row],[Wins Groen]])/Tabel59[[#This Row],[Aantal Games Groen]])</f>
        <v>0</v>
      </c>
      <c r="AM92" s="156">
        <f>IF(Tabel59[[#This Row],[Aantal games Alg]]=0,0,(Tabel59[[#This Row],[Wins Alg]])/Tabel59[[#This Row],[Aantal games Alg]])</f>
        <v>0</v>
      </c>
      <c r="AN92" s="171">
        <f>COUNTIF(Tabel158[Winaar rood],Tabel59[[#This Row],[Team]])</f>
        <v>0</v>
      </c>
      <c r="AO92" s="164">
        <f>COUNTIF(Tabel158[Winnaar Groen],Tabel59[[#This Row],[Team]])</f>
        <v>0</v>
      </c>
      <c r="AP92" s="147">
        <f>COUNTIF(Tabel158[Winnaars],Tabel59[[#This Row],[Team]])</f>
        <v>0</v>
      </c>
      <c r="AQ92" s="163">
        <f>Tabel59[[#This Row],[Aantal Games Rood]]-Tabel59[[#This Row],[Wins Rood]]</f>
        <v>0</v>
      </c>
      <c r="AR92" s="164">
        <f>Tabel59[[#This Row],[Aantal Games Groen]]-Tabel59[[#This Row],[Wins Groen]]</f>
        <v>0</v>
      </c>
      <c r="AS92" s="165">
        <f>Tabel59[[#This Row],[Aantal games Alg]]-Tabel59[[#This Row],[Wins Alg]]</f>
        <v>0</v>
      </c>
      <c r="AT92" s="166">
        <f>COUNTIF(Tabel158[Team Rood],Tabel59[[#This Row],[Team]])</f>
        <v>0</v>
      </c>
      <c r="AU92" s="164">
        <f>COUNTIF(Tabel158[Team Groen],Tabel59[[#This Row],[Team]])</f>
        <v>0</v>
      </c>
      <c r="AV92" s="170">
        <f>Tabel59[[#This Row],[Aantal Games Rood]]+Tabel59[[#This Row],[Aantal Games Groen]]</f>
        <v>0</v>
      </c>
      <c r="AW92" s="166">
        <f>SUMIF(Tabel158[Team Rood],Tabel59[[#This Row],[Team]],Tabel158[Score])</f>
        <v>0</v>
      </c>
      <c r="AX92" s="166">
        <f>SUMIF(Tabel158[Team Rood],Tabel59[[#This Row],[Team]],Tabel158[Score2])</f>
        <v>0</v>
      </c>
      <c r="AY92" s="134">
        <f>SUMIF(Tabel158[Team Groen],Tabel59[[#This Row],[Team]],Tabel158[Score3])</f>
        <v>0</v>
      </c>
      <c r="AZ92" s="164">
        <f>SUMIF(Tabel158[Team Groen],Tabel59[[#This Row],[Team]],Tabel158[Score4])</f>
        <v>0</v>
      </c>
      <c r="BA92" s="167">
        <f>SUM(Tabel59[[#This Row],[Goals Verdediger]]+Tabel59[[#This Row],[Goals DefG]])</f>
        <v>0</v>
      </c>
      <c r="BB92" s="147">
        <f>IF(Tabel59[[#This Row],[Aantal games Alg]]=0,0,Tabel59[[#This Row],[Goals DefA]]/Tabel59[[#This Row],[Aantal games Alg]])</f>
        <v>0</v>
      </c>
      <c r="BC92" s="167">
        <f>SUM(Tabel59[[#This Row],[Goals Aanvaller]]+Tabel59[[#This Row],[Goals OffG]])</f>
        <v>0</v>
      </c>
      <c r="BD92" s="147">
        <f>IF(Tabel59[[#This Row],[Aantal games Alg]]=0,0,Tabel59[[#This Row],[Goals OffA]]/Tabel59[[#This Row],[Aantal games Alg]])</f>
        <v>0</v>
      </c>
      <c r="BE92" s="147">
        <f>Tabel59[[#This Row],[Goals DefA]]+Tabel59[[#This Row],[Goals OffA]]</f>
        <v>0</v>
      </c>
      <c r="BF92" s="147">
        <f>IF(Tabel59[[#This Row],[Aantal games Alg]]=0,0,Tabel59[[#This Row],[Goals Alg]]/Tabel59[[#This Row],[Aantal games Alg]])</f>
        <v>0</v>
      </c>
      <c r="BG92" s="148">
        <f>SUMIF(Tabel158[Team Rood],Tabel59[[#This Row],[Team]],Tabel158[ET])</f>
        <v>0</v>
      </c>
      <c r="BH92" s="168">
        <f>SUMIF(Tabel158[Team Groen],Tabel59[[#This Row],[Team]],Tabel158[ET])</f>
        <v>0</v>
      </c>
      <c r="BI92" s="221">
        <f>SUM(Tabel59[[#This Row],[ET Groen tot]],Tabel59[[#This Row],[ET Rood tot]])</f>
        <v>0</v>
      </c>
      <c r="BJ92" s="155">
        <f>IF(Tabel59[[#This Row],[Aantal games Alg]]=0,0,Tabel59[[#This Row],[ET tot]]/Tabel59[[#This Row],[Aantal games Alg]])</f>
        <v>0</v>
      </c>
    </row>
    <row r="93" spans="1:62" x14ac:dyDescent="0.25">
      <c r="A93" s="124">
        <f ca="1">IF(Tabel158[[#This Row],[Rood Verdediging]]&lt;&gt;"",IF(A93="",NOW(),A93),"")</f>
        <v>43878.947694907409</v>
      </c>
      <c r="B93" s="128">
        <f ca="1">IF(Tabel158[[#This Row],[Rood Verdediging]]&lt;&gt;"",IF(B93="",NOW(),B93),"")</f>
        <v>43878.947694907409</v>
      </c>
      <c r="C93" s="126">
        <f ca="1">IF(Tabel158[[#This Row],[Score]]&lt;&gt;"",IF(C93="",NOW(),C93),"")</f>
        <v>43878.947694907409</v>
      </c>
      <c r="D93" s="127">
        <f ca="1">IF(OR(Tabel158[[#This Row],[Starttijd]]="",Tabel158[[#This Row],[Eindtijd]]=""),"",Tabel158[[#This Row],[Eindtijd]]-Tabel158[[#This Row],[Starttijd]])</f>
        <v>0</v>
      </c>
      <c r="E93" s="74">
        <v>93</v>
      </c>
      <c r="F93" s="205" t="s">
        <v>8</v>
      </c>
      <c r="G93" s="210">
        <v>5</v>
      </c>
      <c r="H93" s="205" t="s">
        <v>19</v>
      </c>
      <c r="I93" s="210">
        <v>1</v>
      </c>
      <c r="J93" s="206" t="s">
        <v>6</v>
      </c>
      <c r="K93" s="212">
        <v>3</v>
      </c>
      <c r="L93" s="206" t="s">
        <v>3</v>
      </c>
      <c r="M93" s="212">
        <v>8</v>
      </c>
      <c r="N93" s="81">
        <f t="shared" si="14"/>
        <v>6</v>
      </c>
      <c r="O93" s="82">
        <f t="shared" si="15"/>
        <v>11</v>
      </c>
      <c r="P93" s="70" t="str">
        <f t="shared" si="18"/>
        <v>GROEN</v>
      </c>
      <c r="Q93" s="86" t="str">
        <f t="shared" si="16"/>
        <v>Stef D</v>
      </c>
      <c r="R93" s="87" t="str">
        <f t="shared" si="17"/>
        <v>Karel</v>
      </c>
      <c r="S93" t="str">
        <f>Tabel158[[#This Row],[Rood Verdediging]]&amp;Tabel158[[#This Row],[Rood Aanval]]</f>
        <v>LouisNicolas</v>
      </c>
      <c r="T93" t="str">
        <f>Tabel158[[#This Row],[Groen Verdediging]]&amp;Tabel158[[#This Row],[Groen Aanval]]</f>
        <v>Stef DKarel</v>
      </c>
      <c r="U93" t="str">
        <f>Tabel158[[#This Row],[Winnaar 1]]&amp;Tabel158[[#This Row],[Winnaar 2]]</f>
        <v>Stef DKarel</v>
      </c>
      <c r="V93" s="147" t="b">
        <f>IF(Tabel158[[#This Row],[Team Rood]]=Tabel158[[#This Row],[Winnaars]],Tabel158[[#This Row],[Team Rood]])</f>
        <v>0</v>
      </c>
      <c r="W93" s="147" t="str">
        <f>IF(Tabel158[[#This Row],[Team Groen]]=Tabel158[[#This Row],[Winnaars]],Tabel158[[#This Row],[Team Groen]])</f>
        <v>Stef DKarel</v>
      </c>
      <c r="X93" s="147"/>
      <c r="AH93" s="251" t="s">
        <v>168</v>
      </c>
      <c r="AI93" s="233" t="s">
        <v>157</v>
      </c>
      <c r="AJ93" s="140" t="str">
        <f t="shared" si="19"/>
        <v>Coghe*Tobi*</v>
      </c>
      <c r="AK93" s="160">
        <f>IF(Tabel59[[#This Row],[Aantal Games Rood]]=0,0,(Tabel59[[#This Row],[Wins Rood]])/Tabel59[[#This Row],[Aantal Games Rood]])</f>
        <v>0</v>
      </c>
      <c r="AL93" s="162">
        <f>IF(Tabel59[[#This Row],[Aantal Games Groen]]=0,0,(Tabel59[[#This Row],[Wins Groen]])/Tabel59[[#This Row],[Aantal Games Groen]])</f>
        <v>0</v>
      </c>
      <c r="AM93" s="156">
        <f>IF(Tabel59[[#This Row],[Aantal games Alg]]=0,0,(Tabel59[[#This Row],[Wins Alg]])/Tabel59[[#This Row],[Aantal games Alg]])</f>
        <v>0</v>
      </c>
      <c r="AN93" s="171">
        <f>COUNTIF(Tabel158[Winaar rood],Tabel59[[#This Row],[Team]])</f>
        <v>0</v>
      </c>
      <c r="AO93" s="164">
        <f>COUNTIF(Tabel158[Winnaar Groen],Tabel59[[#This Row],[Team]])</f>
        <v>0</v>
      </c>
      <c r="AP93" s="147">
        <f>COUNTIF(Tabel158[Winnaars],Tabel59[[#This Row],[Team]])</f>
        <v>0</v>
      </c>
      <c r="AQ93" s="163">
        <f>Tabel59[[#This Row],[Aantal Games Rood]]-Tabel59[[#This Row],[Wins Rood]]</f>
        <v>0</v>
      </c>
      <c r="AR93" s="164">
        <f>Tabel59[[#This Row],[Aantal Games Groen]]-Tabel59[[#This Row],[Wins Groen]]</f>
        <v>0</v>
      </c>
      <c r="AS93" s="165">
        <f>Tabel59[[#This Row],[Aantal games Alg]]-Tabel59[[#This Row],[Wins Alg]]</f>
        <v>0</v>
      </c>
      <c r="AT93" s="166">
        <f>COUNTIF(Tabel158[Team Rood],Tabel59[[#This Row],[Team]])</f>
        <v>0</v>
      </c>
      <c r="AU93" s="164">
        <f>COUNTIF(Tabel158[Team Groen],Tabel59[[#This Row],[Team]])</f>
        <v>0</v>
      </c>
      <c r="AV93" s="170">
        <f>Tabel59[[#This Row],[Aantal Games Rood]]+Tabel59[[#This Row],[Aantal Games Groen]]</f>
        <v>0</v>
      </c>
      <c r="AW93" s="166">
        <f>SUMIF(Tabel158[Team Rood],Tabel59[[#This Row],[Team]],Tabel158[Score])</f>
        <v>0</v>
      </c>
      <c r="AX93" s="166">
        <f>SUMIF(Tabel158[Team Rood],Tabel59[[#This Row],[Team]],Tabel158[Score2])</f>
        <v>0</v>
      </c>
      <c r="AY93" s="134">
        <f>SUMIF(Tabel158[Team Groen],Tabel59[[#This Row],[Team]],Tabel158[Score3])</f>
        <v>0</v>
      </c>
      <c r="AZ93" s="164">
        <f>SUMIF(Tabel158[Team Groen],Tabel59[[#This Row],[Team]],Tabel158[Score4])</f>
        <v>0</v>
      </c>
      <c r="BA93" s="167">
        <f>SUM(Tabel59[[#This Row],[Goals Verdediger]]+Tabel59[[#This Row],[Goals DefG]])</f>
        <v>0</v>
      </c>
      <c r="BB93" s="147">
        <f>IF(Tabel59[[#This Row],[Aantal games Alg]]=0,0,Tabel59[[#This Row],[Goals DefA]]/Tabel59[[#This Row],[Aantal games Alg]])</f>
        <v>0</v>
      </c>
      <c r="BC93" s="167">
        <f>SUM(Tabel59[[#This Row],[Goals Aanvaller]]+Tabel59[[#This Row],[Goals OffG]])</f>
        <v>0</v>
      </c>
      <c r="BD93" s="147">
        <f>IF(Tabel59[[#This Row],[Aantal games Alg]]=0,0,Tabel59[[#This Row],[Goals OffA]]/Tabel59[[#This Row],[Aantal games Alg]])</f>
        <v>0</v>
      </c>
      <c r="BE93" s="147">
        <f>Tabel59[[#This Row],[Goals DefA]]+Tabel59[[#This Row],[Goals OffA]]</f>
        <v>0</v>
      </c>
      <c r="BF93" s="147">
        <f>IF(Tabel59[[#This Row],[Aantal games Alg]]=0,0,Tabel59[[#This Row],[Goals Alg]]/Tabel59[[#This Row],[Aantal games Alg]])</f>
        <v>0</v>
      </c>
      <c r="BG93" s="148">
        <f>SUMIF(Tabel158[Team Rood],Tabel59[[#This Row],[Team]],Tabel158[ET])</f>
        <v>0</v>
      </c>
      <c r="BH93" s="168">
        <f>SUMIF(Tabel158[Team Groen],Tabel59[[#This Row],[Team]],Tabel158[ET])</f>
        <v>0</v>
      </c>
      <c r="BI93" s="221">
        <f>SUM(Tabel59[[#This Row],[ET Groen tot]],Tabel59[[#This Row],[ET Rood tot]])</f>
        <v>0</v>
      </c>
      <c r="BJ93" s="155">
        <f>IF(Tabel59[[#This Row],[Aantal games Alg]]=0,0,Tabel59[[#This Row],[ET tot]]/Tabel59[[#This Row],[Aantal games Alg]])</f>
        <v>0</v>
      </c>
    </row>
    <row r="94" spans="1:62" x14ac:dyDescent="0.25">
      <c r="A94" s="124">
        <f ca="1">IF(Tabel158[[#This Row],[Rood Verdediging]]&lt;&gt;"",IF(A94="",NOW(),A94),"")</f>
        <v>43878.947694907409</v>
      </c>
      <c r="B94" s="128">
        <f ca="1">IF(Tabel158[[#This Row],[Rood Verdediging]]&lt;&gt;"",IF(B94="",NOW(),B94),"")</f>
        <v>43878.947694907409</v>
      </c>
      <c r="C94" s="126">
        <f ca="1">IF(Tabel158[[#This Row],[Score]]&lt;&gt;"",IF(C94="",NOW(),C94),"")</f>
        <v>43878.947694907409</v>
      </c>
      <c r="D94" s="127">
        <f ca="1">IF(OR(Tabel158[[#This Row],[Starttijd]]="",Tabel158[[#This Row],[Eindtijd]]=""),"",Tabel158[[#This Row],[Eindtijd]]-Tabel158[[#This Row],[Starttijd]])</f>
        <v>0</v>
      </c>
      <c r="E94" s="74">
        <v>94</v>
      </c>
      <c r="F94" s="205" t="s">
        <v>13</v>
      </c>
      <c r="G94" s="210">
        <v>1</v>
      </c>
      <c r="H94" s="205" t="s">
        <v>11</v>
      </c>
      <c r="I94" s="210">
        <v>10</v>
      </c>
      <c r="J94" s="206" t="s">
        <v>15</v>
      </c>
      <c r="K94" s="212">
        <v>1</v>
      </c>
      <c r="L94" s="206" t="s">
        <v>0</v>
      </c>
      <c r="M94" s="212">
        <v>4</v>
      </c>
      <c r="N94" s="81">
        <f t="shared" si="14"/>
        <v>11</v>
      </c>
      <c r="O94" s="82">
        <f t="shared" si="15"/>
        <v>5</v>
      </c>
      <c r="P94" s="70" t="str">
        <f t="shared" si="18"/>
        <v>ROOD</v>
      </c>
      <c r="Q94" s="86" t="str">
        <f t="shared" si="16"/>
        <v>Bert</v>
      </c>
      <c r="R94" s="87" t="str">
        <f t="shared" si="17"/>
        <v>Matthijs</v>
      </c>
      <c r="S94" t="str">
        <f>Tabel158[[#This Row],[Rood Verdediging]]&amp;Tabel158[[#This Row],[Rood Aanval]]</f>
        <v>BertMatthijs</v>
      </c>
      <c r="T94" t="str">
        <f>Tabel158[[#This Row],[Groen Verdediging]]&amp;Tabel158[[#This Row],[Groen Aanval]]</f>
        <v>StijnJonas</v>
      </c>
      <c r="U94" t="str">
        <f>Tabel158[[#This Row],[Winnaar 1]]&amp;Tabel158[[#This Row],[Winnaar 2]]</f>
        <v>BertMatthijs</v>
      </c>
      <c r="V94" s="147" t="str">
        <f>IF(Tabel158[[#This Row],[Team Rood]]=Tabel158[[#This Row],[Winnaars]],Tabel158[[#This Row],[Team Rood]])</f>
        <v>BertMatthijs</v>
      </c>
      <c r="W94" s="147" t="b">
        <f>IF(Tabel158[[#This Row],[Team Groen]]=Tabel158[[#This Row],[Winnaars]],Tabel158[[#This Row],[Team Groen]])</f>
        <v>0</v>
      </c>
      <c r="X94" s="147"/>
      <c r="AH94" s="251" t="s">
        <v>159</v>
      </c>
      <c r="AI94" s="233" t="s">
        <v>168</v>
      </c>
      <c r="AJ94" s="140" t="str">
        <f t="shared" si="19"/>
        <v>Jonas*Coghe*</v>
      </c>
      <c r="AK94" s="160">
        <f>IF(Tabel59[[#This Row],[Aantal Games Rood]]=0,0,(Tabel59[[#This Row],[Wins Rood]])/Tabel59[[#This Row],[Aantal Games Rood]])</f>
        <v>0</v>
      </c>
      <c r="AL94" s="159">
        <f>IF(Tabel59[[#This Row],[Aantal Games Groen]]=0,0,(Tabel59[[#This Row],[Wins Groen]])/Tabel59[[#This Row],[Aantal Games Groen]])</f>
        <v>0</v>
      </c>
      <c r="AM94" s="156">
        <f>IF(Tabel59[[#This Row],[Aantal games Alg]]=0,0,(Tabel59[[#This Row],[Wins Alg]])/Tabel59[[#This Row],[Aantal games Alg]])</f>
        <v>0</v>
      </c>
      <c r="AN94" s="171">
        <f>COUNTIF(Tabel158[Winaar rood],Tabel59[[#This Row],[Team]])</f>
        <v>0</v>
      </c>
      <c r="AO94" s="169">
        <f>COUNTIF(Tabel158[Winnaar Groen],Tabel59[[#This Row],[Team]])</f>
        <v>0</v>
      </c>
      <c r="AP94" s="170">
        <f>COUNTIF(Tabel158[Winnaars],Tabel59[[#This Row],[Team]])</f>
        <v>0</v>
      </c>
      <c r="AQ94" s="163">
        <f>Tabel59[[#This Row],[Aantal Games Rood]]-Tabel59[[#This Row],[Wins Rood]]</f>
        <v>0</v>
      </c>
      <c r="AR94" s="169">
        <f>Tabel59[[#This Row],[Aantal Games Groen]]-Tabel59[[#This Row],[Wins Groen]]</f>
        <v>0</v>
      </c>
      <c r="AS94" s="165">
        <f>Tabel59[[#This Row],[Aantal games Alg]]-Tabel59[[#This Row],[Wins Alg]]</f>
        <v>0</v>
      </c>
      <c r="AT94" s="171">
        <f>COUNTIF(Tabel158[Team Rood],Tabel59[[#This Row],[Team]])</f>
        <v>0</v>
      </c>
      <c r="AU94" s="169">
        <f>COUNTIF(Tabel158[Team Groen],Tabel59[[#This Row],[Team]])</f>
        <v>0</v>
      </c>
      <c r="AV94" s="170">
        <f>Tabel59[[#This Row],[Aantal Games Rood]]+Tabel59[[#This Row],[Aantal Games Groen]]</f>
        <v>0</v>
      </c>
      <c r="AW94" s="171">
        <f>SUMIF(Tabel158[Team Rood],Tabel59[[#This Row],[Team]],Tabel158[Score])</f>
        <v>0</v>
      </c>
      <c r="AX94" s="171">
        <f>SUMIF(Tabel158[Team Rood],Tabel59[[#This Row],[Team]],Tabel158[Score2])</f>
        <v>0</v>
      </c>
      <c r="AY94" s="136">
        <f>SUMIF(Tabel158[Team Groen],Tabel59[[#This Row],[Team]],Tabel158[Score3])</f>
        <v>0</v>
      </c>
      <c r="AZ94" s="169">
        <f>SUMIF(Tabel158[Team Groen],Tabel59[[#This Row],[Team]],Tabel158[Score4])</f>
        <v>0</v>
      </c>
      <c r="BA94" s="172">
        <f>SUM(Tabel59[[#This Row],[Goals Verdediger]]+Tabel59[[#This Row],[Goals DefG]])</f>
        <v>0</v>
      </c>
      <c r="BB94" s="170">
        <f>IF(Tabel59[[#This Row],[Aantal games Alg]]=0,0,Tabel59[[#This Row],[Goals DefA]]/Tabel59[[#This Row],[Aantal games Alg]])</f>
        <v>0</v>
      </c>
      <c r="BC94" s="172">
        <f>SUM(Tabel59[[#This Row],[Goals Aanvaller]]+Tabel59[[#This Row],[Goals OffG]])</f>
        <v>0</v>
      </c>
      <c r="BD94" s="170">
        <f>IF(Tabel59[[#This Row],[Aantal games Alg]]=0,0,Tabel59[[#This Row],[Goals OffA]]/Tabel59[[#This Row],[Aantal games Alg]])</f>
        <v>0</v>
      </c>
      <c r="BE94" s="170">
        <f>Tabel59[[#This Row],[Goals DefA]]+Tabel59[[#This Row],[Goals OffA]]</f>
        <v>0</v>
      </c>
      <c r="BF94" s="170">
        <f>IF(Tabel59[[#This Row],[Aantal games Alg]]=0,0,Tabel59[[#This Row],[Goals Alg]]/Tabel59[[#This Row],[Aantal games Alg]])</f>
        <v>0</v>
      </c>
      <c r="BG94" s="148">
        <f>SUMIF(Tabel158[Team Rood],Tabel59[[#This Row],[Team]],Tabel158[ET])</f>
        <v>0</v>
      </c>
      <c r="BH94" s="150">
        <f>SUMIF(Tabel158[Team Groen],Tabel59[[#This Row],[Team]],Tabel158[ET])</f>
        <v>0</v>
      </c>
      <c r="BI94" s="153">
        <f>SUM(Tabel59[[#This Row],[ET Groen tot]],Tabel59[[#This Row],[ET Rood tot]])</f>
        <v>0</v>
      </c>
      <c r="BJ94" s="155">
        <f>IF(Tabel59[[#This Row],[Aantal games Alg]]=0,0,Tabel59[[#This Row],[ET tot]]/Tabel59[[#This Row],[Aantal games Alg]])</f>
        <v>0</v>
      </c>
    </row>
    <row r="95" spans="1:62" x14ac:dyDescent="0.25">
      <c r="A95" s="124">
        <f ca="1">IF(Tabel158[[#This Row],[Rood Verdediging]]&lt;&gt;"",IF(A95="",NOW(),A95),"")</f>
        <v>43878.947694907409</v>
      </c>
      <c r="B95" s="128">
        <f ca="1">IF(Tabel158[[#This Row],[Rood Verdediging]]&lt;&gt;"",IF(B95="",NOW(),B95),"")</f>
        <v>43878.947694907409</v>
      </c>
      <c r="C95" s="126">
        <f ca="1">IF(Tabel158[[#This Row],[Score]]&lt;&gt;"",IF(C95="",NOW(),C95),"")</f>
        <v>43878.947694907409</v>
      </c>
      <c r="D95" s="127">
        <f ca="1">IF(OR(Tabel158[[#This Row],[Starttijd]]="",Tabel158[[#This Row],[Eindtijd]]=""),"",Tabel158[[#This Row],[Eindtijd]]-Tabel158[[#This Row],[Starttijd]])</f>
        <v>0</v>
      </c>
      <c r="E95" s="74">
        <v>95</v>
      </c>
      <c r="F95" s="205" t="s">
        <v>19</v>
      </c>
      <c r="G95" s="210">
        <v>0</v>
      </c>
      <c r="H95" s="205" t="s">
        <v>3</v>
      </c>
      <c r="I95" s="210">
        <v>9</v>
      </c>
      <c r="J95" s="206" t="s">
        <v>8</v>
      </c>
      <c r="K95" s="212">
        <v>4</v>
      </c>
      <c r="L95" s="206" t="s">
        <v>6</v>
      </c>
      <c r="M95" s="212">
        <v>7</v>
      </c>
      <c r="N95" s="81">
        <f t="shared" si="14"/>
        <v>9</v>
      </c>
      <c r="O95" s="82">
        <f t="shared" si="15"/>
        <v>11</v>
      </c>
      <c r="P95" s="70" t="str">
        <f t="shared" si="18"/>
        <v>GROEN</v>
      </c>
      <c r="Q95" s="86" t="str">
        <f t="shared" si="16"/>
        <v>Louis</v>
      </c>
      <c r="R95" s="87" t="str">
        <f t="shared" si="17"/>
        <v>Stef D</v>
      </c>
      <c r="S95" t="str">
        <f>Tabel158[[#This Row],[Rood Verdediging]]&amp;Tabel158[[#This Row],[Rood Aanval]]</f>
        <v>NicolasKarel</v>
      </c>
      <c r="T95" t="str">
        <f>Tabel158[[#This Row],[Groen Verdediging]]&amp;Tabel158[[#This Row],[Groen Aanval]]</f>
        <v>LouisStef D</v>
      </c>
      <c r="U95" t="str">
        <f>Tabel158[[#This Row],[Winnaar 1]]&amp;Tabel158[[#This Row],[Winnaar 2]]</f>
        <v>LouisStef D</v>
      </c>
      <c r="V95" s="147" t="b">
        <f>IF(Tabel158[[#This Row],[Team Rood]]=Tabel158[[#This Row],[Winnaars]],Tabel158[[#This Row],[Team Rood]])</f>
        <v>0</v>
      </c>
      <c r="W95" s="147" t="str">
        <f>IF(Tabel158[[#This Row],[Team Groen]]=Tabel158[[#This Row],[Winnaars]],Tabel158[[#This Row],[Team Groen]])</f>
        <v>LouisStef D</v>
      </c>
      <c r="X95" s="147"/>
      <c r="AH95" s="251" t="s">
        <v>159</v>
      </c>
      <c r="AI95" s="233" t="s">
        <v>166</v>
      </c>
      <c r="AJ95" s="140" t="str">
        <f t="shared" si="19"/>
        <v>Jonas*Stijn*</v>
      </c>
      <c r="AK95" s="160">
        <f>IF(Tabel59[[#This Row],[Aantal Games Rood]]=0,0,(Tabel59[[#This Row],[Wins Rood]])/Tabel59[[#This Row],[Aantal Games Rood]])</f>
        <v>0</v>
      </c>
      <c r="AL95" s="159">
        <f>IF(Tabel59[[#This Row],[Aantal Games Groen]]=0,0,(Tabel59[[#This Row],[Wins Groen]])/Tabel59[[#This Row],[Aantal Games Groen]])</f>
        <v>0</v>
      </c>
      <c r="AM95" s="156">
        <f>IF(Tabel59[[#This Row],[Aantal games Alg]]=0,0,(Tabel59[[#This Row],[Wins Alg]])/Tabel59[[#This Row],[Aantal games Alg]])</f>
        <v>0</v>
      </c>
      <c r="AN95" s="138">
        <f>COUNTIF(Tabel158[Winaar rood],Tabel59[[#This Row],[Team]])</f>
        <v>0</v>
      </c>
      <c r="AO95" s="134">
        <f>COUNTIF(Tabel158[Winnaar Groen],Tabel59[[#This Row],[Team]])</f>
        <v>0</v>
      </c>
      <c r="AP95">
        <f>COUNTIF(Tabel158[Winnaars],Tabel59[[#This Row],[Team]])</f>
        <v>0</v>
      </c>
      <c r="AQ95" s="135">
        <f>Tabel59[[#This Row],[Aantal Games Rood]]-Tabel59[[#This Row],[Wins Rood]]</f>
        <v>1</v>
      </c>
      <c r="AR95" s="136">
        <f>Tabel59[[#This Row],[Aantal Games Groen]]-Tabel59[[#This Row],[Wins Groen]]</f>
        <v>1</v>
      </c>
      <c r="AS95" s="137">
        <f>Tabel59[[#This Row],[Aantal games Alg]]-Tabel59[[#This Row],[Wins Alg]]</f>
        <v>2</v>
      </c>
      <c r="AT95" s="138">
        <f>COUNTIF(Tabel158[Team Rood],Tabel59[[#This Row],[Team]])</f>
        <v>1</v>
      </c>
      <c r="AU95" s="136">
        <f>COUNTIF(Tabel158[Team Groen],Tabel59[[#This Row],[Team]])</f>
        <v>1</v>
      </c>
      <c r="AV95" s="112">
        <f>Tabel59[[#This Row],[Aantal Games Rood]]+Tabel59[[#This Row],[Aantal Games Groen]]</f>
        <v>2</v>
      </c>
      <c r="AW95" s="138">
        <f>SUMIF(Tabel158[Team Rood],Tabel59[[#This Row],[Team]],Tabel158[Score])</f>
        <v>6</v>
      </c>
      <c r="AX95" s="138">
        <f>SUMIF(Tabel158[Team Rood],Tabel59[[#This Row],[Team]],Tabel158[Score2])</f>
        <v>3</v>
      </c>
      <c r="AY95" s="134">
        <f>SUMIF(Tabel158[Team Groen],Tabel59[[#This Row],[Team]],Tabel158[Score3])</f>
        <v>5</v>
      </c>
      <c r="AZ95" s="136">
        <f>SUMIF(Tabel158[Team Groen],Tabel59[[#This Row],[Team]],Tabel158[Score4])</f>
        <v>3</v>
      </c>
      <c r="BA95">
        <f>SUM(Tabel59[[#This Row],[Goals Verdediger]]+Tabel59[[#This Row],[Goals DefG]])</f>
        <v>11</v>
      </c>
      <c r="BB95">
        <f>IF(Tabel59[[#This Row],[Aantal games Alg]]=0,0,Tabel59[[#This Row],[Goals DefA]]/Tabel59[[#This Row],[Aantal games Alg]])</f>
        <v>5.5</v>
      </c>
      <c r="BC95">
        <f>SUM(Tabel59[[#This Row],[Goals Aanvaller]]+Tabel59[[#This Row],[Goals OffG]])</f>
        <v>6</v>
      </c>
      <c r="BD95">
        <f>IF(Tabel59[[#This Row],[Aantal games Alg]]=0,0,Tabel59[[#This Row],[Goals OffA]]/Tabel59[[#This Row],[Aantal games Alg]])</f>
        <v>3</v>
      </c>
      <c r="BE95" s="112">
        <f>Tabel59[[#This Row],[Goals DefA]]+Tabel59[[#This Row],[Goals OffA]]</f>
        <v>17</v>
      </c>
      <c r="BF95" s="112">
        <f>IF(Tabel59[[#This Row],[Aantal games Alg]]=0,0,Tabel59[[#This Row],[Goals Alg]]/Tabel59[[#This Row],[Aantal games Alg]])</f>
        <v>8.5</v>
      </c>
      <c r="BG95" s="148">
        <f ca="1">SUMIF(Tabel158[Team Rood],Tabel59[[#This Row],[Team]],Tabel158[ET])</f>
        <v>0</v>
      </c>
      <c r="BH95" s="150">
        <f ca="1">SUMIF(Tabel158[Team Groen],Tabel59[[#This Row],[Team]],Tabel158[ET])</f>
        <v>0</v>
      </c>
      <c r="BI95" s="153">
        <f ca="1">SUM(Tabel59[[#This Row],[ET Groen tot]],Tabel59[[#This Row],[ET Rood tot]])</f>
        <v>0</v>
      </c>
      <c r="BJ95" s="155">
        <f ca="1">IF(Tabel59[[#This Row],[Aantal games Alg]]=0,0,Tabel59[[#This Row],[ET tot]]/Tabel59[[#This Row],[Aantal games Alg]])</f>
        <v>0</v>
      </c>
    </row>
    <row r="96" spans="1:62" x14ac:dyDescent="0.25">
      <c r="A96" s="124">
        <f ca="1">IF(Tabel158[[#This Row],[Rood Verdediging]]&lt;&gt;"",IF(A96="",NOW(),A96),"")</f>
        <v>43878.947694907409</v>
      </c>
      <c r="B96" s="128">
        <f ca="1">IF(Tabel158[[#This Row],[Rood Verdediging]]&lt;&gt;"",IF(B96="",NOW(),B96),"")</f>
        <v>43878.947694907409</v>
      </c>
      <c r="C96" s="126">
        <f ca="1">IF(Tabel158[[#This Row],[Score]]&lt;&gt;"",IF(C96="",NOW(),C96),"")</f>
        <v>43878.947694907409</v>
      </c>
      <c r="D96" s="127">
        <f ca="1">IF(OR(Tabel158[[#This Row],[Starttijd]]="",Tabel158[[#This Row],[Eindtijd]]=""),"",Tabel158[[#This Row],[Eindtijd]]-Tabel158[[#This Row],[Starttijd]])</f>
        <v>0</v>
      </c>
      <c r="E96" s="74">
        <v>96</v>
      </c>
      <c r="F96" s="205" t="s">
        <v>0</v>
      </c>
      <c r="G96" s="210">
        <v>4</v>
      </c>
      <c r="H96" s="205" t="s">
        <v>13</v>
      </c>
      <c r="I96" s="210">
        <v>9</v>
      </c>
      <c r="J96" s="206" t="s">
        <v>15</v>
      </c>
      <c r="K96" s="212">
        <v>0</v>
      </c>
      <c r="L96" s="206" t="s">
        <v>6</v>
      </c>
      <c r="M96" s="212">
        <v>11</v>
      </c>
      <c r="N96" s="81">
        <f t="shared" si="14"/>
        <v>13</v>
      </c>
      <c r="O96" s="82">
        <f t="shared" si="15"/>
        <v>11</v>
      </c>
      <c r="P96" s="70" t="str">
        <f t="shared" si="18"/>
        <v>ROOD</v>
      </c>
      <c r="Q96" s="86" t="str">
        <f t="shared" si="16"/>
        <v>Jonas</v>
      </c>
      <c r="R96" s="87" t="str">
        <f t="shared" si="17"/>
        <v>Bert</v>
      </c>
      <c r="S96" t="str">
        <f>Tabel158[[#This Row],[Rood Verdediging]]&amp;Tabel158[[#This Row],[Rood Aanval]]</f>
        <v>JonasBert</v>
      </c>
      <c r="T96" t="str">
        <f>Tabel158[[#This Row],[Groen Verdediging]]&amp;Tabel158[[#This Row],[Groen Aanval]]</f>
        <v>StijnStef D</v>
      </c>
      <c r="U96" t="str">
        <f>Tabel158[[#This Row],[Winnaar 1]]&amp;Tabel158[[#This Row],[Winnaar 2]]</f>
        <v>JonasBert</v>
      </c>
      <c r="V96" s="147" t="str">
        <f>IF(Tabel158[[#This Row],[Team Rood]]=Tabel158[[#This Row],[Winnaars]],Tabel158[[#This Row],[Team Rood]])</f>
        <v>JonasBert</v>
      </c>
      <c r="W96" s="147" t="b">
        <f>IF(Tabel158[[#This Row],[Team Groen]]=Tabel158[[#This Row],[Winnaars]],Tabel158[[#This Row],[Team Groen]])</f>
        <v>0</v>
      </c>
      <c r="X96" s="147"/>
      <c r="AH96" s="251" t="s">
        <v>159</v>
      </c>
      <c r="AI96" s="233" t="s">
        <v>157</v>
      </c>
      <c r="AJ96" s="140" t="str">
        <f t="shared" si="19"/>
        <v>Jonas*Tobi*</v>
      </c>
      <c r="AK96" s="160">
        <f>IF(Tabel59[[#This Row],[Aantal Games Rood]]=0,0,(Tabel59[[#This Row],[Wins Rood]])/Tabel59[[#This Row],[Aantal Games Rood]])</f>
        <v>0</v>
      </c>
      <c r="AL96" s="159">
        <f>IF(Tabel59[[#This Row],[Aantal Games Groen]]=0,0,(Tabel59[[#This Row],[Wins Groen]])/Tabel59[[#This Row],[Aantal Games Groen]])</f>
        <v>0</v>
      </c>
      <c r="AM96" s="156">
        <f>IF(Tabel59[[#This Row],[Aantal games Alg]]=0,0,(Tabel59[[#This Row],[Wins Alg]])/Tabel59[[#This Row],[Aantal games Alg]])</f>
        <v>0</v>
      </c>
      <c r="AN96" s="133">
        <f>COUNTIF(Tabel158[Winaar rood],Tabel59[[#This Row],[Team]])</f>
        <v>0</v>
      </c>
      <c r="AO96" s="134">
        <f>COUNTIF(Tabel158[Winnaar Groen],Tabel59[[#This Row],[Team]])</f>
        <v>0</v>
      </c>
      <c r="AP96">
        <f>COUNTIF(Tabel158[Winnaars],Tabel59[[#This Row],[Team]])</f>
        <v>0</v>
      </c>
      <c r="AQ96" s="135">
        <f>Tabel59[[#This Row],[Aantal Games Rood]]-Tabel59[[#This Row],[Wins Rood]]</f>
        <v>0</v>
      </c>
      <c r="AR96" s="136">
        <f>Tabel59[[#This Row],[Aantal Games Groen]]-Tabel59[[#This Row],[Wins Groen]]</f>
        <v>0</v>
      </c>
      <c r="AS96" s="137">
        <f>Tabel59[[#This Row],[Aantal games Alg]]-Tabel59[[#This Row],[Wins Alg]]</f>
        <v>0</v>
      </c>
      <c r="AT96" s="138">
        <f>COUNTIF(Tabel158[Team Rood],Tabel59[[#This Row],[Team]])</f>
        <v>0</v>
      </c>
      <c r="AU96" s="136">
        <f>COUNTIF(Tabel158[Team Groen],Tabel59[[#This Row],[Team]])</f>
        <v>0</v>
      </c>
      <c r="AV96" s="112">
        <f>Tabel59[[#This Row],[Aantal Games Rood]]+Tabel59[[#This Row],[Aantal Games Groen]]</f>
        <v>0</v>
      </c>
      <c r="AW96" s="138">
        <f>SUMIF(Tabel158[Team Rood],Tabel59[[#This Row],[Team]],Tabel158[Score])</f>
        <v>0</v>
      </c>
      <c r="AX96" s="138">
        <f>SUMIF(Tabel158[Team Rood],Tabel59[[#This Row],[Team]],Tabel158[Score2])</f>
        <v>0</v>
      </c>
      <c r="AY96" s="134">
        <f>SUMIF(Tabel158[Team Groen],Tabel59[[#This Row],[Team]],Tabel158[Score3])</f>
        <v>0</v>
      </c>
      <c r="AZ96" s="136">
        <f>SUMIF(Tabel158[Team Groen],Tabel59[[#This Row],[Team]],Tabel158[Score4])</f>
        <v>0</v>
      </c>
      <c r="BA96">
        <f>SUM(Tabel59[[#This Row],[Goals Verdediger]]+Tabel59[[#This Row],[Goals DefG]])</f>
        <v>0</v>
      </c>
      <c r="BB96">
        <f>IF(Tabel59[[#This Row],[Aantal games Alg]]=0,0,Tabel59[[#This Row],[Goals DefA]]/Tabel59[[#This Row],[Aantal games Alg]])</f>
        <v>0</v>
      </c>
      <c r="BC96">
        <f>SUM(Tabel59[[#This Row],[Goals Aanvaller]]+Tabel59[[#This Row],[Goals OffG]])</f>
        <v>0</v>
      </c>
      <c r="BD96">
        <f>IF(Tabel59[[#This Row],[Aantal games Alg]]=0,0,Tabel59[[#This Row],[Goals OffA]]/Tabel59[[#This Row],[Aantal games Alg]])</f>
        <v>0</v>
      </c>
      <c r="BE96" s="112">
        <f>Tabel59[[#This Row],[Goals DefA]]+Tabel59[[#This Row],[Goals OffA]]</f>
        <v>0</v>
      </c>
      <c r="BF96" s="112">
        <f>IF(Tabel59[[#This Row],[Aantal games Alg]]=0,0,Tabel59[[#This Row],[Goals Alg]]/Tabel59[[#This Row],[Aantal games Alg]])</f>
        <v>0</v>
      </c>
      <c r="BG96" s="148">
        <f>SUMIF(Tabel158[Team Rood],Tabel59[[#This Row],[Team]],Tabel158[ET])</f>
        <v>0</v>
      </c>
      <c r="BH96" s="150">
        <f>SUMIF(Tabel158[Team Groen],Tabel59[[#This Row],[Team]],Tabel158[ET])</f>
        <v>0</v>
      </c>
      <c r="BI96" s="153">
        <f>SUM(Tabel59[[#This Row],[ET Groen tot]],Tabel59[[#This Row],[ET Rood tot]])</f>
        <v>0</v>
      </c>
      <c r="BJ96" s="155">
        <f>IF(Tabel59[[#This Row],[Aantal games Alg]]=0,0,Tabel59[[#This Row],[ET tot]]/Tabel59[[#This Row],[Aantal games Alg]])</f>
        <v>0</v>
      </c>
    </row>
    <row r="97" spans="1:62" x14ac:dyDescent="0.25">
      <c r="A97" s="124">
        <f ca="1">IF(Tabel158[[#This Row],[Rood Verdediging]]&lt;&gt;"",IF(A97="",NOW(),A97),"")</f>
        <v>43878.947694907409</v>
      </c>
      <c r="B97" s="128">
        <f ca="1">IF(Tabel158[[#This Row],[Rood Verdediging]]&lt;&gt;"",IF(B97="",NOW(),B97),"")</f>
        <v>43878.947694907409</v>
      </c>
      <c r="C97" s="126">
        <f ca="1">IF(Tabel158[[#This Row],[Score]]&lt;&gt;"",IF(C97="",NOW(),C97),"")</f>
        <v>43878.947694907409</v>
      </c>
      <c r="D97" s="127">
        <f ca="1">IF(OR(Tabel158[[#This Row],[Starttijd]]="",Tabel158[[#This Row],[Eindtijd]]=""),"",Tabel158[[#This Row],[Eindtijd]]-Tabel158[[#This Row],[Starttijd]])</f>
        <v>0</v>
      </c>
      <c r="E97" s="74">
        <v>97</v>
      </c>
      <c r="F97" s="205" t="s">
        <v>11</v>
      </c>
      <c r="G97" s="210">
        <v>5</v>
      </c>
      <c r="H97" s="205" t="s">
        <v>6</v>
      </c>
      <c r="I97" s="210">
        <v>10</v>
      </c>
      <c r="J97" s="206" t="s">
        <v>15</v>
      </c>
      <c r="K97" s="212">
        <v>3</v>
      </c>
      <c r="L97" s="206" t="s">
        <v>3</v>
      </c>
      <c r="M97" s="212">
        <v>10</v>
      </c>
      <c r="N97" s="81">
        <f t="shared" si="14"/>
        <v>15</v>
      </c>
      <c r="O97" s="82">
        <f t="shared" si="15"/>
        <v>13</v>
      </c>
      <c r="P97" s="70" t="str">
        <f t="shared" si="18"/>
        <v>ROOD</v>
      </c>
      <c r="Q97" s="86" t="str">
        <f t="shared" si="16"/>
        <v>Matthijs</v>
      </c>
      <c r="R97" s="87" t="str">
        <f t="shared" si="17"/>
        <v>Stef D</v>
      </c>
      <c r="S97" t="str">
        <f>Tabel158[[#This Row],[Rood Verdediging]]&amp;Tabel158[[#This Row],[Rood Aanval]]</f>
        <v>MatthijsStef D</v>
      </c>
      <c r="T97" t="str">
        <f>Tabel158[[#This Row],[Groen Verdediging]]&amp;Tabel158[[#This Row],[Groen Aanval]]</f>
        <v>StijnKarel</v>
      </c>
      <c r="U97" t="str">
        <f>Tabel158[[#This Row],[Winnaar 1]]&amp;Tabel158[[#This Row],[Winnaar 2]]</f>
        <v>MatthijsStef D</v>
      </c>
      <c r="V97" s="147" t="str">
        <f>IF(Tabel158[[#This Row],[Team Rood]]=Tabel158[[#This Row],[Winnaars]],Tabel158[[#This Row],[Team Rood]])</f>
        <v>MatthijsStef D</v>
      </c>
      <c r="W97" s="147" t="b">
        <f>IF(Tabel158[[#This Row],[Team Groen]]=Tabel158[[#This Row],[Winnaars]],Tabel158[[#This Row],[Team Groen]])</f>
        <v>0</v>
      </c>
      <c r="X97" s="147"/>
      <c r="AH97" s="251" t="s">
        <v>164</v>
      </c>
      <c r="AI97" s="233" t="s">
        <v>168</v>
      </c>
      <c r="AJ97" s="140" t="str">
        <f t="shared" si="19"/>
        <v>Karel*Coghe*</v>
      </c>
      <c r="AK97" s="160">
        <f>IF(Tabel59[[#This Row],[Aantal Games Rood]]=0,0,(Tabel59[[#This Row],[Wins Rood]])/Tabel59[[#This Row],[Aantal Games Rood]])</f>
        <v>0</v>
      </c>
      <c r="AL97" s="159">
        <f>IF(Tabel59[[#This Row],[Aantal Games Groen]]=0,0,(Tabel59[[#This Row],[Wins Groen]])/Tabel59[[#This Row],[Aantal Games Groen]])</f>
        <v>0</v>
      </c>
      <c r="AM97" s="156">
        <f>IF(Tabel59[[#This Row],[Aantal games Alg]]=0,0,(Tabel59[[#This Row],[Wins Alg]])/Tabel59[[#This Row],[Aantal games Alg]])</f>
        <v>0</v>
      </c>
      <c r="AN97" s="171">
        <f>COUNTIF(Tabel158[Winaar rood],Tabel59[[#This Row],[Team]])</f>
        <v>0</v>
      </c>
      <c r="AO97" s="169">
        <f>COUNTIF(Tabel158[Winnaar Groen],Tabel59[[#This Row],[Team]])</f>
        <v>0</v>
      </c>
      <c r="AP97" s="170">
        <f>COUNTIF(Tabel158[Winnaars],Tabel59[[#This Row],[Team]])</f>
        <v>0</v>
      </c>
      <c r="AQ97" s="163">
        <f>Tabel59[[#This Row],[Aantal Games Rood]]-Tabel59[[#This Row],[Wins Rood]]</f>
        <v>0</v>
      </c>
      <c r="AR97" s="169">
        <f>Tabel59[[#This Row],[Aantal Games Groen]]-Tabel59[[#This Row],[Wins Groen]]</f>
        <v>0</v>
      </c>
      <c r="AS97" s="165">
        <f>Tabel59[[#This Row],[Aantal games Alg]]-Tabel59[[#This Row],[Wins Alg]]</f>
        <v>0</v>
      </c>
      <c r="AT97" s="171">
        <f>COUNTIF(Tabel158[Team Rood],Tabel59[[#This Row],[Team]])</f>
        <v>0</v>
      </c>
      <c r="AU97" s="169">
        <f>COUNTIF(Tabel158[Team Groen],Tabel59[[#This Row],[Team]])</f>
        <v>0</v>
      </c>
      <c r="AV97" s="170">
        <f>Tabel59[[#This Row],[Aantal Games Rood]]+Tabel59[[#This Row],[Aantal Games Groen]]</f>
        <v>0</v>
      </c>
      <c r="AW97" s="171">
        <f>SUMIF(Tabel158[Team Rood],Tabel59[[#This Row],[Team]],Tabel158[Score])</f>
        <v>0</v>
      </c>
      <c r="AX97" s="171">
        <f>SUMIF(Tabel158[Team Rood],Tabel59[[#This Row],[Team]],Tabel158[Score2])</f>
        <v>0</v>
      </c>
      <c r="AY97" s="136">
        <f>SUMIF(Tabel158[Team Groen],Tabel59[[#This Row],[Team]],Tabel158[Score3])</f>
        <v>0</v>
      </c>
      <c r="AZ97" s="169">
        <f>SUMIF(Tabel158[Team Groen],Tabel59[[#This Row],[Team]],Tabel158[Score4])</f>
        <v>0</v>
      </c>
      <c r="BA97" s="172">
        <f>SUM(Tabel59[[#This Row],[Goals Verdediger]]+Tabel59[[#This Row],[Goals DefG]])</f>
        <v>0</v>
      </c>
      <c r="BB97" s="170">
        <f>IF(Tabel59[[#This Row],[Aantal games Alg]]=0,0,Tabel59[[#This Row],[Goals DefA]]/Tabel59[[#This Row],[Aantal games Alg]])</f>
        <v>0</v>
      </c>
      <c r="BC97" s="172">
        <f>SUM(Tabel59[[#This Row],[Goals Aanvaller]]+Tabel59[[#This Row],[Goals OffG]])</f>
        <v>0</v>
      </c>
      <c r="BD97" s="170">
        <f>IF(Tabel59[[#This Row],[Aantal games Alg]]=0,0,Tabel59[[#This Row],[Goals OffA]]/Tabel59[[#This Row],[Aantal games Alg]])</f>
        <v>0</v>
      </c>
      <c r="BE97" s="170">
        <f>Tabel59[[#This Row],[Goals DefA]]+Tabel59[[#This Row],[Goals OffA]]</f>
        <v>0</v>
      </c>
      <c r="BF97" s="170">
        <f>IF(Tabel59[[#This Row],[Aantal games Alg]]=0,0,Tabel59[[#This Row],[Goals Alg]]/Tabel59[[#This Row],[Aantal games Alg]])</f>
        <v>0</v>
      </c>
      <c r="BG97" s="148">
        <f>SUMIF(Tabel158[Team Rood],Tabel59[[#This Row],[Team]],Tabel158[ET])</f>
        <v>0</v>
      </c>
      <c r="BH97" s="150">
        <f>SUMIF(Tabel158[Team Groen],Tabel59[[#This Row],[Team]],Tabel158[ET])</f>
        <v>0</v>
      </c>
      <c r="BI97" s="153">
        <f>SUM(Tabel59[[#This Row],[ET Groen tot]],Tabel59[[#This Row],[ET Rood tot]])</f>
        <v>0</v>
      </c>
      <c r="BJ97" s="155">
        <f>IF(Tabel59[[#This Row],[Aantal games Alg]]=0,0,Tabel59[[#This Row],[ET tot]]/Tabel59[[#This Row],[Aantal games Alg]])</f>
        <v>0</v>
      </c>
    </row>
    <row r="98" spans="1:62" x14ac:dyDescent="0.25">
      <c r="A98" s="124">
        <f ca="1">IF(Tabel158[[#This Row],[Rood Verdediging]]&lt;&gt;"",IF(A98="",NOW(),A98),"")</f>
        <v>43878.947694907409</v>
      </c>
      <c r="B98" s="128">
        <f ca="1">IF(Tabel158[[#This Row],[Rood Verdediging]]&lt;&gt;"",IF(B98="",NOW(),B98),"")</f>
        <v>43878.947694907409</v>
      </c>
      <c r="C98" s="126">
        <f ca="1">IF(Tabel158[[#This Row],[Score]]&lt;&gt;"",IF(C98="",NOW(),C98),"")</f>
        <v>43878.947694907409</v>
      </c>
      <c r="D98" s="127">
        <f ca="1">IF(OR(Tabel158[[#This Row],[Starttijd]]="",Tabel158[[#This Row],[Eindtijd]]=""),"",Tabel158[[#This Row],[Eindtijd]]-Tabel158[[#This Row],[Starttijd]])</f>
        <v>0</v>
      </c>
      <c r="E98" s="74">
        <v>98</v>
      </c>
      <c r="F98" s="205" t="s">
        <v>3</v>
      </c>
      <c r="G98" s="210">
        <v>6</v>
      </c>
      <c r="H98" s="205" t="s">
        <v>11</v>
      </c>
      <c r="I98" s="210">
        <v>5</v>
      </c>
      <c r="J98" s="206" t="s">
        <v>13</v>
      </c>
      <c r="K98" s="212">
        <v>3</v>
      </c>
      <c r="L98" s="206" t="s">
        <v>8</v>
      </c>
      <c r="M98" s="212">
        <v>5</v>
      </c>
      <c r="N98" s="81">
        <f t="shared" si="14"/>
        <v>11</v>
      </c>
      <c r="O98" s="82">
        <f t="shared" si="15"/>
        <v>8</v>
      </c>
      <c r="P98" s="70" t="str">
        <f t="shared" si="18"/>
        <v>ROOD</v>
      </c>
      <c r="Q98" s="86" t="str">
        <f t="shared" si="16"/>
        <v>Karel</v>
      </c>
      <c r="R98" s="87" t="str">
        <f t="shared" si="17"/>
        <v>Matthijs</v>
      </c>
      <c r="S98" t="str">
        <f>Tabel158[[#This Row],[Rood Verdediging]]&amp;Tabel158[[#This Row],[Rood Aanval]]</f>
        <v>KarelMatthijs</v>
      </c>
      <c r="T98" t="str">
        <f>Tabel158[[#This Row],[Groen Verdediging]]&amp;Tabel158[[#This Row],[Groen Aanval]]</f>
        <v>BertLouis</v>
      </c>
      <c r="U98" t="str">
        <f>Tabel158[[#This Row],[Winnaar 1]]&amp;Tabel158[[#This Row],[Winnaar 2]]</f>
        <v>KarelMatthijs</v>
      </c>
      <c r="V98" s="147" t="str">
        <f>IF(Tabel158[[#This Row],[Team Rood]]=Tabel158[[#This Row],[Winnaars]],Tabel158[[#This Row],[Team Rood]])</f>
        <v>KarelMatthijs</v>
      </c>
      <c r="W98" s="147" t="b">
        <f>IF(Tabel158[[#This Row],[Team Groen]]=Tabel158[[#This Row],[Winnaars]],Tabel158[[#This Row],[Team Groen]])</f>
        <v>0</v>
      </c>
      <c r="X98" s="147"/>
      <c r="AH98" s="251" t="s">
        <v>164</v>
      </c>
      <c r="AI98" s="233" t="s">
        <v>67</v>
      </c>
      <c r="AJ98" s="140" t="str">
        <f t="shared" ref="AJ98:AJ129" si="20">AH98&amp;AI98</f>
        <v>Karel*Lawrence</v>
      </c>
      <c r="AK98" s="160">
        <f>IF(Tabel59[[#This Row],[Aantal Games Rood]]=0,0,(Tabel59[[#This Row],[Wins Rood]])/Tabel59[[#This Row],[Aantal Games Rood]])</f>
        <v>0</v>
      </c>
      <c r="AL98" s="159">
        <f>IF(Tabel59[[#This Row],[Aantal Games Groen]]=0,0,(Tabel59[[#This Row],[Wins Groen]])/Tabel59[[#This Row],[Aantal Games Groen]])</f>
        <v>0</v>
      </c>
      <c r="AM98" s="156">
        <f>IF(Tabel59[[#This Row],[Aantal games Alg]]=0,0,(Tabel59[[#This Row],[Wins Alg]])/Tabel59[[#This Row],[Aantal games Alg]])</f>
        <v>0</v>
      </c>
      <c r="AN98" s="133">
        <f>COUNTIF(Tabel158[Winaar rood],Tabel59[[#This Row],[Team]])</f>
        <v>0</v>
      </c>
      <c r="AO98" s="134">
        <f>COUNTIF(Tabel158[Winnaar Groen],Tabel59[[#This Row],[Team]])</f>
        <v>0</v>
      </c>
      <c r="AP98">
        <f>COUNTIF(Tabel158[Winnaars],Tabel59[[#This Row],[Team]])</f>
        <v>0</v>
      </c>
      <c r="AQ98" s="135">
        <f>Tabel59[[#This Row],[Aantal Games Rood]]-Tabel59[[#This Row],[Wins Rood]]</f>
        <v>0</v>
      </c>
      <c r="AR98" s="136">
        <f>Tabel59[[#This Row],[Aantal Games Groen]]-Tabel59[[#This Row],[Wins Groen]]</f>
        <v>0</v>
      </c>
      <c r="AS98" s="137">
        <f>Tabel59[[#This Row],[Aantal games Alg]]-Tabel59[[#This Row],[Wins Alg]]</f>
        <v>0</v>
      </c>
      <c r="AT98" s="138">
        <f>COUNTIF(Tabel158[Team Rood],Tabel59[[#This Row],[Team]])</f>
        <v>0</v>
      </c>
      <c r="AU98" s="136">
        <f>COUNTIF(Tabel158[Team Groen],Tabel59[[#This Row],[Team]])</f>
        <v>0</v>
      </c>
      <c r="AV98" s="112">
        <f>Tabel59[[#This Row],[Aantal Games Rood]]+Tabel59[[#This Row],[Aantal Games Groen]]</f>
        <v>0</v>
      </c>
      <c r="AW98" s="138">
        <f>SUMIF(Tabel158[Team Rood],Tabel59[[#This Row],[Team]],Tabel158[Score])</f>
        <v>0</v>
      </c>
      <c r="AX98" s="138">
        <f>SUMIF(Tabel158[Team Rood],Tabel59[[#This Row],[Team]],Tabel158[Score2])</f>
        <v>0</v>
      </c>
      <c r="AY98" s="134">
        <f>SUMIF(Tabel158[Team Groen],Tabel59[[#This Row],[Team]],Tabel158[Score3])</f>
        <v>0</v>
      </c>
      <c r="AZ98" s="136">
        <f>SUMIF(Tabel158[Team Groen],Tabel59[[#This Row],[Team]],Tabel158[Score4])</f>
        <v>0</v>
      </c>
      <c r="BA98">
        <f>SUM(Tabel59[[#This Row],[Goals Verdediger]]+Tabel59[[#This Row],[Goals DefG]])</f>
        <v>0</v>
      </c>
      <c r="BB98">
        <f>IF(Tabel59[[#This Row],[Aantal games Alg]]=0,0,Tabel59[[#This Row],[Goals DefA]]/Tabel59[[#This Row],[Aantal games Alg]])</f>
        <v>0</v>
      </c>
      <c r="BC98">
        <f>SUM(Tabel59[[#This Row],[Goals Aanvaller]]+Tabel59[[#This Row],[Goals OffG]])</f>
        <v>0</v>
      </c>
      <c r="BD98">
        <f>IF(Tabel59[[#This Row],[Aantal games Alg]]=0,0,Tabel59[[#This Row],[Goals OffA]]/Tabel59[[#This Row],[Aantal games Alg]])</f>
        <v>0</v>
      </c>
      <c r="BE98" s="112">
        <f>Tabel59[[#This Row],[Goals DefA]]+Tabel59[[#This Row],[Goals OffA]]</f>
        <v>0</v>
      </c>
      <c r="BF98" s="112">
        <f>IF(Tabel59[[#This Row],[Aantal games Alg]]=0,0,Tabel59[[#This Row],[Goals Alg]]/Tabel59[[#This Row],[Aantal games Alg]])</f>
        <v>0</v>
      </c>
      <c r="BG98" s="148">
        <f>SUMIF(Tabel158[Team Rood],Tabel59[[#This Row],[Team]],Tabel158[ET])</f>
        <v>0</v>
      </c>
      <c r="BH98" s="150">
        <f>SUMIF(Tabel158[Team Groen],Tabel59[[#This Row],[Team]],Tabel158[ET])</f>
        <v>0</v>
      </c>
      <c r="BI98" s="153">
        <f>SUM(Tabel59[[#This Row],[ET Groen tot]],Tabel59[[#This Row],[ET Rood tot]])</f>
        <v>0</v>
      </c>
      <c r="BJ98" s="155">
        <f>IF(Tabel59[[#This Row],[Aantal games Alg]]=0,0,Tabel59[[#This Row],[ET tot]]/Tabel59[[#This Row],[Aantal games Alg]])</f>
        <v>0</v>
      </c>
    </row>
    <row r="99" spans="1:62" x14ac:dyDescent="0.25">
      <c r="A99" s="124">
        <f ca="1">IF(Tabel158[[#This Row],[Rood Verdediging]]&lt;&gt;"",IF(A99="",NOW(),A99),"")</f>
        <v>43878.947694907409</v>
      </c>
      <c r="B99" s="128">
        <f ca="1">IF(Tabel158[[#This Row],[Rood Verdediging]]&lt;&gt;"",IF(B99="",NOW(),B99),"")</f>
        <v>43878.947694907409</v>
      </c>
      <c r="C99" s="126">
        <f ca="1">IF(Tabel158[[#This Row],[Score]]&lt;&gt;"",IF(C99="",NOW(),C99),"")</f>
        <v>43878.947694907409</v>
      </c>
      <c r="D99" s="127">
        <f ca="1">IF(OR(Tabel158[[#This Row],[Starttijd]]="",Tabel158[[#This Row],[Eindtijd]]=""),"",Tabel158[[#This Row],[Eindtijd]]-Tabel158[[#This Row],[Starttijd]])</f>
        <v>0</v>
      </c>
      <c r="E99" s="74">
        <v>99</v>
      </c>
      <c r="F99" s="205" t="s">
        <v>13</v>
      </c>
      <c r="G99" s="210">
        <v>5</v>
      </c>
      <c r="H99" s="205" t="s">
        <v>6</v>
      </c>
      <c r="I99" s="210">
        <v>6</v>
      </c>
      <c r="J99" s="206" t="s">
        <v>15</v>
      </c>
      <c r="K99" s="212">
        <v>1</v>
      </c>
      <c r="L99" s="206" t="s">
        <v>8</v>
      </c>
      <c r="M99" s="212">
        <v>3</v>
      </c>
      <c r="N99" s="81">
        <f t="shared" si="14"/>
        <v>11</v>
      </c>
      <c r="O99" s="82">
        <f t="shared" si="15"/>
        <v>4</v>
      </c>
      <c r="P99" s="70" t="str">
        <f t="shared" si="18"/>
        <v>ROOD</v>
      </c>
      <c r="Q99" s="86" t="str">
        <f t="shared" si="16"/>
        <v>Bert</v>
      </c>
      <c r="R99" s="87" t="str">
        <f t="shared" si="17"/>
        <v>Stef D</v>
      </c>
      <c r="S99" t="str">
        <f>Tabel158[[#This Row],[Rood Verdediging]]&amp;Tabel158[[#This Row],[Rood Aanval]]</f>
        <v>BertStef D</v>
      </c>
      <c r="T99" t="str">
        <f>Tabel158[[#This Row],[Groen Verdediging]]&amp;Tabel158[[#This Row],[Groen Aanval]]</f>
        <v>StijnLouis</v>
      </c>
      <c r="U99" t="str">
        <f>Tabel158[[#This Row],[Winnaar 1]]&amp;Tabel158[[#This Row],[Winnaar 2]]</f>
        <v>BertStef D</v>
      </c>
      <c r="V99" s="147" t="str">
        <f>IF(Tabel158[[#This Row],[Team Rood]]=Tabel158[[#This Row],[Winnaars]],Tabel158[[#This Row],[Team Rood]])</f>
        <v>BertStef D</v>
      </c>
      <c r="W99" s="147" t="b">
        <f>IF(Tabel158[[#This Row],[Team Groen]]=Tabel158[[#This Row],[Winnaars]],Tabel158[[#This Row],[Team Groen]])</f>
        <v>0</v>
      </c>
      <c r="X99" s="147"/>
      <c r="AH99" s="251" t="s">
        <v>164</v>
      </c>
      <c r="AI99" s="233" t="s">
        <v>166</v>
      </c>
      <c r="AJ99" s="140" t="str">
        <f t="shared" si="20"/>
        <v>Karel*Stijn*</v>
      </c>
      <c r="AK99" s="160">
        <f>IF(Tabel59[[#This Row],[Aantal Games Rood]]=0,0,(Tabel59[[#This Row],[Wins Rood]])/Tabel59[[#This Row],[Aantal Games Rood]])</f>
        <v>0</v>
      </c>
      <c r="AL99" s="159">
        <f>IF(Tabel59[[#This Row],[Aantal Games Groen]]=0,0,(Tabel59[[#This Row],[Wins Groen]])/Tabel59[[#This Row],[Aantal Games Groen]])</f>
        <v>0</v>
      </c>
      <c r="AM99" s="156">
        <f>IF(Tabel59[[#This Row],[Aantal games Alg]]=0,0,(Tabel59[[#This Row],[Wins Alg]])/Tabel59[[#This Row],[Aantal games Alg]])</f>
        <v>0</v>
      </c>
      <c r="AN99" s="138">
        <f>COUNTIF(Tabel158[Winaar rood],Tabel59[[#This Row],[Team]])</f>
        <v>0</v>
      </c>
      <c r="AO99" s="134">
        <f>COUNTIF(Tabel158[Winnaar Groen],Tabel59[[#This Row],[Team]])</f>
        <v>0</v>
      </c>
      <c r="AP99">
        <f>COUNTIF(Tabel158[Winnaars],Tabel59[[#This Row],[Team]])</f>
        <v>0</v>
      </c>
      <c r="AQ99" s="135">
        <f>Tabel59[[#This Row],[Aantal Games Rood]]-Tabel59[[#This Row],[Wins Rood]]</f>
        <v>1</v>
      </c>
      <c r="AR99" s="136">
        <f>Tabel59[[#This Row],[Aantal Games Groen]]-Tabel59[[#This Row],[Wins Groen]]</f>
        <v>2</v>
      </c>
      <c r="AS99" s="137">
        <f>Tabel59[[#This Row],[Aantal games Alg]]-Tabel59[[#This Row],[Wins Alg]]</f>
        <v>3</v>
      </c>
      <c r="AT99" s="138">
        <f>COUNTIF(Tabel158[Team Rood],Tabel59[[#This Row],[Team]])</f>
        <v>1</v>
      </c>
      <c r="AU99" s="136">
        <f>COUNTIF(Tabel158[Team Groen],Tabel59[[#This Row],[Team]])</f>
        <v>2</v>
      </c>
      <c r="AV99" s="112">
        <f>Tabel59[[#This Row],[Aantal Games Rood]]+Tabel59[[#This Row],[Aantal Games Groen]]</f>
        <v>3</v>
      </c>
      <c r="AW99" s="138">
        <f>SUMIF(Tabel158[Team Rood],Tabel59[[#This Row],[Team]],Tabel158[Score])</f>
        <v>2</v>
      </c>
      <c r="AX99" s="138">
        <f>SUMIF(Tabel158[Team Rood],Tabel59[[#This Row],[Team]],Tabel158[Score2])</f>
        <v>4</v>
      </c>
      <c r="AY99" s="134">
        <f>SUMIF(Tabel158[Team Groen],Tabel59[[#This Row],[Team]],Tabel158[Score3])</f>
        <v>6</v>
      </c>
      <c r="AZ99" s="136">
        <f>SUMIF(Tabel158[Team Groen],Tabel59[[#This Row],[Team]],Tabel158[Score4])</f>
        <v>11</v>
      </c>
      <c r="BA99">
        <f>SUM(Tabel59[[#This Row],[Goals Verdediger]]+Tabel59[[#This Row],[Goals DefG]])</f>
        <v>8</v>
      </c>
      <c r="BB99">
        <f>IF(Tabel59[[#This Row],[Aantal games Alg]]=0,0,Tabel59[[#This Row],[Goals DefA]]/Tabel59[[#This Row],[Aantal games Alg]])</f>
        <v>2.6666666666666665</v>
      </c>
      <c r="BC99">
        <f>SUM(Tabel59[[#This Row],[Goals Aanvaller]]+Tabel59[[#This Row],[Goals OffG]])</f>
        <v>15</v>
      </c>
      <c r="BD99">
        <f>IF(Tabel59[[#This Row],[Aantal games Alg]]=0,0,Tabel59[[#This Row],[Goals OffA]]/Tabel59[[#This Row],[Aantal games Alg]])</f>
        <v>5</v>
      </c>
      <c r="BE99" s="112">
        <f>Tabel59[[#This Row],[Goals DefA]]+Tabel59[[#This Row],[Goals OffA]]</f>
        <v>23</v>
      </c>
      <c r="BF99" s="112">
        <f>IF(Tabel59[[#This Row],[Aantal games Alg]]=0,0,Tabel59[[#This Row],[Goals Alg]]/Tabel59[[#This Row],[Aantal games Alg]])</f>
        <v>7.666666666666667</v>
      </c>
      <c r="BG99" s="148">
        <f ca="1">SUMIF(Tabel158[Team Rood],Tabel59[[#This Row],[Team]],Tabel158[ET])</f>
        <v>0</v>
      </c>
      <c r="BH99" s="150">
        <f ca="1">SUMIF(Tabel158[Team Groen],Tabel59[[#This Row],[Team]],Tabel158[ET])</f>
        <v>0</v>
      </c>
      <c r="BI99" s="153">
        <f ca="1">SUM(Tabel59[[#This Row],[ET Groen tot]],Tabel59[[#This Row],[ET Rood tot]])</f>
        <v>0</v>
      </c>
      <c r="BJ99" s="155">
        <f ca="1">IF(Tabel59[[#This Row],[Aantal games Alg]]=0,0,Tabel59[[#This Row],[ET tot]]/Tabel59[[#This Row],[Aantal games Alg]])</f>
        <v>0</v>
      </c>
    </row>
    <row r="100" spans="1:62" x14ac:dyDescent="0.25">
      <c r="A100" s="124">
        <f ca="1">IF(Tabel158[[#This Row],[Rood Verdediging]]&lt;&gt;"",IF(A100="",NOW(),A100),"")</f>
        <v>43878.947694907409</v>
      </c>
      <c r="B100" s="128">
        <f ca="1">IF(Tabel158[[#This Row],[Rood Verdediging]]&lt;&gt;"",IF(B100="",NOW(),B100),"")</f>
        <v>43878.947694907409</v>
      </c>
      <c r="C100" s="126">
        <f ca="1">IF(Tabel158[[#This Row],[Score]]&lt;&gt;"",IF(C100="",NOW(),C100),"")</f>
        <v>43878.947694907409</v>
      </c>
      <c r="D100" s="127">
        <f ca="1">IF(OR(Tabel158[[#This Row],[Starttijd]]="",Tabel158[[#This Row],[Eindtijd]]=""),"",Tabel158[[#This Row],[Eindtijd]]-Tabel158[[#This Row],[Starttijd]])</f>
        <v>0</v>
      </c>
      <c r="E100" s="74">
        <v>100</v>
      </c>
      <c r="F100" s="205" t="s">
        <v>6</v>
      </c>
      <c r="G100" s="210">
        <v>5</v>
      </c>
      <c r="H100" s="205" t="s">
        <v>3</v>
      </c>
      <c r="I100" s="210">
        <v>6</v>
      </c>
      <c r="J100" s="206" t="s">
        <v>15</v>
      </c>
      <c r="K100" s="212">
        <v>0</v>
      </c>
      <c r="L100" s="206" t="s">
        <v>11</v>
      </c>
      <c r="M100" s="212">
        <v>6</v>
      </c>
      <c r="N100" s="81">
        <f t="shared" si="14"/>
        <v>11</v>
      </c>
      <c r="O100" s="82">
        <f t="shared" si="15"/>
        <v>6</v>
      </c>
      <c r="P100" s="70" t="str">
        <f t="shared" si="18"/>
        <v>ROOD</v>
      </c>
      <c r="Q100" s="86" t="str">
        <f t="shared" si="16"/>
        <v>Stef D</v>
      </c>
      <c r="R100" s="87" t="str">
        <f t="shared" si="17"/>
        <v>Karel</v>
      </c>
      <c r="S100" t="str">
        <f>Tabel158[[#This Row],[Rood Verdediging]]&amp;Tabel158[[#This Row],[Rood Aanval]]</f>
        <v>Stef DKarel</v>
      </c>
      <c r="T100" t="str">
        <f>Tabel158[[#This Row],[Groen Verdediging]]&amp;Tabel158[[#This Row],[Groen Aanval]]</f>
        <v>StijnMatthijs</v>
      </c>
      <c r="U100" t="str">
        <f>Tabel158[[#This Row],[Winnaar 1]]&amp;Tabel158[[#This Row],[Winnaar 2]]</f>
        <v>Stef DKarel</v>
      </c>
      <c r="V100" s="147" t="str">
        <f>IF(Tabel158[[#This Row],[Team Rood]]=Tabel158[[#This Row],[Winnaars]],Tabel158[[#This Row],[Team Rood]])</f>
        <v>Stef DKarel</v>
      </c>
      <c r="W100" s="147" t="b">
        <f>IF(Tabel158[[#This Row],[Team Groen]]=Tabel158[[#This Row],[Winnaars]],Tabel158[[#This Row],[Team Groen]])</f>
        <v>0</v>
      </c>
      <c r="X100" s="147"/>
      <c r="AH100" s="251" t="s">
        <v>164</v>
      </c>
      <c r="AI100" s="233" t="s">
        <v>157</v>
      </c>
      <c r="AJ100" s="140" t="str">
        <f t="shared" si="20"/>
        <v>Karel*Tobi*</v>
      </c>
      <c r="AK100" s="160">
        <f>IF(Tabel59[[#This Row],[Aantal Games Rood]]=0,0,(Tabel59[[#This Row],[Wins Rood]])/Tabel59[[#This Row],[Aantal Games Rood]])</f>
        <v>0</v>
      </c>
      <c r="AL100" s="159">
        <f>IF(Tabel59[[#This Row],[Aantal Games Groen]]=0,0,(Tabel59[[#This Row],[Wins Groen]])/Tabel59[[#This Row],[Aantal Games Groen]])</f>
        <v>0</v>
      </c>
      <c r="AM100" s="156">
        <f>IF(Tabel59[[#This Row],[Aantal games Alg]]=0,0,(Tabel59[[#This Row],[Wins Alg]])/Tabel59[[#This Row],[Aantal games Alg]])</f>
        <v>0</v>
      </c>
      <c r="AN100" s="133">
        <f>COUNTIF(Tabel158[Winaar rood],Tabel59[[#This Row],[Team]])</f>
        <v>0</v>
      </c>
      <c r="AO100" s="134">
        <f>COUNTIF(Tabel158[Winnaar Groen],Tabel59[[#This Row],[Team]])</f>
        <v>0</v>
      </c>
      <c r="AP100" s="293">
        <f>COUNTIF(Tabel158[Winnaars],Tabel59[[#This Row],[Team]])</f>
        <v>0</v>
      </c>
      <c r="AQ100" s="135">
        <f>Tabel59[[#This Row],[Aantal Games Rood]]-Tabel59[[#This Row],[Wins Rood]]</f>
        <v>0</v>
      </c>
      <c r="AR100" s="136">
        <f>Tabel59[[#This Row],[Aantal Games Groen]]-Tabel59[[#This Row],[Wins Groen]]</f>
        <v>0</v>
      </c>
      <c r="AS100" s="137">
        <f>Tabel59[[#This Row],[Aantal games Alg]]-Tabel59[[#This Row],[Wins Alg]]</f>
        <v>0</v>
      </c>
      <c r="AT100" s="138">
        <f>COUNTIF(Tabel158[Team Rood],Tabel59[[#This Row],[Team]])</f>
        <v>0</v>
      </c>
      <c r="AU100" s="136">
        <f>COUNTIF(Tabel158[Team Groen],Tabel59[[#This Row],[Team]])</f>
        <v>0</v>
      </c>
      <c r="AV100" s="214">
        <f>Tabel59[[#This Row],[Aantal Games Rood]]+Tabel59[[#This Row],[Aantal Games Groen]]</f>
        <v>0</v>
      </c>
      <c r="AW100" s="138">
        <f>SUMIF(Tabel158[Team Rood],Tabel59[[#This Row],[Team]],Tabel158[Score])</f>
        <v>0</v>
      </c>
      <c r="AX100" s="138">
        <f>SUMIF(Tabel158[Team Rood],Tabel59[[#This Row],[Team]],Tabel158[Score2])</f>
        <v>0</v>
      </c>
      <c r="AY100" s="134">
        <f>SUMIF(Tabel158[Team Groen],Tabel59[[#This Row],[Team]],Tabel158[Score3])</f>
        <v>0</v>
      </c>
      <c r="AZ100" s="136">
        <f>SUMIF(Tabel158[Team Groen],Tabel59[[#This Row],[Team]],Tabel158[Score4])</f>
        <v>0</v>
      </c>
      <c r="BA100" s="293">
        <f>SUM(Tabel59[[#This Row],[Goals Verdediger]]+Tabel59[[#This Row],[Goals DefG]])</f>
        <v>0</v>
      </c>
      <c r="BB100" s="293">
        <f>IF(Tabel59[[#This Row],[Aantal games Alg]]=0,0,Tabel59[[#This Row],[Goals DefA]]/Tabel59[[#This Row],[Aantal games Alg]])</f>
        <v>0</v>
      </c>
      <c r="BC100" s="293">
        <f>SUM(Tabel59[[#This Row],[Goals Aanvaller]]+Tabel59[[#This Row],[Goals OffG]])</f>
        <v>0</v>
      </c>
      <c r="BD100" s="293">
        <f>IF(Tabel59[[#This Row],[Aantal games Alg]]=0,0,Tabel59[[#This Row],[Goals OffA]]/Tabel59[[#This Row],[Aantal games Alg]])</f>
        <v>0</v>
      </c>
      <c r="BE100" s="214">
        <f>Tabel59[[#This Row],[Goals DefA]]+Tabel59[[#This Row],[Goals OffA]]</f>
        <v>0</v>
      </c>
      <c r="BF100" s="214">
        <f>IF(Tabel59[[#This Row],[Aantal games Alg]]=0,0,Tabel59[[#This Row],[Goals Alg]]/Tabel59[[#This Row],[Aantal games Alg]])</f>
        <v>0</v>
      </c>
      <c r="BG100" s="148">
        <f>SUMIF(Tabel158[Team Rood],Tabel59[[#This Row],[Team]],Tabel158[ET])</f>
        <v>0</v>
      </c>
      <c r="BH100" s="150">
        <f>SUMIF(Tabel158[Team Groen],Tabel59[[#This Row],[Team]],Tabel158[ET])</f>
        <v>0</v>
      </c>
      <c r="BI100" s="153">
        <f>SUM(Tabel59[[#This Row],[ET Groen tot]],Tabel59[[#This Row],[ET Rood tot]])</f>
        <v>0</v>
      </c>
      <c r="BJ100" s="155">
        <f>IF(Tabel59[[#This Row],[Aantal games Alg]]=0,0,Tabel59[[#This Row],[ET tot]]/Tabel59[[#This Row],[Aantal games Alg]])</f>
        <v>0</v>
      </c>
    </row>
    <row r="101" spans="1:62" x14ac:dyDescent="0.25">
      <c r="A101" s="124">
        <f ca="1">IF(Tabel158[[#This Row],[Rood Verdediging]]&lt;&gt;"",IF(A101="",NOW(),A101),"")</f>
        <v>43878.947694907409</v>
      </c>
      <c r="B101" s="128">
        <f ca="1">IF(Tabel158[[#This Row],[Rood Verdediging]]&lt;&gt;"",IF(B101="",NOW(),B101),"")</f>
        <v>43878.947694907409</v>
      </c>
      <c r="C101" s="126">
        <f ca="1">IF(Tabel158[[#This Row],[Score]]&lt;&gt;"",IF(C101="",NOW(),C101),"")</f>
        <v>43878.947694907409</v>
      </c>
      <c r="D101" s="127">
        <f ca="1">IF(OR(Tabel158[[#This Row],[Starttijd]]="",Tabel158[[#This Row],[Eindtijd]]=""),"",Tabel158[[#This Row],[Eindtijd]]-Tabel158[[#This Row],[Starttijd]])</f>
        <v>0</v>
      </c>
      <c r="E101" s="74">
        <v>101</v>
      </c>
      <c r="F101" s="205" t="s">
        <v>11</v>
      </c>
      <c r="G101" s="210">
        <v>3</v>
      </c>
      <c r="H101" s="205" t="s">
        <v>6</v>
      </c>
      <c r="I101" s="210">
        <v>8</v>
      </c>
      <c r="J101" s="206" t="s">
        <v>7</v>
      </c>
      <c r="K101" s="212">
        <v>4</v>
      </c>
      <c r="L101" s="206" t="s">
        <v>3</v>
      </c>
      <c r="M101" s="212">
        <v>5</v>
      </c>
      <c r="N101" s="81">
        <f t="shared" si="14"/>
        <v>11</v>
      </c>
      <c r="O101" s="82">
        <f t="shared" si="15"/>
        <v>9</v>
      </c>
      <c r="P101" s="70" t="str">
        <f t="shared" si="18"/>
        <v>ROOD</v>
      </c>
      <c r="Q101" s="86" t="str">
        <f t="shared" si="16"/>
        <v>Matthijs</v>
      </c>
      <c r="R101" s="87" t="str">
        <f t="shared" si="17"/>
        <v>Stef D</v>
      </c>
      <c r="S101" t="str">
        <f>Tabel158[[#This Row],[Rood Verdediging]]&amp;Tabel158[[#This Row],[Rood Aanval]]</f>
        <v>MatthijsStef D</v>
      </c>
      <c r="T101" t="str">
        <f>Tabel158[[#This Row],[Groen Verdediging]]&amp;Tabel158[[#This Row],[Groen Aanval]]</f>
        <v>TiemenKarel</v>
      </c>
      <c r="U101" t="str">
        <f>Tabel158[[#This Row],[Winnaar 1]]&amp;Tabel158[[#This Row],[Winnaar 2]]</f>
        <v>MatthijsStef D</v>
      </c>
      <c r="V101" s="147" t="str">
        <f>IF(Tabel158[[#This Row],[Team Rood]]=Tabel158[[#This Row],[Winnaars]],Tabel158[[#This Row],[Team Rood]])</f>
        <v>MatthijsStef D</v>
      </c>
      <c r="W101" s="147" t="b">
        <f>IF(Tabel158[[#This Row],[Team Groen]]=Tabel158[[#This Row],[Winnaars]],Tabel158[[#This Row],[Team Groen]])</f>
        <v>0</v>
      </c>
      <c r="X101" s="147"/>
      <c r="AH101" s="251" t="s">
        <v>67</v>
      </c>
      <c r="AI101" s="233" t="s">
        <v>158</v>
      </c>
      <c r="AJ101" s="140" t="str">
        <f t="shared" si="20"/>
        <v>LawrenceArno*</v>
      </c>
      <c r="AK101" s="160">
        <f>IF(Tabel59[[#This Row],[Aantal Games Rood]]=0,0,(Tabel59[[#This Row],[Wins Rood]])/Tabel59[[#This Row],[Aantal Games Rood]])</f>
        <v>0</v>
      </c>
      <c r="AL101" s="159">
        <f>IF(Tabel59[[#This Row],[Aantal Games Groen]]=0,0,(Tabel59[[#This Row],[Wins Groen]])/Tabel59[[#This Row],[Aantal Games Groen]])</f>
        <v>0</v>
      </c>
      <c r="AM101" s="156">
        <f>IF(Tabel59[[#This Row],[Aantal games Alg]]=0,0,(Tabel59[[#This Row],[Wins Alg]])/Tabel59[[#This Row],[Aantal games Alg]])</f>
        <v>0</v>
      </c>
      <c r="AN101" s="133">
        <f>COUNTIF(Tabel158[Winaar rood],Tabel59[[#This Row],[Team]])</f>
        <v>0</v>
      </c>
      <c r="AO101" s="134">
        <f>COUNTIF(Tabel158[Winnaar Groen],Tabel59[[#This Row],[Team]])</f>
        <v>0</v>
      </c>
      <c r="AP101">
        <f>COUNTIF(Tabel158[Winnaars],Tabel59[[#This Row],[Team]])</f>
        <v>0</v>
      </c>
      <c r="AQ101" s="135">
        <f>Tabel59[[#This Row],[Aantal Games Rood]]-Tabel59[[#This Row],[Wins Rood]]</f>
        <v>0</v>
      </c>
      <c r="AR101" s="136">
        <f>Tabel59[[#This Row],[Aantal Games Groen]]-Tabel59[[#This Row],[Wins Groen]]</f>
        <v>0</v>
      </c>
      <c r="AS101" s="137">
        <f>Tabel59[[#This Row],[Aantal games Alg]]-Tabel59[[#This Row],[Wins Alg]]</f>
        <v>0</v>
      </c>
      <c r="AT101" s="138">
        <f>COUNTIF(Tabel158[Team Rood],Tabel59[[#This Row],[Team]])</f>
        <v>0</v>
      </c>
      <c r="AU101" s="136">
        <f>COUNTIF(Tabel158[Team Groen],Tabel59[[#This Row],[Team]])</f>
        <v>0</v>
      </c>
      <c r="AV101" s="112">
        <f>Tabel59[[#This Row],[Aantal Games Rood]]+Tabel59[[#This Row],[Aantal Games Groen]]</f>
        <v>0</v>
      </c>
      <c r="AW101" s="138">
        <f>SUMIF(Tabel158[Team Rood],Tabel59[[#This Row],[Team]],Tabel158[Score])</f>
        <v>0</v>
      </c>
      <c r="AX101" s="138">
        <f>SUMIF(Tabel158[Team Rood],Tabel59[[#This Row],[Team]],Tabel158[Score2])</f>
        <v>0</v>
      </c>
      <c r="AY101" s="134">
        <f>SUMIF(Tabel158[Team Groen],Tabel59[[#This Row],[Team]],Tabel158[Score3])</f>
        <v>0</v>
      </c>
      <c r="AZ101" s="136">
        <f>SUMIF(Tabel158[Team Groen],Tabel59[[#This Row],[Team]],Tabel158[Score4])</f>
        <v>0</v>
      </c>
      <c r="BA101">
        <f>SUM(Tabel59[[#This Row],[Goals Verdediger]]+Tabel59[[#This Row],[Goals DefG]])</f>
        <v>0</v>
      </c>
      <c r="BB101">
        <f>IF(Tabel59[[#This Row],[Aantal games Alg]]=0,0,Tabel59[[#This Row],[Goals DefA]]/Tabel59[[#This Row],[Aantal games Alg]])</f>
        <v>0</v>
      </c>
      <c r="BC101">
        <f>SUM(Tabel59[[#This Row],[Goals Aanvaller]]+Tabel59[[#This Row],[Goals OffG]])</f>
        <v>0</v>
      </c>
      <c r="BD101">
        <f>IF(Tabel59[[#This Row],[Aantal games Alg]]=0,0,Tabel59[[#This Row],[Goals OffA]]/Tabel59[[#This Row],[Aantal games Alg]])</f>
        <v>0</v>
      </c>
      <c r="BE101" s="112">
        <f>Tabel59[[#This Row],[Goals DefA]]+Tabel59[[#This Row],[Goals OffA]]</f>
        <v>0</v>
      </c>
      <c r="BF101" s="112">
        <f>IF(Tabel59[[#This Row],[Aantal games Alg]]=0,0,Tabel59[[#This Row],[Goals Alg]]/Tabel59[[#This Row],[Aantal games Alg]])</f>
        <v>0</v>
      </c>
      <c r="BG101" s="148">
        <f>SUMIF(Tabel158[Team Rood],Tabel59[[#This Row],[Team]],Tabel158[ET])</f>
        <v>0</v>
      </c>
      <c r="BH101" s="150">
        <f>SUMIF(Tabel158[Team Groen],Tabel59[[#This Row],[Team]],Tabel158[ET])</f>
        <v>0</v>
      </c>
      <c r="BI101" s="153">
        <f>SUM(Tabel59[[#This Row],[ET Groen tot]],Tabel59[[#This Row],[ET Rood tot]])</f>
        <v>0</v>
      </c>
      <c r="BJ101" s="155">
        <f>IF(Tabel59[[#This Row],[Aantal games Alg]]=0,0,Tabel59[[#This Row],[ET tot]]/Tabel59[[#This Row],[Aantal games Alg]])</f>
        <v>0</v>
      </c>
    </row>
    <row r="102" spans="1:62" x14ac:dyDescent="0.25">
      <c r="A102" s="124">
        <f ca="1">IF(Tabel158[[#This Row],[Rood Verdediging]]&lt;&gt;"",IF(A102="",NOW(),A102),"")</f>
        <v>43878.947694907409</v>
      </c>
      <c r="B102" s="128">
        <f ca="1">IF(Tabel158[[#This Row],[Rood Verdediging]]&lt;&gt;"",IF(B102="",NOW(),B102),"")</f>
        <v>43878.947694907409</v>
      </c>
      <c r="C102" s="126">
        <f ca="1">IF(Tabel158[[#This Row],[Score]]&lt;&gt;"",IF(C102="",NOW(),C102),"")</f>
        <v>43878.947694907409</v>
      </c>
      <c r="D102" s="127">
        <f ca="1">IF(OR(Tabel158[[#This Row],[Starttijd]]="",Tabel158[[#This Row],[Eindtijd]]=""),"",Tabel158[[#This Row],[Eindtijd]]-Tabel158[[#This Row],[Starttijd]])</f>
        <v>0</v>
      </c>
      <c r="E102" s="74">
        <v>102</v>
      </c>
      <c r="F102" s="205" t="s">
        <v>3</v>
      </c>
      <c r="G102" s="210">
        <v>8</v>
      </c>
      <c r="H102" s="205" t="s">
        <v>11</v>
      </c>
      <c r="I102" s="210">
        <v>3</v>
      </c>
      <c r="J102" s="206" t="s">
        <v>6</v>
      </c>
      <c r="K102" s="212">
        <v>0</v>
      </c>
      <c r="L102" s="206" t="s">
        <v>7</v>
      </c>
      <c r="M102" s="212">
        <v>6</v>
      </c>
      <c r="N102" s="81">
        <f t="shared" si="14"/>
        <v>11</v>
      </c>
      <c r="O102" s="82">
        <f t="shared" si="15"/>
        <v>6</v>
      </c>
      <c r="P102" s="70" t="str">
        <f t="shared" si="18"/>
        <v>ROOD</v>
      </c>
      <c r="Q102" s="86" t="str">
        <f t="shared" si="16"/>
        <v>Karel</v>
      </c>
      <c r="R102" s="87" t="str">
        <f t="shared" si="17"/>
        <v>Matthijs</v>
      </c>
      <c r="S102" t="str">
        <f>Tabel158[[#This Row],[Rood Verdediging]]&amp;Tabel158[[#This Row],[Rood Aanval]]</f>
        <v>KarelMatthijs</v>
      </c>
      <c r="T102" t="str">
        <f>Tabel158[[#This Row],[Groen Verdediging]]&amp;Tabel158[[#This Row],[Groen Aanval]]</f>
        <v>Stef DTiemen</v>
      </c>
      <c r="U102" t="str">
        <f>Tabel158[[#This Row],[Winnaar 1]]&amp;Tabel158[[#This Row],[Winnaar 2]]</f>
        <v>KarelMatthijs</v>
      </c>
      <c r="V102" s="147" t="str">
        <f>IF(Tabel158[[#This Row],[Team Rood]]=Tabel158[[#This Row],[Winnaars]],Tabel158[[#This Row],[Team Rood]])</f>
        <v>KarelMatthijs</v>
      </c>
      <c r="W102" s="147" t="b">
        <f>IF(Tabel158[[#This Row],[Team Groen]]=Tabel158[[#This Row],[Winnaars]],Tabel158[[#This Row],[Team Groen]])</f>
        <v>0</v>
      </c>
      <c r="X102" s="147"/>
      <c r="AH102" s="251" t="s">
        <v>67</v>
      </c>
      <c r="AI102" s="233" t="s">
        <v>163</v>
      </c>
      <c r="AJ102" s="140" t="str">
        <f t="shared" si="20"/>
        <v>LawrenceBert*</v>
      </c>
      <c r="AK102" s="160">
        <f>IF(Tabel59[[#This Row],[Aantal Games Rood]]=0,0,(Tabel59[[#This Row],[Wins Rood]])/Tabel59[[#This Row],[Aantal Games Rood]])</f>
        <v>0</v>
      </c>
      <c r="AL102" s="159">
        <f>IF(Tabel59[[#This Row],[Aantal Games Groen]]=0,0,(Tabel59[[#This Row],[Wins Groen]])/Tabel59[[#This Row],[Aantal Games Groen]])</f>
        <v>0</v>
      </c>
      <c r="AM102" s="156">
        <f>IF(Tabel59[[#This Row],[Aantal games Alg]]=0,0,(Tabel59[[#This Row],[Wins Alg]])/Tabel59[[#This Row],[Aantal games Alg]])</f>
        <v>0</v>
      </c>
      <c r="AN102" s="133">
        <f>COUNTIF(Tabel158[Winaar rood],Tabel59[[#This Row],[Team]])</f>
        <v>0</v>
      </c>
      <c r="AO102" s="134">
        <f>COUNTIF(Tabel158[Winnaar Groen],Tabel59[[#This Row],[Team]])</f>
        <v>0</v>
      </c>
      <c r="AP102">
        <f>COUNTIF(Tabel158[Winnaars],Tabel59[[#This Row],[Team]])</f>
        <v>0</v>
      </c>
      <c r="AQ102" s="135">
        <f>Tabel59[[#This Row],[Aantal Games Rood]]-Tabel59[[#This Row],[Wins Rood]]</f>
        <v>0</v>
      </c>
      <c r="AR102" s="136">
        <f>Tabel59[[#This Row],[Aantal Games Groen]]-Tabel59[[#This Row],[Wins Groen]]</f>
        <v>0</v>
      </c>
      <c r="AS102" s="137">
        <f>Tabel59[[#This Row],[Aantal games Alg]]-Tabel59[[#This Row],[Wins Alg]]</f>
        <v>0</v>
      </c>
      <c r="AT102" s="138">
        <f>COUNTIF(Tabel158[Team Rood],Tabel59[[#This Row],[Team]])</f>
        <v>0</v>
      </c>
      <c r="AU102" s="136">
        <f>COUNTIF(Tabel158[Team Groen],Tabel59[[#This Row],[Team]])</f>
        <v>0</v>
      </c>
      <c r="AV102" s="112">
        <f>Tabel59[[#This Row],[Aantal Games Rood]]+Tabel59[[#This Row],[Aantal Games Groen]]</f>
        <v>0</v>
      </c>
      <c r="AW102" s="138">
        <f>SUMIF(Tabel158[Team Rood],Tabel59[[#This Row],[Team]],Tabel158[Score])</f>
        <v>0</v>
      </c>
      <c r="AX102" s="138">
        <f>SUMIF(Tabel158[Team Rood],Tabel59[[#This Row],[Team]],Tabel158[Score2])</f>
        <v>0</v>
      </c>
      <c r="AY102" s="134">
        <f>SUMIF(Tabel158[Team Groen],Tabel59[[#This Row],[Team]],Tabel158[Score3])</f>
        <v>0</v>
      </c>
      <c r="AZ102" s="136">
        <f>SUMIF(Tabel158[Team Groen],Tabel59[[#This Row],[Team]],Tabel158[Score4])</f>
        <v>0</v>
      </c>
      <c r="BA102">
        <f>SUM(Tabel59[[#This Row],[Goals Verdediger]]+Tabel59[[#This Row],[Goals DefG]])</f>
        <v>0</v>
      </c>
      <c r="BB102">
        <f>IF(Tabel59[[#This Row],[Aantal games Alg]]=0,0,Tabel59[[#This Row],[Goals DefA]]/Tabel59[[#This Row],[Aantal games Alg]])</f>
        <v>0</v>
      </c>
      <c r="BC102">
        <f>SUM(Tabel59[[#This Row],[Goals Aanvaller]]+Tabel59[[#This Row],[Goals OffG]])</f>
        <v>0</v>
      </c>
      <c r="BD102">
        <f>IF(Tabel59[[#This Row],[Aantal games Alg]]=0,0,Tabel59[[#This Row],[Goals OffA]]/Tabel59[[#This Row],[Aantal games Alg]])</f>
        <v>0</v>
      </c>
      <c r="BE102" s="112">
        <f>Tabel59[[#This Row],[Goals DefA]]+Tabel59[[#This Row],[Goals OffA]]</f>
        <v>0</v>
      </c>
      <c r="BF102" s="112">
        <f>IF(Tabel59[[#This Row],[Aantal games Alg]]=0,0,Tabel59[[#This Row],[Goals Alg]]/Tabel59[[#This Row],[Aantal games Alg]])</f>
        <v>0</v>
      </c>
      <c r="BG102" s="148">
        <f>SUMIF(Tabel158[Team Rood],Tabel59[[#This Row],[Team]],Tabel158[ET])</f>
        <v>0</v>
      </c>
      <c r="BH102" s="150">
        <f>SUMIF(Tabel158[Team Groen],Tabel59[[#This Row],[Team]],Tabel158[ET])</f>
        <v>0</v>
      </c>
      <c r="BI102" s="153">
        <f>SUM(Tabel59[[#This Row],[ET Groen tot]],Tabel59[[#This Row],[ET Rood tot]])</f>
        <v>0</v>
      </c>
      <c r="BJ102" s="155">
        <f>IF(Tabel59[[#This Row],[Aantal games Alg]]=0,0,Tabel59[[#This Row],[ET tot]]/Tabel59[[#This Row],[Aantal games Alg]])</f>
        <v>0</v>
      </c>
    </row>
    <row r="103" spans="1:62" x14ac:dyDescent="0.25">
      <c r="A103" s="124">
        <f ca="1">IF(Tabel158[[#This Row],[Rood Verdediging]]&lt;&gt;"",IF(A103="",NOW(),A103),"")</f>
        <v>43878.947694907409</v>
      </c>
      <c r="B103" s="128">
        <f ca="1">IF(Tabel158[[#This Row],[Rood Verdediging]]&lt;&gt;"",IF(B103="",NOW(),B103),"")</f>
        <v>43878.947694907409</v>
      </c>
      <c r="C103" s="126">
        <f ca="1">IF(Tabel158[[#This Row],[Score]]&lt;&gt;"",IF(C103="",NOW(),C103),"")</f>
        <v>43878.947694907409</v>
      </c>
      <c r="D103" s="127">
        <f ca="1">IF(OR(Tabel158[[#This Row],[Starttijd]]="",Tabel158[[#This Row],[Eindtijd]]=""),"",Tabel158[[#This Row],[Eindtijd]]-Tabel158[[#This Row],[Starttijd]])</f>
        <v>0</v>
      </c>
      <c r="E103" s="74">
        <v>103</v>
      </c>
      <c r="F103" s="205" t="s">
        <v>7</v>
      </c>
      <c r="G103" s="210">
        <v>1</v>
      </c>
      <c r="H103" s="205" t="s">
        <v>11</v>
      </c>
      <c r="I103" s="210">
        <v>5</v>
      </c>
      <c r="J103" s="206" t="s">
        <v>3</v>
      </c>
      <c r="K103" s="212">
        <v>1</v>
      </c>
      <c r="L103" s="206" t="s">
        <v>6</v>
      </c>
      <c r="M103" s="212">
        <v>10</v>
      </c>
      <c r="N103" s="81">
        <f t="shared" si="14"/>
        <v>6</v>
      </c>
      <c r="O103" s="82">
        <f t="shared" si="15"/>
        <v>11</v>
      </c>
      <c r="P103" s="70" t="str">
        <f t="shared" si="18"/>
        <v>GROEN</v>
      </c>
      <c r="Q103" s="86" t="str">
        <f t="shared" si="16"/>
        <v>Karel</v>
      </c>
      <c r="R103" s="87" t="str">
        <f t="shared" si="17"/>
        <v>Stef D</v>
      </c>
      <c r="S103" t="str">
        <f>Tabel158[[#This Row],[Rood Verdediging]]&amp;Tabel158[[#This Row],[Rood Aanval]]</f>
        <v>TiemenMatthijs</v>
      </c>
      <c r="T103" t="str">
        <f>Tabel158[[#This Row],[Groen Verdediging]]&amp;Tabel158[[#This Row],[Groen Aanval]]</f>
        <v>KarelStef D</v>
      </c>
      <c r="U103" t="str">
        <f>Tabel158[[#This Row],[Winnaar 1]]&amp;Tabel158[[#This Row],[Winnaar 2]]</f>
        <v>KarelStef D</v>
      </c>
      <c r="V103" s="147" t="b">
        <f>IF(Tabel158[[#This Row],[Team Rood]]=Tabel158[[#This Row],[Winnaars]],Tabel158[[#This Row],[Team Rood]])</f>
        <v>0</v>
      </c>
      <c r="W103" s="147" t="str">
        <f>IF(Tabel158[[#This Row],[Team Groen]]=Tabel158[[#This Row],[Winnaars]],Tabel158[[#This Row],[Team Groen]])</f>
        <v>KarelStef D</v>
      </c>
      <c r="X103" s="147"/>
      <c r="AH103" s="251" t="s">
        <v>67</v>
      </c>
      <c r="AI103" s="233" t="s">
        <v>168</v>
      </c>
      <c r="AJ103" s="140" t="str">
        <f t="shared" si="20"/>
        <v>LawrenceCoghe*</v>
      </c>
      <c r="AK103" s="160">
        <f>IF(Tabel59[[#This Row],[Aantal Games Rood]]=0,0,(Tabel59[[#This Row],[Wins Rood]])/Tabel59[[#This Row],[Aantal Games Rood]])</f>
        <v>0</v>
      </c>
      <c r="AL103" s="159">
        <f>IF(Tabel59[[#This Row],[Aantal Games Groen]]=0,0,(Tabel59[[#This Row],[Wins Groen]])/Tabel59[[#This Row],[Aantal Games Groen]])</f>
        <v>0</v>
      </c>
      <c r="AM103" s="156">
        <f>IF(Tabel59[[#This Row],[Aantal games Alg]]=0,0,(Tabel59[[#This Row],[Wins Alg]])/Tabel59[[#This Row],[Aantal games Alg]])</f>
        <v>0</v>
      </c>
      <c r="AN103" s="171">
        <f>COUNTIF(Tabel158[Winaar rood],Tabel59[[#This Row],[Team]])</f>
        <v>0</v>
      </c>
      <c r="AO103" s="169">
        <f>COUNTIF(Tabel158[Winnaar Groen],Tabel59[[#This Row],[Team]])</f>
        <v>0</v>
      </c>
      <c r="AP103" s="170">
        <f>COUNTIF(Tabel158[Winnaars],Tabel59[[#This Row],[Team]])</f>
        <v>0</v>
      </c>
      <c r="AQ103" s="163">
        <f>Tabel59[[#This Row],[Aantal Games Rood]]-Tabel59[[#This Row],[Wins Rood]]</f>
        <v>0</v>
      </c>
      <c r="AR103" s="169">
        <f>Tabel59[[#This Row],[Aantal Games Groen]]-Tabel59[[#This Row],[Wins Groen]]</f>
        <v>0</v>
      </c>
      <c r="AS103" s="165">
        <f>Tabel59[[#This Row],[Aantal games Alg]]-Tabel59[[#This Row],[Wins Alg]]</f>
        <v>0</v>
      </c>
      <c r="AT103" s="171">
        <f>COUNTIF(Tabel158[Team Rood],Tabel59[[#This Row],[Team]])</f>
        <v>0</v>
      </c>
      <c r="AU103" s="169">
        <f>COUNTIF(Tabel158[Team Groen],Tabel59[[#This Row],[Team]])</f>
        <v>0</v>
      </c>
      <c r="AV103" s="170">
        <f>Tabel59[[#This Row],[Aantal Games Rood]]+Tabel59[[#This Row],[Aantal Games Groen]]</f>
        <v>0</v>
      </c>
      <c r="AW103" s="171">
        <f>SUMIF(Tabel158[Team Rood],Tabel59[[#This Row],[Team]],Tabel158[Score])</f>
        <v>0</v>
      </c>
      <c r="AX103" s="171">
        <f>SUMIF(Tabel158[Team Rood],Tabel59[[#This Row],[Team]],Tabel158[Score2])</f>
        <v>0</v>
      </c>
      <c r="AY103" s="136">
        <f>SUMIF(Tabel158[Team Groen],Tabel59[[#This Row],[Team]],Tabel158[Score3])</f>
        <v>0</v>
      </c>
      <c r="AZ103" s="169">
        <f>SUMIF(Tabel158[Team Groen],Tabel59[[#This Row],[Team]],Tabel158[Score4])</f>
        <v>0</v>
      </c>
      <c r="BA103" s="172">
        <f>SUM(Tabel59[[#This Row],[Goals Verdediger]]+Tabel59[[#This Row],[Goals DefG]])</f>
        <v>0</v>
      </c>
      <c r="BB103" s="170">
        <f>IF(Tabel59[[#This Row],[Aantal games Alg]]=0,0,Tabel59[[#This Row],[Goals DefA]]/Tabel59[[#This Row],[Aantal games Alg]])</f>
        <v>0</v>
      </c>
      <c r="BC103" s="172">
        <f>SUM(Tabel59[[#This Row],[Goals Aanvaller]]+Tabel59[[#This Row],[Goals OffG]])</f>
        <v>0</v>
      </c>
      <c r="BD103" s="170">
        <f>IF(Tabel59[[#This Row],[Aantal games Alg]]=0,0,Tabel59[[#This Row],[Goals OffA]]/Tabel59[[#This Row],[Aantal games Alg]])</f>
        <v>0</v>
      </c>
      <c r="BE103" s="170">
        <f>Tabel59[[#This Row],[Goals DefA]]+Tabel59[[#This Row],[Goals OffA]]</f>
        <v>0</v>
      </c>
      <c r="BF103" s="170">
        <f>IF(Tabel59[[#This Row],[Aantal games Alg]]=0,0,Tabel59[[#This Row],[Goals Alg]]/Tabel59[[#This Row],[Aantal games Alg]])</f>
        <v>0</v>
      </c>
      <c r="BG103" s="148">
        <f>SUMIF(Tabel158[Team Rood],Tabel59[[#This Row],[Team]],Tabel158[ET])</f>
        <v>0</v>
      </c>
      <c r="BH103" s="150">
        <f>SUMIF(Tabel158[Team Groen],Tabel59[[#This Row],[Team]],Tabel158[ET])</f>
        <v>0</v>
      </c>
      <c r="BI103" s="153">
        <f>SUM(Tabel59[[#This Row],[ET Groen tot]],Tabel59[[#This Row],[ET Rood tot]])</f>
        <v>0</v>
      </c>
      <c r="BJ103" s="155">
        <f>IF(Tabel59[[#This Row],[Aantal games Alg]]=0,0,Tabel59[[#This Row],[ET tot]]/Tabel59[[#This Row],[Aantal games Alg]])</f>
        <v>0</v>
      </c>
    </row>
    <row r="104" spans="1:62" x14ac:dyDescent="0.25">
      <c r="A104" s="124">
        <f ca="1">IF(Tabel158[[#This Row],[Rood Verdediging]]&lt;&gt;"",IF(A104="",NOW(),A104),"")</f>
        <v>43878.947694907409</v>
      </c>
      <c r="B104" s="128">
        <f ca="1">IF(Tabel158[[#This Row],[Rood Verdediging]]&lt;&gt;"",IF(B104="",NOW(),B104),"")</f>
        <v>43878.947694907409</v>
      </c>
      <c r="C104" s="126">
        <f ca="1">IF(Tabel158[[#This Row],[Score]]&lt;&gt;"",IF(C104="",NOW(),C104),"")</f>
        <v>43878.947694907409</v>
      </c>
      <c r="D104" s="127">
        <f ca="1">IF(OR(Tabel158[[#This Row],[Starttijd]]="",Tabel158[[#This Row],[Eindtijd]]=""),"",Tabel158[[#This Row],[Eindtijd]]-Tabel158[[#This Row],[Starttijd]])</f>
        <v>0</v>
      </c>
      <c r="E104" s="74">
        <v>104</v>
      </c>
      <c r="F104" s="205" t="s">
        <v>6</v>
      </c>
      <c r="G104" s="210">
        <v>2</v>
      </c>
      <c r="H104" s="205" t="s">
        <v>11</v>
      </c>
      <c r="I104" s="210">
        <v>4</v>
      </c>
      <c r="J104" s="206" t="s">
        <v>3</v>
      </c>
      <c r="K104" s="212">
        <v>5</v>
      </c>
      <c r="L104" s="206" t="s">
        <v>7</v>
      </c>
      <c r="M104" s="212">
        <v>6</v>
      </c>
      <c r="N104" s="81">
        <f t="shared" si="14"/>
        <v>6</v>
      </c>
      <c r="O104" s="82">
        <f t="shared" si="15"/>
        <v>11</v>
      </c>
      <c r="P104" s="70" t="str">
        <f t="shared" si="18"/>
        <v>GROEN</v>
      </c>
      <c r="Q104" s="86" t="str">
        <f t="shared" si="16"/>
        <v>Karel</v>
      </c>
      <c r="R104" s="87" t="str">
        <f t="shared" si="17"/>
        <v>Tiemen</v>
      </c>
      <c r="S104" t="str">
        <f>Tabel158[[#This Row],[Rood Verdediging]]&amp;Tabel158[[#This Row],[Rood Aanval]]</f>
        <v>Stef DMatthijs</v>
      </c>
      <c r="T104" t="str">
        <f>Tabel158[[#This Row],[Groen Verdediging]]&amp;Tabel158[[#This Row],[Groen Aanval]]</f>
        <v>KarelTiemen</v>
      </c>
      <c r="U104" t="str">
        <f>Tabel158[[#This Row],[Winnaar 1]]&amp;Tabel158[[#This Row],[Winnaar 2]]</f>
        <v>KarelTiemen</v>
      </c>
      <c r="V104" s="147" t="b">
        <f>IF(Tabel158[[#This Row],[Team Rood]]=Tabel158[[#This Row],[Winnaars]],Tabel158[[#This Row],[Team Rood]])</f>
        <v>0</v>
      </c>
      <c r="W104" s="147" t="str">
        <f>IF(Tabel158[[#This Row],[Team Groen]]=Tabel158[[#This Row],[Winnaars]],Tabel158[[#This Row],[Team Groen]])</f>
        <v>KarelTiemen</v>
      </c>
      <c r="X104" s="147"/>
      <c r="AH104" s="251" t="s">
        <v>67</v>
      </c>
      <c r="AI104" s="233" t="s">
        <v>159</v>
      </c>
      <c r="AJ104" s="140" t="str">
        <f t="shared" si="20"/>
        <v>LawrenceJonas*</v>
      </c>
      <c r="AK104" s="160">
        <f>IF(Tabel59[[#This Row],[Aantal Games Rood]]=0,0,(Tabel59[[#This Row],[Wins Rood]])/Tabel59[[#This Row],[Aantal Games Rood]])</f>
        <v>0</v>
      </c>
      <c r="AL104" s="159">
        <f>IF(Tabel59[[#This Row],[Aantal Games Groen]]=0,0,(Tabel59[[#This Row],[Wins Groen]])/Tabel59[[#This Row],[Aantal Games Groen]])</f>
        <v>0</v>
      </c>
      <c r="AM104" s="156">
        <f>IF(Tabel59[[#This Row],[Aantal games Alg]]=0,0,(Tabel59[[#This Row],[Wins Alg]])/Tabel59[[#This Row],[Aantal games Alg]])</f>
        <v>0</v>
      </c>
      <c r="AN104" s="133">
        <f>COUNTIF(Tabel158[Winaar rood],Tabel59[[#This Row],[Team]])</f>
        <v>0</v>
      </c>
      <c r="AO104" s="134">
        <f>COUNTIF(Tabel158[Winnaar Groen],Tabel59[[#This Row],[Team]])</f>
        <v>0</v>
      </c>
      <c r="AP104">
        <f>COUNTIF(Tabel158[Winnaars],Tabel59[[#This Row],[Team]])</f>
        <v>0</v>
      </c>
      <c r="AQ104" s="135">
        <f>Tabel59[[#This Row],[Aantal Games Rood]]-Tabel59[[#This Row],[Wins Rood]]</f>
        <v>0</v>
      </c>
      <c r="AR104" s="136">
        <f>Tabel59[[#This Row],[Aantal Games Groen]]-Tabel59[[#This Row],[Wins Groen]]</f>
        <v>0</v>
      </c>
      <c r="AS104" s="137">
        <f>Tabel59[[#This Row],[Aantal games Alg]]-Tabel59[[#This Row],[Wins Alg]]</f>
        <v>0</v>
      </c>
      <c r="AT104" s="138">
        <f>COUNTIF(Tabel158[Team Rood],Tabel59[[#This Row],[Team]])</f>
        <v>0</v>
      </c>
      <c r="AU104" s="136">
        <f>COUNTIF(Tabel158[Team Groen],Tabel59[[#This Row],[Team]])</f>
        <v>0</v>
      </c>
      <c r="AV104" s="214">
        <f>Tabel59[[#This Row],[Aantal Games Rood]]+Tabel59[[#This Row],[Aantal Games Groen]]</f>
        <v>0</v>
      </c>
      <c r="AW104" s="138">
        <f>SUMIF(Tabel158[Team Rood],Tabel59[[#This Row],[Team]],Tabel158[Score])</f>
        <v>0</v>
      </c>
      <c r="AX104" s="138">
        <f>SUMIF(Tabel158[Team Rood],Tabel59[[#This Row],[Team]],Tabel158[Score2])</f>
        <v>0</v>
      </c>
      <c r="AY104" s="134">
        <f>SUMIF(Tabel158[Team Groen],Tabel59[[#This Row],[Team]],Tabel158[Score3])</f>
        <v>0</v>
      </c>
      <c r="AZ104" s="136">
        <f>SUMIF(Tabel158[Team Groen],Tabel59[[#This Row],[Team]],Tabel158[Score4])</f>
        <v>0</v>
      </c>
      <c r="BA104">
        <f>SUM(Tabel59[[#This Row],[Goals Verdediger]]+Tabel59[[#This Row],[Goals DefG]])</f>
        <v>0</v>
      </c>
      <c r="BB104">
        <f>IF(Tabel59[[#This Row],[Aantal games Alg]]=0,0,Tabel59[[#This Row],[Goals DefA]]/Tabel59[[#This Row],[Aantal games Alg]])</f>
        <v>0</v>
      </c>
      <c r="BC104">
        <f>SUM(Tabel59[[#This Row],[Goals Aanvaller]]+Tabel59[[#This Row],[Goals OffG]])</f>
        <v>0</v>
      </c>
      <c r="BD104">
        <f>IF(Tabel59[[#This Row],[Aantal games Alg]]=0,0,Tabel59[[#This Row],[Goals OffA]]/Tabel59[[#This Row],[Aantal games Alg]])</f>
        <v>0</v>
      </c>
      <c r="BE104" s="112">
        <f>Tabel59[[#This Row],[Goals DefA]]+Tabel59[[#This Row],[Goals OffA]]</f>
        <v>0</v>
      </c>
      <c r="BF104" s="112">
        <f>IF(Tabel59[[#This Row],[Aantal games Alg]]=0,0,Tabel59[[#This Row],[Goals Alg]]/Tabel59[[#This Row],[Aantal games Alg]])</f>
        <v>0</v>
      </c>
      <c r="BG104" s="148">
        <f>SUMIF(Tabel158[Team Rood],Tabel59[[#This Row],[Team]],Tabel158[ET])</f>
        <v>0</v>
      </c>
      <c r="BH104" s="150">
        <f>SUMIF(Tabel158[Team Groen],Tabel59[[#This Row],[Team]],Tabel158[ET])</f>
        <v>0</v>
      </c>
      <c r="BI104" s="153">
        <f>SUM(Tabel59[[#This Row],[ET Groen tot]],Tabel59[[#This Row],[ET Rood tot]])</f>
        <v>0</v>
      </c>
      <c r="BJ104" s="155">
        <f>IF(Tabel59[[#This Row],[Aantal games Alg]]=0,0,Tabel59[[#This Row],[ET tot]]/Tabel59[[#This Row],[Aantal games Alg]])</f>
        <v>0</v>
      </c>
    </row>
    <row r="105" spans="1:62" x14ac:dyDescent="0.25">
      <c r="A105" s="124">
        <f ca="1">IF(Tabel158[[#This Row],[Rood Verdediging]]&lt;&gt;"",IF(A105="",NOW(),A105),"")</f>
        <v>43878.947694907409</v>
      </c>
      <c r="B105" s="128">
        <f ca="1">IF(Tabel158[[#This Row],[Rood Verdediging]]&lt;&gt;"",IF(B105="",NOW(),B105),"")</f>
        <v>43878.947694907409</v>
      </c>
      <c r="C105" s="126">
        <f ca="1">IF(Tabel158[[#This Row],[Score]]&lt;&gt;"",IF(C105="",NOW(),C105),"")</f>
        <v>43878.947694907409</v>
      </c>
      <c r="D105" s="127">
        <f ca="1">IF(OR(Tabel158[[#This Row],[Starttijd]]="",Tabel158[[#This Row],[Eindtijd]]=""),"",Tabel158[[#This Row],[Eindtijd]]-Tabel158[[#This Row],[Starttijd]])</f>
        <v>0</v>
      </c>
      <c r="E105" s="74">
        <v>105</v>
      </c>
      <c r="F105" s="205" t="s">
        <v>7</v>
      </c>
      <c r="G105" s="210">
        <v>0</v>
      </c>
      <c r="H105" s="205" t="s">
        <v>6</v>
      </c>
      <c r="I105" s="210">
        <v>8</v>
      </c>
      <c r="J105" s="206" t="s">
        <v>11</v>
      </c>
      <c r="K105" s="212">
        <v>3</v>
      </c>
      <c r="L105" s="206" t="s">
        <v>3</v>
      </c>
      <c r="M105" s="212">
        <v>8</v>
      </c>
      <c r="N105" s="81">
        <f t="shared" si="14"/>
        <v>8</v>
      </c>
      <c r="O105" s="82">
        <f t="shared" si="15"/>
        <v>11</v>
      </c>
      <c r="P105" s="70" t="str">
        <f t="shared" si="18"/>
        <v>GROEN</v>
      </c>
      <c r="Q105" s="86" t="str">
        <f t="shared" si="16"/>
        <v>Matthijs</v>
      </c>
      <c r="R105" s="87" t="str">
        <f t="shared" si="17"/>
        <v>Karel</v>
      </c>
      <c r="S105" t="str">
        <f>Tabel158[[#This Row],[Rood Verdediging]]&amp;Tabel158[[#This Row],[Rood Aanval]]</f>
        <v>TiemenStef D</v>
      </c>
      <c r="T105" t="str">
        <f>Tabel158[[#This Row],[Groen Verdediging]]&amp;Tabel158[[#This Row],[Groen Aanval]]</f>
        <v>MatthijsKarel</v>
      </c>
      <c r="U105" t="str">
        <f>Tabel158[[#This Row],[Winnaar 1]]&amp;Tabel158[[#This Row],[Winnaar 2]]</f>
        <v>MatthijsKarel</v>
      </c>
      <c r="V105" s="147" t="b">
        <f>IF(Tabel158[[#This Row],[Team Rood]]=Tabel158[[#This Row],[Winnaars]],Tabel158[[#This Row],[Team Rood]])</f>
        <v>0</v>
      </c>
      <c r="W105" s="147" t="str">
        <f>IF(Tabel158[[#This Row],[Team Groen]]=Tabel158[[#This Row],[Winnaars]],Tabel158[[#This Row],[Team Groen]])</f>
        <v>MatthijsKarel</v>
      </c>
      <c r="X105" s="147"/>
      <c r="AH105" s="251" t="s">
        <v>67</v>
      </c>
      <c r="AI105" s="233" t="s">
        <v>164</v>
      </c>
      <c r="AJ105" s="140" t="str">
        <f t="shared" si="20"/>
        <v>LawrenceKarel*</v>
      </c>
      <c r="AK105" s="160">
        <f>IF(Tabel59[[#This Row],[Aantal Games Rood]]=0,0,(Tabel59[[#This Row],[Wins Rood]])/Tabel59[[#This Row],[Aantal Games Rood]])</f>
        <v>0</v>
      </c>
      <c r="AL105" s="159">
        <f>IF(Tabel59[[#This Row],[Aantal Games Groen]]=0,0,(Tabel59[[#This Row],[Wins Groen]])/Tabel59[[#This Row],[Aantal Games Groen]])</f>
        <v>0</v>
      </c>
      <c r="AM105" s="156">
        <f>IF(Tabel59[[#This Row],[Aantal games Alg]]=0,0,(Tabel59[[#This Row],[Wins Alg]])/Tabel59[[#This Row],[Aantal games Alg]])</f>
        <v>0</v>
      </c>
      <c r="AN105" s="133">
        <f>COUNTIF(Tabel158[Winaar rood],Tabel59[[#This Row],[Team]])</f>
        <v>0</v>
      </c>
      <c r="AO105" s="134">
        <f>COUNTIF(Tabel158[Winnaar Groen],Tabel59[[#This Row],[Team]])</f>
        <v>0</v>
      </c>
      <c r="AP105">
        <f>COUNTIF(Tabel158[Winnaars],Tabel59[[#This Row],[Team]])</f>
        <v>0</v>
      </c>
      <c r="AQ105" s="135">
        <f>Tabel59[[#This Row],[Aantal Games Rood]]-Tabel59[[#This Row],[Wins Rood]]</f>
        <v>0</v>
      </c>
      <c r="AR105" s="136">
        <f>Tabel59[[#This Row],[Aantal Games Groen]]-Tabel59[[#This Row],[Wins Groen]]</f>
        <v>0</v>
      </c>
      <c r="AS105" s="137">
        <f>Tabel59[[#This Row],[Aantal games Alg]]-Tabel59[[#This Row],[Wins Alg]]</f>
        <v>0</v>
      </c>
      <c r="AT105" s="138">
        <f>COUNTIF(Tabel158[Team Rood],Tabel59[[#This Row],[Team]])</f>
        <v>0</v>
      </c>
      <c r="AU105" s="136">
        <f>COUNTIF(Tabel158[Team Groen],Tabel59[[#This Row],[Team]])</f>
        <v>0</v>
      </c>
      <c r="AV105" s="214">
        <f>Tabel59[[#This Row],[Aantal Games Rood]]+Tabel59[[#This Row],[Aantal Games Groen]]</f>
        <v>0</v>
      </c>
      <c r="AW105" s="138">
        <f>SUMIF(Tabel158[Team Rood],Tabel59[[#This Row],[Team]],Tabel158[Score])</f>
        <v>0</v>
      </c>
      <c r="AX105" s="138">
        <f>SUMIF(Tabel158[Team Rood],Tabel59[[#This Row],[Team]],Tabel158[Score2])</f>
        <v>0</v>
      </c>
      <c r="AY105" s="134">
        <f>SUMIF(Tabel158[Team Groen],Tabel59[[#This Row],[Team]],Tabel158[Score3])</f>
        <v>0</v>
      </c>
      <c r="AZ105" s="136">
        <f>SUMIF(Tabel158[Team Groen],Tabel59[[#This Row],[Team]],Tabel158[Score4])</f>
        <v>0</v>
      </c>
      <c r="BA105">
        <f>SUM(Tabel59[[#This Row],[Goals Verdediger]]+Tabel59[[#This Row],[Goals DefG]])</f>
        <v>0</v>
      </c>
      <c r="BB105">
        <f>IF(Tabel59[[#This Row],[Aantal games Alg]]=0,0,Tabel59[[#This Row],[Goals DefA]]/Tabel59[[#This Row],[Aantal games Alg]])</f>
        <v>0</v>
      </c>
      <c r="BC105">
        <f>SUM(Tabel59[[#This Row],[Goals Aanvaller]]+Tabel59[[#This Row],[Goals OffG]])</f>
        <v>0</v>
      </c>
      <c r="BD105">
        <f>IF(Tabel59[[#This Row],[Aantal games Alg]]=0,0,Tabel59[[#This Row],[Goals OffA]]/Tabel59[[#This Row],[Aantal games Alg]])</f>
        <v>0</v>
      </c>
      <c r="BE105" s="112">
        <f>Tabel59[[#This Row],[Goals DefA]]+Tabel59[[#This Row],[Goals OffA]]</f>
        <v>0</v>
      </c>
      <c r="BF105" s="112">
        <f>IF(Tabel59[[#This Row],[Aantal games Alg]]=0,0,Tabel59[[#This Row],[Goals Alg]]/Tabel59[[#This Row],[Aantal games Alg]])</f>
        <v>0</v>
      </c>
      <c r="BG105" s="148">
        <f>SUMIF(Tabel158[Team Rood],Tabel59[[#This Row],[Team]],Tabel158[ET])</f>
        <v>0</v>
      </c>
      <c r="BH105" s="150">
        <f>SUMIF(Tabel158[Team Groen],Tabel59[[#This Row],[Team]],Tabel158[ET])</f>
        <v>0</v>
      </c>
      <c r="BI105" s="153">
        <f>SUM(Tabel59[[#This Row],[ET Groen tot]],Tabel59[[#This Row],[ET Rood tot]])</f>
        <v>0</v>
      </c>
      <c r="BJ105" s="155">
        <f>IF(Tabel59[[#This Row],[Aantal games Alg]]=0,0,Tabel59[[#This Row],[ET tot]]/Tabel59[[#This Row],[Aantal games Alg]])</f>
        <v>0</v>
      </c>
    </row>
    <row r="106" spans="1:62" x14ac:dyDescent="0.25">
      <c r="A106" s="124">
        <f ca="1">IF(Tabel158[[#This Row],[Rood Verdediging]]&lt;&gt;"",IF(A106="",NOW(),A106),"")</f>
        <v>43878.947694907409</v>
      </c>
      <c r="B106" s="128">
        <f ca="1">IF(Tabel158[[#This Row],[Rood Verdediging]]&lt;&gt;"",IF(B106="",NOW(),B106),"")</f>
        <v>43878.947694907409</v>
      </c>
      <c r="C106" s="126">
        <f ca="1">IF(Tabel158[[#This Row],[Score]]&lt;&gt;"",IF(C106="",NOW(),C106),"")</f>
        <v>43878.947694907409</v>
      </c>
      <c r="D106" s="127">
        <f ca="1">IF(OR(Tabel158[[#This Row],[Starttijd]]="",Tabel158[[#This Row],[Eindtijd]]=""),"",Tabel158[[#This Row],[Eindtijd]]-Tabel158[[#This Row],[Starttijd]])</f>
        <v>0</v>
      </c>
      <c r="E106" s="74">
        <v>106</v>
      </c>
      <c r="F106" s="205" t="s">
        <v>6</v>
      </c>
      <c r="G106" s="210">
        <v>1</v>
      </c>
      <c r="H106" s="205" t="s">
        <v>3</v>
      </c>
      <c r="I106" s="210">
        <v>10</v>
      </c>
      <c r="J106" s="206" t="s">
        <v>11</v>
      </c>
      <c r="K106" s="212">
        <v>1</v>
      </c>
      <c r="L106" s="206" t="s">
        <v>7</v>
      </c>
      <c r="M106" s="212">
        <v>3</v>
      </c>
      <c r="N106" s="81">
        <f t="shared" si="14"/>
        <v>11</v>
      </c>
      <c r="O106" s="82">
        <f t="shared" si="15"/>
        <v>4</v>
      </c>
      <c r="P106" s="70" t="str">
        <f t="shared" si="18"/>
        <v>ROOD</v>
      </c>
      <c r="Q106" s="86" t="str">
        <f t="shared" si="16"/>
        <v>Stef D</v>
      </c>
      <c r="R106" s="87" t="str">
        <f t="shared" si="17"/>
        <v>Karel</v>
      </c>
      <c r="S106" t="str">
        <f>Tabel158[[#This Row],[Rood Verdediging]]&amp;Tabel158[[#This Row],[Rood Aanval]]</f>
        <v>Stef DKarel</v>
      </c>
      <c r="T106" t="str">
        <f>Tabel158[[#This Row],[Groen Verdediging]]&amp;Tabel158[[#This Row],[Groen Aanval]]</f>
        <v>MatthijsTiemen</v>
      </c>
      <c r="U106" t="str">
        <f>Tabel158[[#This Row],[Winnaar 1]]&amp;Tabel158[[#This Row],[Winnaar 2]]</f>
        <v>Stef DKarel</v>
      </c>
      <c r="V106" s="147" t="str">
        <f>IF(Tabel158[[#This Row],[Team Rood]]=Tabel158[[#This Row],[Winnaars]],Tabel158[[#This Row],[Team Rood]])</f>
        <v>Stef DKarel</v>
      </c>
      <c r="W106" s="147" t="b">
        <f>IF(Tabel158[[#This Row],[Team Groen]]=Tabel158[[#This Row],[Winnaars]],Tabel158[[#This Row],[Team Groen]])</f>
        <v>0</v>
      </c>
      <c r="X106" s="147"/>
      <c r="AH106" s="251" t="s">
        <v>67</v>
      </c>
      <c r="AI106" s="233" t="s">
        <v>161</v>
      </c>
      <c r="AJ106" s="140" t="str">
        <f t="shared" si="20"/>
        <v>LawrenceLouis*</v>
      </c>
      <c r="AK106" s="160">
        <f>IF(Tabel59[[#This Row],[Aantal Games Rood]]=0,0,(Tabel59[[#This Row],[Wins Rood]])/Tabel59[[#This Row],[Aantal Games Rood]])</f>
        <v>0</v>
      </c>
      <c r="AL106" s="159">
        <f>IF(Tabel59[[#This Row],[Aantal Games Groen]]=0,0,(Tabel59[[#This Row],[Wins Groen]])/Tabel59[[#This Row],[Aantal Games Groen]])</f>
        <v>0</v>
      </c>
      <c r="AM106" s="156">
        <f>IF(Tabel59[[#This Row],[Aantal games Alg]]=0,0,(Tabel59[[#This Row],[Wins Alg]])/Tabel59[[#This Row],[Aantal games Alg]])</f>
        <v>0</v>
      </c>
      <c r="AN106" s="133">
        <f>COUNTIF(Tabel158[Winaar rood],Tabel59[[#This Row],[Team]])</f>
        <v>0</v>
      </c>
      <c r="AO106" s="134">
        <f>COUNTIF(Tabel158[Winnaar Groen],Tabel59[[#This Row],[Team]])</f>
        <v>0</v>
      </c>
      <c r="AP106">
        <f>COUNTIF(Tabel158[Winnaars],Tabel59[[#This Row],[Team]])</f>
        <v>0</v>
      </c>
      <c r="AQ106" s="135">
        <f>Tabel59[[#This Row],[Aantal Games Rood]]-Tabel59[[#This Row],[Wins Rood]]</f>
        <v>0</v>
      </c>
      <c r="AR106" s="136">
        <f>Tabel59[[#This Row],[Aantal Games Groen]]-Tabel59[[#This Row],[Wins Groen]]</f>
        <v>0</v>
      </c>
      <c r="AS106" s="137">
        <f>Tabel59[[#This Row],[Aantal games Alg]]-Tabel59[[#This Row],[Wins Alg]]</f>
        <v>0</v>
      </c>
      <c r="AT106" s="138">
        <f>COUNTIF(Tabel158[Team Rood],Tabel59[[#This Row],[Team]])</f>
        <v>0</v>
      </c>
      <c r="AU106" s="136">
        <f>COUNTIF(Tabel158[Team Groen],Tabel59[[#This Row],[Team]])</f>
        <v>0</v>
      </c>
      <c r="AV106" s="112">
        <f>Tabel59[[#This Row],[Aantal Games Rood]]+Tabel59[[#This Row],[Aantal Games Groen]]</f>
        <v>0</v>
      </c>
      <c r="AW106" s="138">
        <f>SUMIF(Tabel158[Team Rood],Tabel59[[#This Row],[Team]],Tabel158[Score])</f>
        <v>0</v>
      </c>
      <c r="AX106" s="138">
        <f>SUMIF(Tabel158[Team Rood],Tabel59[[#This Row],[Team]],Tabel158[Score2])</f>
        <v>0</v>
      </c>
      <c r="AY106" s="134">
        <f>SUMIF(Tabel158[Team Groen],Tabel59[[#This Row],[Team]],Tabel158[Score3])</f>
        <v>0</v>
      </c>
      <c r="AZ106" s="136">
        <f>SUMIF(Tabel158[Team Groen],Tabel59[[#This Row],[Team]],Tabel158[Score4])</f>
        <v>0</v>
      </c>
      <c r="BA106">
        <f>SUM(Tabel59[[#This Row],[Goals Verdediger]]+Tabel59[[#This Row],[Goals DefG]])</f>
        <v>0</v>
      </c>
      <c r="BB106">
        <f>IF(Tabel59[[#This Row],[Aantal games Alg]]=0,0,Tabel59[[#This Row],[Goals DefA]]/Tabel59[[#This Row],[Aantal games Alg]])</f>
        <v>0</v>
      </c>
      <c r="BC106">
        <f>SUM(Tabel59[[#This Row],[Goals Aanvaller]]+Tabel59[[#This Row],[Goals OffG]])</f>
        <v>0</v>
      </c>
      <c r="BD106">
        <f>IF(Tabel59[[#This Row],[Aantal games Alg]]=0,0,Tabel59[[#This Row],[Goals OffA]]/Tabel59[[#This Row],[Aantal games Alg]])</f>
        <v>0</v>
      </c>
      <c r="BE106" s="112">
        <f>Tabel59[[#This Row],[Goals DefA]]+Tabel59[[#This Row],[Goals OffA]]</f>
        <v>0</v>
      </c>
      <c r="BF106" s="112">
        <f>IF(Tabel59[[#This Row],[Aantal games Alg]]=0,0,Tabel59[[#This Row],[Goals Alg]]/Tabel59[[#This Row],[Aantal games Alg]])</f>
        <v>0</v>
      </c>
      <c r="BG106" s="148">
        <f>SUMIF(Tabel158[Team Rood],Tabel59[[#This Row],[Team]],Tabel158[ET])</f>
        <v>0</v>
      </c>
      <c r="BH106" s="150">
        <f>SUMIF(Tabel158[Team Groen],Tabel59[[#This Row],[Team]],Tabel158[ET])</f>
        <v>0</v>
      </c>
      <c r="BI106" s="153">
        <f>SUM(Tabel59[[#This Row],[ET Groen tot]],Tabel59[[#This Row],[ET Rood tot]])</f>
        <v>0</v>
      </c>
      <c r="BJ106" s="155">
        <f>IF(Tabel59[[#This Row],[Aantal games Alg]]=0,0,Tabel59[[#This Row],[ET tot]]/Tabel59[[#This Row],[Aantal games Alg]])</f>
        <v>0</v>
      </c>
    </row>
    <row r="107" spans="1:62" x14ac:dyDescent="0.25">
      <c r="A107" s="124">
        <f ca="1">IF(Tabel158[[#This Row],[Rood Verdediging]]&lt;&gt;"",IF(A107="",NOW(),A107),"")</f>
        <v>43878.947694907409</v>
      </c>
      <c r="B107" s="128">
        <f ca="1">IF(Tabel158[[#This Row],[Rood Verdediging]]&lt;&gt;"",IF(B107="",NOW(),B107),"")</f>
        <v>43878.947694907409</v>
      </c>
      <c r="C107" s="126">
        <f ca="1">IF(Tabel158[[#This Row],[Score]]&lt;&gt;"",IF(C107="",NOW(),C107),"")</f>
        <v>43878.947694907409</v>
      </c>
      <c r="D107" s="127">
        <f ca="1">IF(OR(Tabel158[[#This Row],[Starttijd]]="",Tabel158[[#This Row],[Eindtijd]]=""),"",Tabel158[[#This Row],[Eindtijd]]-Tabel158[[#This Row],[Starttijd]])</f>
        <v>0</v>
      </c>
      <c r="E107" s="74">
        <v>107</v>
      </c>
      <c r="F107" s="205" t="s">
        <v>7</v>
      </c>
      <c r="G107" s="210">
        <v>2</v>
      </c>
      <c r="H107" s="205" t="s">
        <v>3</v>
      </c>
      <c r="I107" s="210">
        <v>9</v>
      </c>
      <c r="J107" s="206" t="s">
        <v>11</v>
      </c>
      <c r="K107" s="212">
        <v>2</v>
      </c>
      <c r="L107" s="206" t="s">
        <v>6</v>
      </c>
      <c r="M107" s="212">
        <v>6</v>
      </c>
      <c r="N107" s="81">
        <f t="shared" si="14"/>
        <v>11</v>
      </c>
      <c r="O107" s="82">
        <f t="shared" si="15"/>
        <v>8</v>
      </c>
      <c r="P107" s="70" t="str">
        <f t="shared" si="18"/>
        <v>ROOD</v>
      </c>
      <c r="Q107" s="86" t="str">
        <f t="shared" si="16"/>
        <v>Tiemen</v>
      </c>
      <c r="R107" s="87" t="str">
        <f t="shared" si="17"/>
        <v>Karel</v>
      </c>
      <c r="S107" t="str">
        <f>Tabel158[[#This Row],[Rood Verdediging]]&amp;Tabel158[[#This Row],[Rood Aanval]]</f>
        <v>TiemenKarel</v>
      </c>
      <c r="T107" t="str">
        <f>Tabel158[[#This Row],[Groen Verdediging]]&amp;Tabel158[[#This Row],[Groen Aanval]]</f>
        <v>MatthijsStef D</v>
      </c>
      <c r="U107" t="str">
        <f>Tabel158[[#This Row],[Winnaar 1]]&amp;Tabel158[[#This Row],[Winnaar 2]]</f>
        <v>TiemenKarel</v>
      </c>
      <c r="V107" s="147" t="str">
        <f>IF(Tabel158[[#This Row],[Team Rood]]=Tabel158[[#This Row],[Winnaars]],Tabel158[[#This Row],[Team Rood]])</f>
        <v>TiemenKarel</v>
      </c>
      <c r="W107" s="147" t="b">
        <f>IF(Tabel158[[#This Row],[Team Groen]]=Tabel158[[#This Row],[Winnaars]],Tabel158[[#This Row],[Team Groen]])</f>
        <v>0</v>
      </c>
      <c r="X107" s="147"/>
      <c r="AH107" s="251" t="s">
        <v>67</v>
      </c>
      <c r="AI107" s="233" t="s">
        <v>162</v>
      </c>
      <c r="AJ107" s="140" t="str">
        <f t="shared" si="20"/>
        <v>LawrenceMatthijs*</v>
      </c>
      <c r="AK107" s="160">
        <f>IF(Tabel59[[#This Row],[Aantal Games Rood]]=0,0,(Tabel59[[#This Row],[Wins Rood]])/Tabel59[[#This Row],[Aantal Games Rood]])</f>
        <v>0</v>
      </c>
      <c r="AL107" s="159">
        <f>IF(Tabel59[[#This Row],[Aantal Games Groen]]=0,0,(Tabel59[[#This Row],[Wins Groen]])/Tabel59[[#This Row],[Aantal Games Groen]])</f>
        <v>0</v>
      </c>
      <c r="AM107" s="156">
        <f>IF(Tabel59[[#This Row],[Aantal games Alg]]=0,0,(Tabel59[[#This Row],[Wins Alg]])/Tabel59[[#This Row],[Aantal games Alg]])</f>
        <v>0</v>
      </c>
      <c r="AN107" s="133">
        <f>COUNTIF(Tabel158[Winaar rood],Tabel59[[#This Row],[Team]])</f>
        <v>0</v>
      </c>
      <c r="AO107" s="134">
        <f>COUNTIF(Tabel158[Winnaar Groen],Tabel59[[#This Row],[Team]])</f>
        <v>0</v>
      </c>
      <c r="AP107">
        <f>COUNTIF(Tabel158[Winnaars],Tabel59[[#This Row],[Team]])</f>
        <v>0</v>
      </c>
      <c r="AQ107" s="135">
        <f>Tabel59[[#This Row],[Aantal Games Rood]]-Tabel59[[#This Row],[Wins Rood]]</f>
        <v>0</v>
      </c>
      <c r="AR107" s="136">
        <f>Tabel59[[#This Row],[Aantal Games Groen]]-Tabel59[[#This Row],[Wins Groen]]</f>
        <v>0</v>
      </c>
      <c r="AS107" s="137">
        <f>Tabel59[[#This Row],[Aantal games Alg]]-Tabel59[[#This Row],[Wins Alg]]</f>
        <v>0</v>
      </c>
      <c r="AT107" s="138">
        <f>COUNTIF(Tabel158[Team Rood],Tabel59[[#This Row],[Team]])</f>
        <v>0</v>
      </c>
      <c r="AU107" s="136">
        <f>COUNTIF(Tabel158[Team Groen],Tabel59[[#This Row],[Team]])</f>
        <v>0</v>
      </c>
      <c r="AV107" s="112">
        <f>Tabel59[[#This Row],[Aantal Games Rood]]+Tabel59[[#This Row],[Aantal Games Groen]]</f>
        <v>0</v>
      </c>
      <c r="AW107" s="138">
        <f>SUMIF(Tabel158[Team Rood],Tabel59[[#This Row],[Team]],Tabel158[Score])</f>
        <v>0</v>
      </c>
      <c r="AX107" s="138">
        <f>SUMIF(Tabel158[Team Rood],Tabel59[[#This Row],[Team]],Tabel158[Score2])</f>
        <v>0</v>
      </c>
      <c r="AY107" s="134">
        <f>SUMIF(Tabel158[Team Groen],Tabel59[[#This Row],[Team]],Tabel158[Score3])</f>
        <v>0</v>
      </c>
      <c r="AZ107" s="136">
        <f>SUMIF(Tabel158[Team Groen],Tabel59[[#This Row],[Team]],Tabel158[Score4])</f>
        <v>0</v>
      </c>
      <c r="BA107">
        <f>SUM(Tabel59[[#This Row],[Goals Verdediger]]+Tabel59[[#This Row],[Goals DefG]])</f>
        <v>0</v>
      </c>
      <c r="BB107">
        <f>IF(Tabel59[[#This Row],[Aantal games Alg]]=0,0,Tabel59[[#This Row],[Goals DefA]]/Tabel59[[#This Row],[Aantal games Alg]])</f>
        <v>0</v>
      </c>
      <c r="BC107">
        <f>SUM(Tabel59[[#This Row],[Goals Aanvaller]]+Tabel59[[#This Row],[Goals OffG]])</f>
        <v>0</v>
      </c>
      <c r="BD107">
        <f>IF(Tabel59[[#This Row],[Aantal games Alg]]=0,0,Tabel59[[#This Row],[Goals OffA]]/Tabel59[[#This Row],[Aantal games Alg]])</f>
        <v>0</v>
      </c>
      <c r="BE107" s="112">
        <f>Tabel59[[#This Row],[Goals DefA]]+Tabel59[[#This Row],[Goals OffA]]</f>
        <v>0</v>
      </c>
      <c r="BF107" s="112">
        <f>IF(Tabel59[[#This Row],[Aantal games Alg]]=0,0,Tabel59[[#This Row],[Goals Alg]]/Tabel59[[#This Row],[Aantal games Alg]])</f>
        <v>0</v>
      </c>
      <c r="BG107" s="148">
        <f>SUMIF(Tabel158[Team Rood],Tabel59[[#This Row],[Team]],Tabel158[ET])</f>
        <v>0</v>
      </c>
      <c r="BH107" s="150">
        <f>SUMIF(Tabel158[Team Groen],Tabel59[[#This Row],[Team]],Tabel158[ET])</f>
        <v>0</v>
      </c>
      <c r="BI107" s="153">
        <f>SUM(Tabel59[[#This Row],[ET Groen tot]],Tabel59[[#This Row],[ET Rood tot]])</f>
        <v>0</v>
      </c>
      <c r="BJ107" s="155">
        <f>IF(Tabel59[[#This Row],[Aantal games Alg]]=0,0,Tabel59[[#This Row],[ET tot]]/Tabel59[[#This Row],[Aantal games Alg]])</f>
        <v>0</v>
      </c>
    </row>
    <row r="108" spans="1:62" x14ac:dyDescent="0.25">
      <c r="A108" s="124">
        <f ca="1">IF(Tabel158[[#This Row],[Rood Verdediging]]&lt;&gt;"",IF(A108="",NOW(),A108),"")</f>
        <v>43878.947694907409</v>
      </c>
      <c r="B108" s="128">
        <f ca="1">IF(Tabel158[[#This Row],[Rood Verdediging]]&lt;&gt;"",IF(B108="",NOW(),B108),"")</f>
        <v>43878.947694907409</v>
      </c>
      <c r="C108" s="126">
        <f ca="1">IF(Tabel158[[#This Row],[Score]]&lt;&gt;"",IF(C108="",NOW(),C108),"")</f>
        <v>43878.947694907409</v>
      </c>
      <c r="D108" s="127">
        <f ca="1">IF(OR(Tabel158[[#This Row],[Starttijd]]="",Tabel158[[#This Row],[Eindtijd]]=""),"",Tabel158[[#This Row],[Eindtijd]]-Tabel158[[#This Row],[Starttijd]])</f>
        <v>0</v>
      </c>
      <c r="E108" s="74">
        <v>108</v>
      </c>
      <c r="F108" s="205" t="s">
        <v>3</v>
      </c>
      <c r="G108" s="210">
        <v>4</v>
      </c>
      <c r="H108" s="205" t="s">
        <v>11</v>
      </c>
      <c r="I108" s="210">
        <v>10</v>
      </c>
      <c r="J108" s="206" t="s">
        <v>7</v>
      </c>
      <c r="K108" s="212">
        <v>4</v>
      </c>
      <c r="L108" s="206" t="s">
        <v>6</v>
      </c>
      <c r="M108" s="212">
        <v>12</v>
      </c>
      <c r="N108" s="81">
        <f t="shared" si="14"/>
        <v>14</v>
      </c>
      <c r="O108" s="82">
        <f t="shared" si="15"/>
        <v>16</v>
      </c>
      <c r="P108" s="70" t="str">
        <f t="shared" si="18"/>
        <v>GROEN</v>
      </c>
      <c r="Q108" s="86" t="str">
        <f t="shared" si="16"/>
        <v>Tiemen</v>
      </c>
      <c r="R108" s="87" t="str">
        <f t="shared" si="17"/>
        <v>Stef D</v>
      </c>
      <c r="S108" t="str">
        <f>Tabel158[[#This Row],[Rood Verdediging]]&amp;Tabel158[[#This Row],[Rood Aanval]]</f>
        <v>KarelMatthijs</v>
      </c>
      <c r="T108" t="str">
        <f>Tabel158[[#This Row],[Groen Verdediging]]&amp;Tabel158[[#This Row],[Groen Aanval]]</f>
        <v>TiemenStef D</v>
      </c>
      <c r="U108" t="str">
        <f>Tabel158[[#This Row],[Winnaar 1]]&amp;Tabel158[[#This Row],[Winnaar 2]]</f>
        <v>TiemenStef D</v>
      </c>
      <c r="V108" s="147" t="b">
        <f>IF(Tabel158[[#This Row],[Team Rood]]=Tabel158[[#This Row],[Winnaars]],Tabel158[[#This Row],[Team Rood]])</f>
        <v>0</v>
      </c>
      <c r="W108" s="147" t="str">
        <f>IF(Tabel158[[#This Row],[Team Groen]]=Tabel158[[#This Row],[Winnaars]],Tabel158[[#This Row],[Team Groen]])</f>
        <v>TiemenStef D</v>
      </c>
      <c r="X108" s="147"/>
      <c r="AH108" s="251" t="s">
        <v>67</v>
      </c>
      <c r="AI108" s="233" t="s">
        <v>170</v>
      </c>
      <c r="AJ108" s="140" t="str">
        <f t="shared" si="20"/>
        <v>LawrenceNico*</v>
      </c>
      <c r="AK108" s="160">
        <f>IF(Tabel59[[#This Row],[Aantal Games Rood]]=0,0,(Tabel59[[#This Row],[Wins Rood]])/Tabel59[[#This Row],[Aantal Games Rood]])</f>
        <v>0</v>
      </c>
      <c r="AL108" s="159">
        <f>IF(Tabel59[[#This Row],[Aantal Games Groen]]=0,0,(Tabel59[[#This Row],[Wins Groen]])/Tabel59[[#This Row],[Aantal Games Groen]])</f>
        <v>0</v>
      </c>
      <c r="AM108" s="156">
        <f>IF(Tabel59[[#This Row],[Aantal games Alg]]=0,0,(Tabel59[[#This Row],[Wins Alg]])/Tabel59[[#This Row],[Aantal games Alg]])</f>
        <v>0</v>
      </c>
      <c r="AN108" s="133">
        <f>COUNTIF(Tabel158[Winaar rood],Tabel59[[#This Row],[Team]])</f>
        <v>0</v>
      </c>
      <c r="AO108" s="134">
        <f>COUNTIF(Tabel158[Winnaar Groen],Tabel59[[#This Row],[Team]])</f>
        <v>0</v>
      </c>
      <c r="AP108">
        <f>COUNTIF(Tabel158[Winnaars],Tabel59[[#This Row],[Team]])</f>
        <v>0</v>
      </c>
      <c r="AQ108" s="135">
        <f>Tabel59[[#This Row],[Aantal Games Rood]]-Tabel59[[#This Row],[Wins Rood]]</f>
        <v>0</v>
      </c>
      <c r="AR108" s="136">
        <f>Tabel59[[#This Row],[Aantal Games Groen]]-Tabel59[[#This Row],[Wins Groen]]</f>
        <v>0</v>
      </c>
      <c r="AS108" s="137">
        <f>Tabel59[[#This Row],[Aantal games Alg]]-Tabel59[[#This Row],[Wins Alg]]</f>
        <v>0</v>
      </c>
      <c r="AT108" s="138">
        <f>COUNTIF(Tabel158[Team Rood],Tabel59[[#This Row],[Team]])</f>
        <v>0</v>
      </c>
      <c r="AU108" s="136">
        <f>COUNTIF(Tabel158[Team Groen],Tabel59[[#This Row],[Team]])</f>
        <v>0</v>
      </c>
      <c r="AV108" s="112">
        <f>Tabel59[[#This Row],[Aantal Games Rood]]+Tabel59[[#This Row],[Aantal Games Groen]]</f>
        <v>0</v>
      </c>
      <c r="AW108" s="138">
        <f>SUMIF(Tabel158[Team Rood],Tabel59[[#This Row],[Team]],Tabel158[Score])</f>
        <v>0</v>
      </c>
      <c r="AX108" s="138">
        <f>SUMIF(Tabel158[Team Rood],Tabel59[[#This Row],[Team]],Tabel158[Score2])</f>
        <v>0</v>
      </c>
      <c r="AY108" s="134">
        <f>SUMIF(Tabel158[Team Groen],Tabel59[[#This Row],[Team]],Tabel158[Score3])</f>
        <v>0</v>
      </c>
      <c r="AZ108" s="136">
        <f>SUMIF(Tabel158[Team Groen],Tabel59[[#This Row],[Team]],Tabel158[Score4])</f>
        <v>0</v>
      </c>
      <c r="BA108">
        <f>SUM(Tabel59[[#This Row],[Goals Verdediger]]+Tabel59[[#This Row],[Goals DefG]])</f>
        <v>0</v>
      </c>
      <c r="BB108">
        <f>IF(Tabel59[[#This Row],[Aantal games Alg]]=0,0,Tabel59[[#This Row],[Goals DefA]]/Tabel59[[#This Row],[Aantal games Alg]])</f>
        <v>0</v>
      </c>
      <c r="BC108">
        <f>SUM(Tabel59[[#This Row],[Goals Aanvaller]]+Tabel59[[#This Row],[Goals OffG]])</f>
        <v>0</v>
      </c>
      <c r="BD108">
        <f>IF(Tabel59[[#This Row],[Aantal games Alg]]=0,0,Tabel59[[#This Row],[Goals OffA]]/Tabel59[[#This Row],[Aantal games Alg]])</f>
        <v>0</v>
      </c>
      <c r="BE108" s="112">
        <f>Tabel59[[#This Row],[Goals DefA]]+Tabel59[[#This Row],[Goals OffA]]</f>
        <v>0</v>
      </c>
      <c r="BF108" s="112">
        <f>IF(Tabel59[[#This Row],[Aantal games Alg]]=0,0,Tabel59[[#This Row],[Goals Alg]]/Tabel59[[#This Row],[Aantal games Alg]])</f>
        <v>0</v>
      </c>
      <c r="BG108" s="148">
        <f>SUMIF(Tabel158[Team Rood],Tabel59[[#This Row],[Team]],Tabel158[ET])</f>
        <v>0</v>
      </c>
      <c r="BH108" s="150">
        <f>SUMIF(Tabel158[Team Groen],Tabel59[[#This Row],[Team]],Tabel158[ET])</f>
        <v>0</v>
      </c>
      <c r="BI108" s="153">
        <f>SUM(Tabel59[[#This Row],[ET Groen tot]],Tabel59[[#This Row],[ET Rood tot]])</f>
        <v>0</v>
      </c>
      <c r="BJ108" s="155">
        <f>IF(Tabel59[[#This Row],[Aantal games Alg]]=0,0,Tabel59[[#This Row],[ET tot]]/Tabel59[[#This Row],[Aantal games Alg]])</f>
        <v>0</v>
      </c>
    </row>
    <row r="109" spans="1:62" x14ac:dyDescent="0.25">
      <c r="A109" s="124">
        <f ca="1">IF(Tabel158[[#This Row],[Rood Verdediging]]&lt;&gt;"",IF(A109="",NOW(),A109),"")</f>
        <v>43878.947694907409</v>
      </c>
      <c r="B109" s="128">
        <f ca="1">IF(Tabel158[[#This Row],[Rood Verdediging]]&lt;&gt;"",IF(B109="",NOW(),B109),"")</f>
        <v>43878.947694907409</v>
      </c>
      <c r="C109" s="126">
        <f ca="1">IF(Tabel158[[#This Row],[Score]]&lt;&gt;"",IF(C109="",NOW(),C109),"")</f>
        <v>43878.947694907409</v>
      </c>
      <c r="D109" s="127">
        <f ca="1">IF(OR(Tabel158[[#This Row],[Starttijd]]="",Tabel158[[#This Row],[Eindtijd]]=""),"",Tabel158[[#This Row],[Eindtijd]]-Tabel158[[#This Row],[Starttijd]])</f>
        <v>0</v>
      </c>
      <c r="E109" s="74">
        <v>109</v>
      </c>
      <c r="F109" s="205" t="s">
        <v>11</v>
      </c>
      <c r="G109" s="210">
        <v>7</v>
      </c>
      <c r="H109" s="205" t="s">
        <v>7</v>
      </c>
      <c r="I109" s="210">
        <v>5</v>
      </c>
      <c r="J109" s="206" t="s">
        <v>3</v>
      </c>
      <c r="K109" s="212">
        <v>4</v>
      </c>
      <c r="L109" s="206" t="s">
        <v>6</v>
      </c>
      <c r="M109" s="212">
        <v>6</v>
      </c>
      <c r="N109" s="81">
        <f t="shared" si="14"/>
        <v>12</v>
      </c>
      <c r="O109" s="82">
        <f t="shared" si="15"/>
        <v>10</v>
      </c>
      <c r="P109" s="70" t="str">
        <f t="shared" si="18"/>
        <v>ROOD</v>
      </c>
      <c r="Q109" s="86" t="str">
        <f t="shared" si="16"/>
        <v>Matthijs</v>
      </c>
      <c r="R109" s="87" t="str">
        <f t="shared" si="17"/>
        <v>Tiemen</v>
      </c>
      <c r="S109" t="str">
        <f>Tabel158[[#This Row],[Rood Verdediging]]&amp;Tabel158[[#This Row],[Rood Aanval]]</f>
        <v>MatthijsTiemen</v>
      </c>
      <c r="T109" t="str">
        <f>Tabel158[[#This Row],[Groen Verdediging]]&amp;Tabel158[[#This Row],[Groen Aanval]]</f>
        <v>KarelStef D</v>
      </c>
      <c r="U109" t="str">
        <f>Tabel158[[#This Row],[Winnaar 1]]&amp;Tabel158[[#This Row],[Winnaar 2]]</f>
        <v>MatthijsTiemen</v>
      </c>
      <c r="V109" s="147" t="str">
        <f>IF(Tabel158[[#This Row],[Team Rood]]=Tabel158[[#This Row],[Winnaars]],Tabel158[[#This Row],[Team Rood]])</f>
        <v>MatthijsTiemen</v>
      </c>
      <c r="W109" s="147" t="b">
        <f>IF(Tabel158[[#This Row],[Team Groen]]=Tabel158[[#This Row],[Winnaars]],Tabel158[[#This Row],[Team Groen]])</f>
        <v>0</v>
      </c>
      <c r="X109" s="147"/>
      <c r="AH109" s="251" t="s">
        <v>67</v>
      </c>
      <c r="AI109" s="233" t="s">
        <v>169</v>
      </c>
      <c r="AJ109" s="140" t="str">
        <f t="shared" si="20"/>
        <v>LawrenceStef*</v>
      </c>
      <c r="AK109" s="160">
        <f>IF(Tabel59[[#This Row],[Aantal Games Rood]]=0,0,(Tabel59[[#This Row],[Wins Rood]])/Tabel59[[#This Row],[Aantal Games Rood]])</f>
        <v>0</v>
      </c>
      <c r="AL109" s="159">
        <f>IF(Tabel59[[#This Row],[Aantal Games Groen]]=0,0,(Tabel59[[#This Row],[Wins Groen]])/Tabel59[[#This Row],[Aantal Games Groen]])</f>
        <v>0</v>
      </c>
      <c r="AM109" s="156">
        <f>IF(Tabel59[[#This Row],[Aantal games Alg]]=0,0,(Tabel59[[#This Row],[Wins Alg]])/Tabel59[[#This Row],[Aantal games Alg]])</f>
        <v>0</v>
      </c>
      <c r="AN109" s="138">
        <f>COUNTIF(Tabel158[Winaar rood],Tabel59[[#This Row],[Team]])</f>
        <v>0</v>
      </c>
      <c r="AO109" s="134">
        <f>COUNTIF(Tabel158[Winnaar Groen],Tabel59[[#This Row],[Team]])</f>
        <v>0</v>
      </c>
      <c r="AP109">
        <f>COUNTIF(Tabel158[Winnaars],Tabel59[[#This Row],[Team]])</f>
        <v>0</v>
      </c>
      <c r="AQ109" s="135">
        <f>Tabel59[[#This Row],[Aantal Games Rood]]-Tabel59[[#This Row],[Wins Rood]]</f>
        <v>1</v>
      </c>
      <c r="AR109" s="136">
        <f>Tabel59[[#This Row],[Aantal Games Groen]]-Tabel59[[#This Row],[Wins Groen]]</f>
        <v>1</v>
      </c>
      <c r="AS109" s="137">
        <f>Tabel59[[#This Row],[Aantal games Alg]]-Tabel59[[#This Row],[Wins Alg]]</f>
        <v>2</v>
      </c>
      <c r="AT109" s="138">
        <f>COUNTIF(Tabel158[Team Rood],Tabel59[[#This Row],[Team]])</f>
        <v>1</v>
      </c>
      <c r="AU109" s="136">
        <f>COUNTIF(Tabel158[Team Groen],Tabel59[[#This Row],[Team]])</f>
        <v>1</v>
      </c>
      <c r="AV109" s="112">
        <f>Tabel59[[#This Row],[Aantal Games Rood]]+Tabel59[[#This Row],[Aantal Games Groen]]</f>
        <v>2</v>
      </c>
      <c r="AW109" s="138">
        <f>SUMIF(Tabel158[Team Rood],Tabel59[[#This Row],[Team]],Tabel158[Score])</f>
        <v>1</v>
      </c>
      <c r="AX109" s="138">
        <f>SUMIF(Tabel158[Team Rood],Tabel59[[#This Row],[Team]],Tabel158[Score2])</f>
        <v>7</v>
      </c>
      <c r="AY109" s="134">
        <f>SUMIF(Tabel158[Team Groen],Tabel59[[#This Row],[Team]],Tabel158[Score3])</f>
        <v>1</v>
      </c>
      <c r="AZ109" s="136">
        <f>SUMIF(Tabel158[Team Groen],Tabel59[[#This Row],[Team]],Tabel158[Score4])</f>
        <v>8</v>
      </c>
      <c r="BA109">
        <f>SUM(Tabel59[[#This Row],[Goals Verdediger]]+Tabel59[[#This Row],[Goals DefG]])</f>
        <v>2</v>
      </c>
      <c r="BB109">
        <f>IF(Tabel59[[#This Row],[Aantal games Alg]]=0,0,Tabel59[[#This Row],[Goals DefA]]/Tabel59[[#This Row],[Aantal games Alg]])</f>
        <v>1</v>
      </c>
      <c r="BC109">
        <f>SUM(Tabel59[[#This Row],[Goals Aanvaller]]+Tabel59[[#This Row],[Goals OffG]])</f>
        <v>15</v>
      </c>
      <c r="BD109">
        <f>IF(Tabel59[[#This Row],[Aantal games Alg]]=0,0,Tabel59[[#This Row],[Goals OffA]]/Tabel59[[#This Row],[Aantal games Alg]])</f>
        <v>7.5</v>
      </c>
      <c r="BE109" s="112">
        <f>Tabel59[[#This Row],[Goals DefA]]+Tabel59[[#This Row],[Goals OffA]]</f>
        <v>17</v>
      </c>
      <c r="BF109" s="112">
        <f>IF(Tabel59[[#This Row],[Aantal games Alg]]=0,0,Tabel59[[#This Row],[Goals Alg]]/Tabel59[[#This Row],[Aantal games Alg]])</f>
        <v>8.5</v>
      </c>
      <c r="BG109" s="148">
        <f ca="1">SUMIF(Tabel158[Team Rood],Tabel59[[#This Row],[Team]],Tabel158[ET])</f>
        <v>0</v>
      </c>
      <c r="BH109" s="150">
        <f ca="1">SUMIF(Tabel158[Team Groen],Tabel59[[#This Row],[Team]],Tabel158[ET])</f>
        <v>0</v>
      </c>
      <c r="BI109" s="153">
        <f ca="1">SUM(Tabel59[[#This Row],[ET Groen tot]],Tabel59[[#This Row],[ET Rood tot]])</f>
        <v>0</v>
      </c>
      <c r="BJ109" s="155">
        <f ca="1">IF(Tabel59[[#This Row],[Aantal games Alg]]=0,0,Tabel59[[#This Row],[ET tot]]/Tabel59[[#This Row],[Aantal games Alg]])</f>
        <v>0</v>
      </c>
    </row>
    <row r="110" spans="1:62" x14ac:dyDescent="0.25">
      <c r="A110" s="124">
        <f ca="1">IF(Tabel158[[#This Row],[Rood Verdediging]]&lt;&gt;"",IF(A110="",NOW(),A110),"")</f>
        <v>43878.947694907409</v>
      </c>
      <c r="B110" s="128">
        <f ca="1">IF(Tabel158[[#This Row],[Rood Verdediging]]&lt;&gt;"",IF(B110="",NOW(),B110),"")</f>
        <v>43878.947694907409</v>
      </c>
      <c r="C110" s="126">
        <f ca="1">IF(Tabel158[[#This Row],[Score]]&lt;&gt;"",IF(C110="",NOW(),C110),"")</f>
        <v>43878.947694907409</v>
      </c>
      <c r="D110" s="127">
        <f ca="1">IF(OR(Tabel158[[#This Row],[Starttijd]]="",Tabel158[[#This Row],[Eindtijd]]=""),"",Tabel158[[#This Row],[Eindtijd]]-Tabel158[[#This Row],[Starttijd]])</f>
        <v>0</v>
      </c>
      <c r="E110" s="74">
        <v>110</v>
      </c>
      <c r="F110" s="205" t="s">
        <v>11</v>
      </c>
      <c r="G110" s="210">
        <v>3</v>
      </c>
      <c r="H110" s="205" t="s">
        <v>7</v>
      </c>
      <c r="I110" s="210">
        <v>8</v>
      </c>
      <c r="J110" s="206" t="s">
        <v>8</v>
      </c>
      <c r="K110" s="212">
        <v>3</v>
      </c>
      <c r="L110" s="206" t="s">
        <v>13</v>
      </c>
      <c r="M110" s="212">
        <v>5</v>
      </c>
      <c r="N110" s="81">
        <f t="shared" si="14"/>
        <v>11</v>
      </c>
      <c r="O110" s="82">
        <f t="shared" si="15"/>
        <v>8</v>
      </c>
      <c r="P110" s="70" t="str">
        <f t="shared" si="18"/>
        <v>ROOD</v>
      </c>
      <c r="Q110" s="86" t="str">
        <f t="shared" si="16"/>
        <v>Matthijs</v>
      </c>
      <c r="R110" s="87" t="str">
        <f t="shared" si="17"/>
        <v>Tiemen</v>
      </c>
      <c r="S110" t="str">
        <f>Tabel158[[#This Row],[Rood Verdediging]]&amp;Tabel158[[#This Row],[Rood Aanval]]</f>
        <v>MatthijsTiemen</v>
      </c>
      <c r="T110" t="str">
        <f>Tabel158[[#This Row],[Groen Verdediging]]&amp;Tabel158[[#This Row],[Groen Aanval]]</f>
        <v>LouisBert</v>
      </c>
      <c r="U110" t="str">
        <f>Tabel158[[#This Row],[Winnaar 1]]&amp;Tabel158[[#This Row],[Winnaar 2]]</f>
        <v>MatthijsTiemen</v>
      </c>
      <c r="V110" s="147" t="str">
        <f>IF(Tabel158[[#This Row],[Team Rood]]=Tabel158[[#This Row],[Winnaars]],Tabel158[[#This Row],[Team Rood]])</f>
        <v>MatthijsTiemen</v>
      </c>
      <c r="W110" s="147" t="b">
        <f>IF(Tabel158[[#This Row],[Team Groen]]=Tabel158[[#This Row],[Winnaars]],Tabel158[[#This Row],[Team Groen]])</f>
        <v>0</v>
      </c>
      <c r="X110" s="147"/>
      <c r="AH110" s="251" t="s">
        <v>67</v>
      </c>
      <c r="AI110" s="233" t="s">
        <v>166</v>
      </c>
      <c r="AJ110" s="140" t="str">
        <f t="shared" si="20"/>
        <v>LawrenceStijn*</v>
      </c>
      <c r="AK110" s="160">
        <f>IF(Tabel59[[#This Row],[Aantal Games Rood]]=0,0,(Tabel59[[#This Row],[Wins Rood]])/Tabel59[[#This Row],[Aantal Games Rood]])</f>
        <v>0</v>
      </c>
      <c r="AL110" s="159">
        <f>IF(Tabel59[[#This Row],[Aantal Games Groen]]=0,0,(Tabel59[[#This Row],[Wins Groen]])/Tabel59[[#This Row],[Aantal Games Groen]])</f>
        <v>0</v>
      </c>
      <c r="AM110" s="156">
        <f>IF(Tabel59[[#This Row],[Aantal games Alg]]=0,0,(Tabel59[[#This Row],[Wins Alg]])/Tabel59[[#This Row],[Aantal games Alg]])</f>
        <v>0</v>
      </c>
      <c r="AN110" s="133">
        <f>COUNTIF(Tabel158[Winaar rood],Tabel59[[#This Row],[Team]])</f>
        <v>0</v>
      </c>
      <c r="AO110" s="134">
        <f>COUNTIF(Tabel158[Winnaar Groen],Tabel59[[#This Row],[Team]])</f>
        <v>0</v>
      </c>
      <c r="AP110">
        <f>COUNTIF(Tabel158[Winnaars],Tabel59[[#This Row],[Team]])</f>
        <v>0</v>
      </c>
      <c r="AQ110" s="135">
        <f>Tabel59[[#This Row],[Aantal Games Rood]]-Tabel59[[#This Row],[Wins Rood]]</f>
        <v>0</v>
      </c>
      <c r="AR110" s="136">
        <f>Tabel59[[#This Row],[Aantal Games Groen]]-Tabel59[[#This Row],[Wins Groen]]</f>
        <v>0</v>
      </c>
      <c r="AS110" s="137">
        <f>Tabel59[[#This Row],[Aantal games Alg]]-Tabel59[[#This Row],[Wins Alg]]</f>
        <v>0</v>
      </c>
      <c r="AT110" s="138">
        <f>COUNTIF(Tabel158[Team Rood],Tabel59[[#This Row],[Team]])</f>
        <v>0</v>
      </c>
      <c r="AU110" s="136">
        <f>COUNTIF(Tabel158[Team Groen],Tabel59[[#This Row],[Team]])</f>
        <v>0</v>
      </c>
      <c r="AV110" s="112">
        <f>Tabel59[[#This Row],[Aantal Games Rood]]+Tabel59[[#This Row],[Aantal Games Groen]]</f>
        <v>0</v>
      </c>
      <c r="AW110" s="138">
        <f>SUMIF(Tabel158[Team Rood],Tabel59[[#This Row],[Team]],Tabel158[Score])</f>
        <v>0</v>
      </c>
      <c r="AX110" s="138">
        <f>SUMIF(Tabel158[Team Rood],Tabel59[[#This Row],[Team]],Tabel158[Score2])</f>
        <v>0</v>
      </c>
      <c r="AY110" s="134">
        <f>SUMIF(Tabel158[Team Groen],Tabel59[[#This Row],[Team]],Tabel158[Score3])</f>
        <v>0</v>
      </c>
      <c r="AZ110" s="136">
        <f>SUMIF(Tabel158[Team Groen],Tabel59[[#This Row],[Team]],Tabel158[Score4])</f>
        <v>0</v>
      </c>
      <c r="BA110">
        <f>SUM(Tabel59[[#This Row],[Goals Verdediger]]+Tabel59[[#This Row],[Goals DefG]])</f>
        <v>0</v>
      </c>
      <c r="BB110">
        <f>IF(Tabel59[[#This Row],[Aantal games Alg]]=0,0,Tabel59[[#This Row],[Goals DefA]]/Tabel59[[#This Row],[Aantal games Alg]])</f>
        <v>0</v>
      </c>
      <c r="BC110">
        <f>SUM(Tabel59[[#This Row],[Goals Aanvaller]]+Tabel59[[#This Row],[Goals OffG]])</f>
        <v>0</v>
      </c>
      <c r="BD110">
        <f>IF(Tabel59[[#This Row],[Aantal games Alg]]=0,0,Tabel59[[#This Row],[Goals OffA]]/Tabel59[[#This Row],[Aantal games Alg]])</f>
        <v>0</v>
      </c>
      <c r="BE110" s="112">
        <f>Tabel59[[#This Row],[Goals DefA]]+Tabel59[[#This Row],[Goals OffA]]</f>
        <v>0</v>
      </c>
      <c r="BF110" s="112">
        <f>IF(Tabel59[[#This Row],[Aantal games Alg]]=0,0,Tabel59[[#This Row],[Goals Alg]]/Tabel59[[#This Row],[Aantal games Alg]])</f>
        <v>0</v>
      </c>
      <c r="BG110" s="148">
        <f>SUMIF(Tabel158[Team Rood],Tabel59[[#This Row],[Team]],Tabel158[ET])</f>
        <v>0</v>
      </c>
      <c r="BH110" s="150">
        <f>SUMIF(Tabel158[Team Groen],Tabel59[[#This Row],[Team]],Tabel158[ET])</f>
        <v>0</v>
      </c>
      <c r="BI110" s="153">
        <f>SUM(Tabel59[[#This Row],[ET Groen tot]],Tabel59[[#This Row],[ET Rood tot]])</f>
        <v>0</v>
      </c>
      <c r="BJ110" s="155">
        <f>IF(Tabel59[[#This Row],[Aantal games Alg]]=0,0,Tabel59[[#This Row],[ET tot]]/Tabel59[[#This Row],[Aantal games Alg]])</f>
        <v>0</v>
      </c>
    </row>
    <row r="111" spans="1:62" x14ac:dyDescent="0.25">
      <c r="A111" s="124">
        <f ca="1">IF(Tabel158[[#This Row],[Rood Verdediging]]&lt;&gt;"",IF(A111="",NOW(),A111),"")</f>
        <v>43878.947694907409</v>
      </c>
      <c r="B111" s="128">
        <f ca="1">IF(Tabel158[[#This Row],[Rood Verdediging]]&lt;&gt;"",IF(B111="",NOW(),B111),"")</f>
        <v>43878.947694907409</v>
      </c>
      <c r="C111" s="126">
        <f ca="1">IF(Tabel158[[#This Row],[Score]]&lt;&gt;"",IF(C111="",NOW(),C111),"")</f>
        <v>43878.947694907409</v>
      </c>
      <c r="D111" s="127">
        <f ca="1">IF(OR(Tabel158[[#This Row],[Starttijd]]="",Tabel158[[#This Row],[Eindtijd]]=""),"",Tabel158[[#This Row],[Eindtijd]]-Tabel158[[#This Row],[Starttijd]])</f>
        <v>0</v>
      </c>
      <c r="E111" s="74">
        <v>111</v>
      </c>
      <c r="F111" s="205" t="s">
        <v>0</v>
      </c>
      <c r="G111" s="210">
        <v>5</v>
      </c>
      <c r="H111" s="205" t="s">
        <v>11</v>
      </c>
      <c r="I111" s="210">
        <v>6</v>
      </c>
      <c r="J111" s="206" t="s">
        <v>7</v>
      </c>
      <c r="K111" s="212">
        <v>2</v>
      </c>
      <c r="L111" s="206" t="s">
        <v>13</v>
      </c>
      <c r="M111" s="212">
        <v>3</v>
      </c>
      <c r="N111" s="81">
        <f t="shared" si="14"/>
        <v>11</v>
      </c>
      <c r="O111" s="82">
        <f t="shared" si="15"/>
        <v>5</v>
      </c>
      <c r="P111" s="70" t="str">
        <f t="shared" si="18"/>
        <v>ROOD</v>
      </c>
      <c r="Q111" s="86" t="str">
        <f t="shared" si="16"/>
        <v>Jonas</v>
      </c>
      <c r="R111" s="87" t="str">
        <f t="shared" si="17"/>
        <v>Matthijs</v>
      </c>
      <c r="S111" t="str">
        <f>Tabel158[[#This Row],[Rood Verdediging]]&amp;Tabel158[[#This Row],[Rood Aanval]]</f>
        <v>JonasMatthijs</v>
      </c>
      <c r="T111" t="str">
        <f>Tabel158[[#This Row],[Groen Verdediging]]&amp;Tabel158[[#This Row],[Groen Aanval]]</f>
        <v>TiemenBert</v>
      </c>
      <c r="U111" t="str">
        <f>Tabel158[[#This Row],[Winnaar 1]]&amp;Tabel158[[#This Row],[Winnaar 2]]</f>
        <v>JonasMatthijs</v>
      </c>
      <c r="V111" s="147" t="str">
        <f>IF(Tabel158[[#This Row],[Team Rood]]=Tabel158[[#This Row],[Winnaars]],Tabel158[[#This Row],[Team Rood]])</f>
        <v>JonasMatthijs</v>
      </c>
      <c r="W111" s="147" t="b">
        <f>IF(Tabel158[[#This Row],[Team Groen]]=Tabel158[[#This Row],[Winnaars]],Tabel158[[#This Row],[Team Groen]])</f>
        <v>0</v>
      </c>
      <c r="X111" s="147"/>
      <c r="AH111" s="251" t="s">
        <v>67</v>
      </c>
      <c r="AI111" s="232" t="s">
        <v>160</v>
      </c>
      <c r="AJ111" s="140" t="str">
        <f t="shared" si="20"/>
        <v>LawrenceTiemen*</v>
      </c>
      <c r="AK111" s="160">
        <f>IF(Tabel59[[#This Row],[Aantal Games Rood]]=0,0,(Tabel59[[#This Row],[Wins Rood]])/Tabel59[[#This Row],[Aantal Games Rood]])</f>
        <v>0</v>
      </c>
      <c r="AL111" s="159">
        <f>IF(Tabel59[[#This Row],[Aantal Games Groen]]=0,0,(Tabel59[[#This Row],[Wins Groen]])/Tabel59[[#This Row],[Aantal Games Groen]])</f>
        <v>0</v>
      </c>
      <c r="AM111" s="156">
        <f>IF(Tabel59[[#This Row],[Aantal games Alg]]=0,0,(Tabel59[[#This Row],[Wins Alg]])/Tabel59[[#This Row],[Aantal games Alg]])</f>
        <v>0</v>
      </c>
      <c r="AN111" s="133">
        <f>COUNTIF(Tabel158[Winaar rood],Tabel59[[#This Row],[Team]])</f>
        <v>0</v>
      </c>
      <c r="AO111" s="134">
        <f>COUNTIF(Tabel158[Winnaar Groen],Tabel59[[#This Row],[Team]])</f>
        <v>0</v>
      </c>
      <c r="AP111">
        <f>COUNTIF(Tabel158[Winnaars],Tabel59[[#This Row],[Team]])</f>
        <v>0</v>
      </c>
      <c r="AQ111" s="135">
        <f>Tabel59[[#This Row],[Aantal Games Rood]]-Tabel59[[#This Row],[Wins Rood]]</f>
        <v>0</v>
      </c>
      <c r="AR111" s="136">
        <f>Tabel59[[#This Row],[Aantal Games Groen]]-Tabel59[[#This Row],[Wins Groen]]</f>
        <v>0</v>
      </c>
      <c r="AS111" s="137">
        <f>Tabel59[[#This Row],[Aantal games Alg]]-Tabel59[[#This Row],[Wins Alg]]</f>
        <v>0</v>
      </c>
      <c r="AT111" s="138">
        <f>COUNTIF(Tabel158[Team Rood],Tabel59[[#This Row],[Team]])</f>
        <v>0</v>
      </c>
      <c r="AU111" s="136">
        <f>COUNTIF(Tabel158[Team Groen],Tabel59[[#This Row],[Team]])</f>
        <v>0</v>
      </c>
      <c r="AV111" s="112">
        <f>Tabel59[[#This Row],[Aantal Games Rood]]+Tabel59[[#This Row],[Aantal Games Groen]]</f>
        <v>0</v>
      </c>
      <c r="AW111" s="138">
        <f>SUMIF(Tabel158[Team Rood],Tabel59[[#This Row],[Team]],Tabel158[Score])</f>
        <v>0</v>
      </c>
      <c r="AX111" s="138">
        <f>SUMIF(Tabel158[Team Rood],Tabel59[[#This Row],[Team]],Tabel158[Score2])</f>
        <v>0</v>
      </c>
      <c r="AY111" s="134">
        <f>SUMIF(Tabel158[Team Groen],Tabel59[[#This Row],[Team]],Tabel158[Score3])</f>
        <v>0</v>
      </c>
      <c r="AZ111" s="136">
        <f>SUMIF(Tabel158[Team Groen],Tabel59[[#This Row],[Team]],Tabel158[Score4])</f>
        <v>0</v>
      </c>
      <c r="BA111">
        <f>SUM(Tabel59[[#This Row],[Goals Verdediger]]+Tabel59[[#This Row],[Goals DefG]])</f>
        <v>0</v>
      </c>
      <c r="BB111">
        <f>IF(Tabel59[[#This Row],[Aantal games Alg]]=0,0,Tabel59[[#This Row],[Goals DefA]]/Tabel59[[#This Row],[Aantal games Alg]])</f>
        <v>0</v>
      </c>
      <c r="BC111">
        <f>SUM(Tabel59[[#This Row],[Goals Aanvaller]]+Tabel59[[#This Row],[Goals OffG]])</f>
        <v>0</v>
      </c>
      <c r="BD111">
        <f>IF(Tabel59[[#This Row],[Aantal games Alg]]=0,0,Tabel59[[#This Row],[Goals OffA]]/Tabel59[[#This Row],[Aantal games Alg]])</f>
        <v>0</v>
      </c>
      <c r="BE111" s="112">
        <f>Tabel59[[#This Row],[Goals DefA]]+Tabel59[[#This Row],[Goals OffA]]</f>
        <v>0</v>
      </c>
      <c r="BF111" s="112">
        <f>IF(Tabel59[[#This Row],[Aantal games Alg]]=0,0,Tabel59[[#This Row],[Goals Alg]]/Tabel59[[#This Row],[Aantal games Alg]])</f>
        <v>0</v>
      </c>
      <c r="BG111" s="148">
        <f>SUMIF(Tabel158[Team Rood],Tabel59[[#This Row],[Team]],Tabel158[ET])</f>
        <v>0</v>
      </c>
      <c r="BH111" s="150">
        <f>SUMIF(Tabel158[Team Groen],Tabel59[[#This Row],[Team]],Tabel158[ET])</f>
        <v>0</v>
      </c>
      <c r="BI111" s="153">
        <f>SUM(Tabel59[[#This Row],[ET Groen tot]],Tabel59[[#This Row],[ET Rood tot]])</f>
        <v>0</v>
      </c>
      <c r="BJ111" s="155">
        <f>IF(Tabel59[[#This Row],[Aantal games Alg]]=0,0,Tabel59[[#This Row],[ET tot]]/Tabel59[[#This Row],[Aantal games Alg]])</f>
        <v>0</v>
      </c>
    </row>
    <row r="112" spans="1:62" x14ac:dyDescent="0.25">
      <c r="A112" s="124">
        <f ca="1">IF(Tabel158[[#This Row],[Rood Verdediging]]&lt;&gt;"",IF(A112="",NOW(),A112),"")</f>
        <v>43878.947694907409</v>
      </c>
      <c r="B112" s="128">
        <f ca="1">IF(Tabel158[[#This Row],[Rood Verdediging]]&lt;&gt;"",IF(B112="",NOW(),B112),"")</f>
        <v>43878.947694907409</v>
      </c>
      <c r="C112" s="126">
        <f ca="1">IF(Tabel158[[#This Row],[Score]]&lt;&gt;"",IF(C112="",NOW(),C112),"")</f>
        <v>43878.947694907409</v>
      </c>
      <c r="D112" s="127">
        <f ca="1">IF(OR(Tabel158[[#This Row],[Starttijd]]="",Tabel158[[#This Row],[Eindtijd]]=""),"",Tabel158[[#This Row],[Eindtijd]]-Tabel158[[#This Row],[Starttijd]])</f>
        <v>0</v>
      </c>
      <c r="E112" s="74">
        <v>112</v>
      </c>
      <c r="F112" s="205" t="s">
        <v>8</v>
      </c>
      <c r="G112" s="210">
        <v>1</v>
      </c>
      <c r="H112" s="205" t="s">
        <v>0</v>
      </c>
      <c r="I112" s="210">
        <v>4</v>
      </c>
      <c r="J112" s="206" t="s">
        <v>11</v>
      </c>
      <c r="K112" s="212">
        <v>3</v>
      </c>
      <c r="L112" s="206" t="s">
        <v>7</v>
      </c>
      <c r="M112" s="212">
        <v>8</v>
      </c>
      <c r="N112" s="81">
        <f t="shared" si="14"/>
        <v>5</v>
      </c>
      <c r="O112" s="82">
        <f t="shared" si="15"/>
        <v>11</v>
      </c>
      <c r="P112" s="70" t="str">
        <f t="shared" si="18"/>
        <v>GROEN</v>
      </c>
      <c r="Q112" s="86" t="str">
        <f t="shared" si="16"/>
        <v>Matthijs</v>
      </c>
      <c r="R112" s="87" t="str">
        <f t="shared" si="17"/>
        <v>Tiemen</v>
      </c>
      <c r="S112" t="str">
        <f>Tabel158[[#This Row],[Rood Verdediging]]&amp;Tabel158[[#This Row],[Rood Aanval]]</f>
        <v>LouisJonas</v>
      </c>
      <c r="T112" t="str">
        <f>Tabel158[[#This Row],[Groen Verdediging]]&amp;Tabel158[[#This Row],[Groen Aanval]]</f>
        <v>MatthijsTiemen</v>
      </c>
      <c r="U112" t="str">
        <f>Tabel158[[#This Row],[Winnaar 1]]&amp;Tabel158[[#This Row],[Winnaar 2]]</f>
        <v>MatthijsTiemen</v>
      </c>
      <c r="V112" s="147" t="b">
        <f>IF(Tabel158[[#This Row],[Team Rood]]=Tabel158[[#This Row],[Winnaars]],Tabel158[[#This Row],[Team Rood]])</f>
        <v>0</v>
      </c>
      <c r="W112" s="147" t="str">
        <f>IF(Tabel158[[#This Row],[Team Groen]]=Tabel158[[#This Row],[Winnaars]],Tabel158[[#This Row],[Team Groen]])</f>
        <v>MatthijsTiemen</v>
      </c>
      <c r="X112" s="147"/>
      <c r="AH112" s="251" t="s">
        <v>67</v>
      </c>
      <c r="AI112" s="232" t="s">
        <v>157</v>
      </c>
      <c r="AJ112" s="140" t="str">
        <f t="shared" si="20"/>
        <v>LawrenceTobi*</v>
      </c>
      <c r="AK112" s="160">
        <f>IF(Tabel59[[#This Row],[Aantal Games Rood]]=0,0,(Tabel59[[#This Row],[Wins Rood]])/Tabel59[[#This Row],[Aantal Games Rood]])</f>
        <v>0</v>
      </c>
      <c r="AL112" s="159">
        <f>IF(Tabel59[[#This Row],[Aantal Games Groen]]=0,0,(Tabel59[[#This Row],[Wins Groen]])/Tabel59[[#This Row],[Aantal Games Groen]])</f>
        <v>0</v>
      </c>
      <c r="AM112" s="156">
        <f>IF(Tabel59[[#This Row],[Aantal games Alg]]=0,0,(Tabel59[[#This Row],[Wins Alg]])/Tabel59[[#This Row],[Aantal games Alg]])</f>
        <v>0</v>
      </c>
      <c r="AN112" s="133">
        <f>COUNTIF(Tabel158[Winaar rood],Tabel59[[#This Row],[Team]])</f>
        <v>0</v>
      </c>
      <c r="AO112" s="134">
        <f>COUNTIF(Tabel158[Winnaar Groen],Tabel59[[#This Row],[Team]])</f>
        <v>0</v>
      </c>
      <c r="AP112" s="293">
        <f>COUNTIF(Tabel158[Winnaars],Tabel59[[#This Row],[Team]])</f>
        <v>0</v>
      </c>
      <c r="AQ112" s="135">
        <f>Tabel59[[#This Row],[Aantal Games Rood]]-Tabel59[[#This Row],[Wins Rood]]</f>
        <v>0</v>
      </c>
      <c r="AR112" s="136">
        <f>Tabel59[[#This Row],[Aantal Games Groen]]-Tabel59[[#This Row],[Wins Groen]]</f>
        <v>0</v>
      </c>
      <c r="AS112" s="137">
        <f>Tabel59[[#This Row],[Aantal games Alg]]-Tabel59[[#This Row],[Wins Alg]]</f>
        <v>0</v>
      </c>
      <c r="AT112" s="138">
        <f>COUNTIF(Tabel158[Team Rood],Tabel59[[#This Row],[Team]])</f>
        <v>0</v>
      </c>
      <c r="AU112" s="136">
        <f>COUNTIF(Tabel158[Team Groen],Tabel59[[#This Row],[Team]])</f>
        <v>0</v>
      </c>
      <c r="AV112" s="214">
        <f>Tabel59[[#This Row],[Aantal Games Rood]]+Tabel59[[#This Row],[Aantal Games Groen]]</f>
        <v>0</v>
      </c>
      <c r="AW112" s="138">
        <f>SUMIF(Tabel158[Team Rood],Tabel59[[#This Row],[Team]],Tabel158[Score])</f>
        <v>0</v>
      </c>
      <c r="AX112" s="138">
        <f>SUMIF(Tabel158[Team Rood],Tabel59[[#This Row],[Team]],Tabel158[Score2])</f>
        <v>0</v>
      </c>
      <c r="AY112" s="134">
        <f>SUMIF(Tabel158[Team Groen],Tabel59[[#This Row],[Team]],Tabel158[Score3])</f>
        <v>0</v>
      </c>
      <c r="AZ112" s="136">
        <f>SUMIF(Tabel158[Team Groen],Tabel59[[#This Row],[Team]],Tabel158[Score4])</f>
        <v>0</v>
      </c>
      <c r="BA112" s="293">
        <f>SUM(Tabel59[[#This Row],[Goals Verdediger]]+Tabel59[[#This Row],[Goals DefG]])</f>
        <v>0</v>
      </c>
      <c r="BB112" s="293">
        <f>IF(Tabel59[[#This Row],[Aantal games Alg]]=0,0,Tabel59[[#This Row],[Goals DefA]]/Tabel59[[#This Row],[Aantal games Alg]])</f>
        <v>0</v>
      </c>
      <c r="BC112" s="293">
        <f>SUM(Tabel59[[#This Row],[Goals Aanvaller]]+Tabel59[[#This Row],[Goals OffG]])</f>
        <v>0</v>
      </c>
      <c r="BD112" s="293">
        <f>IF(Tabel59[[#This Row],[Aantal games Alg]]=0,0,Tabel59[[#This Row],[Goals OffA]]/Tabel59[[#This Row],[Aantal games Alg]])</f>
        <v>0</v>
      </c>
      <c r="BE112" s="214">
        <f>Tabel59[[#This Row],[Goals DefA]]+Tabel59[[#This Row],[Goals OffA]]</f>
        <v>0</v>
      </c>
      <c r="BF112" s="214">
        <f>IF(Tabel59[[#This Row],[Aantal games Alg]]=0,0,Tabel59[[#This Row],[Goals Alg]]/Tabel59[[#This Row],[Aantal games Alg]])</f>
        <v>0</v>
      </c>
      <c r="BG112" s="148">
        <f>SUMIF(Tabel158[Team Rood],Tabel59[[#This Row],[Team]],Tabel158[ET])</f>
        <v>0</v>
      </c>
      <c r="BH112" s="150">
        <f>SUMIF(Tabel158[Team Groen],Tabel59[[#This Row],[Team]],Tabel158[ET])</f>
        <v>0</v>
      </c>
      <c r="BI112" s="153">
        <f>SUM(Tabel59[[#This Row],[ET Groen tot]],Tabel59[[#This Row],[ET Rood tot]])</f>
        <v>0</v>
      </c>
      <c r="BJ112" s="155">
        <f>IF(Tabel59[[#This Row],[Aantal games Alg]]=0,0,Tabel59[[#This Row],[ET tot]]/Tabel59[[#This Row],[Aantal games Alg]])</f>
        <v>0</v>
      </c>
    </row>
    <row r="113" spans="1:62" x14ac:dyDescent="0.25">
      <c r="A113" s="124">
        <f ca="1">IF(Tabel158[[#This Row],[Rood Verdediging]]&lt;&gt;"",IF(A113="",NOW(),A113),"")</f>
        <v>43878.947694907409</v>
      </c>
      <c r="B113" s="128">
        <f ca="1">IF(Tabel158[[#This Row],[Rood Verdediging]]&lt;&gt;"",IF(B113="",NOW(),B113),"")</f>
        <v>43878.947694907409</v>
      </c>
      <c r="C113" s="126">
        <f ca="1">IF(Tabel158[[#This Row],[Score]]&lt;&gt;"",IF(C113="",NOW(),C113),"")</f>
        <v>43878.947694907409</v>
      </c>
      <c r="D113" s="127">
        <f ca="1">IF(OR(Tabel158[[#This Row],[Starttijd]]="",Tabel158[[#This Row],[Eindtijd]]=""),"",Tabel158[[#This Row],[Eindtijd]]-Tabel158[[#This Row],[Starttijd]])</f>
        <v>0</v>
      </c>
      <c r="E113" s="74">
        <v>113</v>
      </c>
      <c r="F113" s="205" t="s">
        <v>8</v>
      </c>
      <c r="G113" s="210">
        <v>5</v>
      </c>
      <c r="H113" s="205" t="s">
        <v>11</v>
      </c>
      <c r="I113" s="210">
        <v>6</v>
      </c>
      <c r="J113" s="206" t="s">
        <v>0</v>
      </c>
      <c r="K113" s="212">
        <v>2</v>
      </c>
      <c r="L113" s="206" t="s">
        <v>13</v>
      </c>
      <c r="M113" s="212">
        <v>11</v>
      </c>
      <c r="N113" s="81">
        <f t="shared" si="14"/>
        <v>11</v>
      </c>
      <c r="O113" s="82">
        <f t="shared" si="15"/>
        <v>13</v>
      </c>
      <c r="P113" s="70" t="str">
        <f t="shared" si="18"/>
        <v>GROEN</v>
      </c>
      <c r="Q113" s="86" t="str">
        <f t="shared" si="16"/>
        <v>Jonas</v>
      </c>
      <c r="R113" s="87" t="str">
        <f t="shared" si="17"/>
        <v>Bert</v>
      </c>
      <c r="S113" t="str">
        <f>Tabel158[[#This Row],[Rood Verdediging]]&amp;Tabel158[[#This Row],[Rood Aanval]]</f>
        <v>LouisMatthijs</v>
      </c>
      <c r="T113" t="str">
        <f>Tabel158[[#This Row],[Groen Verdediging]]&amp;Tabel158[[#This Row],[Groen Aanval]]</f>
        <v>JonasBert</v>
      </c>
      <c r="U113" t="str">
        <f>Tabel158[[#This Row],[Winnaar 1]]&amp;Tabel158[[#This Row],[Winnaar 2]]</f>
        <v>JonasBert</v>
      </c>
      <c r="V113" s="147" t="b">
        <f>IF(Tabel158[[#This Row],[Team Rood]]=Tabel158[[#This Row],[Winnaars]],Tabel158[[#This Row],[Team Rood]])</f>
        <v>0</v>
      </c>
      <c r="W113" s="147" t="str">
        <f>IF(Tabel158[[#This Row],[Team Groen]]=Tabel158[[#This Row],[Winnaars]],Tabel158[[#This Row],[Team Groen]])</f>
        <v>JonasBert</v>
      </c>
      <c r="X113" s="147"/>
      <c r="AH113" s="251" t="s">
        <v>161</v>
      </c>
      <c r="AI113" s="232" t="s">
        <v>168</v>
      </c>
      <c r="AJ113" s="140" t="str">
        <f t="shared" si="20"/>
        <v>Louis*Coghe*</v>
      </c>
      <c r="AK113" s="160">
        <f>IF(Tabel59[[#This Row],[Aantal Games Rood]]=0,0,(Tabel59[[#This Row],[Wins Rood]])/Tabel59[[#This Row],[Aantal Games Rood]])</f>
        <v>0</v>
      </c>
      <c r="AL113" s="159">
        <f>IF(Tabel59[[#This Row],[Aantal Games Groen]]=0,0,(Tabel59[[#This Row],[Wins Groen]])/Tabel59[[#This Row],[Aantal Games Groen]])</f>
        <v>0</v>
      </c>
      <c r="AM113" s="156">
        <f>IF(Tabel59[[#This Row],[Aantal games Alg]]=0,0,(Tabel59[[#This Row],[Wins Alg]])/Tabel59[[#This Row],[Aantal games Alg]])</f>
        <v>0</v>
      </c>
      <c r="AN113" s="171">
        <f>COUNTIF(Tabel158[Winaar rood],Tabel59[[#This Row],[Team]])</f>
        <v>0</v>
      </c>
      <c r="AO113" s="169">
        <f>COUNTIF(Tabel158[Winnaar Groen],Tabel59[[#This Row],[Team]])</f>
        <v>0</v>
      </c>
      <c r="AP113" s="170">
        <f>COUNTIF(Tabel158[Winnaars],Tabel59[[#This Row],[Team]])</f>
        <v>0</v>
      </c>
      <c r="AQ113" s="163">
        <f>Tabel59[[#This Row],[Aantal Games Rood]]-Tabel59[[#This Row],[Wins Rood]]</f>
        <v>0</v>
      </c>
      <c r="AR113" s="169">
        <f>Tabel59[[#This Row],[Aantal Games Groen]]-Tabel59[[#This Row],[Wins Groen]]</f>
        <v>0</v>
      </c>
      <c r="AS113" s="165">
        <f>Tabel59[[#This Row],[Aantal games Alg]]-Tabel59[[#This Row],[Wins Alg]]</f>
        <v>0</v>
      </c>
      <c r="AT113" s="171">
        <f>COUNTIF(Tabel158[Team Rood],Tabel59[[#This Row],[Team]])</f>
        <v>0</v>
      </c>
      <c r="AU113" s="169">
        <f>COUNTIF(Tabel158[Team Groen],Tabel59[[#This Row],[Team]])</f>
        <v>0</v>
      </c>
      <c r="AV113" s="170">
        <f>Tabel59[[#This Row],[Aantal Games Rood]]+Tabel59[[#This Row],[Aantal Games Groen]]</f>
        <v>0</v>
      </c>
      <c r="AW113" s="171">
        <f>SUMIF(Tabel158[Team Rood],Tabel59[[#This Row],[Team]],Tabel158[Score])</f>
        <v>0</v>
      </c>
      <c r="AX113" s="171">
        <f>SUMIF(Tabel158[Team Rood],Tabel59[[#This Row],[Team]],Tabel158[Score2])</f>
        <v>0</v>
      </c>
      <c r="AY113" s="136">
        <f>SUMIF(Tabel158[Team Groen],Tabel59[[#This Row],[Team]],Tabel158[Score3])</f>
        <v>0</v>
      </c>
      <c r="AZ113" s="169">
        <f>SUMIF(Tabel158[Team Groen],Tabel59[[#This Row],[Team]],Tabel158[Score4])</f>
        <v>0</v>
      </c>
      <c r="BA113" s="172">
        <f>SUM(Tabel59[[#This Row],[Goals Verdediger]]+Tabel59[[#This Row],[Goals DefG]])</f>
        <v>0</v>
      </c>
      <c r="BB113" s="170">
        <f>IF(Tabel59[[#This Row],[Aantal games Alg]]=0,0,Tabel59[[#This Row],[Goals DefA]]/Tabel59[[#This Row],[Aantal games Alg]])</f>
        <v>0</v>
      </c>
      <c r="BC113" s="172">
        <f>SUM(Tabel59[[#This Row],[Goals Aanvaller]]+Tabel59[[#This Row],[Goals OffG]])</f>
        <v>0</v>
      </c>
      <c r="BD113" s="170">
        <f>IF(Tabel59[[#This Row],[Aantal games Alg]]=0,0,Tabel59[[#This Row],[Goals OffA]]/Tabel59[[#This Row],[Aantal games Alg]])</f>
        <v>0</v>
      </c>
      <c r="BE113" s="170">
        <f>Tabel59[[#This Row],[Goals DefA]]+Tabel59[[#This Row],[Goals OffA]]</f>
        <v>0</v>
      </c>
      <c r="BF113" s="170">
        <f>IF(Tabel59[[#This Row],[Aantal games Alg]]=0,0,Tabel59[[#This Row],[Goals Alg]]/Tabel59[[#This Row],[Aantal games Alg]])</f>
        <v>0</v>
      </c>
      <c r="BG113" s="148">
        <f>SUMIF(Tabel158[Team Rood],Tabel59[[#This Row],[Team]],Tabel158[ET])</f>
        <v>0</v>
      </c>
      <c r="BH113" s="150">
        <f>SUMIF(Tabel158[Team Groen],Tabel59[[#This Row],[Team]],Tabel158[ET])</f>
        <v>0</v>
      </c>
      <c r="BI113" s="153">
        <f>SUM(Tabel59[[#This Row],[ET Groen tot]],Tabel59[[#This Row],[ET Rood tot]])</f>
        <v>0</v>
      </c>
      <c r="BJ113" s="155">
        <f>IF(Tabel59[[#This Row],[Aantal games Alg]]=0,0,Tabel59[[#This Row],[ET tot]]/Tabel59[[#This Row],[Aantal games Alg]])</f>
        <v>0</v>
      </c>
    </row>
    <row r="114" spans="1:62" x14ac:dyDescent="0.25">
      <c r="A114" s="124">
        <f ca="1">IF(Tabel158[[#This Row],[Rood Verdediging]]&lt;&gt;"",IF(A114="",NOW(),A114),"")</f>
        <v>43878.947694907409</v>
      </c>
      <c r="B114" s="128">
        <f ca="1">IF(Tabel158[[#This Row],[Rood Verdediging]]&lt;&gt;"",IF(B114="",NOW(),B114),"")</f>
        <v>43878.947694907409</v>
      </c>
      <c r="C114" s="126">
        <f ca="1">IF(Tabel158[[#This Row],[Score]]&lt;&gt;"",IF(C114="",NOW(),C114),"")</f>
        <v>43878.947694907409</v>
      </c>
      <c r="D114" s="127">
        <f ca="1">IF(OR(Tabel158[[#This Row],[Starttijd]]="",Tabel158[[#This Row],[Eindtijd]]=""),"",Tabel158[[#This Row],[Eindtijd]]-Tabel158[[#This Row],[Starttijd]])</f>
        <v>0</v>
      </c>
      <c r="E114" s="74">
        <v>114</v>
      </c>
      <c r="F114" s="205" t="s">
        <v>0</v>
      </c>
      <c r="G114" s="210">
        <v>3</v>
      </c>
      <c r="H114" s="205" t="s">
        <v>8</v>
      </c>
      <c r="I114" s="210">
        <v>5</v>
      </c>
      <c r="J114" s="206" t="s">
        <v>6</v>
      </c>
      <c r="K114" s="212">
        <v>3</v>
      </c>
      <c r="L114" s="206" t="s">
        <v>7</v>
      </c>
      <c r="M114" s="212">
        <v>8</v>
      </c>
      <c r="N114" s="81">
        <f t="shared" si="14"/>
        <v>8</v>
      </c>
      <c r="O114" s="82">
        <f t="shared" si="15"/>
        <v>11</v>
      </c>
      <c r="P114" s="70" t="str">
        <f t="shared" si="18"/>
        <v>GROEN</v>
      </c>
      <c r="Q114" s="86" t="str">
        <f t="shared" si="16"/>
        <v>Stef D</v>
      </c>
      <c r="R114" s="87" t="str">
        <f t="shared" si="17"/>
        <v>Tiemen</v>
      </c>
      <c r="S114" t="str">
        <f>Tabel158[[#This Row],[Rood Verdediging]]&amp;Tabel158[[#This Row],[Rood Aanval]]</f>
        <v>JonasLouis</v>
      </c>
      <c r="T114" t="str">
        <f>Tabel158[[#This Row],[Groen Verdediging]]&amp;Tabel158[[#This Row],[Groen Aanval]]</f>
        <v>Stef DTiemen</v>
      </c>
      <c r="U114" t="str">
        <f>Tabel158[[#This Row],[Winnaar 1]]&amp;Tabel158[[#This Row],[Winnaar 2]]</f>
        <v>Stef DTiemen</v>
      </c>
      <c r="V114" s="147" t="b">
        <f>IF(Tabel158[[#This Row],[Team Rood]]=Tabel158[[#This Row],[Winnaars]],Tabel158[[#This Row],[Team Rood]])</f>
        <v>0</v>
      </c>
      <c r="W114" s="147" t="str">
        <f>IF(Tabel158[[#This Row],[Team Groen]]=Tabel158[[#This Row],[Winnaars]],Tabel158[[#This Row],[Team Groen]])</f>
        <v>Stef DTiemen</v>
      </c>
      <c r="X114" s="147"/>
      <c r="AH114" s="251" t="s">
        <v>161</v>
      </c>
      <c r="AI114" s="232" t="s">
        <v>166</v>
      </c>
      <c r="AJ114" s="140" t="str">
        <f t="shared" si="20"/>
        <v>Louis*Stijn*</v>
      </c>
      <c r="AK114" s="160">
        <f>IF(Tabel59[[#This Row],[Aantal Games Rood]]=0,0,(Tabel59[[#This Row],[Wins Rood]])/Tabel59[[#This Row],[Aantal Games Rood]])</f>
        <v>0</v>
      </c>
      <c r="AL114" s="159">
        <f>IF(Tabel59[[#This Row],[Aantal Games Groen]]=0,0,(Tabel59[[#This Row],[Wins Groen]])/Tabel59[[#This Row],[Aantal Games Groen]])</f>
        <v>0</v>
      </c>
      <c r="AM114" s="156">
        <f>IF(Tabel59[[#This Row],[Aantal games Alg]]=0,0,(Tabel59[[#This Row],[Wins Alg]])/Tabel59[[#This Row],[Aantal games Alg]])</f>
        <v>0</v>
      </c>
      <c r="AN114" s="138">
        <f>COUNTIF(Tabel158[Winaar rood],Tabel59[[#This Row],[Team]])</f>
        <v>0</v>
      </c>
      <c r="AO114" s="134">
        <f>COUNTIF(Tabel158[Winnaar Groen],Tabel59[[#This Row],[Team]])</f>
        <v>0</v>
      </c>
      <c r="AP114" s="293">
        <f>COUNTIF(Tabel158[Winnaars],Tabel59[[#This Row],[Team]])</f>
        <v>0</v>
      </c>
      <c r="AQ114" s="135">
        <f>Tabel59[[#This Row],[Aantal Games Rood]]-Tabel59[[#This Row],[Wins Rood]]</f>
        <v>0</v>
      </c>
      <c r="AR114" s="136">
        <f>Tabel59[[#This Row],[Aantal Games Groen]]-Tabel59[[#This Row],[Wins Groen]]</f>
        <v>2</v>
      </c>
      <c r="AS114" s="137">
        <f>Tabel59[[#This Row],[Aantal games Alg]]-Tabel59[[#This Row],[Wins Alg]]</f>
        <v>2</v>
      </c>
      <c r="AT114" s="138">
        <f>COUNTIF(Tabel158[Team Rood],Tabel59[[#This Row],[Team]])</f>
        <v>0</v>
      </c>
      <c r="AU114" s="136">
        <f>COUNTIF(Tabel158[Team Groen],Tabel59[[#This Row],[Team]])</f>
        <v>2</v>
      </c>
      <c r="AV114" s="112">
        <f>Tabel59[[#This Row],[Aantal Games Rood]]+Tabel59[[#This Row],[Aantal Games Groen]]</f>
        <v>2</v>
      </c>
      <c r="AW114" s="138">
        <f>SUMIF(Tabel158[Team Rood],Tabel59[[#This Row],[Team]],Tabel158[Score])</f>
        <v>0</v>
      </c>
      <c r="AX114" s="138">
        <f>SUMIF(Tabel158[Team Rood],Tabel59[[#This Row],[Team]],Tabel158[Score2])</f>
        <v>0</v>
      </c>
      <c r="AY114" s="134">
        <f>SUMIF(Tabel158[Team Groen],Tabel59[[#This Row],[Team]],Tabel158[Score3])</f>
        <v>7</v>
      </c>
      <c r="AZ114" s="136">
        <f>SUMIF(Tabel158[Team Groen],Tabel59[[#This Row],[Team]],Tabel158[Score4])</f>
        <v>5</v>
      </c>
      <c r="BA114">
        <f>SUM(Tabel59[[#This Row],[Goals Verdediger]]+Tabel59[[#This Row],[Goals DefG]])</f>
        <v>7</v>
      </c>
      <c r="BB114">
        <f>IF(Tabel59[[#This Row],[Aantal games Alg]]=0,0,Tabel59[[#This Row],[Goals DefA]]/Tabel59[[#This Row],[Aantal games Alg]])</f>
        <v>3.5</v>
      </c>
      <c r="BC114">
        <f>SUM(Tabel59[[#This Row],[Goals Aanvaller]]+Tabel59[[#This Row],[Goals OffG]])</f>
        <v>5</v>
      </c>
      <c r="BD114">
        <f>IF(Tabel59[[#This Row],[Aantal games Alg]]=0,0,Tabel59[[#This Row],[Goals OffA]]/Tabel59[[#This Row],[Aantal games Alg]])</f>
        <v>2.5</v>
      </c>
      <c r="BE114" s="112">
        <f>Tabel59[[#This Row],[Goals DefA]]+Tabel59[[#This Row],[Goals OffA]]</f>
        <v>12</v>
      </c>
      <c r="BF114" s="112">
        <f>IF(Tabel59[[#This Row],[Aantal games Alg]]=0,0,Tabel59[[#This Row],[Goals Alg]]/Tabel59[[#This Row],[Aantal games Alg]])</f>
        <v>6</v>
      </c>
      <c r="BG114" s="148">
        <f>SUMIF(Tabel158[Team Rood],Tabel59[[#This Row],[Team]],Tabel158[ET])</f>
        <v>0</v>
      </c>
      <c r="BH114" s="150">
        <f ca="1">SUMIF(Tabel158[Team Groen],Tabel59[[#This Row],[Team]],Tabel158[ET])</f>
        <v>0</v>
      </c>
      <c r="BI114" s="153">
        <f ca="1">SUM(Tabel59[[#This Row],[ET Groen tot]],Tabel59[[#This Row],[ET Rood tot]])</f>
        <v>0</v>
      </c>
      <c r="BJ114" s="155">
        <f ca="1">IF(Tabel59[[#This Row],[Aantal games Alg]]=0,0,Tabel59[[#This Row],[ET tot]]/Tabel59[[#This Row],[Aantal games Alg]])</f>
        <v>0</v>
      </c>
    </row>
    <row r="115" spans="1:62" x14ac:dyDescent="0.25">
      <c r="A115" s="124">
        <f ca="1">IF(Tabel158[[#This Row],[Rood Verdediging]]&lt;&gt;"",IF(A115="",NOW(),A115),"")</f>
        <v>43878.947694907409</v>
      </c>
      <c r="B115" s="128">
        <f ca="1">IF(Tabel158[[#This Row],[Rood Verdediging]]&lt;&gt;"",IF(B115="",NOW(),B115),"")</f>
        <v>43878.947694907409</v>
      </c>
      <c r="C115" s="126">
        <f ca="1">IF(Tabel158[[#This Row],[Score]]&lt;&gt;"",IF(C115="",NOW(),C115),"")</f>
        <v>43878.947694907409</v>
      </c>
      <c r="D115" s="127">
        <f ca="1">IF(OR(Tabel158[[#This Row],[Starttijd]]="",Tabel158[[#This Row],[Eindtijd]]=""),"",Tabel158[[#This Row],[Eindtijd]]-Tabel158[[#This Row],[Starttijd]])</f>
        <v>0</v>
      </c>
      <c r="E115" s="74">
        <v>115</v>
      </c>
      <c r="F115" s="205" t="s">
        <v>11</v>
      </c>
      <c r="G115" s="210">
        <v>2</v>
      </c>
      <c r="H115" s="205" t="s">
        <v>6</v>
      </c>
      <c r="I115" s="210">
        <v>9</v>
      </c>
      <c r="J115" s="206" t="s">
        <v>8</v>
      </c>
      <c r="K115" s="212">
        <v>2</v>
      </c>
      <c r="L115" s="206" t="s">
        <v>13</v>
      </c>
      <c r="M115" s="212">
        <v>6</v>
      </c>
      <c r="N115" s="81">
        <f t="shared" si="14"/>
        <v>11</v>
      </c>
      <c r="O115" s="82">
        <f t="shared" si="15"/>
        <v>8</v>
      </c>
      <c r="P115" s="70" t="str">
        <f t="shared" si="18"/>
        <v>ROOD</v>
      </c>
      <c r="Q115" s="86" t="str">
        <f t="shared" si="16"/>
        <v>Matthijs</v>
      </c>
      <c r="R115" s="87" t="str">
        <f t="shared" si="17"/>
        <v>Stef D</v>
      </c>
      <c r="S115" t="str">
        <f>Tabel158[[#This Row],[Rood Verdediging]]&amp;Tabel158[[#This Row],[Rood Aanval]]</f>
        <v>MatthijsStef D</v>
      </c>
      <c r="T115" t="str">
        <f>Tabel158[[#This Row],[Groen Verdediging]]&amp;Tabel158[[#This Row],[Groen Aanval]]</f>
        <v>LouisBert</v>
      </c>
      <c r="U115" t="str">
        <f>Tabel158[[#This Row],[Winnaar 1]]&amp;Tabel158[[#This Row],[Winnaar 2]]</f>
        <v>MatthijsStef D</v>
      </c>
      <c r="V115" s="147" t="str">
        <f>IF(Tabel158[[#This Row],[Team Rood]]=Tabel158[[#This Row],[Winnaars]],Tabel158[[#This Row],[Team Rood]])</f>
        <v>MatthijsStef D</v>
      </c>
      <c r="W115" s="147" t="b">
        <f>IF(Tabel158[[#This Row],[Team Groen]]=Tabel158[[#This Row],[Winnaars]],Tabel158[[#This Row],[Team Groen]])</f>
        <v>0</v>
      </c>
      <c r="X115" s="147"/>
      <c r="AH115" s="251" t="s">
        <v>161</v>
      </c>
      <c r="AI115" s="232" t="s">
        <v>157</v>
      </c>
      <c r="AJ115" s="140" t="str">
        <f t="shared" si="20"/>
        <v>Louis*Tobi*</v>
      </c>
      <c r="AK115" s="160">
        <f>IF(Tabel59[[#This Row],[Aantal Games Rood]]=0,0,(Tabel59[[#This Row],[Wins Rood]])/Tabel59[[#This Row],[Aantal Games Rood]])</f>
        <v>0</v>
      </c>
      <c r="AL115" s="159">
        <f>IF(Tabel59[[#This Row],[Aantal Games Groen]]=0,0,(Tabel59[[#This Row],[Wins Groen]])/Tabel59[[#This Row],[Aantal Games Groen]])</f>
        <v>0</v>
      </c>
      <c r="AM115" s="156">
        <f>IF(Tabel59[[#This Row],[Aantal games Alg]]=0,0,(Tabel59[[#This Row],[Wins Alg]])/Tabel59[[#This Row],[Aantal games Alg]])</f>
        <v>0</v>
      </c>
      <c r="AN115" s="133">
        <f>COUNTIF(Tabel158[Winaar rood],Tabel59[[#This Row],[Team]])</f>
        <v>0</v>
      </c>
      <c r="AO115" s="134">
        <f>COUNTIF(Tabel158[Winnaar Groen],Tabel59[[#This Row],[Team]])</f>
        <v>0</v>
      </c>
      <c r="AP115" s="293">
        <f>COUNTIF(Tabel158[Winnaars],Tabel59[[#This Row],[Team]])</f>
        <v>0</v>
      </c>
      <c r="AQ115" s="135">
        <f>Tabel59[[#This Row],[Aantal Games Rood]]-Tabel59[[#This Row],[Wins Rood]]</f>
        <v>0</v>
      </c>
      <c r="AR115" s="136">
        <f>Tabel59[[#This Row],[Aantal Games Groen]]-Tabel59[[#This Row],[Wins Groen]]</f>
        <v>0</v>
      </c>
      <c r="AS115" s="137">
        <f>Tabel59[[#This Row],[Aantal games Alg]]-Tabel59[[#This Row],[Wins Alg]]</f>
        <v>0</v>
      </c>
      <c r="AT115" s="138">
        <f>COUNTIF(Tabel158[Team Rood],Tabel59[[#This Row],[Team]])</f>
        <v>0</v>
      </c>
      <c r="AU115" s="136">
        <f>COUNTIF(Tabel158[Team Groen],Tabel59[[#This Row],[Team]])</f>
        <v>0</v>
      </c>
      <c r="AV115" s="214">
        <f>Tabel59[[#This Row],[Aantal Games Rood]]+Tabel59[[#This Row],[Aantal Games Groen]]</f>
        <v>0</v>
      </c>
      <c r="AW115" s="138">
        <f>SUMIF(Tabel158[Team Rood],Tabel59[[#This Row],[Team]],Tabel158[Score])</f>
        <v>0</v>
      </c>
      <c r="AX115" s="138">
        <f>SUMIF(Tabel158[Team Rood],Tabel59[[#This Row],[Team]],Tabel158[Score2])</f>
        <v>0</v>
      </c>
      <c r="AY115" s="134">
        <f>SUMIF(Tabel158[Team Groen],Tabel59[[#This Row],[Team]],Tabel158[Score3])</f>
        <v>0</v>
      </c>
      <c r="AZ115" s="136">
        <f>SUMIF(Tabel158[Team Groen],Tabel59[[#This Row],[Team]],Tabel158[Score4])</f>
        <v>0</v>
      </c>
      <c r="BA115" s="293">
        <f>SUM(Tabel59[[#This Row],[Goals Verdediger]]+Tabel59[[#This Row],[Goals DefG]])</f>
        <v>0</v>
      </c>
      <c r="BB115" s="293">
        <f>IF(Tabel59[[#This Row],[Aantal games Alg]]=0,0,Tabel59[[#This Row],[Goals DefA]]/Tabel59[[#This Row],[Aantal games Alg]])</f>
        <v>0</v>
      </c>
      <c r="BC115" s="293">
        <f>SUM(Tabel59[[#This Row],[Goals Aanvaller]]+Tabel59[[#This Row],[Goals OffG]])</f>
        <v>0</v>
      </c>
      <c r="BD115" s="293">
        <f>IF(Tabel59[[#This Row],[Aantal games Alg]]=0,0,Tabel59[[#This Row],[Goals OffA]]/Tabel59[[#This Row],[Aantal games Alg]])</f>
        <v>0</v>
      </c>
      <c r="BE115" s="214">
        <f>Tabel59[[#This Row],[Goals DefA]]+Tabel59[[#This Row],[Goals OffA]]</f>
        <v>0</v>
      </c>
      <c r="BF115" s="214">
        <f>IF(Tabel59[[#This Row],[Aantal games Alg]]=0,0,Tabel59[[#This Row],[Goals Alg]]/Tabel59[[#This Row],[Aantal games Alg]])</f>
        <v>0</v>
      </c>
      <c r="BG115" s="148">
        <f>SUMIF(Tabel158[Team Rood],Tabel59[[#This Row],[Team]],Tabel158[ET])</f>
        <v>0</v>
      </c>
      <c r="BH115" s="150">
        <f>SUMIF(Tabel158[Team Groen],Tabel59[[#This Row],[Team]],Tabel158[ET])</f>
        <v>0</v>
      </c>
      <c r="BI115" s="153">
        <f>SUM(Tabel59[[#This Row],[ET Groen tot]],Tabel59[[#This Row],[ET Rood tot]])</f>
        <v>0</v>
      </c>
      <c r="BJ115" s="155">
        <f>IF(Tabel59[[#This Row],[Aantal games Alg]]=0,0,Tabel59[[#This Row],[ET tot]]/Tabel59[[#This Row],[Aantal games Alg]])</f>
        <v>0</v>
      </c>
    </row>
    <row r="116" spans="1:62" x14ac:dyDescent="0.25">
      <c r="A116" s="124">
        <f ca="1">IF(Tabel158[[#This Row],[Rood Verdediging]]&lt;&gt;"",IF(A116="",NOW(),A116),"")</f>
        <v>43878.947694907409</v>
      </c>
      <c r="B116" s="128">
        <f ca="1">IF(Tabel158[[#This Row],[Rood Verdediging]]&lt;&gt;"",IF(B116="",NOW(),B116),"")</f>
        <v>43878.947694907409</v>
      </c>
      <c r="C116" s="126">
        <f ca="1">IF(Tabel158[[#This Row],[Score]]&lt;&gt;"",IF(C116="",NOW(),C116),"")</f>
        <v>43878.947694907409</v>
      </c>
      <c r="D116" s="127">
        <f ca="1">IF(OR(Tabel158[[#This Row],[Starttijd]]="",Tabel158[[#This Row],[Eindtijd]]=""),"",Tabel158[[#This Row],[Eindtijd]]-Tabel158[[#This Row],[Starttijd]])</f>
        <v>0</v>
      </c>
      <c r="E116" s="74">
        <v>116</v>
      </c>
      <c r="F116" s="205" t="s">
        <v>8</v>
      </c>
      <c r="G116" s="210">
        <v>0</v>
      </c>
      <c r="H116" s="205" t="s">
        <v>11</v>
      </c>
      <c r="I116" s="210">
        <v>3</v>
      </c>
      <c r="J116" s="206" t="s">
        <v>0</v>
      </c>
      <c r="K116" s="212">
        <v>4</v>
      </c>
      <c r="L116" s="206" t="s">
        <v>7</v>
      </c>
      <c r="M116" s="212">
        <v>7</v>
      </c>
      <c r="N116" s="81">
        <f t="shared" si="14"/>
        <v>3</v>
      </c>
      <c r="O116" s="82">
        <f t="shared" si="15"/>
        <v>11</v>
      </c>
      <c r="P116" s="70" t="str">
        <f t="shared" si="18"/>
        <v>GROEN</v>
      </c>
      <c r="Q116" s="86" t="str">
        <f t="shared" si="16"/>
        <v>Jonas</v>
      </c>
      <c r="R116" s="87" t="str">
        <f t="shared" si="17"/>
        <v>Tiemen</v>
      </c>
      <c r="S116" t="str">
        <f>Tabel158[[#This Row],[Rood Verdediging]]&amp;Tabel158[[#This Row],[Rood Aanval]]</f>
        <v>LouisMatthijs</v>
      </c>
      <c r="T116" t="str">
        <f>Tabel158[[#This Row],[Groen Verdediging]]&amp;Tabel158[[#This Row],[Groen Aanval]]</f>
        <v>JonasTiemen</v>
      </c>
      <c r="U116" t="str">
        <f>Tabel158[[#This Row],[Winnaar 1]]&amp;Tabel158[[#This Row],[Winnaar 2]]</f>
        <v>JonasTiemen</v>
      </c>
      <c r="V116" s="147" t="b">
        <f>IF(Tabel158[[#This Row],[Team Rood]]=Tabel158[[#This Row],[Winnaars]],Tabel158[[#This Row],[Team Rood]])</f>
        <v>0</v>
      </c>
      <c r="W116" s="147" t="str">
        <f>IF(Tabel158[[#This Row],[Team Groen]]=Tabel158[[#This Row],[Winnaars]],Tabel158[[#This Row],[Team Groen]])</f>
        <v>JonasTiemen</v>
      </c>
      <c r="X116" s="147"/>
      <c r="AH116" s="251" t="s">
        <v>162</v>
      </c>
      <c r="AI116" s="232" t="s">
        <v>168</v>
      </c>
      <c r="AJ116" s="140" t="str">
        <f t="shared" si="20"/>
        <v>Matthijs*Coghe*</v>
      </c>
      <c r="AK116" s="160">
        <f>IF(Tabel59[[#This Row],[Aantal Games Rood]]=0,0,(Tabel59[[#This Row],[Wins Rood]])/Tabel59[[#This Row],[Aantal Games Rood]])</f>
        <v>0</v>
      </c>
      <c r="AL116" s="159">
        <f>IF(Tabel59[[#This Row],[Aantal Games Groen]]=0,0,(Tabel59[[#This Row],[Wins Groen]])/Tabel59[[#This Row],[Aantal Games Groen]])</f>
        <v>0</v>
      </c>
      <c r="AM116" s="156">
        <f>IF(Tabel59[[#This Row],[Aantal games Alg]]=0,0,(Tabel59[[#This Row],[Wins Alg]])/Tabel59[[#This Row],[Aantal games Alg]])</f>
        <v>0</v>
      </c>
      <c r="AN116" s="171">
        <f>COUNTIF(Tabel158[Winaar rood],Tabel59[[#This Row],[Team]])</f>
        <v>0</v>
      </c>
      <c r="AO116" s="169">
        <f>COUNTIF(Tabel158[Winnaar Groen],Tabel59[[#This Row],[Team]])</f>
        <v>0</v>
      </c>
      <c r="AP116" s="170">
        <f>COUNTIF(Tabel158[Winnaars],Tabel59[[#This Row],[Team]])</f>
        <v>0</v>
      </c>
      <c r="AQ116" s="163">
        <f>Tabel59[[#This Row],[Aantal Games Rood]]-Tabel59[[#This Row],[Wins Rood]]</f>
        <v>0</v>
      </c>
      <c r="AR116" s="169">
        <f>Tabel59[[#This Row],[Aantal Games Groen]]-Tabel59[[#This Row],[Wins Groen]]</f>
        <v>0</v>
      </c>
      <c r="AS116" s="165">
        <f>Tabel59[[#This Row],[Aantal games Alg]]-Tabel59[[#This Row],[Wins Alg]]</f>
        <v>0</v>
      </c>
      <c r="AT116" s="171">
        <f>COUNTIF(Tabel158[Team Rood],Tabel59[[#This Row],[Team]])</f>
        <v>0</v>
      </c>
      <c r="AU116" s="169">
        <f>COUNTIF(Tabel158[Team Groen],Tabel59[[#This Row],[Team]])</f>
        <v>0</v>
      </c>
      <c r="AV116" s="170">
        <f>Tabel59[[#This Row],[Aantal Games Rood]]+Tabel59[[#This Row],[Aantal Games Groen]]</f>
        <v>0</v>
      </c>
      <c r="AW116" s="171">
        <f>SUMIF(Tabel158[Team Rood],Tabel59[[#This Row],[Team]],Tabel158[Score])</f>
        <v>0</v>
      </c>
      <c r="AX116" s="171">
        <f>SUMIF(Tabel158[Team Rood],Tabel59[[#This Row],[Team]],Tabel158[Score2])</f>
        <v>0</v>
      </c>
      <c r="AY116" s="136">
        <f>SUMIF(Tabel158[Team Groen],Tabel59[[#This Row],[Team]],Tabel158[Score3])</f>
        <v>0</v>
      </c>
      <c r="AZ116" s="169">
        <f>SUMIF(Tabel158[Team Groen],Tabel59[[#This Row],[Team]],Tabel158[Score4])</f>
        <v>0</v>
      </c>
      <c r="BA116" s="172">
        <f>SUM(Tabel59[[#This Row],[Goals Verdediger]]+Tabel59[[#This Row],[Goals DefG]])</f>
        <v>0</v>
      </c>
      <c r="BB116" s="170">
        <f>IF(Tabel59[[#This Row],[Aantal games Alg]]=0,0,Tabel59[[#This Row],[Goals DefA]]/Tabel59[[#This Row],[Aantal games Alg]])</f>
        <v>0</v>
      </c>
      <c r="BC116" s="172">
        <f>SUM(Tabel59[[#This Row],[Goals Aanvaller]]+Tabel59[[#This Row],[Goals OffG]])</f>
        <v>0</v>
      </c>
      <c r="BD116" s="170">
        <f>IF(Tabel59[[#This Row],[Aantal games Alg]]=0,0,Tabel59[[#This Row],[Goals OffA]]/Tabel59[[#This Row],[Aantal games Alg]])</f>
        <v>0</v>
      </c>
      <c r="BE116" s="170">
        <f>Tabel59[[#This Row],[Goals DefA]]+Tabel59[[#This Row],[Goals OffA]]</f>
        <v>0</v>
      </c>
      <c r="BF116" s="170">
        <f>IF(Tabel59[[#This Row],[Aantal games Alg]]=0,0,Tabel59[[#This Row],[Goals Alg]]/Tabel59[[#This Row],[Aantal games Alg]])</f>
        <v>0</v>
      </c>
      <c r="BG116" s="148">
        <f>SUMIF(Tabel158[Team Rood],Tabel59[[#This Row],[Team]],Tabel158[ET])</f>
        <v>0</v>
      </c>
      <c r="BH116" s="150">
        <f>SUMIF(Tabel158[Team Groen],Tabel59[[#This Row],[Team]],Tabel158[ET])</f>
        <v>0</v>
      </c>
      <c r="BI116" s="153">
        <f>SUM(Tabel59[[#This Row],[ET Groen tot]],Tabel59[[#This Row],[ET Rood tot]])</f>
        <v>0</v>
      </c>
      <c r="BJ116" s="155">
        <f>IF(Tabel59[[#This Row],[Aantal games Alg]]=0,0,Tabel59[[#This Row],[ET tot]]/Tabel59[[#This Row],[Aantal games Alg]])</f>
        <v>0</v>
      </c>
    </row>
    <row r="117" spans="1:62" x14ac:dyDescent="0.25">
      <c r="A117" s="124">
        <f ca="1">IF(Tabel158[[#This Row],[Rood Verdediging]]&lt;&gt;"",IF(A117="",NOW(),A117),"")</f>
        <v>43878.947694907409</v>
      </c>
      <c r="B117" s="128">
        <f ca="1">IF(Tabel158[[#This Row],[Rood Verdediging]]&lt;&gt;"",IF(B117="",NOW(),B117),"")</f>
        <v>43878.947694907409</v>
      </c>
      <c r="C117" s="126">
        <f ca="1">IF(Tabel158[[#This Row],[Score]]&lt;&gt;"",IF(C117="",NOW(),C117),"")</f>
        <v>43878.947694907409</v>
      </c>
      <c r="D117" s="127">
        <f ca="1">IF(OR(Tabel158[[#This Row],[Starttijd]]="",Tabel158[[#This Row],[Eindtijd]]=""),"",Tabel158[[#This Row],[Eindtijd]]-Tabel158[[#This Row],[Starttijd]])</f>
        <v>0</v>
      </c>
      <c r="E117" s="74">
        <v>117</v>
      </c>
      <c r="F117" s="205" t="s">
        <v>11</v>
      </c>
      <c r="G117" s="210">
        <v>1</v>
      </c>
      <c r="H117" s="205" t="s">
        <v>13</v>
      </c>
      <c r="I117" s="210">
        <v>6</v>
      </c>
      <c r="J117" s="206" t="s">
        <v>0</v>
      </c>
      <c r="K117" s="212">
        <v>7</v>
      </c>
      <c r="L117" s="206" t="s">
        <v>6</v>
      </c>
      <c r="M117" s="212">
        <v>4</v>
      </c>
      <c r="N117" s="81">
        <f t="shared" si="14"/>
        <v>7</v>
      </c>
      <c r="O117" s="82">
        <f t="shared" si="15"/>
        <v>11</v>
      </c>
      <c r="P117" s="70" t="str">
        <f t="shared" si="18"/>
        <v>GROEN</v>
      </c>
      <c r="Q117" s="86" t="str">
        <f t="shared" si="16"/>
        <v>Jonas</v>
      </c>
      <c r="R117" s="87" t="str">
        <f t="shared" si="17"/>
        <v>Stef D</v>
      </c>
      <c r="S117" t="str">
        <f>Tabel158[[#This Row],[Rood Verdediging]]&amp;Tabel158[[#This Row],[Rood Aanval]]</f>
        <v>MatthijsBert</v>
      </c>
      <c r="T117" t="str">
        <f>Tabel158[[#This Row],[Groen Verdediging]]&amp;Tabel158[[#This Row],[Groen Aanval]]</f>
        <v>JonasStef D</v>
      </c>
      <c r="U117" t="str">
        <f>Tabel158[[#This Row],[Winnaar 1]]&amp;Tabel158[[#This Row],[Winnaar 2]]</f>
        <v>JonasStef D</v>
      </c>
      <c r="V117" s="147" t="b">
        <f>IF(Tabel158[[#This Row],[Team Rood]]=Tabel158[[#This Row],[Winnaars]],Tabel158[[#This Row],[Team Rood]])</f>
        <v>0</v>
      </c>
      <c r="W117" s="147" t="str">
        <f>IF(Tabel158[[#This Row],[Team Groen]]=Tabel158[[#This Row],[Winnaars]],Tabel158[[#This Row],[Team Groen]])</f>
        <v>JonasStef D</v>
      </c>
      <c r="X117" s="147"/>
      <c r="AH117" s="251" t="s">
        <v>162</v>
      </c>
      <c r="AI117" s="232" t="s">
        <v>67</v>
      </c>
      <c r="AJ117" s="140" t="str">
        <f t="shared" si="20"/>
        <v>Matthijs*Lawrence</v>
      </c>
      <c r="AK117" s="160">
        <f>IF(Tabel59[[#This Row],[Aantal Games Rood]]=0,0,(Tabel59[[#This Row],[Wins Rood]])/Tabel59[[#This Row],[Aantal Games Rood]])</f>
        <v>0</v>
      </c>
      <c r="AL117" s="159">
        <f>IF(Tabel59[[#This Row],[Aantal Games Groen]]=0,0,(Tabel59[[#This Row],[Wins Groen]])/Tabel59[[#This Row],[Aantal Games Groen]])</f>
        <v>0</v>
      </c>
      <c r="AM117" s="156">
        <f>IF(Tabel59[[#This Row],[Aantal games Alg]]=0,0,(Tabel59[[#This Row],[Wins Alg]])/Tabel59[[#This Row],[Aantal games Alg]])</f>
        <v>0</v>
      </c>
      <c r="AN117" s="138">
        <f>COUNTIF(Tabel158[Winaar rood],Tabel59[[#This Row],[Team]])</f>
        <v>0</v>
      </c>
      <c r="AO117" s="134">
        <f>COUNTIF(Tabel158[Winnaar Groen],Tabel59[[#This Row],[Team]])</f>
        <v>0</v>
      </c>
      <c r="AP117" s="293">
        <f>COUNTIF(Tabel158[Winnaars],Tabel59[[#This Row],[Team]])</f>
        <v>0</v>
      </c>
      <c r="AQ117" s="135">
        <f>Tabel59[[#This Row],[Aantal Games Rood]]-Tabel59[[#This Row],[Wins Rood]]</f>
        <v>1</v>
      </c>
      <c r="AR117" s="136">
        <f>Tabel59[[#This Row],[Aantal Games Groen]]-Tabel59[[#This Row],[Wins Groen]]</f>
        <v>1</v>
      </c>
      <c r="AS117" s="137">
        <f>Tabel59[[#This Row],[Aantal games Alg]]-Tabel59[[#This Row],[Wins Alg]]</f>
        <v>2</v>
      </c>
      <c r="AT117" s="138">
        <f>COUNTIF(Tabel158[Team Rood],Tabel59[[#This Row],[Team]])</f>
        <v>1</v>
      </c>
      <c r="AU117" s="136">
        <f>COUNTIF(Tabel158[Team Groen],Tabel59[[#This Row],[Team]])</f>
        <v>1</v>
      </c>
      <c r="AV117" s="214">
        <f>Tabel59[[#This Row],[Aantal Games Rood]]+Tabel59[[#This Row],[Aantal Games Groen]]</f>
        <v>2</v>
      </c>
      <c r="AW117" s="138">
        <f>SUMIF(Tabel158[Team Rood],Tabel59[[#This Row],[Team]],Tabel158[Score])</f>
        <v>1</v>
      </c>
      <c r="AX117" s="138">
        <f>SUMIF(Tabel158[Team Rood],Tabel59[[#This Row],[Team]],Tabel158[Score2])</f>
        <v>8</v>
      </c>
      <c r="AY117" s="134">
        <f>SUMIF(Tabel158[Team Groen],Tabel59[[#This Row],[Team]],Tabel158[Score3])</f>
        <v>1</v>
      </c>
      <c r="AZ117" s="136">
        <f>SUMIF(Tabel158[Team Groen],Tabel59[[#This Row],[Team]],Tabel158[Score4])</f>
        <v>3</v>
      </c>
      <c r="BA117" s="293">
        <f>SUM(Tabel59[[#This Row],[Goals Verdediger]]+Tabel59[[#This Row],[Goals DefG]])</f>
        <v>2</v>
      </c>
      <c r="BB117" s="293">
        <f>IF(Tabel59[[#This Row],[Aantal games Alg]]=0,0,Tabel59[[#This Row],[Goals DefA]]/Tabel59[[#This Row],[Aantal games Alg]])</f>
        <v>1</v>
      </c>
      <c r="BC117" s="293">
        <f>SUM(Tabel59[[#This Row],[Goals Aanvaller]]+Tabel59[[#This Row],[Goals OffG]])</f>
        <v>11</v>
      </c>
      <c r="BD117" s="293">
        <f>IF(Tabel59[[#This Row],[Aantal games Alg]]=0,0,Tabel59[[#This Row],[Goals OffA]]/Tabel59[[#This Row],[Aantal games Alg]])</f>
        <v>5.5</v>
      </c>
      <c r="BE117" s="214">
        <f>Tabel59[[#This Row],[Goals DefA]]+Tabel59[[#This Row],[Goals OffA]]</f>
        <v>13</v>
      </c>
      <c r="BF117" s="214">
        <f>IF(Tabel59[[#This Row],[Aantal games Alg]]=0,0,Tabel59[[#This Row],[Goals Alg]]/Tabel59[[#This Row],[Aantal games Alg]])</f>
        <v>6.5</v>
      </c>
      <c r="BG117" s="148">
        <f ca="1">SUMIF(Tabel158[Team Rood],Tabel59[[#This Row],[Team]],Tabel158[ET])</f>
        <v>0</v>
      </c>
      <c r="BH117" s="150">
        <f ca="1">SUMIF(Tabel158[Team Groen],Tabel59[[#This Row],[Team]],Tabel158[ET])</f>
        <v>0</v>
      </c>
      <c r="BI117" s="153">
        <f ca="1">SUM(Tabel59[[#This Row],[ET Groen tot]],Tabel59[[#This Row],[ET Rood tot]])</f>
        <v>0</v>
      </c>
      <c r="BJ117" s="155">
        <f ca="1">IF(Tabel59[[#This Row],[Aantal games Alg]]=0,0,Tabel59[[#This Row],[ET tot]]/Tabel59[[#This Row],[Aantal games Alg]])</f>
        <v>0</v>
      </c>
    </row>
    <row r="118" spans="1:62" x14ac:dyDescent="0.25">
      <c r="A118" s="124">
        <f ca="1">IF(Tabel158[[#This Row],[Rood Verdediging]]&lt;&gt;"",IF(A118="",NOW(),A118),"")</f>
        <v>43878.947694907409</v>
      </c>
      <c r="B118" s="128">
        <f ca="1">IF(Tabel158[[#This Row],[Rood Verdediging]]&lt;&gt;"",IF(B118="",NOW(),B118),"")</f>
        <v>43878.947694907409</v>
      </c>
      <c r="C118" s="126">
        <f ca="1">IF(Tabel158[[#This Row],[Score]]&lt;&gt;"",IF(C118="",NOW(),C118),"")</f>
        <v>43878.947694907409</v>
      </c>
      <c r="D118" s="127">
        <f ca="1">IF(OR(Tabel158[[#This Row],[Starttijd]]="",Tabel158[[#This Row],[Eindtijd]]=""),"",Tabel158[[#This Row],[Eindtijd]]-Tabel158[[#This Row],[Starttijd]])</f>
        <v>0</v>
      </c>
      <c r="E118" s="74">
        <v>118</v>
      </c>
      <c r="F118" s="205" t="s">
        <v>7</v>
      </c>
      <c r="G118" s="210">
        <v>3</v>
      </c>
      <c r="H118" s="205" t="s">
        <v>11</v>
      </c>
      <c r="I118" s="210">
        <v>10</v>
      </c>
      <c r="J118" s="206" t="s">
        <v>0</v>
      </c>
      <c r="K118" s="212">
        <v>8</v>
      </c>
      <c r="L118" s="206" t="s">
        <v>6</v>
      </c>
      <c r="M118" s="212">
        <v>7</v>
      </c>
      <c r="N118" s="81">
        <f t="shared" si="14"/>
        <v>13</v>
      </c>
      <c r="O118" s="82">
        <f t="shared" si="15"/>
        <v>15</v>
      </c>
      <c r="P118" s="70" t="str">
        <f t="shared" si="18"/>
        <v>GROEN</v>
      </c>
      <c r="Q118" s="86" t="str">
        <f t="shared" si="16"/>
        <v>Jonas</v>
      </c>
      <c r="R118" s="87" t="str">
        <f t="shared" si="17"/>
        <v>Stef D</v>
      </c>
      <c r="S118" t="str">
        <f>Tabel158[[#This Row],[Rood Verdediging]]&amp;Tabel158[[#This Row],[Rood Aanval]]</f>
        <v>TiemenMatthijs</v>
      </c>
      <c r="T118" t="str">
        <f>Tabel158[[#This Row],[Groen Verdediging]]&amp;Tabel158[[#This Row],[Groen Aanval]]</f>
        <v>JonasStef D</v>
      </c>
      <c r="U118" t="str">
        <f>Tabel158[[#This Row],[Winnaar 1]]&amp;Tabel158[[#This Row],[Winnaar 2]]</f>
        <v>JonasStef D</v>
      </c>
      <c r="V118" s="147" t="b">
        <f>IF(Tabel158[[#This Row],[Team Rood]]=Tabel158[[#This Row],[Winnaars]],Tabel158[[#This Row],[Team Rood]])</f>
        <v>0</v>
      </c>
      <c r="W118" s="147" t="str">
        <f>IF(Tabel158[[#This Row],[Team Groen]]=Tabel158[[#This Row],[Winnaars]],Tabel158[[#This Row],[Team Groen]])</f>
        <v>JonasStef D</v>
      </c>
      <c r="X118" s="147"/>
      <c r="AH118" s="251" t="s">
        <v>162</v>
      </c>
      <c r="AI118" s="232" t="s">
        <v>161</v>
      </c>
      <c r="AJ118" s="140" t="str">
        <f t="shared" si="20"/>
        <v>Matthijs*Louis*</v>
      </c>
      <c r="AK118" s="160">
        <f>IF(Tabel59[[#This Row],[Aantal Games Rood]]=0,0,(Tabel59[[#This Row],[Wins Rood]])/Tabel59[[#This Row],[Aantal Games Rood]])</f>
        <v>0</v>
      </c>
      <c r="AL118" s="159">
        <f>IF(Tabel59[[#This Row],[Aantal Games Groen]]=0,0,(Tabel59[[#This Row],[Wins Groen]])/Tabel59[[#This Row],[Aantal Games Groen]])</f>
        <v>0</v>
      </c>
      <c r="AM118" s="156">
        <f>IF(Tabel59[[#This Row],[Aantal games Alg]]=0,0,(Tabel59[[#This Row],[Wins Alg]])/Tabel59[[#This Row],[Aantal games Alg]])</f>
        <v>0</v>
      </c>
      <c r="AN118" s="138">
        <f>COUNTIF(Tabel158[Winaar rood],Tabel59[[#This Row],[Team]])</f>
        <v>0</v>
      </c>
      <c r="AO118" s="134">
        <f>COUNTIF(Tabel158[Winnaar Groen],Tabel59[[#This Row],[Team]])</f>
        <v>0</v>
      </c>
      <c r="AP118" s="293">
        <f>COUNTIF(Tabel158[Winnaars],Tabel59[[#This Row],[Team]])</f>
        <v>0</v>
      </c>
      <c r="AQ118" s="135">
        <f>Tabel59[[#This Row],[Aantal Games Rood]]-Tabel59[[#This Row],[Wins Rood]]</f>
        <v>1</v>
      </c>
      <c r="AR118" s="136">
        <f>Tabel59[[#This Row],[Aantal Games Groen]]-Tabel59[[#This Row],[Wins Groen]]</f>
        <v>2</v>
      </c>
      <c r="AS118" s="137">
        <f>Tabel59[[#This Row],[Aantal games Alg]]-Tabel59[[#This Row],[Wins Alg]]</f>
        <v>3</v>
      </c>
      <c r="AT118" s="138">
        <f>COUNTIF(Tabel158[Team Rood],Tabel59[[#This Row],[Team]])</f>
        <v>1</v>
      </c>
      <c r="AU118" s="136">
        <f>COUNTIF(Tabel158[Team Groen],Tabel59[[#This Row],[Team]])</f>
        <v>2</v>
      </c>
      <c r="AV118" s="214">
        <f>Tabel59[[#This Row],[Aantal Games Rood]]+Tabel59[[#This Row],[Aantal Games Groen]]</f>
        <v>3</v>
      </c>
      <c r="AW118" s="138">
        <f>SUMIF(Tabel158[Team Rood],Tabel59[[#This Row],[Team]],Tabel158[Score])</f>
        <v>0</v>
      </c>
      <c r="AX118" s="138">
        <f>SUMIF(Tabel158[Team Rood],Tabel59[[#This Row],[Team]],Tabel158[Score2])</f>
        <v>4</v>
      </c>
      <c r="AY118" s="134">
        <f>SUMIF(Tabel158[Team Groen],Tabel59[[#This Row],[Team]],Tabel158[Score3])</f>
        <v>5</v>
      </c>
      <c r="AZ118" s="136">
        <f>SUMIF(Tabel158[Team Groen],Tabel59[[#This Row],[Team]],Tabel158[Score4])</f>
        <v>10</v>
      </c>
      <c r="BA118" s="293">
        <f>SUM(Tabel59[[#This Row],[Goals Verdediger]]+Tabel59[[#This Row],[Goals DefG]])</f>
        <v>5</v>
      </c>
      <c r="BB118" s="293">
        <f>IF(Tabel59[[#This Row],[Aantal games Alg]]=0,0,Tabel59[[#This Row],[Goals DefA]]/Tabel59[[#This Row],[Aantal games Alg]])</f>
        <v>1.6666666666666667</v>
      </c>
      <c r="BC118" s="293">
        <f>SUM(Tabel59[[#This Row],[Goals Aanvaller]]+Tabel59[[#This Row],[Goals OffG]])</f>
        <v>14</v>
      </c>
      <c r="BD118" s="293">
        <f>IF(Tabel59[[#This Row],[Aantal games Alg]]=0,0,Tabel59[[#This Row],[Goals OffA]]/Tabel59[[#This Row],[Aantal games Alg]])</f>
        <v>4.666666666666667</v>
      </c>
      <c r="BE118" s="214">
        <f>Tabel59[[#This Row],[Goals DefA]]+Tabel59[[#This Row],[Goals OffA]]</f>
        <v>19</v>
      </c>
      <c r="BF118" s="214">
        <f>IF(Tabel59[[#This Row],[Aantal games Alg]]=0,0,Tabel59[[#This Row],[Goals Alg]]/Tabel59[[#This Row],[Aantal games Alg]])</f>
        <v>6.333333333333333</v>
      </c>
      <c r="BG118" s="148">
        <f ca="1">SUMIF(Tabel158[Team Rood],Tabel59[[#This Row],[Team]],Tabel158[ET])</f>
        <v>0</v>
      </c>
      <c r="BH118" s="150">
        <f ca="1">SUMIF(Tabel158[Team Groen],Tabel59[[#This Row],[Team]],Tabel158[ET])</f>
        <v>0</v>
      </c>
      <c r="BI118" s="153">
        <f ca="1">SUM(Tabel59[[#This Row],[ET Groen tot]],Tabel59[[#This Row],[ET Rood tot]])</f>
        <v>0</v>
      </c>
      <c r="BJ118" s="155">
        <f ca="1">IF(Tabel59[[#This Row],[Aantal games Alg]]=0,0,Tabel59[[#This Row],[ET tot]]/Tabel59[[#This Row],[Aantal games Alg]])</f>
        <v>0</v>
      </c>
    </row>
    <row r="119" spans="1:62" x14ac:dyDescent="0.25">
      <c r="A119" s="124">
        <f ca="1">IF(Tabel158[[#This Row],[Rood Verdediging]]&lt;&gt;"",IF(A119="",NOW(),A119),"")</f>
        <v>43878.947694907409</v>
      </c>
      <c r="B119" s="128">
        <f ca="1">IF(Tabel158[[#This Row],[Rood Verdediging]]&lt;&gt;"",IF(B119="",NOW(),B119),"")</f>
        <v>43878.947694907409</v>
      </c>
      <c r="C119" s="126">
        <f ca="1">IF(Tabel158[[#This Row],[Score]]&lt;&gt;"",IF(C119="",NOW(),C119),"")</f>
        <v>43878.947694907409</v>
      </c>
      <c r="D119" s="127">
        <f ca="1">IF(OR(Tabel158[[#This Row],[Starttijd]]="",Tabel158[[#This Row],[Eindtijd]]=""),"",Tabel158[[#This Row],[Eindtijd]]-Tabel158[[#This Row],[Starttijd]])</f>
        <v>0</v>
      </c>
      <c r="E119" s="74">
        <v>119</v>
      </c>
      <c r="F119" s="205" t="s">
        <v>0</v>
      </c>
      <c r="G119" s="210">
        <v>9</v>
      </c>
      <c r="H119" s="205" t="s">
        <v>7</v>
      </c>
      <c r="I119" s="210">
        <v>10</v>
      </c>
      <c r="J119" s="206" t="s">
        <v>19</v>
      </c>
      <c r="K119" s="212">
        <v>3</v>
      </c>
      <c r="L119" s="206" t="s">
        <v>6</v>
      </c>
      <c r="M119" s="212">
        <v>14</v>
      </c>
      <c r="N119" s="81">
        <f t="shared" si="14"/>
        <v>19</v>
      </c>
      <c r="O119" s="82">
        <f t="shared" si="15"/>
        <v>17</v>
      </c>
      <c r="P119" s="70" t="str">
        <f t="shared" si="18"/>
        <v>ROOD</v>
      </c>
      <c r="Q119" s="86" t="str">
        <f t="shared" si="16"/>
        <v>Jonas</v>
      </c>
      <c r="R119" s="87" t="str">
        <f t="shared" si="17"/>
        <v>Tiemen</v>
      </c>
      <c r="S119" t="str">
        <f>Tabel158[[#This Row],[Rood Verdediging]]&amp;Tabel158[[#This Row],[Rood Aanval]]</f>
        <v>JonasTiemen</v>
      </c>
      <c r="T119" t="str">
        <f>Tabel158[[#This Row],[Groen Verdediging]]&amp;Tabel158[[#This Row],[Groen Aanval]]</f>
        <v>NicolasStef D</v>
      </c>
      <c r="U119" t="str">
        <f>Tabel158[[#This Row],[Winnaar 1]]&amp;Tabel158[[#This Row],[Winnaar 2]]</f>
        <v>JonasTiemen</v>
      </c>
      <c r="V119" s="147" t="str">
        <f>IF(Tabel158[[#This Row],[Team Rood]]=Tabel158[[#This Row],[Winnaars]],Tabel158[[#This Row],[Team Rood]])</f>
        <v>JonasTiemen</v>
      </c>
      <c r="W119" s="147" t="b">
        <f>IF(Tabel158[[#This Row],[Team Groen]]=Tabel158[[#This Row],[Winnaars]],Tabel158[[#This Row],[Team Groen]])</f>
        <v>0</v>
      </c>
      <c r="X119" s="147"/>
      <c r="AH119" s="251" t="s">
        <v>162</v>
      </c>
      <c r="AI119" s="232" t="s">
        <v>170</v>
      </c>
      <c r="AJ119" s="140" t="str">
        <f t="shared" si="20"/>
        <v>Matthijs*Nico*</v>
      </c>
      <c r="AK119" s="160">
        <f>IF(Tabel59[[#This Row],[Aantal Games Rood]]=0,0,(Tabel59[[#This Row],[Wins Rood]])/Tabel59[[#This Row],[Aantal Games Rood]])</f>
        <v>0</v>
      </c>
      <c r="AL119" s="159">
        <f>IF(Tabel59[[#This Row],[Aantal Games Groen]]=0,0,(Tabel59[[#This Row],[Wins Groen]])/Tabel59[[#This Row],[Aantal Games Groen]])</f>
        <v>0</v>
      </c>
      <c r="AM119" s="156">
        <f>IF(Tabel59[[#This Row],[Aantal games Alg]]=0,0,(Tabel59[[#This Row],[Wins Alg]])/Tabel59[[#This Row],[Aantal games Alg]])</f>
        <v>0</v>
      </c>
      <c r="AN119" s="138">
        <f>COUNTIF(Tabel158[Winaar rood],Tabel59[[#This Row],[Team]])</f>
        <v>0</v>
      </c>
      <c r="AO119" s="134">
        <f>COUNTIF(Tabel158[Winnaar Groen],Tabel59[[#This Row],[Team]])</f>
        <v>0</v>
      </c>
      <c r="AP119" s="293">
        <f>COUNTIF(Tabel158[Winnaars],Tabel59[[#This Row],[Team]])</f>
        <v>0</v>
      </c>
      <c r="AQ119" s="135">
        <f>Tabel59[[#This Row],[Aantal Games Rood]]-Tabel59[[#This Row],[Wins Rood]]</f>
        <v>3</v>
      </c>
      <c r="AR119" s="136">
        <f>Tabel59[[#This Row],[Aantal Games Groen]]-Tabel59[[#This Row],[Wins Groen]]</f>
        <v>2</v>
      </c>
      <c r="AS119" s="137">
        <f>Tabel59[[#This Row],[Aantal games Alg]]-Tabel59[[#This Row],[Wins Alg]]</f>
        <v>5</v>
      </c>
      <c r="AT119" s="138">
        <f>COUNTIF(Tabel158[Team Rood],Tabel59[[#This Row],[Team]])</f>
        <v>3</v>
      </c>
      <c r="AU119" s="136">
        <f>COUNTIF(Tabel158[Team Groen],Tabel59[[#This Row],[Team]])</f>
        <v>2</v>
      </c>
      <c r="AV119" s="214">
        <f>Tabel59[[#This Row],[Aantal Games Rood]]+Tabel59[[#This Row],[Aantal Games Groen]]</f>
        <v>5</v>
      </c>
      <c r="AW119" s="138">
        <f>SUMIF(Tabel158[Team Rood],Tabel59[[#This Row],[Team]],Tabel158[Score])</f>
        <v>11</v>
      </c>
      <c r="AX119" s="138">
        <f>SUMIF(Tabel158[Team Rood],Tabel59[[#This Row],[Team]],Tabel158[Score2])</f>
        <v>16</v>
      </c>
      <c r="AY119" s="134">
        <f>SUMIF(Tabel158[Team Groen],Tabel59[[#This Row],[Team]],Tabel158[Score3])</f>
        <v>3</v>
      </c>
      <c r="AZ119" s="136">
        <f>SUMIF(Tabel158[Team Groen],Tabel59[[#This Row],[Team]],Tabel158[Score4])</f>
        <v>6</v>
      </c>
      <c r="BA119" s="293">
        <f>SUM(Tabel59[[#This Row],[Goals Verdediger]]+Tabel59[[#This Row],[Goals DefG]])</f>
        <v>14</v>
      </c>
      <c r="BB119" s="293">
        <f>IF(Tabel59[[#This Row],[Aantal games Alg]]=0,0,Tabel59[[#This Row],[Goals DefA]]/Tabel59[[#This Row],[Aantal games Alg]])</f>
        <v>2.8</v>
      </c>
      <c r="BC119" s="293">
        <f>SUM(Tabel59[[#This Row],[Goals Aanvaller]]+Tabel59[[#This Row],[Goals OffG]])</f>
        <v>22</v>
      </c>
      <c r="BD119" s="293">
        <f>IF(Tabel59[[#This Row],[Aantal games Alg]]=0,0,Tabel59[[#This Row],[Goals OffA]]/Tabel59[[#This Row],[Aantal games Alg]])</f>
        <v>4.4000000000000004</v>
      </c>
      <c r="BE119" s="214">
        <f>Tabel59[[#This Row],[Goals DefA]]+Tabel59[[#This Row],[Goals OffA]]</f>
        <v>36</v>
      </c>
      <c r="BF119" s="214">
        <f>IF(Tabel59[[#This Row],[Aantal games Alg]]=0,0,Tabel59[[#This Row],[Goals Alg]]/Tabel59[[#This Row],[Aantal games Alg]])</f>
        <v>7.2</v>
      </c>
      <c r="BG119" s="148">
        <f ca="1">SUMIF(Tabel158[Team Rood],Tabel59[[#This Row],[Team]],Tabel158[ET])</f>
        <v>1.7245365597773343E-5</v>
      </c>
      <c r="BH119" s="150">
        <f ca="1">SUMIF(Tabel158[Team Groen],Tabel59[[#This Row],[Team]],Tabel158[ET])</f>
        <v>0</v>
      </c>
      <c r="BI119" s="153">
        <f ca="1">SUM(Tabel59[[#This Row],[ET Groen tot]],Tabel59[[#This Row],[ET Rood tot]])</f>
        <v>1.7245365597773343E-5</v>
      </c>
      <c r="BJ119" s="155">
        <f ca="1">IF(Tabel59[[#This Row],[Aantal games Alg]]=0,0,Tabel59[[#This Row],[ET tot]]/Tabel59[[#This Row],[Aantal games Alg]])</f>
        <v>3.4490731195546687E-6</v>
      </c>
    </row>
    <row r="120" spans="1:62" x14ac:dyDescent="0.25">
      <c r="A120" s="124">
        <f ca="1">IF(Tabel158[[#This Row],[Rood Verdediging]]&lt;&gt;"",IF(A120="",NOW(),A120),"")</f>
        <v>43878.947694907409</v>
      </c>
      <c r="B120" s="128">
        <f ca="1">IF(Tabel158[[#This Row],[Rood Verdediging]]&lt;&gt;"",IF(B120="",NOW(),B120),"")</f>
        <v>43878.947694907409</v>
      </c>
      <c r="C120" s="126">
        <f ca="1">IF(Tabel158[[#This Row],[Score]]&lt;&gt;"",IF(C120="",NOW(),C120),"")</f>
        <v>43878.947694907409</v>
      </c>
      <c r="D120" s="127">
        <f ca="1">IF(OR(Tabel158[[#This Row],[Starttijd]]="",Tabel158[[#This Row],[Eindtijd]]=""),"",Tabel158[[#This Row],[Eindtijd]]-Tabel158[[#This Row],[Starttijd]])</f>
        <v>0</v>
      </c>
      <c r="E120" s="74">
        <v>120</v>
      </c>
      <c r="F120" s="205" t="s">
        <v>0</v>
      </c>
      <c r="G120" s="210">
        <v>0</v>
      </c>
      <c r="H120" s="205" t="s">
        <v>6</v>
      </c>
      <c r="I120" s="210">
        <v>8</v>
      </c>
      <c r="J120" s="206" t="s">
        <v>7</v>
      </c>
      <c r="K120" s="212">
        <v>5</v>
      </c>
      <c r="L120" s="206" t="s">
        <v>3</v>
      </c>
      <c r="M120" s="212">
        <v>6</v>
      </c>
      <c r="N120" s="81">
        <f t="shared" si="14"/>
        <v>8</v>
      </c>
      <c r="O120" s="82">
        <f t="shared" si="15"/>
        <v>11</v>
      </c>
      <c r="P120" s="70" t="str">
        <f t="shared" si="18"/>
        <v>GROEN</v>
      </c>
      <c r="Q120" s="86" t="str">
        <f t="shared" si="16"/>
        <v>Tiemen</v>
      </c>
      <c r="R120" s="87" t="str">
        <f t="shared" si="17"/>
        <v>Karel</v>
      </c>
      <c r="S120" t="str">
        <f>Tabel158[[#This Row],[Rood Verdediging]]&amp;Tabel158[[#This Row],[Rood Aanval]]</f>
        <v>JonasStef D</v>
      </c>
      <c r="T120" t="str">
        <f>Tabel158[[#This Row],[Groen Verdediging]]&amp;Tabel158[[#This Row],[Groen Aanval]]</f>
        <v>TiemenKarel</v>
      </c>
      <c r="U120" t="str">
        <f>Tabel158[[#This Row],[Winnaar 1]]&amp;Tabel158[[#This Row],[Winnaar 2]]</f>
        <v>TiemenKarel</v>
      </c>
      <c r="V120" s="147" t="b">
        <f>IF(Tabel158[[#This Row],[Team Rood]]=Tabel158[[#This Row],[Winnaars]],Tabel158[[#This Row],[Team Rood]])</f>
        <v>0</v>
      </c>
      <c r="W120" s="147" t="str">
        <f>IF(Tabel158[[#This Row],[Team Groen]]=Tabel158[[#This Row],[Winnaars]],Tabel158[[#This Row],[Team Groen]])</f>
        <v>TiemenKarel</v>
      </c>
      <c r="X120" s="147"/>
      <c r="AH120" s="251" t="s">
        <v>162</v>
      </c>
      <c r="AI120" s="232" t="s">
        <v>166</v>
      </c>
      <c r="AJ120" s="140" t="str">
        <f t="shared" si="20"/>
        <v>Matthijs*Stijn*</v>
      </c>
      <c r="AK120" s="160">
        <f>IF(Tabel59[[#This Row],[Aantal Games Rood]]=0,0,(Tabel59[[#This Row],[Wins Rood]])/Tabel59[[#This Row],[Aantal Games Rood]])</f>
        <v>0</v>
      </c>
      <c r="AL120" s="159">
        <f>IF(Tabel59[[#This Row],[Aantal Games Groen]]=0,0,(Tabel59[[#This Row],[Wins Groen]])/Tabel59[[#This Row],[Aantal Games Groen]])</f>
        <v>0</v>
      </c>
      <c r="AM120" s="156">
        <f>IF(Tabel59[[#This Row],[Aantal games Alg]]=0,0,(Tabel59[[#This Row],[Wins Alg]])/Tabel59[[#This Row],[Aantal games Alg]])</f>
        <v>0</v>
      </c>
      <c r="AN120" s="133">
        <f>COUNTIF(Tabel158[Winaar rood],Tabel59[[#This Row],[Team]])</f>
        <v>0</v>
      </c>
      <c r="AO120" s="134">
        <f>COUNTIF(Tabel158[Winnaar Groen],Tabel59[[#This Row],[Team]])</f>
        <v>0</v>
      </c>
      <c r="AP120" s="293">
        <f>COUNTIF(Tabel158[Winnaars],Tabel59[[#This Row],[Team]])</f>
        <v>0</v>
      </c>
      <c r="AQ120" s="135">
        <f>Tabel59[[#This Row],[Aantal Games Rood]]-Tabel59[[#This Row],[Wins Rood]]</f>
        <v>0</v>
      </c>
      <c r="AR120" s="136">
        <f>Tabel59[[#This Row],[Aantal Games Groen]]-Tabel59[[#This Row],[Wins Groen]]</f>
        <v>0</v>
      </c>
      <c r="AS120" s="137">
        <f>Tabel59[[#This Row],[Aantal games Alg]]-Tabel59[[#This Row],[Wins Alg]]</f>
        <v>0</v>
      </c>
      <c r="AT120" s="138">
        <f>COUNTIF(Tabel158[Team Rood],Tabel59[[#This Row],[Team]])</f>
        <v>0</v>
      </c>
      <c r="AU120" s="136">
        <f>COUNTIF(Tabel158[Team Groen],Tabel59[[#This Row],[Team]])</f>
        <v>0</v>
      </c>
      <c r="AV120" s="214">
        <f>Tabel59[[#This Row],[Aantal Games Rood]]+Tabel59[[#This Row],[Aantal Games Groen]]</f>
        <v>0</v>
      </c>
      <c r="AW120" s="138">
        <f>SUMIF(Tabel158[Team Rood],Tabel59[[#This Row],[Team]],Tabel158[Score])</f>
        <v>0</v>
      </c>
      <c r="AX120" s="138">
        <f>SUMIF(Tabel158[Team Rood],Tabel59[[#This Row],[Team]],Tabel158[Score2])</f>
        <v>0</v>
      </c>
      <c r="AY120" s="134">
        <f>SUMIF(Tabel158[Team Groen],Tabel59[[#This Row],[Team]],Tabel158[Score3])</f>
        <v>0</v>
      </c>
      <c r="AZ120" s="136">
        <f>SUMIF(Tabel158[Team Groen],Tabel59[[#This Row],[Team]],Tabel158[Score4])</f>
        <v>0</v>
      </c>
      <c r="BA120" s="293">
        <f>SUM(Tabel59[[#This Row],[Goals Verdediger]]+Tabel59[[#This Row],[Goals DefG]])</f>
        <v>0</v>
      </c>
      <c r="BB120" s="293">
        <f>IF(Tabel59[[#This Row],[Aantal games Alg]]=0,0,Tabel59[[#This Row],[Goals DefA]]/Tabel59[[#This Row],[Aantal games Alg]])</f>
        <v>0</v>
      </c>
      <c r="BC120" s="293">
        <f>SUM(Tabel59[[#This Row],[Goals Aanvaller]]+Tabel59[[#This Row],[Goals OffG]])</f>
        <v>0</v>
      </c>
      <c r="BD120" s="293">
        <f>IF(Tabel59[[#This Row],[Aantal games Alg]]=0,0,Tabel59[[#This Row],[Goals OffA]]/Tabel59[[#This Row],[Aantal games Alg]])</f>
        <v>0</v>
      </c>
      <c r="BE120" s="214">
        <f>Tabel59[[#This Row],[Goals DefA]]+Tabel59[[#This Row],[Goals OffA]]</f>
        <v>0</v>
      </c>
      <c r="BF120" s="214">
        <f>IF(Tabel59[[#This Row],[Aantal games Alg]]=0,0,Tabel59[[#This Row],[Goals Alg]]/Tabel59[[#This Row],[Aantal games Alg]])</f>
        <v>0</v>
      </c>
      <c r="BG120" s="148">
        <f>SUMIF(Tabel158[Team Rood],Tabel59[[#This Row],[Team]],Tabel158[ET])</f>
        <v>0</v>
      </c>
      <c r="BH120" s="150">
        <f>SUMIF(Tabel158[Team Groen],Tabel59[[#This Row],[Team]],Tabel158[ET])</f>
        <v>0</v>
      </c>
      <c r="BI120" s="153">
        <f>SUM(Tabel59[[#This Row],[ET Groen tot]],Tabel59[[#This Row],[ET Rood tot]])</f>
        <v>0</v>
      </c>
      <c r="BJ120" s="155">
        <f>IF(Tabel59[[#This Row],[Aantal games Alg]]=0,0,Tabel59[[#This Row],[ET tot]]/Tabel59[[#This Row],[Aantal games Alg]])</f>
        <v>0</v>
      </c>
    </row>
    <row r="121" spans="1:62" x14ac:dyDescent="0.25">
      <c r="A121" s="125">
        <f ca="1">IF(Tabel158[[#This Row],[Rood Verdediging]]&lt;&gt;"",IF(A121="",NOW(),A121),"")</f>
        <v>0</v>
      </c>
      <c r="B121" s="128">
        <f ca="1">IF(Tabel158[[#This Row],[Rood Verdediging]]&lt;&gt;"",IF(B121="",NOW(),B121),"")</f>
        <v>43878.947694907409</v>
      </c>
      <c r="C121" s="126">
        <f ca="1">IF(Tabel158[[#This Row],[Score]]&lt;&gt;"",IF(C121="",NOW(),C121),"")</f>
        <v>43878.947694907409</v>
      </c>
      <c r="D121" s="127">
        <f ca="1">IF(OR(Tabel158[[#This Row],[Starttijd]]="",Tabel158[[#This Row],[Eindtijd]]=""),"",Tabel158[[#This Row],[Eindtijd]]-Tabel158[[#This Row],[Starttijd]])</f>
        <v>0</v>
      </c>
      <c r="E121" s="74">
        <v>120</v>
      </c>
      <c r="F121" s="205" t="s">
        <v>7</v>
      </c>
      <c r="G121" s="210">
        <v>3</v>
      </c>
      <c r="H121" s="205" t="s">
        <v>6</v>
      </c>
      <c r="I121" s="210">
        <v>8</v>
      </c>
      <c r="J121" s="206" t="s">
        <v>3</v>
      </c>
      <c r="K121" s="212">
        <v>2</v>
      </c>
      <c r="L121" s="206" t="s">
        <v>19</v>
      </c>
      <c r="M121" s="212">
        <v>4</v>
      </c>
      <c r="N121" s="81">
        <f t="shared" si="14"/>
        <v>11</v>
      </c>
      <c r="O121" s="82">
        <f t="shared" si="15"/>
        <v>6</v>
      </c>
      <c r="P121" s="70" t="str">
        <f t="shared" si="18"/>
        <v>ROOD</v>
      </c>
      <c r="Q121" s="86" t="str">
        <f t="shared" si="16"/>
        <v>Tiemen</v>
      </c>
      <c r="R121" s="87" t="str">
        <f t="shared" si="17"/>
        <v>Stef D</v>
      </c>
      <c r="S121" s="147" t="str">
        <f>Tabel158[[#This Row],[Rood Verdediging]]&amp;Tabel158[[#This Row],[Rood Aanval]]</f>
        <v>TiemenStef D</v>
      </c>
      <c r="T121" s="147" t="str">
        <f>Tabel158[[#This Row],[Groen Verdediging]]&amp;Tabel158[[#This Row],[Groen Aanval]]</f>
        <v>KarelNicolas</v>
      </c>
      <c r="U121" s="147" t="str">
        <f>Tabel158[[#This Row],[Winnaar 1]]&amp;Tabel158[[#This Row],[Winnaar 2]]</f>
        <v>TiemenStef D</v>
      </c>
      <c r="V121" s="147" t="str">
        <f>IF(Tabel158[[#This Row],[Team Rood]]=Tabel158[[#This Row],[Winnaars]],Tabel158[[#This Row],[Team Rood]])</f>
        <v>TiemenStef D</v>
      </c>
      <c r="W121" s="147" t="b">
        <f>IF(Tabel158[[#This Row],[Team Groen]]=Tabel158[[#This Row],[Winnaars]],Tabel158[[#This Row],[Team Groen]])</f>
        <v>0</v>
      </c>
      <c r="AH121" s="251" t="s">
        <v>162</v>
      </c>
      <c r="AI121" s="232" t="s">
        <v>157</v>
      </c>
      <c r="AJ121" s="140" t="str">
        <f t="shared" si="20"/>
        <v>Matthijs*Tobi*</v>
      </c>
      <c r="AK121" s="160">
        <f>IF(Tabel59[[#This Row],[Aantal Games Rood]]=0,0,(Tabel59[[#This Row],[Wins Rood]])/Tabel59[[#This Row],[Aantal Games Rood]])</f>
        <v>0</v>
      </c>
      <c r="AL121" s="159">
        <f>IF(Tabel59[[#This Row],[Aantal Games Groen]]=0,0,(Tabel59[[#This Row],[Wins Groen]])/Tabel59[[#This Row],[Aantal Games Groen]])</f>
        <v>0</v>
      </c>
      <c r="AM121" s="156">
        <f>IF(Tabel59[[#This Row],[Aantal games Alg]]=0,0,(Tabel59[[#This Row],[Wins Alg]])/Tabel59[[#This Row],[Aantal games Alg]])</f>
        <v>0</v>
      </c>
      <c r="AN121" s="133">
        <f>COUNTIF(Tabel158[Winaar rood],Tabel59[[#This Row],[Team]])</f>
        <v>0</v>
      </c>
      <c r="AO121" s="134">
        <f>COUNTIF(Tabel158[Winnaar Groen],Tabel59[[#This Row],[Team]])</f>
        <v>0</v>
      </c>
      <c r="AP121" s="293">
        <f>COUNTIF(Tabel158[Winnaars],Tabel59[[#This Row],[Team]])</f>
        <v>0</v>
      </c>
      <c r="AQ121" s="135">
        <f>Tabel59[[#This Row],[Aantal Games Rood]]-Tabel59[[#This Row],[Wins Rood]]</f>
        <v>0</v>
      </c>
      <c r="AR121" s="136">
        <f>Tabel59[[#This Row],[Aantal Games Groen]]-Tabel59[[#This Row],[Wins Groen]]</f>
        <v>0</v>
      </c>
      <c r="AS121" s="137">
        <f>Tabel59[[#This Row],[Aantal games Alg]]-Tabel59[[#This Row],[Wins Alg]]</f>
        <v>0</v>
      </c>
      <c r="AT121" s="138">
        <f>COUNTIF(Tabel158[Team Rood],Tabel59[[#This Row],[Team]])</f>
        <v>0</v>
      </c>
      <c r="AU121" s="136">
        <f>COUNTIF(Tabel158[Team Groen],Tabel59[[#This Row],[Team]])</f>
        <v>0</v>
      </c>
      <c r="AV121" s="214">
        <f>Tabel59[[#This Row],[Aantal Games Rood]]+Tabel59[[#This Row],[Aantal Games Groen]]</f>
        <v>0</v>
      </c>
      <c r="AW121" s="138">
        <f>SUMIF(Tabel158[Team Rood],Tabel59[[#This Row],[Team]],Tabel158[Score])</f>
        <v>0</v>
      </c>
      <c r="AX121" s="138">
        <f>SUMIF(Tabel158[Team Rood],Tabel59[[#This Row],[Team]],Tabel158[Score2])</f>
        <v>0</v>
      </c>
      <c r="AY121" s="134">
        <f>SUMIF(Tabel158[Team Groen],Tabel59[[#This Row],[Team]],Tabel158[Score3])</f>
        <v>0</v>
      </c>
      <c r="AZ121" s="136">
        <f>SUMIF(Tabel158[Team Groen],Tabel59[[#This Row],[Team]],Tabel158[Score4])</f>
        <v>0</v>
      </c>
      <c r="BA121" s="293">
        <f>SUM(Tabel59[[#This Row],[Goals Verdediger]]+Tabel59[[#This Row],[Goals DefG]])</f>
        <v>0</v>
      </c>
      <c r="BB121" s="293">
        <f>IF(Tabel59[[#This Row],[Aantal games Alg]]=0,0,Tabel59[[#This Row],[Goals DefA]]/Tabel59[[#This Row],[Aantal games Alg]])</f>
        <v>0</v>
      </c>
      <c r="BC121" s="293">
        <f>SUM(Tabel59[[#This Row],[Goals Aanvaller]]+Tabel59[[#This Row],[Goals OffG]])</f>
        <v>0</v>
      </c>
      <c r="BD121" s="293">
        <f>IF(Tabel59[[#This Row],[Aantal games Alg]]=0,0,Tabel59[[#This Row],[Goals OffA]]/Tabel59[[#This Row],[Aantal games Alg]])</f>
        <v>0</v>
      </c>
      <c r="BE121" s="214">
        <f>Tabel59[[#This Row],[Goals DefA]]+Tabel59[[#This Row],[Goals OffA]]</f>
        <v>0</v>
      </c>
      <c r="BF121" s="214">
        <f>IF(Tabel59[[#This Row],[Aantal games Alg]]=0,0,Tabel59[[#This Row],[Goals Alg]]/Tabel59[[#This Row],[Aantal games Alg]])</f>
        <v>0</v>
      </c>
      <c r="BG121" s="148">
        <f>SUMIF(Tabel158[Team Rood],Tabel59[[#This Row],[Team]],Tabel158[ET])</f>
        <v>0</v>
      </c>
      <c r="BH121" s="150">
        <f>SUMIF(Tabel158[Team Groen],Tabel59[[#This Row],[Team]],Tabel158[ET])</f>
        <v>0</v>
      </c>
      <c r="BI121" s="153">
        <f>SUM(Tabel59[[#This Row],[ET Groen tot]],Tabel59[[#This Row],[ET Rood tot]])</f>
        <v>0</v>
      </c>
      <c r="BJ121" s="155">
        <f>IF(Tabel59[[#This Row],[Aantal games Alg]]=0,0,Tabel59[[#This Row],[ET tot]]/Tabel59[[#This Row],[Aantal games Alg]])</f>
        <v>0</v>
      </c>
    </row>
    <row r="122" spans="1:62" x14ac:dyDescent="0.25">
      <c r="A122" s="125">
        <f ca="1">IF(Tabel158[[#This Row],[Rood Verdediging]]&lt;&gt;"",IF(A122="",NOW(),A122),"")</f>
        <v>0</v>
      </c>
      <c r="B122" s="128">
        <f ca="1">IF(Tabel158[[#This Row],[Rood Verdediging]]&lt;&gt;"",IF(B122="",NOW(),B122),"")</f>
        <v>43878.947694907409</v>
      </c>
      <c r="C122" s="126">
        <f ca="1">IF(Tabel158[[#This Row],[Score]]&lt;&gt;"",IF(C122="",NOW(),C122),"")</f>
        <v>43878.947694907409</v>
      </c>
      <c r="D122" s="182">
        <f ca="1">IF(OR(Tabel158[[#This Row],[Starttijd]]="",Tabel158[[#This Row],[Eindtijd]]=""),"",Tabel158[[#This Row],[Eindtijd]]-Tabel158[[#This Row],[Starttijd]])</f>
        <v>0</v>
      </c>
      <c r="E122" s="74">
        <v>120</v>
      </c>
      <c r="F122" s="205" t="s">
        <v>3</v>
      </c>
      <c r="G122" s="210">
        <v>3</v>
      </c>
      <c r="H122" s="205" t="s">
        <v>0</v>
      </c>
      <c r="I122" s="210">
        <v>5</v>
      </c>
      <c r="J122" s="206" t="s">
        <v>7</v>
      </c>
      <c r="K122" s="212">
        <v>4</v>
      </c>
      <c r="L122" s="206" t="s">
        <v>19</v>
      </c>
      <c r="M122" s="212">
        <v>7</v>
      </c>
      <c r="N122" s="81">
        <f t="shared" si="14"/>
        <v>8</v>
      </c>
      <c r="O122" s="82">
        <f t="shared" si="15"/>
        <v>11</v>
      </c>
      <c r="P122" s="70" t="str">
        <f t="shared" si="18"/>
        <v>GROEN</v>
      </c>
      <c r="Q122" s="86" t="str">
        <f t="shared" si="16"/>
        <v>Tiemen</v>
      </c>
      <c r="R122" s="87" t="str">
        <f t="shared" si="17"/>
        <v>Nicolas</v>
      </c>
      <c r="S122" s="147" t="str">
        <f>Tabel158[[#This Row],[Rood Verdediging]]&amp;Tabel158[[#This Row],[Rood Aanval]]</f>
        <v>KarelJonas</v>
      </c>
      <c r="T122" s="147" t="str">
        <f>Tabel158[[#This Row],[Groen Verdediging]]&amp;Tabel158[[#This Row],[Groen Aanval]]</f>
        <v>TiemenNicolas</v>
      </c>
      <c r="U122" s="147" t="str">
        <f>Tabel158[[#This Row],[Winnaar 1]]&amp;Tabel158[[#This Row],[Winnaar 2]]</f>
        <v>TiemenNicolas</v>
      </c>
      <c r="V122" s="147" t="b">
        <f>IF(Tabel158[[#This Row],[Team Rood]]=Tabel158[[#This Row],[Winnaars]],Tabel158[[#This Row],[Team Rood]])</f>
        <v>0</v>
      </c>
      <c r="W122" s="147" t="str">
        <f>IF(Tabel158[[#This Row],[Team Groen]]=Tabel158[[#This Row],[Winnaars]],Tabel158[[#This Row],[Team Groen]])</f>
        <v>TiemenNicolas</v>
      </c>
      <c r="AH122" s="251" t="s">
        <v>170</v>
      </c>
      <c r="AI122" s="232" t="s">
        <v>168</v>
      </c>
      <c r="AJ122" s="140" t="str">
        <f t="shared" si="20"/>
        <v>Nico*Coghe*</v>
      </c>
      <c r="AK122" s="160">
        <f>IF(Tabel59[[#This Row],[Aantal Games Rood]]=0,0,(Tabel59[[#This Row],[Wins Rood]])/Tabel59[[#This Row],[Aantal Games Rood]])</f>
        <v>0</v>
      </c>
      <c r="AL122" s="159">
        <f>IF(Tabel59[[#This Row],[Aantal Games Groen]]=0,0,(Tabel59[[#This Row],[Wins Groen]])/Tabel59[[#This Row],[Aantal Games Groen]])</f>
        <v>0</v>
      </c>
      <c r="AM122" s="156">
        <f>IF(Tabel59[[#This Row],[Aantal games Alg]]=0,0,(Tabel59[[#This Row],[Wins Alg]])/Tabel59[[#This Row],[Aantal games Alg]])</f>
        <v>0</v>
      </c>
      <c r="AN122" s="171">
        <f>COUNTIF(Tabel158[Winaar rood],Tabel59[[#This Row],[Team]])</f>
        <v>0</v>
      </c>
      <c r="AO122" s="169">
        <f>COUNTIF(Tabel158[Winnaar Groen],Tabel59[[#This Row],[Team]])</f>
        <v>0</v>
      </c>
      <c r="AP122" s="170">
        <f>COUNTIF(Tabel158[Winnaars],Tabel59[[#This Row],[Team]])</f>
        <v>0</v>
      </c>
      <c r="AQ122" s="163">
        <f>Tabel59[[#This Row],[Aantal Games Rood]]-Tabel59[[#This Row],[Wins Rood]]</f>
        <v>0</v>
      </c>
      <c r="AR122" s="169">
        <f>Tabel59[[#This Row],[Aantal Games Groen]]-Tabel59[[#This Row],[Wins Groen]]</f>
        <v>0</v>
      </c>
      <c r="AS122" s="165">
        <f>Tabel59[[#This Row],[Aantal games Alg]]-Tabel59[[#This Row],[Wins Alg]]</f>
        <v>0</v>
      </c>
      <c r="AT122" s="171">
        <f>COUNTIF(Tabel158[Team Rood],Tabel59[[#This Row],[Team]])</f>
        <v>0</v>
      </c>
      <c r="AU122" s="169">
        <f>COUNTIF(Tabel158[Team Groen],Tabel59[[#This Row],[Team]])</f>
        <v>0</v>
      </c>
      <c r="AV122" s="170">
        <f>Tabel59[[#This Row],[Aantal Games Rood]]+Tabel59[[#This Row],[Aantal Games Groen]]</f>
        <v>0</v>
      </c>
      <c r="AW122" s="171">
        <f>SUMIF(Tabel158[Team Rood],Tabel59[[#This Row],[Team]],Tabel158[Score])</f>
        <v>0</v>
      </c>
      <c r="AX122" s="171">
        <f>SUMIF(Tabel158[Team Rood],Tabel59[[#This Row],[Team]],Tabel158[Score2])</f>
        <v>0</v>
      </c>
      <c r="AY122" s="136">
        <f>SUMIF(Tabel158[Team Groen],Tabel59[[#This Row],[Team]],Tabel158[Score3])</f>
        <v>0</v>
      </c>
      <c r="AZ122" s="169">
        <f>SUMIF(Tabel158[Team Groen],Tabel59[[#This Row],[Team]],Tabel158[Score4])</f>
        <v>0</v>
      </c>
      <c r="BA122" s="172">
        <f>SUM(Tabel59[[#This Row],[Goals Verdediger]]+Tabel59[[#This Row],[Goals DefG]])</f>
        <v>0</v>
      </c>
      <c r="BB122" s="170">
        <f>IF(Tabel59[[#This Row],[Aantal games Alg]]=0,0,Tabel59[[#This Row],[Goals DefA]]/Tabel59[[#This Row],[Aantal games Alg]])</f>
        <v>0</v>
      </c>
      <c r="BC122" s="172">
        <f>SUM(Tabel59[[#This Row],[Goals Aanvaller]]+Tabel59[[#This Row],[Goals OffG]])</f>
        <v>0</v>
      </c>
      <c r="BD122" s="170">
        <f>IF(Tabel59[[#This Row],[Aantal games Alg]]=0,0,Tabel59[[#This Row],[Goals OffA]]/Tabel59[[#This Row],[Aantal games Alg]])</f>
        <v>0</v>
      </c>
      <c r="BE122" s="170">
        <f>Tabel59[[#This Row],[Goals DefA]]+Tabel59[[#This Row],[Goals OffA]]</f>
        <v>0</v>
      </c>
      <c r="BF122" s="170">
        <f>IF(Tabel59[[#This Row],[Aantal games Alg]]=0,0,Tabel59[[#This Row],[Goals Alg]]/Tabel59[[#This Row],[Aantal games Alg]])</f>
        <v>0</v>
      </c>
      <c r="BG122" s="148">
        <f>SUMIF(Tabel158[Team Rood],Tabel59[[#This Row],[Team]],Tabel158[ET])</f>
        <v>0</v>
      </c>
      <c r="BH122" s="150">
        <f>SUMIF(Tabel158[Team Groen],Tabel59[[#This Row],[Team]],Tabel158[ET])</f>
        <v>0</v>
      </c>
      <c r="BI122" s="153">
        <f>SUM(Tabel59[[#This Row],[ET Groen tot]],Tabel59[[#This Row],[ET Rood tot]])</f>
        <v>0</v>
      </c>
      <c r="BJ122" s="155">
        <f>IF(Tabel59[[#This Row],[Aantal games Alg]]=0,0,Tabel59[[#This Row],[ET tot]]/Tabel59[[#This Row],[Aantal games Alg]])</f>
        <v>0</v>
      </c>
    </row>
    <row r="123" spans="1:62" x14ac:dyDescent="0.25">
      <c r="A123" s="125">
        <f ca="1">IF(Tabel158[[#This Row],[Rood Verdediging]]&lt;&gt;"",IF(A123="",NOW(),A123),"")</f>
        <v>0</v>
      </c>
      <c r="B123" s="128">
        <f ca="1">IF(Tabel158[[#This Row],[Rood Verdediging]]&lt;&gt;"",IF(B123="",NOW(),B123),"")</f>
        <v>43878.947694907409</v>
      </c>
      <c r="C123" s="126">
        <f ca="1">IF(Tabel158[[#This Row],[Score]]&lt;&gt;"",IF(C123="",NOW(),C123),"")</f>
        <v>43878.947694907409</v>
      </c>
      <c r="D123" s="182">
        <f ca="1">IF(OR(Tabel158[[#This Row],[Starttijd]]="",Tabel158[[#This Row],[Eindtijd]]=""),"",Tabel158[[#This Row],[Eindtijd]]-Tabel158[[#This Row],[Starttijd]])</f>
        <v>0</v>
      </c>
      <c r="E123" s="74">
        <v>120</v>
      </c>
      <c r="F123" s="205" t="s">
        <v>6</v>
      </c>
      <c r="G123" s="210">
        <v>4</v>
      </c>
      <c r="H123" s="205" t="s">
        <v>3</v>
      </c>
      <c r="I123" s="210">
        <v>7</v>
      </c>
      <c r="J123" s="206" t="s">
        <v>0</v>
      </c>
      <c r="K123" s="212">
        <v>3</v>
      </c>
      <c r="L123" s="206" t="s">
        <v>19</v>
      </c>
      <c r="M123" s="212">
        <v>5</v>
      </c>
      <c r="N123" s="81">
        <f t="shared" si="14"/>
        <v>11</v>
      </c>
      <c r="O123" s="82">
        <f t="shared" si="15"/>
        <v>8</v>
      </c>
      <c r="P123" s="70" t="str">
        <f t="shared" si="18"/>
        <v>ROOD</v>
      </c>
      <c r="Q123" s="86" t="str">
        <f t="shared" si="16"/>
        <v>Stef D</v>
      </c>
      <c r="R123" s="87" t="str">
        <f t="shared" si="17"/>
        <v>Karel</v>
      </c>
      <c r="S123" s="147" t="str">
        <f>Tabel158[[#This Row],[Rood Verdediging]]&amp;Tabel158[[#This Row],[Rood Aanval]]</f>
        <v>Stef DKarel</v>
      </c>
      <c r="T123" s="147" t="str">
        <f>Tabel158[[#This Row],[Groen Verdediging]]&amp;Tabel158[[#This Row],[Groen Aanval]]</f>
        <v>JonasNicolas</v>
      </c>
      <c r="U123" s="147" t="str">
        <f>Tabel158[[#This Row],[Winnaar 1]]&amp;Tabel158[[#This Row],[Winnaar 2]]</f>
        <v>Stef DKarel</v>
      </c>
      <c r="V123" s="147" t="str">
        <f>IF(Tabel158[[#This Row],[Team Rood]]=Tabel158[[#This Row],[Winnaars]],Tabel158[[#This Row],[Team Rood]])</f>
        <v>Stef DKarel</v>
      </c>
      <c r="W123" s="147" t="b">
        <f>IF(Tabel158[[#This Row],[Team Groen]]=Tabel158[[#This Row],[Winnaars]],Tabel158[[#This Row],[Team Groen]])</f>
        <v>0</v>
      </c>
      <c r="AH123" s="251" t="s">
        <v>170</v>
      </c>
      <c r="AI123" s="232" t="s">
        <v>67</v>
      </c>
      <c r="AJ123" s="140" t="str">
        <f t="shared" si="20"/>
        <v>Nico*Lawrence</v>
      </c>
      <c r="AK123" s="160">
        <f>IF(Tabel59[[#This Row],[Aantal Games Rood]]=0,0,(Tabel59[[#This Row],[Wins Rood]])/Tabel59[[#This Row],[Aantal Games Rood]])</f>
        <v>0</v>
      </c>
      <c r="AL123" s="159">
        <f>IF(Tabel59[[#This Row],[Aantal Games Groen]]=0,0,(Tabel59[[#This Row],[Wins Groen]])/Tabel59[[#This Row],[Aantal Games Groen]])</f>
        <v>0</v>
      </c>
      <c r="AM123" s="156">
        <f>IF(Tabel59[[#This Row],[Aantal games Alg]]=0,0,(Tabel59[[#This Row],[Wins Alg]])/Tabel59[[#This Row],[Aantal games Alg]])</f>
        <v>0</v>
      </c>
      <c r="AN123" s="133">
        <f>COUNTIF(Tabel158[Winaar rood],Tabel59[[#This Row],[Team]])</f>
        <v>0</v>
      </c>
      <c r="AO123" s="134">
        <f>COUNTIF(Tabel158[Winnaar Groen],Tabel59[[#This Row],[Team]])</f>
        <v>0</v>
      </c>
      <c r="AP123" s="293">
        <f>COUNTIF(Tabel158[Winnaars],Tabel59[[#This Row],[Team]])</f>
        <v>0</v>
      </c>
      <c r="AQ123" s="135">
        <f>Tabel59[[#This Row],[Aantal Games Rood]]-Tabel59[[#This Row],[Wins Rood]]</f>
        <v>0</v>
      </c>
      <c r="AR123" s="136">
        <f>Tabel59[[#This Row],[Aantal Games Groen]]-Tabel59[[#This Row],[Wins Groen]]</f>
        <v>0</v>
      </c>
      <c r="AS123" s="137">
        <f>Tabel59[[#This Row],[Aantal games Alg]]-Tabel59[[#This Row],[Wins Alg]]</f>
        <v>0</v>
      </c>
      <c r="AT123" s="138">
        <f>COUNTIF(Tabel158[Team Rood],Tabel59[[#This Row],[Team]])</f>
        <v>0</v>
      </c>
      <c r="AU123" s="136">
        <f>COUNTIF(Tabel158[Team Groen],Tabel59[[#This Row],[Team]])</f>
        <v>0</v>
      </c>
      <c r="AV123" s="214">
        <f>Tabel59[[#This Row],[Aantal Games Rood]]+Tabel59[[#This Row],[Aantal Games Groen]]</f>
        <v>0</v>
      </c>
      <c r="AW123" s="138">
        <f>SUMIF(Tabel158[Team Rood],Tabel59[[#This Row],[Team]],Tabel158[Score])</f>
        <v>0</v>
      </c>
      <c r="AX123" s="138">
        <f>SUMIF(Tabel158[Team Rood],Tabel59[[#This Row],[Team]],Tabel158[Score2])</f>
        <v>0</v>
      </c>
      <c r="AY123" s="134">
        <f>SUMIF(Tabel158[Team Groen],Tabel59[[#This Row],[Team]],Tabel158[Score3])</f>
        <v>0</v>
      </c>
      <c r="AZ123" s="136">
        <f>SUMIF(Tabel158[Team Groen],Tabel59[[#This Row],[Team]],Tabel158[Score4])</f>
        <v>0</v>
      </c>
      <c r="BA123" s="293">
        <f>SUM(Tabel59[[#This Row],[Goals Verdediger]]+Tabel59[[#This Row],[Goals DefG]])</f>
        <v>0</v>
      </c>
      <c r="BB123" s="293">
        <f>IF(Tabel59[[#This Row],[Aantal games Alg]]=0,0,Tabel59[[#This Row],[Goals DefA]]/Tabel59[[#This Row],[Aantal games Alg]])</f>
        <v>0</v>
      </c>
      <c r="BC123" s="293">
        <f>SUM(Tabel59[[#This Row],[Goals Aanvaller]]+Tabel59[[#This Row],[Goals OffG]])</f>
        <v>0</v>
      </c>
      <c r="BD123" s="293">
        <f>IF(Tabel59[[#This Row],[Aantal games Alg]]=0,0,Tabel59[[#This Row],[Goals OffA]]/Tabel59[[#This Row],[Aantal games Alg]])</f>
        <v>0</v>
      </c>
      <c r="BE123" s="214">
        <f>Tabel59[[#This Row],[Goals DefA]]+Tabel59[[#This Row],[Goals OffA]]</f>
        <v>0</v>
      </c>
      <c r="BF123" s="214">
        <f>IF(Tabel59[[#This Row],[Aantal games Alg]]=0,0,Tabel59[[#This Row],[Goals Alg]]/Tabel59[[#This Row],[Aantal games Alg]])</f>
        <v>0</v>
      </c>
      <c r="BG123" s="148">
        <f>SUMIF(Tabel158[Team Rood],Tabel59[[#This Row],[Team]],Tabel158[ET])</f>
        <v>0</v>
      </c>
      <c r="BH123" s="150">
        <f>SUMIF(Tabel158[Team Groen],Tabel59[[#This Row],[Team]],Tabel158[ET])</f>
        <v>0</v>
      </c>
      <c r="BI123" s="153">
        <f>SUM(Tabel59[[#This Row],[ET Groen tot]],Tabel59[[#This Row],[ET Rood tot]])</f>
        <v>0</v>
      </c>
      <c r="BJ123" s="155">
        <f>IF(Tabel59[[#This Row],[Aantal games Alg]]=0,0,Tabel59[[#This Row],[ET tot]]/Tabel59[[#This Row],[Aantal games Alg]])</f>
        <v>0</v>
      </c>
    </row>
    <row r="124" spans="1:62" x14ac:dyDescent="0.25">
      <c r="A124" s="125">
        <f ca="1">IF(Tabel158[[#This Row],[Rood Verdediging]]&lt;&gt;"",IF(A124="",NOW(),A124),"")</f>
        <v>0</v>
      </c>
      <c r="B124" s="128">
        <f ca="1">IF(Tabel158[[#This Row],[Rood Verdediging]]&lt;&gt;"",IF(B124="",NOW(),B124),"")</f>
        <v>43878.947694907409</v>
      </c>
      <c r="C124" s="126">
        <f ca="1">IF(Tabel158[[#This Row],[Score]]&lt;&gt;"",IF(C124="",NOW(),C124),"")</f>
        <v>43878.947694907409</v>
      </c>
      <c r="D124" s="182">
        <f ca="1">IF(OR(Tabel158[[#This Row],[Starttijd]]="",Tabel158[[#This Row],[Eindtijd]]=""),"",Tabel158[[#This Row],[Eindtijd]]-Tabel158[[#This Row],[Starttijd]])</f>
        <v>0</v>
      </c>
      <c r="E124" s="74">
        <v>120</v>
      </c>
      <c r="F124" s="205" t="s">
        <v>7</v>
      </c>
      <c r="G124" s="210">
        <v>1</v>
      </c>
      <c r="H124" s="205" t="s">
        <v>6</v>
      </c>
      <c r="I124" s="210">
        <v>5</v>
      </c>
      <c r="J124" s="206" t="s">
        <v>0</v>
      </c>
      <c r="K124" s="212">
        <v>2</v>
      </c>
      <c r="L124" s="206" t="s">
        <v>3</v>
      </c>
      <c r="M124" s="212">
        <v>9</v>
      </c>
      <c r="N124" s="81">
        <f t="shared" si="14"/>
        <v>6</v>
      </c>
      <c r="O124" s="82">
        <f t="shared" si="15"/>
        <v>11</v>
      </c>
      <c r="P124" s="70" t="str">
        <f t="shared" si="18"/>
        <v>GROEN</v>
      </c>
      <c r="Q124" s="86" t="str">
        <f t="shared" si="16"/>
        <v>Jonas</v>
      </c>
      <c r="R124" s="87" t="str">
        <f t="shared" si="17"/>
        <v>Karel</v>
      </c>
      <c r="S124" s="147" t="str">
        <f>Tabel158[[#This Row],[Rood Verdediging]]&amp;Tabel158[[#This Row],[Rood Aanval]]</f>
        <v>TiemenStef D</v>
      </c>
      <c r="T124" s="147" t="str">
        <f>Tabel158[[#This Row],[Groen Verdediging]]&amp;Tabel158[[#This Row],[Groen Aanval]]</f>
        <v>JonasKarel</v>
      </c>
      <c r="U124" s="147" t="str">
        <f>Tabel158[[#This Row],[Winnaar 1]]&amp;Tabel158[[#This Row],[Winnaar 2]]</f>
        <v>JonasKarel</v>
      </c>
      <c r="V124" s="147" t="b">
        <f>IF(Tabel158[[#This Row],[Team Rood]]=Tabel158[[#This Row],[Winnaars]],Tabel158[[#This Row],[Team Rood]])</f>
        <v>0</v>
      </c>
      <c r="W124" s="147" t="str">
        <f>IF(Tabel158[[#This Row],[Team Groen]]=Tabel158[[#This Row],[Winnaars]],Tabel158[[#This Row],[Team Groen]])</f>
        <v>JonasKarel</v>
      </c>
      <c r="AH124" s="251" t="s">
        <v>170</v>
      </c>
      <c r="AI124" s="232" t="s">
        <v>161</v>
      </c>
      <c r="AJ124" s="140" t="str">
        <f t="shared" si="20"/>
        <v>Nico*Louis*</v>
      </c>
      <c r="AK124" s="160">
        <f>IF(Tabel59[[#This Row],[Aantal Games Rood]]=0,0,(Tabel59[[#This Row],[Wins Rood]])/Tabel59[[#This Row],[Aantal Games Rood]])</f>
        <v>0</v>
      </c>
      <c r="AL124" s="159">
        <f>IF(Tabel59[[#This Row],[Aantal Games Groen]]=0,0,(Tabel59[[#This Row],[Wins Groen]])/Tabel59[[#This Row],[Aantal Games Groen]])</f>
        <v>0</v>
      </c>
      <c r="AM124" s="156">
        <f>IF(Tabel59[[#This Row],[Aantal games Alg]]=0,0,(Tabel59[[#This Row],[Wins Alg]])/Tabel59[[#This Row],[Aantal games Alg]])</f>
        <v>0</v>
      </c>
      <c r="AN124" s="138">
        <f>COUNTIF(Tabel158[Winaar rood],Tabel59[[#This Row],[Team]])</f>
        <v>0</v>
      </c>
      <c r="AO124" s="134">
        <f>COUNTIF(Tabel158[Winnaar Groen],Tabel59[[#This Row],[Team]])</f>
        <v>0</v>
      </c>
      <c r="AP124" s="293">
        <f>COUNTIF(Tabel158[Winnaars],Tabel59[[#This Row],[Team]])</f>
        <v>0</v>
      </c>
      <c r="AQ124" s="135">
        <f>Tabel59[[#This Row],[Aantal Games Rood]]-Tabel59[[#This Row],[Wins Rood]]</f>
        <v>2</v>
      </c>
      <c r="AR124" s="136">
        <f>Tabel59[[#This Row],[Aantal Games Groen]]-Tabel59[[#This Row],[Wins Groen]]</f>
        <v>5</v>
      </c>
      <c r="AS124" s="137">
        <f>Tabel59[[#This Row],[Aantal games Alg]]-Tabel59[[#This Row],[Wins Alg]]</f>
        <v>7</v>
      </c>
      <c r="AT124" s="138">
        <f>COUNTIF(Tabel158[Team Rood],Tabel59[[#This Row],[Team]])</f>
        <v>2</v>
      </c>
      <c r="AU124" s="136">
        <f>COUNTIF(Tabel158[Team Groen],Tabel59[[#This Row],[Team]])</f>
        <v>5</v>
      </c>
      <c r="AV124" s="214">
        <f>Tabel59[[#This Row],[Aantal Games Rood]]+Tabel59[[#This Row],[Aantal Games Groen]]</f>
        <v>7</v>
      </c>
      <c r="AW124" s="138">
        <f>SUMIF(Tabel158[Team Rood],Tabel59[[#This Row],[Team]],Tabel158[Score])</f>
        <v>1</v>
      </c>
      <c r="AX124" s="138">
        <f>SUMIF(Tabel158[Team Rood],Tabel59[[#This Row],[Team]],Tabel158[Score2])</f>
        <v>12</v>
      </c>
      <c r="AY124" s="134">
        <f>SUMIF(Tabel158[Team Groen],Tabel59[[#This Row],[Team]],Tabel158[Score3])</f>
        <v>4</v>
      </c>
      <c r="AZ124" s="136">
        <f>SUMIF(Tabel158[Team Groen],Tabel59[[#This Row],[Team]],Tabel158[Score4])</f>
        <v>22</v>
      </c>
      <c r="BA124" s="293">
        <f>SUM(Tabel59[[#This Row],[Goals Verdediger]]+Tabel59[[#This Row],[Goals DefG]])</f>
        <v>5</v>
      </c>
      <c r="BB124" s="293">
        <f>IF(Tabel59[[#This Row],[Aantal games Alg]]=0,0,Tabel59[[#This Row],[Goals DefA]]/Tabel59[[#This Row],[Aantal games Alg]])</f>
        <v>0.7142857142857143</v>
      </c>
      <c r="BC124" s="293">
        <f>SUM(Tabel59[[#This Row],[Goals Aanvaller]]+Tabel59[[#This Row],[Goals OffG]])</f>
        <v>34</v>
      </c>
      <c r="BD124" s="293">
        <f>IF(Tabel59[[#This Row],[Aantal games Alg]]=0,0,Tabel59[[#This Row],[Goals OffA]]/Tabel59[[#This Row],[Aantal games Alg]])</f>
        <v>4.8571428571428568</v>
      </c>
      <c r="BE124" s="214">
        <f>Tabel59[[#This Row],[Goals DefA]]+Tabel59[[#This Row],[Goals OffA]]</f>
        <v>39</v>
      </c>
      <c r="BF124" s="214">
        <f>IF(Tabel59[[#This Row],[Aantal games Alg]]=0,0,Tabel59[[#This Row],[Goals Alg]]/Tabel59[[#This Row],[Aantal games Alg]])</f>
        <v>5.5714285714285712</v>
      </c>
      <c r="BG124" s="148">
        <f ca="1">SUMIF(Tabel158[Team Rood],Tabel59[[#This Row],[Team]],Tabel158[ET])</f>
        <v>0</v>
      </c>
      <c r="BH124" s="150">
        <f ca="1">SUMIF(Tabel158[Team Groen],Tabel59[[#This Row],[Team]],Tabel158[ET])</f>
        <v>0</v>
      </c>
      <c r="BI124" s="153">
        <f ca="1">SUM(Tabel59[[#This Row],[ET Groen tot]],Tabel59[[#This Row],[ET Rood tot]])</f>
        <v>0</v>
      </c>
      <c r="BJ124" s="155">
        <f ca="1">IF(Tabel59[[#This Row],[Aantal games Alg]]=0,0,Tabel59[[#This Row],[ET tot]]/Tabel59[[#This Row],[Aantal games Alg]])</f>
        <v>0</v>
      </c>
    </row>
    <row r="125" spans="1:62" x14ac:dyDescent="0.25">
      <c r="A125" s="125">
        <f ca="1">IF(Tabel158[[#This Row],[Rood Verdediging]]&lt;&gt;"",IF(A125="",NOW(),A125),"")</f>
        <v>0</v>
      </c>
      <c r="B125" s="128">
        <f ca="1">IF(Tabel158[[#This Row],[Rood Verdediging]]&lt;&gt;"",IF(B125="",NOW(),B125),"")</f>
        <v>43878.947694907409</v>
      </c>
      <c r="C125" s="126">
        <f ca="1">IF(Tabel158[[#This Row],[Score]]&lt;&gt;"",IF(C125="",NOW(),C125),"")</f>
        <v>43878.947694907409</v>
      </c>
      <c r="D125" s="182">
        <f ca="1">IF(OR(Tabel158[[#This Row],[Starttijd]]="",Tabel158[[#This Row],[Eindtijd]]=""),"",Tabel158[[#This Row],[Eindtijd]]-Tabel158[[#This Row],[Starttijd]])</f>
        <v>0</v>
      </c>
      <c r="E125" s="74">
        <v>120</v>
      </c>
      <c r="F125" s="205" t="s">
        <v>0</v>
      </c>
      <c r="G125" s="210">
        <v>6</v>
      </c>
      <c r="H125" s="205" t="s">
        <v>7</v>
      </c>
      <c r="I125" s="210">
        <v>5</v>
      </c>
      <c r="J125" s="206" t="s">
        <v>6</v>
      </c>
      <c r="K125" s="212">
        <v>2</v>
      </c>
      <c r="L125" s="206" t="s">
        <v>19</v>
      </c>
      <c r="M125" s="212">
        <v>4</v>
      </c>
      <c r="N125" s="81">
        <f t="shared" si="14"/>
        <v>11</v>
      </c>
      <c r="O125" s="82">
        <f t="shared" si="15"/>
        <v>6</v>
      </c>
      <c r="P125" s="70" t="str">
        <f t="shared" si="18"/>
        <v>ROOD</v>
      </c>
      <c r="Q125" s="86" t="str">
        <f t="shared" si="16"/>
        <v>Jonas</v>
      </c>
      <c r="R125" s="87" t="str">
        <f t="shared" si="17"/>
        <v>Tiemen</v>
      </c>
      <c r="S125" s="147" t="str">
        <f>Tabel158[[#This Row],[Rood Verdediging]]&amp;Tabel158[[#This Row],[Rood Aanval]]</f>
        <v>JonasTiemen</v>
      </c>
      <c r="T125" s="147" t="str">
        <f>Tabel158[[#This Row],[Groen Verdediging]]&amp;Tabel158[[#This Row],[Groen Aanval]]</f>
        <v>Stef DNicolas</v>
      </c>
      <c r="U125" s="147" t="str">
        <f>Tabel158[[#This Row],[Winnaar 1]]&amp;Tabel158[[#This Row],[Winnaar 2]]</f>
        <v>JonasTiemen</v>
      </c>
      <c r="V125" s="147" t="str">
        <f>IF(Tabel158[[#This Row],[Team Rood]]=Tabel158[[#This Row],[Winnaars]],Tabel158[[#This Row],[Team Rood]])</f>
        <v>JonasTiemen</v>
      </c>
      <c r="W125" s="147" t="b">
        <f>IF(Tabel158[[#This Row],[Team Groen]]=Tabel158[[#This Row],[Winnaars]],Tabel158[[#This Row],[Team Groen]])</f>
        <v>0</v>
      </c>
      <c r="AH125" s="251" t="s">
        <v>170</v>
      </c>
      <c r="AI125" s="232" t="s">
        <v>162</v>
      </c>
      <c r="AJ125" s="140" t="str">
        <f t="shared" si="20"/>
        <v>Nico*Matthijs*</v>
      </c>
      <c r="AK125" s="160">
        <f>IF(Tabel59[[#This Row],[Aantal Games Rood]]=0,0,(Tabel59[[#This Row],[Wins Rood]])/Tabel59[[#This Row],[Aantal Games Rood]])</f>
        <v>0</v>
      </c>
      <c r="AL125" s="159">
        <f>IF(Tabel59[[#This Row],[Aantal Games Groen]]=0,0,(Tabel59[[#This Row],[Wins Groen]])/Tabel59[[#This Row],[Aantal Games Groen]])</f>
        <v>0</v>
      </c>
      <c r="AM125" s="156">
        <f>IF(Tabel59[[#This Row],[Aantal games Alg]]=0,0,(Tabel59[[#This Row],[Wins Alg]])/Tabel59[[#This Row],[Aantal games Alg]])</f>
        <v>0</v>
      </c>
      <c r="AN125" s="138">
        <f>COUNTIF(Tabel158[Winaar rood],Tabel59[[#This Row],[Team]])</f>
        <v>0</v>
      </c>
      <c r="AO125" s="134">
        <f>COUNTIF(Tabel158[Winnaar Groen],Tabel59[[#This Row],[Team]])</f>
        <v>0</v>
      </c>
      <c r="AP125" s="293">
        <f>COUNTIF(Tabel158[Winnaars],Tabel59[[#This Row],[Team]])</f>
        <v>0</v>
      </c>
      <c r="AQ125" s="135">
        <f>Tabel59[[#This Row],[Aantal Games Rood]]-Tabel59[[#This Row],[Wins Rood]]</f>
        <v>3</v>
      </c>
      <c r="AR125" s="136">
        <f>Tabel59[[#This Row],[Aantal Games Groen]]-Tabel59[[#This Row],[Wins Groen]]</f>
        <v>1</v>
      </c>
      <c r="AS125" s="137">
        <f>Tabel59[[#This Row],[Aantal games Alg]]-Tabel59[[#This Row],[Wins Alg]]</f>
        <v>4</v>
      </c>
      <c r="AT125" s="138">
        <f>COUNTIF(Tabel158[Team Rood],Tabel59[[#This Row],[Team]])</f>
        <v>3</v>
      </c>
      <c r="AU125" s="136">
        <f>COUNTIF(Tabel158[Team Groen],Tabel59[[#This Row],[Team]])</f>
        <v>1</v>
      </c>
      <c r="AV125" s="214">
        <f>Tabel59[[#This Row],[Aantal Games Rood]]+Tabel59[[#This Row],[Aantal Games Groen]]</f>
        <v>4</v>
      </c>
      <c r="AW125" s="138">
        <f>SUMIF(Tabel158[Team Rood],Tabel59[[#This Row],[Team]],Tabel158[Score])</f>
        <v>8</v>
      </c>
      <c r="AX125" s="138">
        <f>SUMIF(Tabel158[Team Rood],Tabel59[[#This Row],[Team]],Tabel158[Score2])</f>
        <v>11</v>
      </c>
      <c r="AY125" s="134">
        <f>SUMIF(Tabel158[Team Groen],Tabel59[[#This Row],[Team]],Tabel158[Score3])</f>
        <v>0</v>
      </c>
      <c r="AZ125" s="136">
        <f>SUMIF(Tabel158[Team Groen],Tabel59[[#This Row],[Team]],Tabel158[Score4])</f>
        <v>4</v>
      </c>
      <c r="BA125" s="293">
        <f>SUM(Tabel59[[#This Row],[Goals Verdediger]]+Tabel59[[#This Row],[Goals DefG]])</f>
        <v>8</v>
      </c>
      <c r="BB125" s="293">
        <f>IF(Tabel59[[#This Row],[Aantal games Alg]]=0,0,Tabel59[[#This Row],[Goals DefA]]/Tabel59[[#This Row],[Aantal games Alg]])</f>
        <v>2</v>
      </c>
      <c r="BC125" s="293">
        <f>SUM(Tabel59[[#This Row],[Goals Aanvaller]]+Tabel59[[#This Row],[Goals OffG]])</f>
        <v>15</v>
      </c>
      <c r="BD125" s="293">
        <f>IF(Tabel59[[#This Row],[Aantal games Alg]]=0,0,Tabel59[[#This Row],[Goals OffA]]/Tabel59[[#This Row],[Aantal games Alg]])</f>
        <v>3.75</v>
      </c>
      <c r="BE125" s="214">
        <f>Tabel59[[#This Row],[Goals DefA]]+Tabel59[[#This Row],[Goals OffA]]</f>
        <v>23</v>
      </c>
      <c r="BF125" s="214">
        <f>IF(Tabel59[[#This Row],[Aantal games Alg]]=0,0,Tabel59[[#This Row],[Goals Alg]]/Tabel59[[#This Row],[Aantal games Alg]])</f>
        <v>5.75</v>
      </c>
      <c r="BG125" s="148">
        <f ca="1">SUMIF(Tabel158[Team Rood],Tabel59[[#This Row],[Team]],Tabel158[ET])</f>
        <v>0</v>
      </c>
      <c r="BH125" s="150">
        <f ca="1">SUMIF(Tabel158[Team Groen],Tabel59[[#This Row],[Team]],Tabel158[ET])</f>
        <v>0</v>
      </c>
      <c r="BI125" s="153">
        <f ca="1">SUM(Tabel59[[#This Row],[ET Groen tot]],Tabel59[[#This Row],[ET Rood tot]])</f>
        <v>0</v>
      </c>
      <c r="BJ125" s="155">
        <f ca="1">IF(Tabel59[[#This Row],[Aantal games Alg]]=0,0,Tabel59[[#This Row],[ET tot]]/Tabel59[[#This Row],[Aantal games Alg]])</f>
        <v>0</v>
      </c>
    </row>
    <row r="126" spans="1:62" x14ac:dyDescent="0.25">
      <c r="A126" s="125">
        <f ca="1">IF(Tabel158[[#This Row],[Rood Verdediging]]&lt;&gt;"",IF(A126="",NOW(),A126),"")</f>
        <v>0</v>
      </c>
      <c r="B126" s="128">
        <f ca="1">IF(Tabel158[[#This Row],[Rood Verdediging]]&lt;&gt;"",IF(B126="",NOW(),B126),"")</f>
        <v>43878.947694907409</v>
      </c>
      <c r="C126" s="126">
        <f ca="1">IF(Tabel158[[#This Row],[Score]]&lt;&gt;"",IF(C126="",NOW(),C126),"")</f>
        <v>43878.947694907409</v>
      </c>
      <c r="D126" s="182">
        <f ca="1">IF(OR(Tabel158[[#This Row],[Starttijd]]="",Tabel158[[#This Row],[Eindtijd]]=""),"",Tabel158[[#This Row],[Eindtijd]]-Tabel158[[#This Row],[Starttijd]])</f>
        <v>0</v>
      </c>
      <c r="E126" s="74">
        <v>120</v>
      </c>
      <c r="F126" s="205" t="s">
        <v>0</v>
      </c>
      <c r="G126" s="210">
        <v>7</v>
      </c>
      <c r="H126" s="205" t="s">
        <v>19</v>
      </c>
      <c r="I126" s="210">
        <v>4</v>
      </c>
      <c r="J126" s="206" t="s">
        <v>7</v>
      </c>
      <c r="K126" s="212">
        <v>6</v>
      </c>
      <c r="L126" s="206" t="s">
        <v>3</v>
      </c>
      <c r="M126" s="212">
        <v>7</v>
      </c>
      <c r="N126" s="81">
        <f t="shared" si="14"/>
        <v>11</v>
      </c>
      <c r="O126" s="82">
        <f t="shared" si="15"/>
        <v>13</v>
      </c>
      <c r="P126" s="70" t="str">
        <f t="shared" si="18"/>
        <v>GROEN</v>
      </c>
      <c r="Q126" s="86" t="str">
        <f t="shared" si="16"/>
        <v>Tiemen</v>
      </c>
      <c r="R126" s="87" t="str">
        <f t="shared" si="17"/>
        <v>Karel</v>
      </c>
      <c r="S126" s="147" t="str">
        <f>Tabel158[[#This Row],[Rood Verdediging]]&amp;Tabel158[[#This Row],[Rood Aanval]]</f>
        <v>JonasNicolas</v>
      </c>
      <c r="T126" s="147" t="str">
        <f>Tabel158[[#This Row],[Groen Verdediging]]&amp;Tabel158[[#This Row],[Groen Aanval]]</f>
        <v>TiemenKarel</v>
      </c>
      <c r="U126" s="147" t="str">
        <f>Tabel158[[#This Row],[Winnaar 1]]&amp;Tabel158[[#This Row],[Winnaar 2]]</f>
        <v>TiemenKarel</v>
      </c>
      <c r="V126" s="147" t="b">
        <f>IF(Tabel158[[#This Row],[Team Rood]]=Tabel158[[#This Row],[Winnaars]],Tabel158[[#This Row],[Team Rood]])</f>
        <v>0</v>
      </c>
      <c r="W126" s="147" t="str">
        <f>IF(Tabel158[[#This Row],[Team Groen]]=Tabel158[[#This Row],[Winnaars]],Tabel158[[#This Row],[Team Groen]])</f>
        <v>TiemenKarel</v>
      </c>
      <c r="AH126" s="251" t="s">
        <v>170</v>
      </c>
      <c r="AI126" s="232" t="s">
        <v>166</v>
      </c>
      <c r="AJ126" s="140" t="str">
        <f t="shared" si="20"/>
        <v>Nico*Stijn*</v>
      </c>
      <c r="AK126" s="160">
        <f>IF(Tabel59[[#This Row],[Aantal Games Rood]]=0,0,(Tabel59[[#This Row],[Wins Rood]])/Tabel59[[#This Row],[Aantal Games Rood]])</f>
        <v>0</v>
      </c>
      <c r="AL126" s="159">
        <f>IF(Tabel59[[#This Row],[Aantal Games Groen]]=0,0,(Tabel59[[#This Row],[Wins Groen]])/Tabel59[[#This Row],[Aantal Games Groen]])</f>
        <v>0</v>
      </c>
      <c r="AM126" s="156">
        <f>IF(Tabel59[[#This Row],[Aantal games Alg]]=0,0,(Tabel59[[#This Row],[Wins Alg]])/Tabel59[[#This Row],[Aantal games Alg]])</f>
        <v>0</v>
      </c>
      <c r="AN126" s="133">
        <f>COUNTIF(Tabel158[Winaar rood],Tabel59[[#This Row],[Team]])</f>
        <v>0</v>
      </c>
      <c r="AO126" s="134">
        <f>COUNTIF(Tabel158[Winnaar Groen],Tabel59[[#This Row],[Team]])</f>
        <v>0</v>
      </c>
      <c r="AP126" s="293">
        <f>COUNTIF(Tabel158[Winnaars],Tabel59[[#This Row],[Team]])</f>
        <v>0</v>
      </c>
      <c r="AQ126" s="135">
        <f>Tabel59[[#This Row],[Aantal Games Rood]]-Tabel59[[#This Row],[Wins Rood]]</f>
        <v>0</v>
      </c>
      <c r="AR126" s="136">
        <f>Tabel59[[#This Row],[Aantal Games Groen]]-Tabel59[[#This Row],[Wins Groen]]</f>
        <v>0</v>
      </c>
      <c r="AS126" s="137">
        <f>Tabel59[[#This Row],[Aantal games Alg]]-Tabel59[[#This Row],[Wins Alg]]</f>
        <v>0</v>
      </c>
      <c r="AT126" s="138">
        <f>COUNTIF(Tabel158[Team Rood],Tabel59[[#This Row],[Team]])</f>
        <v>0</v>
      </c>
      <c r="AU126" s="136">
        <f>COUNTIF(Tabel158[Team Groen],Tabel59[[#This Row],[Team]])</f>
        <v>0</v>
      </c>
      <c r="AV126" s="214">
        <f>Tabel59[[#This Row],[Aantal Games Rood]]+Tabel59[[#This Row],[Aantal Games Groen]]</f>
        <v>0</v>
      </c>
      <c r="AW126" s="138">
        <f>SUMIF(Tabel158[Team Rood],Tabel59[[#This Row],[Team]],Tabel158[Score])</f>
        <v>0</v>
      </c>
      <c r="AX126" s="138">
        <f>SUMIF(Tabel158[Team Rood],Tabel59[[#This Row],[Team]],Tabel158[Score2])</f>
        <v>0</v>
      </c>
      <c r="AY126" s="134">
        <f>SUMIF(Tabel158[Team Groen],Tabel59[[#This Row],[Team]],Tabel158[Score3])</f>
        <v>0</v>
      </c>
      <c r="AZ126" s="136">
        <f>SUMIF(Tabel158[Team Groen],Tabel59[[#This Row],[Team]],Tabel158[Score4])</f>
        <v>0</v>
      </c>
      <c r="BA126" s="293">
        <f>SUM(Tabel59[[#This Row],[Goals Verdediger]]+Tabel59[[#This Row],[Goals DefG]])</f>
        <v>0</v>
      </c>
      <c r="BB126" s="293">
        <f>IF(Tabel59[[#This Row],[Aantal games Alg]]=0,0,Tabel59[[#This Row],[Goals DefA]]/Tabel59[[#This Row],[Aantal games Alg]])</f>
        <v>0</v>
      </c>
      <c r="BC126" s="293">
        <f>SUM(Tabel59[[#This Row],[Goals Aanvaller]]+Tabel59[[#This Row],[Goals OffG]])</f>
        <v>0</v>
      </c>
      <c r="BD126" s="293">
        <f>IF(Tabel59[[#This Row],[Aantal games Alg]]=0,0,Tabel59[[#This Row],[Goals OffA]]/Tabel59[[#This Row],[Aantal games Alg]])</f>
        <v>0</v>
      </c>
      <c r="BE126" s="214">
        <f>Tabel59[[#This Row],[Goals DefA]]+Tabel59[[#This Row],[Goals OffA]]</f>
        <v>0</v>
      </c>
      <c r="BF126" s="214">
        <f>IF(Tabel59[[#This Row],[Aantal games Alg]]=0,0,Tabel59[[#This Row],[Goals Alg]]/Tabel59[[#This Row],[Aantal games Alg]])</f>
        <v>0</v>
      </c>
      <c r="BG126" s="148">
        <f>SUMIF(Tabel158[Team Rood],Tabel59[[#This Row],[Team]],Tabel158[ET])</f>
        <v>0</v>
      </c>
      <c r="BH126" s="150">
        <f>SUMIF(Tabel158[Team Groen],Tabel59[[#This Row],[Team]],Tabel158[ET])</f>
        <v>0</v>
      </c>
      <c r="BI126" s="153">
        <f>SUM(Tabel59[[#This Row],[ET Groen tot]],Tabel59[[#This Row],[ET Rood tot]])</f>
        <v>0</v>
      </c>
      <c r="BJ126" s="155">
        <f>IF(Tabel59[[#This Row],[Aantal games Alg]]=0,0,Tabel59[[#This Row],[ET tot]]/Tabel59[[#This Row],[Aantal games Alg]])</f>
        <v>0</v>
      </c>
    </row>
    <row r="127" spans="1:62" x14ac:dyDescent="0.25">
      <c r="A127" s="125">
        <f ca="1">IF(Tabel158[[#This Row],[Rood Verdediging]]&lt;&gt;"",IF(A127="",NOW(),A127),"")</f>
        <v>0</v>
      </c>
      <c r="B127" s="128">
        <f ca="1">IF(Tabel158[[#This Row],[Rood Verdediging]]&lt;&gt;"",IF(B127="",NOW(),B127),"")</f>
        <v>43878.947694907409</v>
      </c>
      <c r="C127" s="126">
        <f ca="1">IF(Tabel158[[#This Row],[Score]]&lt;&gt;"",IF(C127="",NOW(),C127),"")</f>
        <v>43878.947694907409</v>
      </c>
      <c r="D127" s="182">
        <f ca="1">IF(OR(Tabel158[[#This Row],[Starttijd]]="",Tabel158[[#This Row],[Eindtijd]]=""),"",Tabel158[[#This Row],[Eindtijd]]-Tabel158[[#This Row],[Starttijd]])</f>
        <v>0</v>
      </c>
      <c r="E127" s="74">
        <v>120</v>
      </c>
      <c r="F127" s="205" t="s">
        <v>3</v>
      </c>
      <c r="G127" s="210">
        <v>3</v>
      </c>
      <c r="H127" s="205" t="s">
        <v>6</v>
      </c>
      <c r="I127" s="210">
        <v>3</v>
      </c>
      <c r="J127" s="206" t="s">
        <v>0</v>
      </c>
      <c r="K127" s="212">
        <v>4</v>
      </c>
      <c r="L127" s="206" t="s">
        <v>7</v>
      </c>
      <c r="M127" s="212">
        <v>7</v>
      </c>
      <c r="N127" s="81">
        <f t="shared" si="14"/>
        <v>6</v>
      </c>
      <c r="O127" s="82">
        <f t="shared" si="15"/>
        <v>11</v>
      </c>
      <c r="P127" s="70" t="str">
        <f t="shared" si="18"/>
        <v>GROEN</v>
      </c>
      <c r="Q127" s="86" t="str">
        <f t="shared" si="16"/>
        <v>Jonas</v>
      </c>
      <c r="R127" s="87" t="str">
        <f t="shared" si="17"/>
        <v>Tiemen</v>
      </c>
      <c r="S127" s="147" t="str">
        <f>Tabel158[[#This Row],[Rood Verdediging]]&amp;Tabel158[[#This Row],[Rood Aanval]]</f>
        <v>KarelStef D</v>
      </c>
      <c r="T127" s="147" t="str">
        <f>Tabel158[[#This Row],[Groen Verdediging]]&amp;Tabel158[[#This Row],[Groen Aanval]]</f>
        <v>JonasTiemen</v>
      </c>
      <c r="U127" s="147" t="str">
        <f>Tabel158[[#This Row],[Winnaar 1]]&amp;Tabel158[[#This Row],[Winnaar 2]]</f>
        <v>JonasTiemen</v>
      </c>
      <c r="V127" s="147" t="b">
        <f>IF(Tabel158[[#This Row],[Team Rood]]=Tabel158[[#This Row],[Winnaars]],Tabel158[[#This Row],[Team Rood]])</f>
        <v>0</v>
      </c>
      <c r="W127" s="147" t="str">
        <f>IF(Tabel158[[#This Row],[Team Groen]]=Tabel158[[#This Row],[Winnaars]],Tabel158[[#This Row],[Team Groen]])</f>
        <v>JonasTiemen</v>
      </c>
      <c r="AH127" s="251" t="s">
        <v>170</v>
      </c>
      <c r="AI127" s="232" t="s">
        <v>157</v>
      </c>
      <c r="AJ127" s="140" t="str">
        <f t="shared" si="20"/>
        <v>Nico*Tobi*</v>
      </c>
      <c r="AK127" s="160">
        <f>IF(Tabel59[[#This Row],[Aantal Games Rood]]=0,0,(Tabel59[[#This Row],[Wins Rood]])/Tabel59[[#This Row],[Aantal Games Rood]])</f>
        <v>0</v>
      </c>
      <c r="AL127" s="159">
        <f>IF(Tabel59[[#This Row],[Aantal Games Groen]]=0,0,(Tabel59[[#This Row],[Wins Groen]])/Tabel59[[#This Row],[Aantal Games Groen]])</f>
        <v>0</v>
      </c>
      <c r="AM127" s="156">
        <f>IF(Tabel59[[#This Row],[Aantal games Alg]]=0,0,(Tabel59[[#This Row],[Wins Alg]])/Tabel59[[#This Row],[Aantal games Alg]])</f>
        <v>0</v>
      </c>
      <c r="AN127" s="133">
        <f>COUNTIF(Tabel158[Winaar rood],Tabel59[[#This Row],[Team]])</f>
        <v>0</v>
      </c>
      <c r="AO127" s="134">
        <f>COUNTIF(Tabel158[Winnaar Groen],Tabel59[[#This Row],[Team]])</f>
        <v>0</v>
      </c>
      <c r="AP127" s="293">
        <f>COUNTIF(Tabel158[Winnaars],Tabel59[[#This Row],[Team]])</f>
        <v>0</v>
      </c>
      <c r="AQ127" s="135">
        <f>Tabel59[[#This Row],[Aantal Games Rood]]-Tabel59[[#This Row],[Wins Rood]]</f>
        <v>0</v>
      </c>
      <c r="AR127" s="136">
        <f>Tabel59[[#This Row],[Aantal Games Groen]]-Tabel59[[#This Row],[Wins Groen]]</f>
        <v>1</v>
      </c>
      <c r="AS127" s="137">
        <f>Tabel59[[#This Row],[Aantal games Alg]]-Tabel59[[#This Row],[Wins Alg]]</f>
        <v>1</v>
      </c>
      <c r="AT127" s="138">
        <f>COUNTIF(Tabel158[Team Rood],Tabel59[[#This Row],[Team]])</f>
        <v>0</v>
      </c>
      <c r="AU127" s="136">
        <f>COUNTIF(Tabel158[Team Groen],Tabel59[[#This Row],[Team]])</f>
        <v>1</v>
      </c>
      <c r="AV127" s="214">
        <f>Tabel59[[#This Row],[Aantal Games Rood]]+Tabel59[[#This Row],[Aantal Games Groen]]</f>
        <v>1</v>
      </c>
      <c r="AW127" s="138">
        <f>SUMIF(Tabel158[Team Rood],Tabel59[[#This Row],[Team]],Tabel158[Score])</f>
        <v>0</v>
      </c>
      <c r="AX127" s="138">
        <f>SUMIF(Tabel158[Team Rood],Tabel59[[#This Row],[Team]],Tabel158[Score2])</f>
        <v>0</v>
      </c>
      <c r="AY127" s="134">
        <f>SUMIF(Tabel158[Team Groen],Tabel59[[#This Row],[Team]],Tabel158[Score3])</f>
        <v>3</v>
      </c>
      <c r="AZ127" s="136">
        <f>SUMIF(Tabel158[Team Groen],Tabel59[[#This Row],[Team]],Tabel158[Score4])</f>
        <v>6</v>
      </c>
      <c r="BA127" s="293">
        <f>SUM(Tabel59[[#This Row],[Goals Verdediger]]+Tabel59[[#This Row],[Goals DefG]])</f>
        <v>3</v>
      </c>
      <c r="BB127" s="293">
        <f>IF(Tabel59[[#This Row],[Aantal games Alg]]=0,0,Tabel59[[#This Row],[Goals DefA]]/Tabel59[[#This Row],[Aantal games Alg]])</f>
        <v>3</v>
      </c>
      <c r="BC127" s="293">
        <f>SUM(Tabel59[[#This Row],[Goals Aanvaller]]+Tabel59[[#This Row],[Goals OffG]])</f>
        <v>6</v>
      </c>
      <c r="BD127" s="293">
        <f>IF(Tabel59[[#This Row],[Aantal games Alg]]=0,0,Tabel59[[#This Row],[Goals OffA]]/Tabel59[[#This Row],[Aantal games Alg]])</f>
        <v>6</v>
      </c>
      <c r="BE127" s="214">
        <f>Tabel59[[#This Row],[Goals DefA]]+Tabel59[[#This Row],[Goals OffA]]</f>
        <v>9</v>
      </c>
      <c r="BF127" s="214">
        <f>IF(Tabel59[[#This Row],[Aantal games Alg]]=0,0,Tabel59[[#This Row],[Goals Alg]]/Tabel59[[#This Row],[Aantal games Alg]])</f>
        <v>9</v>
      </c>
      <c r="BG127" s="148">
        <f>SUMIF(Tabel158[Team Rood],Tabel59[[#This Row],[Team]],Tabel158[ET])</f>
        <v>0</v>
      </c>
      <c r="BH127" s="150">
        <f ca="1">SUMIF(Tabel158[Team Groen],Tabel59[[#This Row],[Team]],Tabel158[ET])</f>
        <v>0</v>
      </c>
      <c r="BI127" s="153">
        <f ca="1">SUM(Tabel59[[#This Row],[ET Groen tot]],Tabel59[[#This Row],[ET Rood tot]])</f>
        <v>0</v>
      </c>
      <c r="BJ127" s="155">
        <f ca="1">IF(Tabel59[[#This Row],[Aantal games Alg]]=0,0,Tabel59[[#This Row],[ET tot]]/Tabel59[[#This Row],[Aantal games Alg]])</f>
        <v>0</v>
      </c>
    </row>
    <row r="128" spans="1:62" x14ac:dyDescent="0.25">
      <c r="A128" s="125">
        <f ca="1">IF(Tabel158[[#This Row],[Rood Verdediging]]&lt;&gt;"",IF(A128="",NOW(),A128),"")</f>
        <v>0</v>
      </c>
      <c r="B128" s="128">
        <f ca="1">IF(Tabel158[[#This Row],[Rood Verdediging]]&lt;&gt;"",IF(B128="",NOW(),B128),"")</f>
        <v>43878.947694907409</v>
      </c>
      <c r="C128" s="126">
        <f ca="1">IF(Tabel158[[#This Row],[Score]]&lt;&gt;"",IF(C128="",NOW(),C128),"")</f>
        <v>43878.947694907409</v>
      </c>
      <c r="D128" s="182">
        <f ca="1">IF(OR(Tabel158[[#This Row],[Starttijd]]="",Tabel158[[#This Row],[Eindtijd]]=""),"",Tabel158[[#This Row],[Eindtijd]]-Tabel158[[#This Row],[Starttijd]])</f>
        <v>0</v>
      </c>
      <c r="E128" s="74">
        <v>120</v>
      </c>
      <c r="F128" s="205" t="s">
        <v>7</v>
      </c>
      <c r="G128" s="210">
        <v>4</v>
      </c>
      <c r="H128" s="205" t="s">
        <v>6</v>
      </c>
      <c r="I128" s="210">
        <v>7</v>
      </c>
      <c r="J128" s="206" t="s">
        <v>3</v>
      </c>
      <c r="K128" s="212">
        <v>1</v>
      </c>
      <c r="L128" s="206" t="s">
        <v>0</v>
      </c>
      <c r="M128" s="212">
        <v>4</v>
      </c>
      <c r="N128" s="81">
        <f t="shared" si="14"/>
        <v>11</v>
      </c>
      <c r="O128" s="82">
        <f t="shared" si="15"/>
        <v>5</v>
      </c>
      <c r="P128" s="70" t="str">
        <f t="shared" si="18"/>
        <v>ROOD</v>
      </c>
      <c r="Q128" s="86" t="str">
        <f t="shared" si="16"/>
        <v>Tiemen</v>
      </c>
      <c r="R128" s="87" t="str">
        <f t="shared" si="17"/>
        <v>Stef D</v>
      </c>
      <c r="S128" s="147" t="str">
        <f>Tabel158[[#This Row],[Rood Verdediging]]&amp;Tabel158[[#This Row],[Rood Aanval]]</f>
        <v>TiemenStef D</v>
      </c>
      <c r="T128" s="147" t="str">
        <f>Tabel158[[#This Row],[Groen Verdediging]]&amp;Tabel158[[#This Row],[Groen Aanval]]</f>
        <v>KarelJonas</v>
      </c>
      <c r="U128" s="147" t="str">
        <f>Tabel158[[#This Row],[Winnaar 1]]&amp;Tabel158[[#This Row],[Winnaar 2]]</f>
        <v>TiemenStef D</v>
      </c>
      <c r="V128" s="147" t="str">
        <f>IF(Tabel158[[#This Row],[Team Rood]]=Tabel158[[#This Row],[Winnaars]],Tabel158[[#This Row],[Team Rood]])</f>
        <v>TiemenStef D</v>
      </c>
      <c r="W128" s="147" t="b">
        <f>IF(Tabel158[[#This Row],[Team Groen]]=Tabel158[[#This Row],[Winnaars]],Tabel158[[#This Row],[Team Groen]])</f>
        <v>0</v>
      </c>
      <c r="AH128" s="251" t="s">
        <v>169</v>
      </c>
      <c r="AI128" s="232" t="s">
        <v>168</v>
      </c>
      <c r="AJ128" s="140" t="str">
        <f t="shared" si="20"/>
        <v>Stef*Coghe*</v>
      </c>
      <c r="AK128" s="160">
        <f>IF(Tabel59[[#This Row],[Aantal Games Rood]]=0,0,(Tabel59[[#This Row],[Wins Rood]])/Tabel59[[#This Row],[Aantal Games Rood]])</f>
        <v>0</v>
      </c>
      <c r="AL128" s="159">
        <f>IF(Tabel59[[#This Row],[Aantal Games Groen]]=0,0,(Tabel59[[#This Row],[Wins Groen]])/Tabel59[[#This Row],[Aantal Games Groen]])</f>
        <v>0</v>
      </c>
      <c r="AM128" s="156">
        <f>IF(Tabel59[[#This Row],[Aantal games Alg]]=0,0,(Tabel59[[#This Row],[Wins Alg]])/Tabel59[[#This Row],[Aantal games Alg]])</f>
        <v>0</v>
      </c>
      <c r="AN128" s="171">
        <f>COUNTIF(Tabel158[Winaar rood],Tabel59[[#This Row],[Team]])</f>
        <v>0</v>
      </c>
      <c r="AO128" s="169">
        <f>COUNTIF(Tabel158[Winnaar Groen],Tabel59[[#This Row],[Team]])</f>
        <v>0</v>
      </c>
      <c r="AP128" s="170">
        <f>COUNTIF(Tabel158[Winnaars],Tabel59[[#This Row],[Team]])</f>
        <v>0</v>
      </c>
      <c r="AQ128" s="163">
        <f>Tabel59[[#This Row],[Aantal Games Rood]]-Tabel59[[#This Row],[Wins Rood]]</f>
        <v>0</v>
      </c>
      <c r="AR128" s="169">
        <f>Tabel59[[#This Row],[Aantal Games Groen]]-Tabel59[[#This Row],[Wins Groen]]</f>
        <v>0</v>
      </c>
      <c r="AS128" s="165">
        <f>Tabel59[[#This Row],[Aantal games Alg]]-Tabel59[[#This Row],[Wins Alg]]</f>
        <v>0</v>
      </c>
      <c r="AT128" s="171">
        <f>COUNTIF(Tabel158[Team Rood],Tabel59[[#This Row],[Team]])</f>
        <v>0</v>
      </c>
      <c r="AU128" s="169">
        <f>COUNTIF(Tabel158[Team Groen],Tabel59[[#This Row],[Team]])</f>
        <v>0</v>
      </c>
      <c r="AV128" s="170">
        <f>Tabel59[[#This Row],[Aantal Games Rood]]+Tabel59[[#This Row],[Aantal Games Groen]]</f>
        <v>0</v>
      </c>
      <c r="AW128" s="171">
        <f>SUMIF(Tabel158[Team Rood],Tabel59[[#This Row],[Team]],Tabel158[Score])</f>
        <v>0</v>
      </c>
      <c r="AX128" s="171">
        <f>SUMIF(Tabel158[Team Rood],Tabel59[[#This Row],[Team]],Tabel158[Score2])</f>
        <v>0</v>
      </c>
      <c r="AY128" s="136">
        <f>SUMIF(Tabel158[Team Groen],Tabel59[[#This Row],[Team]],Tabel158[Score3])</f>
        <v>0</v>
      </c>
      <c r="AZ128" s="169">
        <f>SUMIF(Tabel158[Team Groen],Tabel59[[#This Row],[Team]],Tabel158[Score4])</f>
        <v>0</v>
      </c>
      <c r="BA128" s="172">
        <f>SUM(Tabel59[[#This Row],[Goals Verdediger]]+Tabel59[[#This Row],[Goals DefG]])</f>
        <v>0</v>
      </c>
      <c r="BB128" s="170">
        <f>IF(Tabel59[[#This Row],[Aantal games Alg]]=0,0,Tabel59[[#This Row],[Goals DefA]]/Tabel59[[#This Row],[Aantal games Alg]])</f>
        <v>0</v>
      </c>
      <c r="BC128" s="172">
        <f>SUM(Tabel59[[#This Row],[Goals Aanvaller]]+Tabel59[[#This Row],[Goals OffG]])</f>
        <v>0</v>
      </c>
      <c r="BD128" s="170">
        <f>IF(Tabel59[[#This Row],[Aantal games Alg]]=0,0,Tabel59[[#This Row],[Goals OffA]]/Tabel59[[#This Row],[Aantal games Alg]])</f>
        <v>0</v>
      </c>
      <c r="BE128" s="170">
        <f>Tabel59[[#This Row],[Goals DefA]]+Tabel59[[#This Row],[Goals OffA]]</f>
        <v>0</v>
      </c>
      <c r="BF128" s="170">
        <f>IF(Tabel59[[#This Row],[Aantal games Alg]]=0,0,Tabel59[[#This Row],[Goals Alg]]/Tabel59[[#This Row],[Aantal games Alg]])</f>
        <v>0</v>
      </c>
      <c r="BG128" s="148">
        <f>SUMIF(Tabel158[Team Rood],Tabel59[[#This Row],[Team]],Tabel158[ET])</f>
        <v>0</v>
      </c>
      <c r="BH128" s="150">
        <f>SUMIF(Tabel158[Team Groen],Tabel59[[#This Row],[Team]],Tabel158[ET])</f>
        <v>0</v>
      </c>
      <c r="BI128" s="153">
        <f>SUM(Tabel59[[#This Row],[ET Groen tot]],Tabel59[[#This Row],[ET Rood tot]])</f>
        <v>0</v>
      </c>
      <c r="BJ128" s="155">
        <f>IF(Tabel59[[#This Row],[Aantal games Alg]]=0,0,Tabel59[[#This Row],[ET tot]]/Tabel59[[#This Row],[Aantal games Alg]])</f>
        <v>0</v>
      </c>
    </row>
    <row r="129" spans="1:62" x14ac:dyDescent="0.25">
      <c r="A129" s="125">
        <f ca="1">IF(Tabel158[[#This Row],[Rood Verdediging]]&lt;&gt;"",IF(A129="",NOW(),A129),"")</f>
        <v>0</v>
      </c>
      <c r="B129" s="128">
        <f ca="1">IF(Tabel158[[#This Row],[Rood Verdediging]]&lt;&gt;"",IF(B129="",NOW(),B129),"")</f>
        <v>43878.947694907409</v>
      </c>
      <c r="C129" s="126">
        <f ca="1">IF(Tabel158[[#This Row],[Score]]&lt;&gt;"",IF(C129="",NOW(),C129),"")</f>
        <v>43878.947694907409</v>
      </c>
      <c r="D129" s="182">
        <f ca="1">IF(OR(Tabel158[[#This Row],[Starttijd]]="",Tabel158[[#This Row],[Eindtijd]]=""),"",Tabel158[[#This Row],[Eindtijd]]-Tabel158[[#This Row],[Starttijd]])</f>
        <v>0</v>
      </c>
      <c r="E129" s="74">
        <v>120</v>
      </c>
      <c r="F129" s="205" t="s">
        <v>11</v>
      </c>
      <c r="G129" s="210">
        <v>3</v>
      </c>
      <c r="H129" s="205" t="s">
        <v>6</v>
      </c>
      <c r="I129" s="210">
        <v>8</v>
      </c>
      <c r="J129" s="206" t="s">
        <v>8</v>
      </c>
      <c r="K129" s="212">
        <v>3</v>
      </c>
      <c r="L129" s="206" t="s">
        <v>13</v>
      </c>
      <c r="M129" s="212">
        <v>3</v>
      </c>
      <c r="N129" s="81">
        <f t="shared" ref="N129:N192" si="21">IF(ISBLANK(F129),"",SUM(G129,I129))</f>
        <v>11</v>
      </c>
      <c r="O129" s="82">
        <f t="shared" ref="O129:O192" si="22">IF(ISBLANK(F129),"",SUM(K129,M129))</f>
        <v>6</v>
      </c>
      <c r="P129" s="70" t="str">
        <f t="shared" si="18"/>
        <v>ROOD</v>
      </c>
      <c r="Q129" s="86" t="str">
        <f t="shared" ref="Q129:Q192" si="23">IF(N129&gt;O129,F129,IF(N129="","",J129))</f>
        <v>Matthijs</v>
      </c>
      <c r="R129" s="87" t="str">
        <f t="shared" ref="R129:R192" si="24">IF(N129&gt;O129,H129,IF(N129="","",L129))</f>
        <v>Stef D</v>
      </c>
      <c r="S129" s="147" t="str">
        <f>Tabel158[[#This Row],[Rood Verdediging]]&amp;Tabel158[[#This Row],[Rood Aanval]]</f>
        <v>MatthijsStef D</v>
      </c>
      <c r="T129" s="147" t="str">
        <f>Tabel158[[#This Row],[Groen Verdediging]]&amp;Tabel158[[#This Row],[Groen Aanval]]</f>
        <v>LouisBert</v>
      </c>
      <c r="U129" s="147" t="str">
        <f>Tabel158[[#This Row],[Winnaar 1]]&amp;Tabel158[[#This Row],[Winnaar 2]]</f>
        <v>MatthijsStef D</v>
      </c>
      <c r="V129" s="147" t="str">
        <f>IF(Tabel158[[#This Row],[Team Rood]]=Tabel158[[#This Row],[Winnaars]],Tabel158[[#This Row],[Team Rood]])</f>
        <v>MatthijsStef D</v>
      </c>
      <c r="W129" s="147" t="b">
        <f>IF(Tabel158[[#This Row],[Team Groen]]=Tabel158[[#This Row],[Winnaars]],Tabel158[[#This Row],[Team Groen]])</f>
        <v>0</v>
      </c>
      <c r="AH129" s="251" t="s">
        <v>169</v>
      </c>
      <c r="AI129" s="232" t="s">
        <v>170</v>
      </c>
      <c r="AJ129" s="140" t="str">
        <f t="shared" si="20"/>
        <v>Stef*Nico*</v>
      </c>
      <c r="AK129" s="160">
        <f>IF(Tabel59[[#This Row],[Aantal Games Rood]]=0,0,(Tabel59[[#This Row],[Wins Rood]])/Tabel59[[#This Row],[Aantal Games Rood]])</f>
        <v>0</v>
      </c>
      <c r="AL129" s="159">
        <f>IF(Tabel59[[#This Row],[Aantal Games Groen]]=0,0,(Tabel59[[#This Row],[Wins Groen]])/Tabel59[[#This Row],[Aantal Games Groen]])</f>
        <v>0</v>
      </c>
      <c r="AM129" s="156">
        <f>IF(Tabel59[[#This Row],[Aantal games Alg]]=0,0,(Tabel59[[#This Row],[Wins Alg]])/Tabel59[[#This Row],[Aantal games Alg]])</f>
        <v>0</v>
      </c>
      <c r="AN129" s="138">
        <f>COUNTIF(Tabel158[Winaar rood],Tabel59[[#This Row],[Team]])</f>
        <v>0</v>
      </c>
      <c r="AO129" s="134">
        <f>COUNTIF(Tabel158[Winnaar Groen],Tabel59[[#This Row],[Team]])</f>
        <v>0</v>
      </c>
      <c r="AP129" s="293">
        <f>COUNTIF(Tabel158[Winnaars],Tabel59[[#This Row],[Team]])</f>
        <v>0</v>
      </c>
      <c r="AQ129" s="135">
        <f>Tabel59[[#This Row],[Aantal Games Rood]]-Tabel59[[#This Row],[Wins Rood]]</f>
        <v>5</v>
      </c>
      <c r="AR129" s="136">
        <f>Tabel59[[#This Row],[Aantal Games Groen]]-Tabel59[[#This Row],[Wins Groen]]</f>
        <v>4</v>
      </c>
      <c r="AS129" s="137">
        <f>Tabel59[[#This Row],[Aantal games Alg]]-Tabel59[[#This Row],[Wins Alg]]</f>
        <v>9</v>
      </c>
      <c r="AT129" s="138">
        <f>COUNTIF(Tabel158[Team Rood],Tabel59[[#This Row],[Team]])</f>
        <v>5</v>
      </c>
      <c r="AU129" s="136">
        <f>COUNTIF(Tabel158[Team Groen],Tabel59[[#This Row],[Team]])</f>
        <v>4</v>
      </c>
      <c r="AV129" s="214">
        <f>Tabel59[[#This Row],[Aantal Games Rood]]+Tabel59[[#This Row],[Aantal Games Groen]]</f>
        <v>9</v>
      </c>
      <c r="AW129" s="138">
        <f>SUMIF(Tabel158[Team Rood],Tabel59[[#This Row],[Team]],Tabel158[Score])</f>
        <v>23</v>
      </c>
      <c r="AX129" s="138">
        <f>SUMIF(Tabel158[Team Rood],Tabel59[[#This Row],[Team]],Tabel158[Score2])</f>
        <v>22</v>
      </c>
      <c r="AY129" s="134">
        <f>SUMIF(Tabel158[Team Groen],Tabel59[[#This Row],[Team]],Tabel158[Score3])</f>
        <v>19</v>
      </c>
      <c r="AZ129" s="136">
        <f>SUMIF(Tabel158[Team Groen],Tabel59[[#This Row],[Team]],Tabel158[Score4])</f>
        <v>12</v>
      </c>
      <c r="BA129" s="293">
        <f>SUM(Tabel59[[#This Row],[Goals Verdediger]]+Tabel59[[#This Row],[Goals DefG]])</f>
        <v>42</v>
      </c>
      <c r="BB129" s="293">
        <f>IF(Tabel59[[#This Row],[Aantal games Alg]]=0,0,Tabel59[[#This Row],[Goals DefA]]/Tabel59[[#This Row],[Aantal games Alg]])</f>
        <v>4.666666666666667</v>
      </c>
      <c r="BC129" s="293">
        <f>SUM(Tabel59[[#This Row],[Goals Aanvaller]]+Tabel59[[#This Row],[Goals OffG]])</f>
        <v>34</v>
      </c>
      <c r="BD129" s="293">
        <f>IF(Tabel59[[#This Row],[Aantal games Alg]]=0,0,Tabel59[[#This Row],[Goals OffA]]/Tabel59[[#This Row],[Aantal games Alg]])</f>
        <v>3.7777777777777777</v>
      </c>
      <c r="BE129" s="214">
        <f>Tabel59[[#This Row],[Goals DefA]]+Tabel59[[#This Row],[Goals OffA]]</f>
        <v>76</v>
      </c>
      <c r="BF129" s="214">
        <f>IF(Tabel59[[#This Row],[Aantal games Alg]]=0,0,Tabel59[[#This Row],[Goals Alg]]/Tabel59[[#This Row],[Aantal games Alg]])</f>
        <v>8.4444444444444446</v>
      </c>
      <c r="BG129" s="148">
        <f ca="1">SUMIF(Tabel158[Team Rood],Tabel59[[#This Row],[Team]],Tabel158[ET])</f>
        <v>0</v>
      </c>
      <c r="BH129" s="150">
        <f ca="1">SUMIF(Tabel158[Team Groen],Tabel59[[#This Row],[Team]],Tabel158[ET])</f>
        <v>0</v>
      </c>
      <c r="BI129" s="153">
        <f ca="1">SUM(Tabel59[[#This Row],[ET Groen tot]],Tabel59[[#This Row],[ET Rood tot]])</f>
        <v>0</v>
      </c>
      <c r="BJ129" s="155">
        <f ca="1">IF(Tabel59[[#This Row],[Aantal games Alg]]=0,0,Tabel59[[#This Row],[ET tot]]/Tabel59[[#This Row],[Aantal games Alg]])</f>
        <v>0</v>
      </c>
    </row>
    <row r="130" spans="1:62" x14ac:dyDescent="0.25">
      <c r="A130" s="125">
        <f ca="1">IF(Tabel158[[#This Row],[Rood Verdediging]]&lt;&gt;"",IF(A130="",NOW(),A130),"")</f>
        <v>0</v>
      </c>
      <c r="B130" s="128">
        <f ca="1">IF(Tabel158[[#This Row],[Rood Verdediging]]&lt;&gt;"",IF(B130="",NOW(),B130),"")</f>
        <v>43878.947694907409</v>
      </c>
      <c r="C130" s="126">
        <f ca="1">IF(Tabel158[[#This Row],[Score]]&lt;&gt;"",IF(C130="",NOW(),C130),"")</f>
        <v>43878.947694907409</v>
      </c>
      <c r="D130" s="182">
        <f ca="1">IF(OR(Tabel158[[#This Row],[Starttijd]]="",Tabel158[[#This Row],[Eindtijd]]=""),"",Tabel158[[#This Row],[Eindtijd]]-Tabel158[[#This Row],[Starttijd]])</f>
        <v>0</v>
      </c>
      <c r="E130" s="74">
        <v>120</v>
      </c>
      <c r="F130" s="205" t="s">
        <v>8</v>
      </c>
      <c r="G130" s="210">
        <v>5</v>
      </c>
      <c r="H130" s="205" t="s">
        <v>6</v>
      </c>
      <c r="I130" s="210">
        <v>6</v>
      </c>
      <c r="J130" s="206" t="s">
        <v>19</v>
      </c>
      <c r="K130" s="212">
        <v>5</v>
      </c>
      <c r="L130" s="206" t="s">
        <v>13</v>
      </c>
      <c r="M130" s="212">
        <v>3</v>
      </c>
      <c r="N130" s="81">
        <f t="shared" si="21"/>
        <v>11</v>
      </c>
      <c r="O130" s="82">
        <f t="shared" si="22"/>
        <v>8</v>
      </c>
      <c r="P130" s="70" t="str">
        <f t="shared" ref="P130:P193" si="25">IF(N130&gt;O130,"ROOD",IF(N130=O130,"","GROEN"))</f>
        <v>ROOD</v>
      </c>
      <c r="Q130" s="86" t="str">
        <f t="shared" si="23"/>
        <v>Louis</v>
      </c>
      <c r="R130" s="87" t="str">
        <f t="shared" si="24"/>
        <v>Stef D</v>
      </c>
      <c r="S130" s="147" t="str">
        <f>Tabel158[[#This Row],[Rood Verdediging]]&amp;Tabel158[[#This Row],[Rood Aanval]]</f>
        <v>LouisStef D</v>
      </c>
      <c r="T130" s="147" t="str">
        <f>Tabel158[[#This Row],[Groen Verdediging]]&amp;Tabel158[[#This Row],[Groen Aanval]]</f>
        <v>NicolasBert</v>
      </c>
      <c r="U130" s="147" t="str">
        <f>Tabel158[[#This Row],[Winnaar 1]]&amp;Tabel158[[#This Row],[Winnaar 2]]</f>
        <v>LouisStef D</v>
      </c>
      <c r="V130" s="147" t="str">
        <f>IF(Tabel158[[#This Row],[Team Rood]]=Tabel158[[#This Row],[Winnaars]],Tabel158[[#This Row],[Team Rood]])</f>
        <v>LouisStef D</v>
      </c>
      <c r="W130" s="147" t="b">
        <f>IF(Tabel158[[#This Row],[Team Groen]]=Tabel158[[#This Row],[Winnaars]],Tabel158[[#This Row],[Team Groen]])</f>
        <v>0</v>
      </c>
      <c r="AH130" s="251" t="s">
        <v>169</v>
      </c>
      <c r="AI130" s="232" t="s">
        <v>166</v>
      </c>
      <c r="AJ130" s="140" t="str">
        <f t="shared" ref="AJ130:AJ157" si="26">AH130&amp;AI130</f>
        <v>Stef*Stijn*</v>
      </c>
      <c r="AK130" s="160">
        <f>IF(Tabel59[[#This Row],[Aantal Games Rood]]=0,0,(Tabel59[[#This Row],[Wins Rood]])/Tabel59[[#This Row],[Aantal Games Rood]])</f>
        <v>0</v>
      </c>
      <c r="AL130" s="159">
        <f>IF(Tabel59[[#This Row],[Aantal Games Groen]]=0,0,(Tabel59[[#This Row],[Wins Groen]])/Tabel59[[#This Row],[Aantal Games Groen]])</f>
        <v>0</v>
      </c>
      <c r="AM130" s="156">
        <f>IF(Tabel59[[#This Row],[Aantal games Alg]]=0,0,(Tabel59[[#This Row],[Wins Alg]])/Tabel59[[#This Row],[Aantal games Alg]])</f>
        <v>0</v>
      </c>
      <c r="AN130" s="138">
        <f>COUNTIF(Tabel158[Winaar rood],Tabel59[[#This Row],[Team]])</f>
        <v>0</v>
      </c>
      <c r="AO130" s="134">
        <f>COUNTIF(Tabel158[Winnaar Groen],Tabel59[[#This Row],[Team]])</f>
        <v>0</v>
      </c>
      <c r="AP130" s="293">
        <f>COUNTIF(Tabel158[Winnaars],Tabel59[[#This Row],[Team]])</f>
        <v>0</v>
      </c>
      <c r="AQ130" s="135">
        <f>Tabel59[[#This Row],[Aantal Games Rood]]-Tabel59[[#This Row],[Wins Rood]]</f>
        <v>3</v>
      </c>
      <c r="AR130" s="136">
        <f>Tabel59[[#This Row],[Aantal Games Groen]]-Tabel59[[#This Row],[Wins Groen]]</f>
        <v>0</v>
      </c>
      <c r="AS130" s="137">
        <f>Tabel59[[#This Row],[Aantal games Alg]]-Tabel59[[#This Row],[Wins Alg]]</f>
        <v>3</v>
      </c>
      <c r="AT130" s="138">
        <f>COUNTIF(Tabel158[Team Rood],Tabel59[[#This Row],[Team]])</f>
        <v>3</v>
      </c>
      <c r="AU130" s="136">
        <f>COUNTIF(Tabel158[Team Groen],Tabel59[[#This Row],[Team]])</f>
        <v>0</v>
      </c>
      <c r="AV130" s="214">
        <f>Tabel59[[#This Row],[Aantal Games Rood]]+Tabel59[[#This Row],[Aantal Games Groen]]</f>
        <v>3</v>
      </c>
      <c r="AW130" s="138">
        <f>SUMIF(Tabel158[Team Rood],Tabel59[[#This Row],[Team]],Tabel158[Score])</f>
        <v>17</v>
      </c>
      <c r="AX130" s="138">
        <f>SUMIF(Tabel158[Team Rood],Tabel59[[#This Row],[Team]],Tabel158[Score2])</f>
        <v>7</v>
      </c>
      <c r="AY130" s="134">
        <f>SUMIF(Tabel158[Team Groen],Tabel59[[#This Row],[Team]],Tabel158[Score3])</f>
        <v>0</v>
      </c>
      <c r="AZ130" s="136">
        <f>SUMIF(Tabel158[Team Groen],Tabel59[[#This Row],[Team]],Tabel158[Score4])</f>
        <v>0</v>
      </c>
      <c r="BA130" s="293">
        <f>SUM(Tabel59[[#This Row],[Goals Verdediger]]+Tabel59[[#This Row],[Goals DefG]])</f>
        <v>17</v>
      </c>
      <c r="BB130" s="293">
        <f>IF(Tabel59[[#This Row],[Aantal games Alg]]=0,0,Tabel59[[#This Row],[Goals DefA]]/Tabel59[[#This Row],[Aantal games Alg]])</f>
        <v>5.666666666666667</v>
      </c>
      <c r="BC130" s="293">
        <f>SUM(Tabel59[[#This Row],[Goals Aanvaller]]+Tabel59[[#This Row],[Goals OffG]])</f>
        <v>7</v>
      </c>
      <c r="BD130" s="293">
        <f>IF(Tabel59[[#This Row],[Aantal games Alg]]=0,0,Tabel59[[#This Row],[Goals OffA]]/Tabel59[[#This Row],[Aantal games Alg]])</f>
        <v>2.3333333333333335</v>
      </c>
      <c r="BE130" s="214">
        <f>Tabel59[[#This Row],[Goals DefA]]+Tabel59[[#This Row],[Goals OffA]]</f>
        <v>24</v>
      </c>
      <c r="BF130" s="214">
        <f>IF(Tabel59[[#This Row],[Aantal games Alg]]=0,0,Tabel59[[#This Row],[Goals Alg]]/Tabel59[[#This Row],[Aantal games Alg]])</f>
        <v>8</v>
      </c>
      <c r="BG130" s="148">
        <f ca="1">SUMIF(Tabel158[Team Rood],Tabel59[[#This Row],[Team]],Tabel158[ET])</f>
        <v>0</v>
      </c>
      <c r="BH130" s="150">
        <f>SUMIF(Tabel158[Team Groen],Tabel59[[#This Row],[Team]],Tabel158[ET])</f>
        <v>0</v>
      </c>
      <c r="BI130" s="153">
        <f ca="1">SUM(Tabel59[[#This Row],[ET Groen tot]],Tabel59[[#This Row],[ET Rood tot]])</f>
        <v>0</v>
      </c>
      <c r="BJ130" s="155">
        <f ca="1">IF(Tabel59[[#This Row],[Aantal games Alg]]=0,0,Tabel59[[#This Row],[ET tot]]/Tabel59[[#This Row],[Aantal games Alg]])</f>
        <v>0</v>
      </c>
    </row>
    <row r="131" spans="1:62" x14ac:dyDescent="0.25">
      <c r="A131" s="125">
        <f ca="1">IF(Tabel158[[#This Row],[Rood Verdediging]]&lt;&gt;"",IF(A131="",NOW(),A131),"")</f>
        <v>0</v>
      </c>
      <c r="B131" s="128">
        <f ca="1">IF(Tabel158[[#This Row],[Rood Verdediging]]&lt;&gt;"",IF(B131="",NOW(),B131),"")</f>
        <v>43878.947694907409</v>
      </c>
      <c r="C131" s="126">
        <f ca="1">IF(Tabel158[[#This Row],[Score]]&lt;&gt;"",IF(C131="",NOW(),C131),"")</f>
        <v>43878.947694907409</v>
      </c>
      <c r="D131" s="182">
        <f ca="1">IF(OR(Tabel158[[#This Row],[Starttijd]]="",Tabel158[[#This Row],[Eindtijd]]=""),"",Tabel158[[#This Row],[Eindtijd]]-Tabel158[[#This Row],[Starttijd]])</f>
        <v>0</v>
      </c>
      <c r="E131" s="74">
        <v>120</v>
      </c>
      <c r="F131" s="205" t="s">
        <v>6</v>
      </c>
      <c r="G131" s="210">
        <v>6</v>
      </c>
      <c r="H131" s="205" t="s">
        <v>19</v>
      </c>
      <c r="I131" s="210">
        <v>3</v>
      </c>
      <c r="J131" s="206" t="s">
        <v>8</v>
      </c>
      <c r="K131" s="212">
        <v>2</v>
      </c>
      <c r="L131" s="206" t="s">
        <v>11</v>
      </c>
      <c r="M131" s="212">
        <v>9</v>
      </c>
      <c r="N131" s="81">
        <f t="shared" si="21"/>
        <v>9</v>
      </c>
      <c r="O131" s="82">
        <f t="shared" si="22"/>
        <v>11</v>
      </c>
      <c r="P131" s="70" t="str">
        <f t="shared" si="25"/>
        <v>GROEN</v>
      </c>
      <c r="Q131" s="86" t="str">
        <f t="shared" si="23"/>
        <v>Louis</v>
      </c>
      <c r="R131" s="87" t="str">
        <f t="shared" si="24"/>
        <v>Matthijs</v>
      </c>
      <c r="S131" s="147" t="str">
        <f>Tabel158[[#This Row],[Rood Verdediging]]&amp;Tabel158[[#This Row],[Rood Aanval]]</f>
        <v>Stef DNicolas</v>
      </c>
      <c r="T131" s="147" t="str">
        <f>Tabel158[[#This Row],[Groen Verdediging]]&amp;Tabel158[[#This Row],[Groen Aanval]]</f>
        <v>LouisMatthijs</v>
      </c>
      <c r="U131" s="147" t="str">
        <f>Tabel158[[#This Row],[Winnaar 1]]&amp;Tabel158[[#This Row],[Winnaar 2]]</f>
        <v>LouisMatthijs</v>
      </c>
      <c r="V131" s="147" t="b">
        <f>IF(Tabel158[[#This Row],[Team Rood]]=Tabel158[[#This Row],[Winnaars]],Tabel158[[#This Row],[Team Rood]])</f>
        <v>0</v>
      </c>
      <c r="W131" s="147" t="str">
        <f>IF(Tabel158[[#This Row],[Team Groen]]=Tabel158[[#This Row],[Winnaars]],Tabel158[[#This Row],[Team Groen]])</f>
        <v>LouisMatthijs</v>
      </c>
      <c r="AH131" s="251" t="s">
        <v>169</v>
      </c>
      <c r="AI131" s="232" t="s">
        <v>157</v>
      </c>
      <c r="AJ131" s="140" t="str">
        <f t="shared" si="26"/>
        <v>Stef*Tobi*</v>
      </c>
      <c r="AK131" s="160">
        <f>IF(Tabel59[[#This Row],[Aantal Games Rood]]=0,0,(Tabel59[[#This Row],[Wins Rood]])/Tabel59[[#This Row],[Aantal Games Rood]])</f>
        <v>0</v>
      </c>
      <c r="AL131" s="159">
        <f>IF(Tabel59[[#This Row],[Aantal Games Groen]]=0,0,(Tabel59[[#This Row],[Wins Groen]])/Tabel59[[#This Row],[Aantal Games Groen]])</f>
        <v>0</v>
      </c>
      <c r="AM131" s="156">
        <f>IF(Tabel59[[#This Row],[Aantal games Alg]]=0,0,(Tabel59[[#This Row],[Wins Alg]])/Tabel59[[#This Row],[Aantal games Alg]])</f>
        <v>0</v>
      </c>
      <c r="AN131" s="133">
        <f>COUNTIF(Tabel158[Winaar rood],Tabel59[[#This Row],[Team]])</f>
        <v>0</v>
      </c>
      <c r="AO131" s="134">
        <f>COUNTIF(Tabel158[Winnaar Groen],Tabel59[[#This Row],[Team]])</f>
        <v>0</v>
      </c>
      <c r="AP131" s="293">
        <f>COUNTIF(Tabel158[Winnaars],Tabel59[[#This Row],[Team]])</f>
        <v>0</v>
      </c>
      <c r="AQ131" s="135">
        <f>Tabel59[[#This Row],[Aantal Games Rood]]-Tabel59[[#This Row],[Wins Rood]]</f>
        <v>0</v>
      </c>
      <c r="AR131" s="136">
        <f>Tabel59[[#This Row],[Aantal Games Groen]]-Tabel59[[#This Row],[Wins Groen]]</f>
        <v>0</v>
      </c>
      <c r="AS131" s="137">
        <f>Tabel59[[#This Row],[Aantal games Alg]]-Tabel59[[#This Row],[Wins Alg]]</f>
        <v>0</v>
      </c>
      <c r="AT131" s="138">
        <f>COUNTIF(Tabel158[Team Rood],Tabel59[[#This Row],[Team]])</f>
        <v>0</v>
      </c>
      <c r="AU131" s="136">
        <f>COUNTIF(Tabel158[Team Groen],Tabel59[[#This Row],[Team]])</f>
        <v>0</v>
      </c>
      <c r="AV131" s="214">
        <f>Tabel59[[#This Row],[Aantal Games Rood]]+Tabel59[[#This Row],[Aantal Games Groen]]</f>
        <v>0</v>
      </c>
      <c r="AW131" s="138">
        <f>SUMIF(Tabel158[Team Rood],Tabel59[[#This Row],[Team]],Tabel158[Score])</f>
        <v>0</v>
      </c>
      <c r="AX131" s="138">
        <f>SUMIF(Tabel158[Team Rood],Tabel59[[#This Row],[Team]],Tabel158[Score2])</f>
        <v>0</v>
      </c>
      <c r="AY131" s="134">
        <f>SUMIF(Tabel158[Team Groen],Tabel59[[#This Row],[Team]],Tabel158[Score3])</f>
        <v>0</v>
      </c>
      <c r="AZ131" s="136">
        <f>SUMIF(Tabel158[Team Groen],Tabel59[[#This Row],[Team]],Tabel158[Score4])</f>
        <v>0</v>
      </c>
      <c r="BA131" s="293">
        <f>SUM(Tabel59[[#This Row],[Goals Verdediger]]+Tabel59[[#This Row],[Goals DefG]])</f>
        <v>0</v>
      </c>
      <c r="BB131" s="293">
        <f>IF(Tabel59[[#This Row],[Aantal games Alg]]=0,0,Tabel59[[#This Row],[Goals DefA]]/Tabel59[[#This Row],[Aantal games Alg]])</f>
        <v>0</v>
      </c>
      <c r="BC131" s="293">
        <f>SUM(Tabel59[[#This Row],[Goals Aanvaller]]+Tabel59[[#This Row],[Goals OffG]])</f>
        <v>0</v>
      </c>
      <c r="BD131" s="293">
        <f>IF(Tabel59[[#This Row],[Aantal games Alg]]=0,0,Tabel59[[#This Row],[Goals OffA]]/Tabel59[[#This Row],[Aantal games Alg]])</f>
        <v>0</v>
      </c>
      <c r="BE131" s="214">
        <f>Tabel59[[#This Row],[Goals DefA]]+Tabel59[[#This Row],[Goals OffA]]</f>
        <v>0</v>
      </c>
      <c r="BF131" s="214">
        <f>IF(Tabel59[[#This Row],[Aantal games Alg]]=0,0,Tabel59[[#This Row],[Goals Alg]]/Tabel59[[#This Row],[Aantal games Alg]])</f>
        <v>0</v>
      </c>
      <c r="BG131" s="148">
        <f>SUMIF(Tabel158[Team Rood],Tabel59[[#This Row],[Team]],Tabel158[ET])</f>
        <v>0</v>
      </c>
      <c r="BH131" s="150">
        <f>SUMIF(Tabel158[Team Groen],Tabel59[[#This Row],[Team]],Tabel158[ET])</f>
        <v>0</v>
      </c>
      <c r="BI131" s="153">
        <f>SUM(Tabel59[[#This Row],[ET Groen tot]],Tabel59[[#This Row],[ET Rood tot]])</f>
        <v>0</v>
      </c>
      <c r="BJ131" s="155">
        <f>IF(Tabel59[[#This Row],[Aantal games Alg]]=0,0,Tabel59[[#This Row],[ET tot]]/Tabel59[[#This Row],[Aantal games Alg]])</f>
        <v>0</v>
      </c>
    </row>
    <row r="132" spans="1:62" x14ac:dyDescent="0.25">
      <c r="A132" s="125">
        <f ca="1">IF(Tabel158[[#This Row],[Rood Verdediging]]&lt;&gt;"",IF(A132="",NOW(),A132),"")</f>
        <v>0</v>
      </c>
      <c r="B132" s="128">
        <f ca="1">IF(Tabel158[[#This Row],[Rood Verdediging]]&lt;&gt;"",IF(B132="",NOW(),B132),"")</f>
        <v>43878.947694907409</v>
      </c>
      <c r="C132" s="126">
        <f ca="1">IF(Tabel158[[#This Row],[Score]]&lt;&gt;"",IF(C132="",NOW(),C132),"")</f>
        <v>43878.947694907409</v>
      </c>
      <c r="D132" s="182">
        <f ca="1">IF(OR(Tabel158[[#This Row],[Starttijd]]="",Tabel158[[#This Row],[Eindtijd]]=""),"",Tabel158[[#This Row],[Eindtijd]]-Tabel158[[#This Row],[Starttijd]])</f>
        <v>0</v>
      </c>
      <c r="E132" s="74">
        <v>120</v>
      </c>
      <c r="F132" s="205" t="s">
        <v>6</v>
      </c>
      <c r="G132" s="210">
        <v>7</v>
      </c>
      <c r="H132" s="205" t="s">
        <v>13</v>
      </c>
      <c r="I132" s="210">
        <v>4</v>
      </c>
      <c r="J132" s="206" t="s">
        <v>11</v>
      </c>
      <c r="K132" s="212">
        <v>3</v>
      </c>
      <c r="L132" s="206" t="s">
        <v>19</v>
      </c>
      <c r="M132" s="212">
        <v>6</v>
      </c>
      <c r="N132" s="81">
        <f t="shared" si="21"/>
        <v>11</v>
      </c>
      <c r="O132" s="82">
        <f t="shared" si="22"/>
        <v>9</v>
      </c>
      <c r="P132" s="70" t="str">
        <f t="shared" si="25"/>
        <v>ROOD</v>
      </c>
      <c r="Q132" s="86" t="str">
        <f t="shared" si="23"/>
        <v>Stef D</v>
      </c>
      <c r="R132" s="87" t="str">
        <f t="shared" si="24"/>
        <v>Bert</v>
      </c>
      <c r="S132" s="147" t="str">
        <f>Tabel158[[#This Row],[Rood Verdediging]]&amp;Tabel158[[#This Row],[Rood Aanval]]</f>
        <v>Stef DBert</v>
      </c>
      <c r="T132" s="147" t="str">
        <f>Tabel158[[#This Row],[Groen Verdediging]]&amp;Tabel158[[#This Row],[Groen Aanval]]</f>
        <v>MatthijsNicolas</v>
      </c>
      <c r="U132" s="147" t="str">
        <f>Tabel158[[#This Row],[Winnaar 1]]&amp;Tabel158[[#This Row],[Winnaar 2]]</f>
        <v>Stef DBert</v>
      </c>
      <c r="V132" s="147" t="str">
        <f>IF(Tabel158[[#This Row],[Team Rood]]=Tabel158[[#This Row],[Winnaars]],Tabel158[[#This Row],[Team Rood]])</f>
        <v>Stef DBert</v>
      </c>
      <c r="W132" s="147" t="b">
        <f>IF(Tabel158[[#This Row],[Team Groen]]=Tabel158[[#This Row],[Winnaars]],Tabel158[[#This Row],[Team Groen]])</f>
        <v>0</v>
      </c>
      <c r="AH132" s="251" t="s">
        <v>166</v>
      </c>
      <c r="AI132" s="232" t="s">
        <v>158</v>
      </c>
      <c r="AJ132" s="140" t="str">
        <f t="shared" si="26"/>
        <v>Stijn*Arno*</v>
      </c>
      <c r="AK132" s="160">
        <f>IF(Tabel59[[#This Row],[Aantal Games Rood]]=0,0,(Tabel59[[#This Row],[Wins Rood]])/Tabel59[[#This Row],[Aantal Games Rood]])</f>
        <v>0</v>
      </c>
      <c r="AL132" s="159">
        <f>IF(Tabel59[[#This Row],[Aantal Games Groen]]=0,0,(Tabel59[[#This Row],[Wins Groen]])/Tabel59[[#This Row],[Aantal Games Groen]])</f>
        <v>0</v>
      </c>
      <c r="AM132" s="156">
        <f>IF(Tabel59[[#This Row],[Aantal games Alg]]=0,0,(Tabel59[[#This Row],[Wins Alg]])/Tabel59[[#This Row],[Aantal games Alg]])</f>
        <v>0</v>
      </c>
      <c r="AN132" s="133">
        <f>COUNTIF(Tabel158[Winaar rood],Tabel59[[#This Row],[Team]])</f>
        <v>0</v>
      </c>
      <c r="AO132" s="134">
        <f>COUNTIF(Tabel158[Winnaar Groen],Tabel59[[#This Row],[Team]])</f>
        <v>0</v>
      </c>
      <c r="AP132" s="293">
        <f>COUNTIF(Tabel158[Winnaars],Tabel59[[#This Row],[Team]])</f>
        <v>0</v>
      </c>
      <c r="AQ132" s="135">
        <f>Tabel59[[#This Row],[Aantal Games Rood]]-Tabel59[[#This Row],[Wins Rood]]</f>
        <v>0</v>
      </c>
      <c r="AR132" s="136">
        <f>Tabel59[[#This Row],[Aantal Games Groen]]-Tabel59[[#This Row],[Wins Groen]]</f>
        <v>0</v>
      </c>
      <c r="AS132" s="137">
        <f>Tabel59[[#This Row],[Aantal games Alg]]-Tabel59[[#This Row],[Wins Alg]]</f>
        <v>0</v>
      </c>
      <c r="AT132" s="138">
        <f>COUNTIF(Tabel158[Team Rood],Tabel59[[#This Row],[Team]])</f>
        <v>0</v>
      </c>
      <c r="AU132" s="136">
        <f>COUNTIF(Tabel158[Team Groen],Tabel59[[#This Row],[Team]])</f>
        <v>0</v>
      </c>
      <c r="AV132" s="214">
        <f>Tabel59[[#This Row],[Aantal Games Rood]]+Tabel59[[#This Row],[Aantal Games Groen]]</f>
        <v>0</v>
      </c>
      <c r="AW132" s="138">
        <f>SUMIF(Tabel158[Team Rood],Tabel59[[#This Row],[Team]],Tabel158[Score])</f>
        <v>0</v>
      </c>
      <c r="AX132" s="138">
        <f>SUMIF(Tabel158[Team Rood],Tabel59[[#This Row],[Team]],Tabel158[Score2])</f>
        <v>0</v>
      </c>
      <c r="AY132" s="134">
        <f>SUMIF(Tabel158[Team Groen],Tabel59[[#This Row],[Team]],Tabel158[Score3])</f>
        <v>0</v>
      </c>
      <c r="AZ132" s="136">
        <f>SUMIF(Tabel158[Team Groen],Tabel59[[#This Row],[Team]],Tabel158[Score4])</f>
        <v>0</v>
      </c>
      <c r="BA132" s="293">
        <f>SUM(Tabel59[[#This Row],[Goals Verdediger]]+Tabel59[[#This Row],[Goals DefG]])</f>
        <v>0</v>
      </c>
      <c r="BB132" s="293">
        <f>IF(Tabel59[[#This Row],[Aantal games Alg]]=0,0,Tabel59[[#This Row],[Goals DefA]]/Tabel59[[#This Row],[Aantal games Alg]])</f>
        <v>0</v>
      </c>
      <c r="BC132" s="293">
        <f>SUM(Tabel59[[#This Row],[Goals Aanvaller]]+Tabel59[[#This Row],[Goals OffG]])</f>
        <v>0</v>
      </c>
      <c r="BD132" s="293">
        <f>IF(Tabel59[[#This Row],[Aantal games Alg]]=0,0,Tabel59[[#This Row],[Goals OffA]]/Tabel59[[#This Row],[Aantal games Alg]])</f>
        <v>0</v>
      </c>
      <c r="BE132" s="214">
        <f>Tabel59[[#This Row],[Goals DefA]]+Tabel59[[#This Row],[Goals OffA]]</f>
        <v>0</v>
      </c>
      <c r="BF132" s="214">
        <f>IF(Tabel59[[#This Row],[Aantal games Alg]]=0,0,Tabel59[[#This Row],[Goals Alg]]/Tabel59[[#This Row],[Aantal games Alg]])</f>
        <v>0</v>
      </c>
      <c r="BG132" s="148">
        <f>SUMIF(Tabel158[Team Rood],Tabel59[[#This Row],[Team]],Tabel158[ET])</f>
        <v>0</v>
      </c>
      <c r="BH132" s="150">
        <f>SUMIF(Tabel158[Team Groen],Tabel59[[#This Row],[Team]],Tabel158[ET])</f>
        <v>0</v>
      </c>
      <c r="BI132" s="153">
        <f>SUM(Tabel59[[#This Row],[ET Groen tot]],Tabel59[[#This Row],[ET Rood tot]])</f>
        <v>0</v>
      </c>
      <c r="BJ132" s="155">
        <f>IF(Tabel59[[#This Row],[Aantal games Alg]]=0,0,Tabel59[[#This Row],[ET tot]]/Tabel59[[#This Row],[Aantal games Alg]])</f>
        <v>0</v>
      </c>
    </row>
    <row r="133" spans="1:62" x14ac:dyDescent="0.25">
      <c r="A133" s="125">
        <f ca="1">IF(Tabel158[[#This Row],[Rood Verdediging]]&lt;&gt;"",IF(A133="",NOW(),A133),"")</f>
        <v>0</v>
      </c>
      <c r="B133" s="128">
        <f ca="1">IF(Tabel158[[#This Row],[Rood Verdediging]]&lt;&gt;"",IF(B133="",NOW(),B133),"")</f>
        <v>43878.947694907409</v>
      </c>
      <c r="C133" s="126">
        <f ca="1">IF(Tabel158[[#This Row],[Score]]&lt;&gt;"",IF(C133="",NOW(),C133),"")</f>
        <v>43878.947694907409</v>
      </c>
      <c r="D133" s="182">
        <f ca="1">IF(OR(Tabel158[[#This Row],[Starttijd]]="",Tabel158[[#This Row],[Eindtijd]]=""),"",Tabel158[[#This Row],[Eindtijd]]-Tabel158[[#This Row],[Starttijd]])</f>
        <v>0</v>
      </c>
      <c r="E133" s="74">
        <v>120</v>
      </c>
      <c r="F133" s="205" t="s">
        <v>8</v>
      </c>
      <c r="G133" s="210">
        <v>6</v>
      </c>
      <c r="H133" s="205" t="s">
        <v>13</v>
      </c>
      <c r="I133" s="210">
        <v>5</v>
      </c>
      <c r="J133" s="206" t="s">
        <v>11</v>
      </c>
      <c r="K133" s="212">
        <v>0</v>
      </c>
      <c r="L133" s="206" t="s">
        <v>6</v>
      </c>
      <c r="M133" s="212">
        <v>5</v>
      </c>
      <c r="N133" s="81">
        <f t="shared" si="21"/>
        <v>11</v>
      </c>
      <c r="O133" s="82">
        <f t="shared" si="22"/>
        <v>5</v>
      </c>
      <c r="P133" s="70" t="str">
        <f t="shared" si="25"/>
        <v>ROOD</v>
      </c>
      <c r="Q133" s="86" t="str">
        <f t="shared" si="23"/>
        <v>Louis</v>
      </c>
      <c r="R133" s="87" t="str">
        <f t="shared" si="24"/>
        <v>Bert</v>
      </c>
      <c r="S133" s="147" t="str">
        <f>Tabel158[[#This Row],[Rood Verdediging]]&amp;Tabel158[[#This Row],[Rood Aanval]]</f>
        <v>LouisBert</v>
      </c>
      <c r="T133" s="147" t="str">
        <f>Tabel158[[#This Row],[Groen Verdediging]]&amp;Tabel158[[#This Row],[Groen Aanval]]</f>
        <v>MatthijsStef D</v>
      </c>
      <c r="U133" s="147" t="str">
        <f>Tabel158[[#This Row],[Winnaar 1]]&amp;Tabel158[[#This Row],[Winnaar 2]]</f>
        <v>LouisBert</v>
      </c>
      <c r="V133" s="147" t="str">
        <f>IF(Tabel158[[#This Row],[Team Rood]]=Tabel158[[#This Row],[Winnaars]],Tabel158[[#This Row],[Team Rood]])</f>
        <v>LouisBert</v>
      </c>
      <c r="W133" s="147" t="b">
        <f>IF(Tabel158[[#This Row],[Team Groen]]=Tabel158[[#This Row],[Winnaars]],Tabel158[[#This Row],[Team Groen]])</f>
        <v>0</v>
      </c>
      <c r="AH133" s="251" t="s">
        <v>166</v>
      </c>
      <c r="AI133" s="232" t="s">
        <v>168</v>
      </c>
      <c r="AJ133" s="140" t="str">
        <f t="shared" si="26"/>
        <v>Stijn*Coghe*</v>
      </c>
      <c r="AK133" s="160">
        <f>IF(Tabel59[[#This Row],[Aantal Games Rood]]=0,0,(Tabel59[[#This Row],[Wins Rood]])/Tabel59[[#This Row],[Aantal Games Rood]])</f>
        <v>0</v>
      </c>
      <c r="AL133" s="159">
        <f>IF(Tabel59[[#This Row],[Aantal Games Groen]]=0,0,(Tabel59[[#This Row],[Wins Groen]])/Tabel59[[#This Row],[Aantal Games Groen]])</f>
        <v>0</v>
      </c>
      <c r="AM133" s="156">
        <f>IF(Tabel59[[#This Row],[Aantal games Alg]]=0,0,(Tabel59[[#This Row],[Wins Alg]])/Tabel59[[#This Row],[Aantal games Alg]])</f>
        <v>0</v>
      </c>
      <c r="AN133" s="171">
        <f>COUNTIF(Tabel158[Winaar rood],Tabel59[[#This Row],[Team]])</f>
        <v>0</v>
      </c>
      <c r="AO133" s="169">
        <f>COUNTIF(Tabel158[Winnaar Groen],Tabel59[[#This Row],[Team]])</f>
        <v>0</v>
      </c>
      <c r="AP133" s="170">
        <f>COUNTIF(Tabel158[Winnaars],Tabel59[[#This Row],[Team]])</f>
        <v>0</v>
      </c>
      <c r="AQ133" s="163">
        <f>Tabel59[[#This Row],[Aantal Games Rood]]-Tabel59[[#This Row],[Wins Rood]]</f>
        <v>0</v>
      </c>
      <c r="AR133" s="169">
        <f>Tabel59[[#This Row],[Aantal Games Groen]]-Tabel59[[#This Row],[Wins Groen]]</f>
        <v>0</v>
      </c>
      <c r="AS133" s="165">
        <f>Tabel59[[#This Row],[Aantal games Alg]]-Tabel59[[#This Row],[Wins Alg]]</f>
        <v>0</v>
      </c>
      <c r="AT133" s="171">
        <f>COUNTIF(Tabel158[Team Rood],Tabel59[[#This Row],[Team]])</f>
        <v>0</v>
      </c>
      <c r="AU133" s="169">
        <f>COUNTIF(Tabel158[Team Groen],Tabel59[[#This Row],[Team]])</f>
        <v>0</v>
      </c>
      <c r="AV133" s="170">
        <f>Tabel59[[#This Row],[Aantal Games Rood]]+Tabel59[[#This Row],[Aantal Games Groen]]</f>
        <v>0</v>
      </c>
      <c r="AW133" s="171">
        <f>SUMIF(Tabel158[Team Rood],Tabel59[[#This Row],[Team]],Tabel158[Score])</f>
        <v>0</v>
      </c>
      <c r="AX133" s="171">
        <f>SUMIF(Tabel158[Team Rood],Tabel59[[#This Row],[Team]],Tabel158[Score2])</f>
        <v>0</v>
      </c>
      <c r="AY133" s="136">
        <f>SUMIF(Tabel158[Team Groen],Tabel59[[#This Row],[Team]],Tabel158[Score3])</f>
        <v>0</v>
      </c>
      <c r="AZ133" s="169">
        <f>SUMIF(Tabel158[Team Groen],Tabel59[[#This Row],[Team]],Tabel158[Score4])</f>
        <v>0</v>
      </c>
      <c r="BA133" s="172">
        <f>SUM(Tabel59[[#This Row],[Goals Verdediger]]+Tabel59[[#This Row],[Goals DefG]])</f>
        <v>0</v>
      </c>
      <c r="BB133" s="170">
        <f>IF(Tabel59[[#This Row],[Aantal games Alg]]=0,0,Tabel59[[#This Row],[Goals DefA]]/Tabel59[[#This Row],[Aantal games Alg]])</f>
        <v>0</v>
      </c>
      <c r="BC133" s="172">
        <f>SUM(Tabel59[[#This Row],[Goals Aanvaller]]+Tabel59[[#This Row],[Goals OffG]])</f>
        <v>0</v>
      </c>
      <c r="BD133" s="170">
        <f>IF(Tabel59[[#This Row],[Aantal games Alg]]=0,0,Tabel59[[#This Row],[Goals OffA]]/Tabel59[[#This Row],[Aantal games Alg]])</f>
        <v>0</v>
      </c>
      <c r="BE133" s="170">
        <f>Tabel59[[#This Row],[Goals DefA]]+Tabel59[[#This Row],[Goals OffA]]</f>
        <v>0</v>
      </c>
      <c r="BF133" s="170">
        <f>IF(Tabel59[[#This Row],[Aantal games Alg]]=0,0,Tabel59[[#This Row],[Goals Alg]]/Tabel59[[#This Row],[Aantal games Alg]])</f>
        <v>0</v>
      </c>
      <c r="BG133" s="148">
        <f>SUMIF(Tabel158[Team Rood],Tabel59[[#This Row],[Team]],Tabel158[ET])</f>
        <v>0</v>
      </c>
      <c r="BH133" s="150">
        <f>SUMIF(Tabel158[Team Groen],Tabel59[[#This Row],[Team]],Tabel158[ET])</f>
        <v>0</v>
      </c>
      <c r="BI133" s="153">
        <f>SUM(Tabel59[[#This Row],[ET Groen tot]],Tabel59[[#This Row],[ET Rood tot]])</f>
        <v>0</v>
      </c>
      <c r="BJ133" s="155">
        <f>IF(Tabel59[[#This Row],[Aantal games Alg]]=0,0,Tabel59[[#This Row],[ET tot]]/Tabel59[[#This Row],[Aantal games Alg]])</f>
        <v>0</v>
      </c>
    </row>
    <row r="134" spans="1:62" x14ac:dyDescent="0.25">
      <c r="A134" s="125">
        <f ca="1">IF(Tabel158[[#This Row],[Rood Verdediging]]&lt;&gt;"",IF(A134="",NOW(),A134),"")</f>
        <v>0</v>
      </c>
      <c r="B134" s="128">
        <f ca="1">IF(Tabel158[[#This Row],[Rood Verdediging]]&lt;&gt;"",IF(B134="",NOW(),B134),"")</f>
        <v>43878.947694907409</v>
      </c>
      <c r="C134" s="126">
        <f ca="1">IF(Tabel158[[#This Row],[Score]]&lt;&gt;"",IF(C134="",NOW(),C134),"")</f>
        <v>43878.947694907409</v>
      </c>
      <c r="D134" s="182">
        <f ca="1">IF(OR(Tabel158[[#This Row],[Starttijd]]="",Tabel158[[#This Row],[Eindtijd]]=""),"",Tabel158[[#This Row],[Eindtijd]]-Tabel158[[#This Row],[Starttijd]])</f>
        <v>0</v>
      </c>
      <c r="E134" s="74">
        <v>120</v>
      </c>
      <c r="F134" s="205" t="s">
        <v>11</v>
      </c>
      <c r="G134" s="210">
        <v>0</v>
      </c>
      <c r="H134" s="205" t="s">
        <v>6</v>
      </c>
      <c r="I134" s="210">
        <v>8</v>
      </c>
      <c r="J134" s="206" t="s">
        <v>19</v>
      </c>
      <c r="K134" s="212">
        <v>1</v>
      </c>
      <c r="L134" s="206" t="s">
        <v>13</v>
      </c>
      <c r="M134" s="212">
        <v>10</v>
      </c>
      <c r="N134" s="81">
        <f t="shared" si="21"/>
        <v>8</v>
      </c>
      <c r="O134" s="82">
        <f t="shared" si="22"/>
        <v>11</v>
      </c>
      <c r="P134" s="70" t="str">
        <f t="shared" si="25"/>
        <v>GROEN</v>
      </c>
      <c r="Q134" s="86" t="str">
        <f t="shared" si="23"/>
        <v>Nicolas</v>
      </c>
      <c r="R134" s="87" t="str">
        <f t="shared" si="24"/>
        <v>Bert</v>
      </c>
      <c r="S134" s="147" t="str">
        <f>Tabel158[[#This Row],[Rood Verdediging]]&amp;Tabel158[[#This Row],[Rood Aanval]]</f>
        <v>MatthijsStef D</v>
      </c>
      <c r="T134" s="147" t="str">
        <f>Tabel158[[#This Row],[Groen Verdediging]]&amp;Tabel158[[#This Row],[Groen Aanval]]</f>
        <v>NicolasBert</v>
      </c>
      <c r="U134" s="147" t="str">
        <f>Tabel158[[#This Row],[Winnaar 1]]&amp;Tabel158[[#This Row],[Winnaar 2]]</f>
        <v>NicolasBert</v>
      </c>
      <c r="V134" s="147" t="b">
        <f>IF(Tabel158[[#This Row],[Team Rood]]=Tabel158[[#This Row],[Winnaars]],Tabel158[[#This Row],[Team Rood]])</f>
        <v>0</v>
      </c>
      <c r="W134" s="147" t="str">
        <f>IF(Tabel158[[#This Row],[Team Groen]]=Tabel158[[#This Row],[Winnaars]],Tabel158[[#This Row],[Team Groen]])</f>
        <v>NicolasBert</v>
      </c>
      <c r="AH134" s="250" t="s">
        <v>166</v>
      </c>
      <c r="AI134" s="232" t="s">
        <v>159</v>
      </c>
      <c r="AJ134" s="140" t="str">
        <f t="shared" si="26"/>
        <v>Stijn*Jonas*</v>
      </c>
      <c r="AK134" s="160">
        <f>IF(Tabel59[[#This Row],[Aantal Games Rood]]=0,0,(Tabel59[[#This Row],[Wins Rood]])/Tabel59[[#This Row],[Aantal Games Rood]])</f>
        <v>0</v>
      </c>
      <c r="AL134" s="159">
        <f>IF(Tabel59[[#This Row],[Aantal Games Groen]]=0,0,(Tabel59[[#This Row],[Wins Groen]])/Tabel59[[#This Row],[Aantal Games Groen]])</f>
        <v>0</v>
      </c>
      <c r="AM134" s="173">
        <f>IF(Tabel59[[#This Row],[Aantal games Alg]]=0,0,(Tabel59[[#This Row],[Wins Alg]])/Tabel59[[#This Row],[Aantal games Alg]])</f>
        <v>0</v>
      </c>
      <c r="AN134" s="138">
        <f>COUNTIF(Tabel158[Winaar rood],Tabel59[[#This Row],[Team]])</f>
        <v>0</v>
      </c>
      <c r="AO134" s="134">
        <f>COUNTIF(Tabel158[Winnaar Groen],Tabel59[[#This Row],[Team]])</f>
        <v>0</v>
      </c>
      <c r="AP134" s="293">
        <f>COUNTIF(Tabel158[Winnaars],Tabel59[[#This Row],[Team]])</f>
        <v>0</v>
      </c>
      <c r="AQ134" s="138">
        <f>Tabel59[[#This Row],[Aantal Games Rood]]-Tabel59[[#This Row],[Wins Rood]]</f>
        <v>0</v>
      </c>
      <c r="AR134" s="136">
        <f>Tabel59[[#This Row],[Aantal Games Groen]]-Tabel59[[#This Row],[Wins Groen]]</f>
        <v>1</v>
      </c>
      <c r="AS134" s="214">
        <f>Tabel59[[#This Row],[Aantal games Alg]]-Tabel59[[#This Row],[Wins Alg]]</f>
        <v>1</v>
      </c>
      <c r="AT134" s="138">
        <f>COUNTIF(Tabel158[Team Rood],Tabel59[[#This Row],[Team]])</f>
        <v>0</v>
      </c>
      <c r="AU134" s="136">
        <f>COUNTIF(Tabel158[Team Groen],Tabel59[[#This Row],[Team]])</f>
        <v>1</v>
      </c>
      <c r="AV134" s="214">
        <f>Tabel59[[#This Row],[Aantal Games Rood]]+Tabel59[[#This Row],[Aantal Games Groen]]</f>
        <v>1</v>
      </c>
      <c r="AW134" s="138">
        <f>SUMIF(Tabel158[Team Rood],Tabel59[[#This Row],[Team]],Tabel158[Score])</f>
        <v>0</v>
      </c>
      <c r="AX134" s="138">
        <f>SUMIF(Tabel158[Team Rood],Tabel59[[#This Row],[Team]],Tabel158[Score2])</f>
        <v>0</v>
      </c>
      <c r="AY134" s="134">
        <f>SUMIF(Tabel158[Team Groen],Tabel59[[#This Row],[Team]],Tabel158[Score3])</f>
        <v>1</v>
      </c>
      <c r="AZ134" s="136">
        <f>SUMIF(Tabel158[Team Groen],Tabel59[[#This Row],[Team]],Tabel158[Score4])</f>
        <v>4</v>
      </c>
      <c r="BA134" s="293">
        <f>SUM(Tabel59[[#This Row],[Goals Verdediger]]+Tabel59[[#This Row],[Goals DefG]])</f>
        <v>1</v>
      </c>
      <c r="BB134" s="293">
        <f>IF(Tabel59[[#This Row],[Aantal games Alg]]=0,0,Tabel59[[#This Row],[Goals DefA]]/Tabel59[[#This Row],[Aantal games Alg]])</f>
        <v>1</v>
      </c>
      <c r="BC134" s="293">
        <f>SUM(Tabel59[[#This Row],[Goals Aanvaller]]+Tabel59[[#This Row],[Goals OffG]])</f>
        <v>4</v>
      </c>
      <c r="BD134" s="293">
        <f>IF(Tabel59[[#This Row],[Aantal games Alg]]=0,0,Tabel59[[#This Row],[Goals OffA]]/Tabel59[[#This Row],[Aantal games Alg]])</f>
        <v>4</v>
      </c>
      <c r="BE134" s="214">
        <f>Tabel59[[#This Row],[Goals DefA]]+Tabel59[[#This Row],[Goals OffA]]</f>
        <v>5</v>
      </c>
      <c r="BF134" s="214">
        <f>IF(Tabel59[[#This Row],[Aantal games Alg]]=0,0,Tabel59[[#This Row],[Goals Alg]]/Tabel59[[#This Row],[Aantal games Alg]])</f>
        <v>5</v>
      </c>
      <c r="BG134" s="174">
        <f>SUMIF(Tabel158[Team Rood],Tabel59[[#This Row],[Team]],Tabel158[ET])</f>
        <v>0</v>
      </c>
      <c r="BH134" s="150">
        <f ca="1">SUMIF(Tabel158[Team Groen],Tabel59[[#This Row],[Team]],Tabel158[ET])</f>
        <v>0</v>
      </c>
      <c r="BI134" s="153">
        <f ca="1">SUM(Tabel59[[#This Row],[ET Groen tot]],Tabel59[[#This Row],[ET Rood tot]])</f>
        <v>0</v>
      </c>
      <c r="BJ134" s="155">
        <f ca="1">IF(Tabel59[[#This Row],[Aantal games Alg]]=0,0,Tabel59[[#This Row],[ET tot]]/Tabel59[[#This Row],[Aantal games Alg]])</f>
        <v>0</v>
      </c>
    </row>
    <row r="135" spans="1:62" x14ac:dyDescent="0.25">
      <c r="A135" s="125">
        <f ca="1">IF(Tabel158[[#This Row],[Rood Verdediging]]&lt;&gt;"",IF(A135="",NOW(),A135),"")</f>
        <v>0</v>
      </c>
      <c r="B135" s="128">
        <f ca="1">IF(Tabel158[[#This Row],[Rood Verdediging]]&lt;&gt;"",IF(B135="",NOW(),B135),"")</f>
        <v>43878.947694907409</v>
      </c>
      <c r="C135" s="126">
        <f ca="1">IF(Tabel158[[#This Row],[Score]]&lt;&gt;"",IF(C135="",NOW(),C135),"")</f>
        <v>43878.947694907409</v>
      </c>
      <c r="D135" s="182">
        <f ca="1">IF(OR(Tabel158[[#This Row],[Starttijd]]="",Tabel158[[#This Row],[Eindtijd]]=""),"",Tabel158[[#This Row],[Eindtijd]]-Tabel158[[#This Row],[Starttijd]])</f>
        <v>0</v>
      </c>
      <c r="E135" s="74">
        <v>120</v>
      </c>
      <c r="F135" s="205" t="s">
        <v>19</v>
      </c>
      <c r="G135" s="210">
        <v>3</v>
      </c>
      <c r="H135" s="205" t="s">
        <v>11</v>
      </c>
      <c r="I135" s="210">
        <v>4</v>
      </c>
      <c r="J135" s="206" t="s">
        <v>6</v>
      </c>
      <c r="K135" s="212">
        <v>6</v>
      </c>
      <c r="L135" s="206" t="s">
        <v>8</v>
      </c>
      <c r="M135" s="212">
        <v>5</v>
      </c>
      <c r="N135" s="81">
        <f t="shared" si="21"/>
        <v>7</v>
      </c>
      <c r="O135" s="82">
        <f t="shared" si="22"/>
        <v>11</v>
      </c>
      <c r="P135" s="70" t="str">
        <f t="shared" si="25"/>
        <v>GROEN</v>
      </c>
      <c r="Q135" s="86" t="str">
        <f t="shared" si="23"/>
        <v>Stef D</v>
      </c>
      <c r="R135" s="87" t="str">
        <f t="shared" si="24"/>
        <v>Louis</v>
      </c>
      <c r="S135" s="147" t="str">
        <f>Tabel158[[#This Row],[Rood Verdediging]]&amp;Tabel158[[#This Row],[Rood Aanval]]</f>
        <v>NicolasMatthijs</v>
      </c>
      <c r="T135" s="147" t="str">
        <f>Tabel158[[#This Row],[Groen Verdediging]]&amp;Tabel158[[#This Row],[Groen Aanval]]</f>
        <v>Stef DLouis</v>
      </c>
      <c r="U135" s="147" t="str">
        <f>Tabel158[[#This Row],[Winnaar 1]]&amp;Tabel158[[#This Row],[Winnaar 2]]</f>
        <v>Stef DLouis</v>
      </c>
      <c r="V135" s="147" t="b">
        <f>IF(Tabel158[[#This Row],[Team Rood]]=Tabel158[[#This Row],[Winnaars]],Tabel158[[#This Row],[Team Rood]])</f>
        <v>0</v>
      </c>
      <c r="W135" s="147" t="str">
        <f>IF(Tabel158[[#This Row],[Team Groen]]=Tabel158[[#This Row],[Winnaars]],Tabel158[[#This Row],[Team Groen]])</f>
        <v>Stef DLouis</v>
      </c>
      <c r="AH135" s="250" t="s">
        <v>166</v>
      </c>
      <c r="AI135" s="232" t="s">
        <v>164</v>
      </c>
      <c r="AJ135" s="140" t="str">
        <f t="shared" si="26"/>
        <v>Stijn*Karel*</v>
      </c>
      <c r="AK135" s="160">
        <f>IF(Tabel59[[#This Row],[Aantal Games Rood]]=0,0,(Tabel59[[#This Row],[Wins Rood]])/Tabel59[[#This Row],[Aantal Games Rood]])</f>
        <v>0</v>
      </c>
      <c r="AL135" s="159">
        <f>IF(Tabel59[[#This Row],[Aantal Games Groen]]=0,0,(Tabel59[[#This Row],[Wins Groen]])/Tabel59[[#This Row],[Aantal Games Groen]])</f>
        <v>0</v>
      </c>
      <c r="AM135" s="156">
        <f>IF(Tabel59[[#This Row],[Aantal games Alg]]=0,0,(Tabel59[[#This Row],[Wins Alg]])/Tabel59[[#This Row],[Aantal games Alg]])</f>
        <v>0</v>
      </c>
      <c r="AN135" s="135">
        <f>COUNTIF(Tabel158[Winaar rood],Tabel59[[#This Row],[Team]])</f>
        <v>0</v>
      </c>
      <c r="AO135" s="134">
        <f>COUNTIF(Tabel158[Winnaar Groen],Tabel59[[#This Row],[Team]])</f>
        <v>0</v>
      </c>
      <c r="AP135" s="293">
        <f>COUNTIF(Tabel158[Winnaars],Tabel59[[#This Row],[Team]])</f>
        <v>0</v>
      </c>
      <c r="AQ135" s="135">
        <f>Tabel59[[#This Row],[Aantal Games Rood]]-Tabel59[[#This Row],[Wins Rood]]</f>
        <v>0</v>
      </c>
      <c r="AR135" s="136">
        <f>Tabel59[[#This Row],[Aantal Games Groen]]-Tabel59[[#This Row],[Wins Groen]]</f>
        <v>2</v>
      </c>
      <c r="AS135" s="137">
        <f>Tabel59[[#This Row],[Aantal games Alg]]-Tabel59[[#This Row],[Wins Alg]]</f>
        <v>2</v>
      </c>
      <c r="AT135" s="138">
        <f>COUNTIF(Tabel158[Team Rood],Tabel59[[#This Row],[Team]])</f>
        <v>0</v>
      </c>
      <c r="AU135" s="136">
        <f>COUNTIF(Tabel158[Team Groen],Tabel59[[#This Row],[Team]])</f>
        <v>2</v>
      </c>
      <c r="AV135" s="137">
        <f>Tabel59[[#This Row],[Aantal Games Rood]]+Tabel59[[#This Row],[Aantal Games Groen]]</f>
        <v>2</v>
      </c>
      <c r="AW135" s="138">
        <f>SUMIF(Tabel158[Team Rood],Tabel59[[#This Row],[Team]],Tabel158[Score])</f>
        <v>0</v>
      </c>
      <c r="AX135" s="138">
        <f>SUMIF(Tabel158[Team Rood],Tabel59[[#This Row],[Team]],Tabel158[Score2])</f>
        <v>0</v>
      </c>
      <c r="AY135" s="134">
        <f>SUMIF(Tabel158[Team Groen],Tabel59[[#This Row],[Team]],Tabel158[Score3])</f>
        <v>5</v>
      </c>
      <c r="AZ135" s="136">
        <f>SUMIF(Tabel158[Team Groen],Tabel59[[#This Row],[Team]],Tabel158[Score4])</f>
        <v>11</v>
      </c>
      <c r="BA135" s="293">
        <f>SUM(Tabel59[[#This Row],[Goals Verdediger]]+Tabel59[[#This Row],[Goals DefG]])</f>
        <v>5</v>
      </c>
      <c r="BB135" s="293">
        <f>IF(Tabel59[[#This Row],[Aantal games Alg]]=0,0,Tabel59[[#This Row],[Goals DefA]]/Tabel59[[#This Row],[Aantal games Alg]])</f>
        <v>2.5</v>
      </c>
      <c r="BC135" s="293">
        <f>SUM(Tabel59[[#This Row],[Goals Aanvaller]]+Tabel59[[#This Row],[Goals OffG]])</f>
        <v>11</v>
      </c>
      <c r="BD135" s="293">
        <f>IF(Tabel59[[#This Row],[Aantal games Alg]]=0,0,Tabel59[[#This Row],[Goals OffA]]/Tabel59[[#This Row],[Aantal games Alg]])</f>
        <v>5.5</v>
      </c>
      <c r="BE135" s="214">
        <f>Tabel59[[#This Row],[Goals DefA]]+Tabel59[[#This Row],[Goals OffA]]</f>
        <v>16</v>
      </c>
      <c r="BF135" s="214">
        <f>IF(Tabel59[[#This Row],[Aantal games Alg]]=0,0,Tabel59[[#This Row],[Goals Alg]]/Tabel59[[#This Row],[Aantal games Alg]])</f>
        <v>8</v>
      </c>
      <c r="BG135" s="148">
        <f>SUMIF(Tabel158[Team Rood],Tabel59[[#This Row],[Team]],Tabel158[ET])</f>
        <v>0</v>
      </c>
      <c r="BH135" s="150">
        <f ca="1">SUMIF(Tabel158[Team Groen],Tabel59[[#This Row],[Team]],Tabel158[ET])</f>
        <v>0</v>
      </c>
      <c r="BI135" s="153">
        <f ca="1">SUM(Tabel59[[#This Row],[ET Groen tot]],Tabel59[[#This Row],[ET Rood tot]])</f>
        <v>0</v>
      </c>
      <c r="BJ135" s="155">
        <f ca="1">IF(Tabel59[[#This Row],[Aantal games Alg]]=0,0,Tabel59[[#This Row],[ET tot]]/Tabel59[[#This Row],[Aantal games Alg]])</f>
        <v>0</v>
      </c>
    </row>
    <row r="136" spans="1:62" x14ac:dyDescent="0.25">
      <c r="A136" s="125">
        <f ca="1">IF(Tabel158[[#This Row],[Rood Verdediging]]&lt;&gt;"",IF(A136="",NOW(),A136),"")</f>
        <v>0</v>
      </c>
      <c r="B136" s="128">
        <f ca="1">IF(Tabel158[[#This Row],[Rood Verdediging]]&lt;&gt;"",IF(B136="",NOW(),B136),"")</f>
        <v>43878.947694907409</v>
      </c>
      <c r="C136" s="126">
        <f ca="1">IF(Tabel158[[#This Row],[Score]]&lt;&gt;"",IF(C136="",NOW(),C136),"")</f>
        <v>43878.947694907409</v>
      </c>
      <c r="D136" s="182">
        <f ca="1">IF(OR(Tabel158[[#This Row],[Starttijd]]="",Tabel158[[#This Row],[Eindtijd]]=""),"",Tabel158[[#This Row],[Eindtijd]]-Tabel158[[#This Row],[Starttijd]])</f>
        <v>0</v>
      </c>
      <c r="E136" s="74">
        <v>120</v>
      </c>
      <c r="F136" s="205" t="s">
        <v>19</v>
      </c>
      <c r="G136" s="210">
        <v>1</v>
      </c>
      <c r="H136" s="205" t="s">
        <v>6</v>
      </c>
      <c r="I136" s="210">
        <v>10</v>
      </c>
      <c r="J136" s="206" t="s">
        <v>13</v>
      </c>
      <c r="K136" s="212">
        <v>0</v>
      </c>
      <c r="L136" s="206" t="s">
        <v>11</v>
      </c>
      <c r="M136" s="212">
        <v>5</v>
      </c>
      <c r="N136" s="81">
        <f t="shared" si="21"/>
        <v>11</v>
      </c>
      <c r="O136" s="82">
        <f t="shared" si="22"/>
        <v>5</v>
      </c>
      <c r="P136" s="70" t="str">
        <f t="shared" si="25"/>
        <v>ROOD</v>
      </c>
      <c r="Q136" s="86" t="str">
        <f t="shared" si="23"/>
        <v>Nicolas</v>
      </c>
      <c r="R136" s="87" t="str">
        <f t="shared" si="24"/>
        <v>Stef D</v>
      </c>
      <c r="S136" s="147" t="str">
        <f>Tabel158[[#This Row],[Rood Verdediging]]&amp;Tabel158[[#This Row],[Rood Aanval]]</f>
        <v>NicolasStef D</v>
      </c>
      <c r="T136" s="147" t="str">
        <f>Tabel158[[#This Row],[Groen Verdediging]]&amp;Tabel158[[#This Row],[Groen Aanval]]</f>
        <v>BertMatthijs</v>
      </c>
      <c r="U136" s="147" t="str">
        <f>Tabel158[[#This Row],[Winnaar 1]]&amp;Tabel158[[#This Row],[Winnaar 2]]</f>
        <v>NicolasStef D</v>
      </c>
      <c r="V136" s="147" t="str">
        <f>IF(Tabel158[[#This Row],[Team Rood]]=Tabel158[[#This Row],[Winnaars]],Tabel158[[#This Row],[Team Rood]])</f>
        <v>NicolasStef D</v>
      </c>
      <c r="W136" s="147" t="b">
        <f>IF(Tabel158[[#This Row],[Team Groen]]=Tabel158[[#This Row],[Winnaars]],Tabel158[[#This Row],[Team Groen]])</f>
        <v>0</v>
      </c>
      <c r="AH136" s="250" t="s">
        <v>166</v>
      </c>
      <c r="AI136" s="232" t="s">
        <v>67</v>
      </c>
      <c r="AJ136" s="140" t="str">
        <f t="shared" si="26"/>
        <v>Stijn*Lawrence</v>
      </c>
      <c r="AK136" s="160">
        <f>IF(Tabel59[[#This Row],[Aantal Games Rood]]=0,0,(Tabel59[[#This Row],[Wins Rood]])/Tabel59[[#This Row],[Aantal Games Rood]])</f>
        <v>0</v>
      </c>
      <c r="AL136" s="159">
        <f>IF(Tabel59[[#This Row],[Aantal Games Groen]]=0,0,(Tabel59[[#This Row],[Wins Groen]])/Tabel59[[#This Row],[Aantal Games Groen]])</f>
        <v>0</v>
      </c>
      <c r="AM136" s="156">
        <f>IF(Tabel59[[#This Row],[Aantal games Alg]]=0,0,(Tabel59[[#This Row],[Wins Alg]])/Tabel59[[#This Row],[Aantal games Alg]])</f>
        <v>0</v>
      </c>
      <c r="AN136" s="135">
        <f>COUNTIF(Tabel158[Winaar rood],Tabel59[[#This Row],[Team]])</f>
        <v>0</v>
      </c>
      <c r="AO136" s="134">
        <f>COUNTIF(Tabel158[Winnaar Groen],Tabel59[[#This Row],[Team]])</f>
        <v>0</v>
      </c>
      <c r="AP136" s="293">
        <f>COUNTIF(Tabel158[Winnaars],Tabel59[[#This Row],[Team]])</f>
        <v>0</v>
      </c>
      <c r="AQ136" s="135">
        <f>Tabel59[[#This Row],[Aantal Games Rood]]-Tabel59[[#This Row],[Wins Rood]]</f>
        <v>0</v>
      </c>
      <c r="AR136" s="136">
        <f>Tabel59[[#This Row],[Aantal Games Groen]]-Tabel59[[#This Row],[Wins Groen]]</f>
        <v>0</v>
      </c>
      <c r="AS136" s="137">
        <f>Tabel59[[#This Row],[Aantal games Alg]]-Tabel59[[#This Row],[Wins Alg]]</f>
        <v>0</v>
      </c>
      <c r="AT136" s="138">
        <f>COUNTIF(Tabel158[Team Rood],Tabel59[[#This Row],[Team]])</f>
        <v>0</v>
      </c>
      <c r="AU136" s="136">
        <f>COUNTIF(Tabel158[Team Groen],Tabel59[[#This Row],[Team]])</f>
        <v>0</v>
      </c>
      <c r="AV136" s="137">
        <f>Tabel59[[#This Row],[Aantal Games Rood]]+Tabel59[[#This Row],[Aantal Games Groen]]</f>
        <v>0</v>
      </c>
      <c r="AW136" s="138">
        <f>SUMIF(Tabel158[Team Rood],Tabel59[[#This Row],[Team]],Tabel158[Score])</f>
        <v>0</v>
      </c>
      <c r="AX136" s="138">
        <f>SUMIF(Tabel158[Team Rood],Tabel59[[#This Row],[Team]],Tabel158[Score2])</f>
        <v>0</v>
      </c>
      <c r="AY136" s="134">
        <f>SUMIF(Tabel158[Team Groen],Tabel59[[#This Row],[Team]],Tabel158[Score3])</f>
        <v>0</v>
      </c>
      <c r="AZ136" s="136">
        <f>SUMIF(Tabel158[Team Groen],Tabel59[[#This Row],[Team]],Tabel158[Score4])</f>
        <v>0</v>
      </c>
      <c r="BA136" s="293">
        <f>SUM(Tabel59[[#This Row],[Goals Verdediger]]+Tabel59[[#This Row],[Goals DefG]])</f>
        <v>0</v>
      </c>
      <c r="BB136" s="293">
        <f>IF(Tabel59[[#This Row],[Aantal games Alg]]=0,0,Tabel59[[#This Row],[Goals DefA]]/Tabel59[[#This Row],[Aantal games Alg]])</f>
        <v>0</v>
      </c>
      <c r="BC136" s="293">
        <f>SUM(Tabel59[[#This Row],[Goals Aanvaller]]+Tabel59[[#This Row],[Goals OffG]])</f>
        <v>0</v>
      </c>
      <c r="BD136" s="293">
        <f>IF(Tabel59[[#This Row],[Aantal games Alg]]=0,0,Tabel59[[#This Row],[Goals OffA]]/Tabel59[[#This Row],[Aantal games Alg]])</f>
        <v>0</v>
      </c>
      <c r="BE136" s="214">
        <f>Tabel59[[#This Row],[Goals DefA]]+Tabel59[[#This Row],[Goals OffA]]</f>
        <v>0</v>
      </c>
      <c r="BF136" s="214">
        <f>IF(Tabel59[[#This Row],[Aantal games Alg]]=0,0,Tabel59[[#This Row],[Goals Alg]]/Tabel59[[#This Row],[Aantal games Alg]])</f>
        <v>0</v>
      </c>
      <c r="BG136" s="148">
        <f>SUMIF(Tabel158[Team Rood],Tabel59[[#This Row],[Team]],Tabel158[ET])</f>
        <v>0</v>
      </c>
      <c r="BH136" s="150">
        <f>SUMIF(Tabel158[Team Groen],Tabel59[[#This Row],[Team]],Tabel158[ET])</f>
        <v>0</v>
      </c>
      <c r="BI136" s="153">
        <f>SUM(Tabel59[[#This Row],[ET Groen tot]],Tabel59[[#This Row],[ET Rood tot]])</f>
        <v>0</v>
      </c>
      <c r="BJ136" s="155">
        <f>IF(Tabel59[[#This Row],[Aantal games Alg]]=0,0,Tabel59[[#This Row],[ET tot]]/Tabel59[[#This Row],[Aantal games Alg]])</f>
        <v>0</v>
      </c>
    </row>
    <row r="137" spans="1:62" x14ac:dyDescent="0.25">
      <c r="A137" s="125">
        <f ca="1">IF(Tabel158[[#This Row],[Rood Verdediging]]&lt;&gt;"",IF(A137="",NOW(),A137),"")</f>
        <v>0</v>
      </c>
      <c r="B137" s="128">
        <f ca="1">IF(Tabel158[[#This Row],[Rood Verdediging]]&lt;&gt;"",IF(B137="",NOW(),B137),"")</f>
        <v>43878.947694907409</v>
      </c>
      <c r="C137" s="126">
        <f ca="1">IF(Tabel158[[#This Row],[Score]]&lt;&gt;"",IF(C137="",NOW(),C137),"")</f>
        <v>43878.947694907409</v>
      </c>
      <c r="D137" s="182">
        <f ca="1">IF(OR(Tabel158[[#This Row],[Starttijd]]="",Tabel158[[#This Row],[Eindtijd]]=""),"",Tabel158[[#This Row],[Eindtijd]]-Tabel158[[#This Row],[Starttijd]])</f>
        <v>0</v>
      </c>
      <c r="E137" s="74">
        <v>120</v>
      </c>
      <c r="F137" s="205" t="s">
        <v>0</v>
      </c>
      <c r="G137" s="210">
        <v>5</v>
      </c>
      <c r="H137" s="205" t="s">
        <v>6</v>
      </c>
      <c r="I137" s="210">
        <v>7</v>
      </c>
      <c r="J137" s="206" t="s">
        <v>19</v>
      </c>
      <c r="K137" s="212">
        <v>2</v>
      </c>
      <c r="L137" s="206" t="s">
        <v>3</v>
      </c>
      <c r="M137" s="212">
        <v>8</v>
      </c>
      <c r="N137" s="81">
        <f t="shared" si="21"/>
        <v>12</v>
      </c>
      <c r="O137" s="82">
        <f t="shared" si="22"/>
        <v>10</v>
      </c>
      <c r="P137" s="70" t="str">
        <f t="shared" si="25"/>
        <v>ROOD</v>
      </c>
      <c r="Q137" s="86" t="str">
        <f t="shared" si="23"/>
        <v>Jonas</v>
      </c>
      <c r="R137" s="87" t="str">
        <f t="shared" si="24"/>
        <v>Stef D</v>
      </c>
      <c r="S137" s="147" t="str">
        <f>Tabel158[[#This Row],[Rood Verdediging]]&amp;Tabel158[[#This Row],[Rood Aanval]]</f>
        <v>JonasStef D</v>
      </c>
      <c r="T137" s="147" t="str">
        <f>Tabel158[[#This Row],[Groen Verdediging]]&amp;Tabel158[[#This Row],[Groen Aanval]]</f>
        <v>NicolasKarel</v>
      </c>
      <c r="U137" s="147" t="str">
        <f>Tabel158[[#This Row],[Winnaar 1]]&amp;Tabel158[[#This Row],[Winnaar 2]]</f>
        <v>JonasStef D</v>
      </c>
      <c r="V137" s="147" t="str">
        <f>IF(Tabel158[[#This Row],[Team Rood]]=Tabel158[[#This Row],[Winnaars]],Tabel158[[#This Row],[Team Rood]])</f>
        <v>JonasStef D</v>
      </c>
      <c r="W137" s="147" t="b">
        <f>IF(Tabel158[[#This Row],[Team Groen]]=Tabel158[[#This Row],[Winnaars]],Tabel158[[#This Row],[Team Groen]])</f>
        <v>0</v>
      </c>
      <c r="AH137" s="250" t="s">
        <v>166</v>
      </c>
      <c r="AI137" s="232" t="s">
        <v>161</v>
      </c>
      <c r="AJ137" s="140" t="str">
        <f t="shared" si="26"/>
        <v>Stijn*Louis*</v>
      </c>
      <c r="AK137" s="160">
        <f>IF(Tabel59[[#This Row],[Aantal Games Rood]]=0,0,(Tabel59[[#This Row],[Wins Rood]])/Tabel59[[#This Row],[Aantal Games Rood]])</f>
        <v>0</v>
      </c>
      <c r="AL137" s="159">
        <f>IF(Tabel59[[#This Row],[Aantal Games Groen]]=0,0,(Tabel59[[#This Row],[Wins Groen]])/Tabel59[[#This Row],[Aantal Games Groen]])</f>
        <v>0</v>
      </c>
      <c r="AM137" s="156">
        <f>IF(Tabel59[[#This Row],[Aantal games Alg]]=0,0,(Tabel59[[#This Row],[Wins Alg]])/Tabel59[[#This Row],[Aantal games Alg]])</f>
        <v>0</v>
      </c>
      <c r="AN137" s="135">
        <f>COUNTIF(Tabel158[Winaar rood],Tabel59[[#This Row],[Team]])</f>
        <v>0</v>
      </c>
      <c r="AO137" s="134">
        <f>COUNTIF(Tabel158[Winnaar Groen],Tabel59[[#This Row],[Team]])</f>
        <v>0</v>
      </c>
      <c r="AP137">
        <f>COUNTIF(Tabel158[Winnaars],Tabel59[[#This Row],[Team]])</f>
        <v>0</v>
      </c>
      <c r="AQ137" s="135">
        <f>Tabel59[[#This Row],[Aantal Games Rood]]-Tabel59[[#This Row],[Wins Rood]]</f>
        <v>0</v>
      </c>
      <c r="AR137" s="136">
        <f>Tabel59[[#This Row],[Aantal Games Groen]]-Tabel59[[#This Row],[Wins Groen]]</f>
        <v>3</v>
      </c>
      <c r="AS137" s="137">
        <f>Tabel59[[#This Row],[Aantal games Alg]]-Tabel59[[#This Row],[Wins Alg]]</f>
        <v>3</v>
      </c>
      <c r="AT137" s="138">
        <f>COUNTIF(Tabel158[Team Rood],Tabel59[[#This Row],[Team]])</f>
        <v>0</v>
      </c>
      <c r="AU137" s="136">
        <f>COUNTIF(Tabel158[Team Groen],Tabel59[[#This Row],[Team]])</f>
        <v>3</v>
      </c>
      <c r="AV137" s="137">
        <f>Tabel59[[#This Row],[Aantal Games Rood]]+Tabel59[[#This Row],[Aantal Games Groen]]</f>
        <v>3</v>
      </c>
      <c r="AW137" s="138">
        <f>SUMIF(Tabel158[Team Rood],Tabel59[[#This Row],[Team]],Tabel158[Score])</f>
        <v>0</v>
      </c>
      <c r="AX137" s="138">
        <f>SUMIF(Tabel158[Team Rood],Tabel59[[#This Row],[Team]],Tabel158[Score2])</f>
        <v>0</v>
      </c>
      <c r="AY137" s="134">
        <f>SUMIF(Tabel158[Team Groen],Tabel59[[#This Row],[Team]],Tabel158[Score3])</f>
        <v>2</v>
      </c>
      <c r="AZ137" s="136">
        <f>SUMIF(Tabel158[Team Groen],Tabel59[[#This Row],[Team]],Tabel158[Score4])</f>
        <v>11</v>
      </c>
      <c r="BA137">
        <f>SUM(Tabel59[[#This Row],[Goals Verdediger]]+Tabel59[[#This Row],[Goals DefG]])</f>
        <v>2</v>
      </c>
      <c r="BB137">
        <f>IF(Tabel59[[#This Row],[Aantal games Alg]]=0,0,Tabel59[[#This Row],[Goals DefA]]/Tabel59[[#This Row],[Aantal games Alg]])</f>
        <v>0.66666666666666663</v>
      </c>
      <c r="BC137">
        <f>SUM(Tabel59[[#This Row],[Goals Aanvaller]]+Tabel59[[#This Row],[Goals OffG]])</f>
        <v>11</v>
      </c>
      <c r="BD137">
        <f>IF(Tabel59[[#This Row],[Aantal games Alg]]=0,0,Tabel59[[#This Row],[Goals OffA]]/Tabel59[[#This Row],[Aantal games Alg]])</f>
        <v>3.6666666666666665</v>
      </c>
      <c r="BE137" s="112">
        <f>Tabel59[[#This Row],[Goals DefA]]+Tabel59[[#This Row],[Goals OffA]]</f>
        <v>13</v>
      </c>
      <c r="BF137" s="112">
        <f>IF(Tabel59[[#This Row],[Aantal games Alg]]=0,0,Tabel59[[#This Row],[Goals Alg]]/Tabel59[[#This Row],[Aantal games Alg]])</f>
        <v>4.333333333333333</v>
      </c>
      <c r="BG137" s="148">
        <f>SUMIF(Tabel158[Team Rood],Tabel59[[#This Row],[Team]],Tabel158[ET])</f>
        <v>0</v>
      </c>
      <c r="BH137" s="150">
        <f ca="1">SUMIF(Tabel158[Team Groen],Tabel59[[#This Row],[Team]],Tabel158[ET])</f>
        <v>0</v>
      </c>
      <c r="BI137" s="153">
        <f ca="1">SUM(Tabel59[[#This Row],[ET Groen tot]],Tabel59[[#This Row],[ET Rood tot]])</f>
        <v>0</v>
      </c>
      <c r="BJ137" s="155">
        <f ca="1">IF(Tabel59[[#This Row],[Aantal games Alg]]=0,0,Tabel59[[#This Row],[ET tot]]/Tabel59[[#This Row],[Aantal games Alg]])</f>
        <v>0</v>
      </c>
    </row>
    <row r="138" spans="1:62" x14ac:dyDescent="0.25">
      <c r="A138" s="125">
        <f ca="1">IF(Tabel158[[#This Row],[Rood Verdediging]]&lt;&gt;"",IF(A138="",NOW(),A138),"")</f>
        <v>0</v>
      </c>
      <c r="B138" s="128">
        <f ca="1">IF(Tabel158[[#This Row],[Rood Verdediging]]&lt;&gt;"",IF(B138="",NOW(),B138),"")</f>
        <v>43878.947694907409</v>
      </c>
      <c r="C138" s="126">
        <f ca="1">IF(Tabel158[[#This Row],[Score]]&lt;&gt;"",IF(C138="",NOW(),C138),"")</f>
        <v>43878.947694907409</v>
      </c>
      <c r="D138" s="182">
        <f ca="1">IF(OR(Tabel158[[#This Row],[Starttijd]]="",Tabel158[[#This Row],[Eindtijd]]=""),"",Tabel158[[#This Row],[Eindtijd]]-Tabel158[[#This Row],[Starttijd]])</f>
        <v>0</v>
      </c>
      <c r="E138" s="74">
        <v>120</v>
      </c>
      <c r="F138" s="205" t="s">
        <v>11</v>
      </c>
      <c r="G138" s="210">
        <v>1</v>
      </c>
      <c r="H138" s="205" t="s">
        <v>6</v>
      </c>
      <c r="I138" s="210">
        <v>10</v>
      </c>
      <c r="J138" s="206" t="s">
        <v>8</v>
      </c>
      <c r="K138" s="212">
        <v>3</v>
      </c>
      <c r="L138" s="206" t="s">
        <v>19</v>
      </c>
      <c r="M138" s="212">
        <v>10</v>
      </c>
      <c r="N138" s="81">
        <f t="shared" si="21"/>
        <v>11</v>
      </c>
      <c r="O138" s="82">
        <f t="shared" si="22"/>
        <v>13</v>
      </c>
      <c r="P138" s="70" t="str">
        <f t="shared" si="25"/>
        <v>GROEN</v>
      </c>
      <c r="Q138" s="86" t="str">
        <f t="shared" si="23"/>
        <v>Louis</v>
      </c>
      <c r="R138" s="87" t="str">
        <f t="shared" si="24"/>
        <v>Nicolas</v>
      </c>
      <c r="S138" s="147" t="str">
        <f>Tabel158[[#This Row],[Rood Verdediging]]&amp;Tabel158[[#This Row],[Rood Aanval]]</f>
        <v>MatthijsStef D</v>
      </c>
      <c r="T138" s="147" t="str">
        <f>Tabel158[[#This Row],[Groen Verdediging]]&amp;Tabel158[[#This Row],[Groen Aanval]]</f>
        <v>LouisNicolas</v>
      </c>
      <c r="U138" s="147" t="str">
        <f>Tabel158[[#This Row],[Winnaar 1]]&amp;Tabel158[[#This Row],[Winnaar 2]]</f>
        <v>LouisNicolas</v>
      </c>
      <c r="V138" s="147" t="b">
        <f>IF(Tabel158[[#This Row],[Team Rood]]=Tabel158[[#This Row],[Winnaars]],Tabel158[[#This Row],[Team Rood]])</f>
        <v>0</v>
      </c>
      <c r="W138" s="147" t="str">
        <f>IF(Tabel158[[#This Row],[Team Groen]]=Tabel158[[#This Row],[Winnaars]],Tabel158[[#This Row],[Team Groen]])</f>
        <v>LouisNicolas</v>
      </c>
      <c r="AH138" s="250" t="s">
        <v>166</v>
      </c>
      <c r="AI138" s="232" t="s">
        <v>162</v>
      </c>
      <c r="AJ138" s="140" t="str">
        <f t="shared" si="26"/>
        <v>Stijn*Matthijs*</v>
      </c>
      <c r="AK138" s="160">
        <f>IF(Tabel59[[#This Row],[Aantal Games Rood]]=0,0,(Tabel59[[#This Row],[Wins Rood]])/Tabel59[[#This Row],[Aantal Games Rood]])</f>
        <v>0</v>
      </c>
      <c r="AL138" s="159">
        <f>IF(Tabel59[[#This Row],[Aantal Games Groen]]=0,0,(Tabel59[[#This Row],[Wins Groen]])/Tabel59[[#This Row],[Aantal Games Groen]])</f>
        <v>0</v>
      </c>
      <c r="AM138" s="156">
        <f>IF(Tabel59[[#This Row],[Aantal games Alg]]=0,0,(Tabel59[[#This Row],[Wins Alg]])/Tabel59[[#This Row],[Aantal games Alg]])</f>
        <v>0</v>
      </c>
      <c r="AN138" s="135">
        <f>COUNTIF(Tabel158[Winaar rood],Tabel59[[#This Row],[Team]])</f>
        <v>0</v>
      </c>
      <c r="AO138" s="134">
        <f>COUNTIF(Tabel158[Winnaar Groen],Tabel59[[#This Row],[Team]])</f>
        <v>0</v>
      </c>
      <c r="AP138">
        <f>COUNTIF(Tabel158[Winnaars],Tabel59[[#This Row],[Team]])</f>
        <v>0</v>
      </c>
      <c r="AQ138" s="135">
        <f>Tabel59[[#This Row],[Aantal Games Rood]]-Tabel59[[#This Row],[Wins Rood]]</f>
        <v>0</v>
      </c>
      <c r="AR138" s="136">
        <f>Tabel59[[#This Row],[Aantal Games Groen]]-Tabel59[[#This Row],[Wins Groen]]</f>
        <v>2</v>
      </c>
      <c r="AS138" s="137">
        <f>Tabel59[[#This Row],[Aantal games Alg]]-Tabel59[[#This Row],[Wins Alg]]</f>
        <v>2</v>
      </c>
      <c r="AT138" s="138">
        <f>COUNTIF(Tabel158[Team Rood],Tabel59[[#This Row],[Team]])</f>
        <v>0</v>
      </c>
      <c r="AU138" s="136">
        <f>COUNTIF(Tabel158[Team Groen],Tabel59[[#This Row],[Team]])</f>
        <v>2</v>
      </c>
      <c r="AV138" s="137">
        <f>Tabel59[[#This Row],[Aantal Games Rood]]+Tabel59[[#This Row],[Aantal Games Groen]]</f>
        <v>2</v>
      </c>
      <c r="AW138" s="138">
        <f>SUMIF(Tabel158[Team Rood],Tabel59[[#This Row],[Team]],Tabel158[Score])</f>
        <v>0</v>
      </c>
      <c r="AX138" s="138">
        <f>SUMIF(Tabel158[Team Rood],Tabel59[[#This Row],[Team]],Tabel158[Score2])</f>
        <v>0</v>
      </c>
      <c r="AY138" s="134">
        <f>SUMIF(Tabel158[Team Groen],Tabel59[[#This Row],[Team]],Tabel158[Score3])</f>
        <v>1</v>
      </c>
      <c r="AZ138" s="136">
        <f>SUMIF(Tabel158[Team Groen],Tabel59[[#This Row],[Team]],Tabel158[Score4])</f>
        <v>10</v>
      </c>
      <c r="BA138">
        <f>SUM(Tabel59[[#This Row],[Goals Verdediger]]+Tabel59[[#This Row],[Goals DefG]])</f>
        <v>1</v>
      </c>
      <c r="BB138">
        <f>IF(Tabel59[[#This Row],[Aantal games Alg]]=0,0,Tabel59[[#This Row],[Goals DefA]]/Tabel59[[#This Row],[Aantal games Alg]])</f>
        <v>0.5</v>
      </c>
      <c r="BC138">
        <f>SUM(Tabel59[[#This Row],[Goals Aanvaller]]+Tabel59[[#This Row],[Goals OffG]])</f>
        <v>10</v>
      </c>
      <c r="BD138">
        <f>IF(Tabel59[[#This Row],[Aantal games Alg]]=0,0,Tabel59[[#This Row],[Goals OffA]]/Tabel59[[#This Row],[Aantal games Alg]])</f>
        <v>5</v>
      </c>
      <c r="BE138" s="112">
        <f>Tabel59[[#This Row],[Goals DefA]]+Tabel59[[#This Row],[Goals OffA]]</f>
        <v>11</v>
      </c>
      <c r="BF138" s="112">
        <f>IF(Tabel59[[#This Row],[Aantal games Alg]]=0,0,Tabel59[[#This Row],[Goals Alg]]/Tabel59[[#This Row],[Aantal games Alg]])</f>
        <v>5.5</v>
      </c>
      <c r="BG138" s="148">
        <f>SUMIF(Tabel158[Team Rood],Tabel59[[#This Row],[Team]],Tabel158[ET])</f>
        <v>0</v>
      </c>
      <c r="BH138" s="150">
        <f ca="1">SUMIF(Tabel158[Team Groen],Tabel59[[#This Row],[Team]],Tabel158[ET])</f>
        <v>0</v>
      </c>
      <c r="BI138" s="153">
        <f ca="1">SUM(Tabel59[[#This Row],[ET Groen tot]],Tabel59[[#This Row],[ET Rood tot]])</f>
        <v>0</v>
      </c>
      <c r="BJ138" s="155">
        <f ca="1">IF(Tabel59[[#This Row],[Aantal games Alg]]=0,0,Tabel59[[#This Row],[ET tot]]/Tabel59[[#This Row],[Aantal games Alg]])</f>
        <v>0</v>
      </c>
    </row>
    <row r="139" spans="1:62" x14ac:dyDescent="0.25">
      <c r="A139" s="125">
        <f ca="1">IF(Tabel158[[#This Row],[Rood Verdediging]]&lt;&gt;"",IF(A139="",NOW(),A139),"")</f>
        <v>0</v>
      </c>
      <c r="B139" s="128">
        <f ca="1">IF(Tabel158[[#This Row],[Rood Verdediging]]&lt;&gt;"",IF(B139="",NOW(),B139),"")</f>
        <v>43878.947694907409</v>
      </c>
      <c r="C139" s="126">
        <f ca="1">IF(Tabel158[[#This Row],[Score]]&lt;&gt;"",IF(C139="",NOW(),C139),"")</f>
        <v>43878.947694907409</v>
      </c>
      <c r="D139" s="182">
        <f ca="1">IF(OR(Tabel158[[#This Row],[Starttijd]]="",Tabel158[[#This Row],[Eindtijd]]=""),"",Tabel158[[#This Row],[Eindtijd]]-Tabel158[[#This Row],[Starttijd]])</f>
        <v>0</v>
      </c>
      <c r="E139" s="74">
        <v>120</v>
      </c>
      <c r="F139" s="205" t="s">
        <v>3</v>
      </c>
      <c r="G139" s="210">
        <v>2</v>
      </c>
      <c r="H139" s="205" t="s">
        <v>6</v>
      </c>
      <c r="I139" s="210">
        <v>9</v>
      </c>
      <c r="J139" s="206" t="s">
        <v>0</v>
      </c>
      <c r="K139" s="212">
        <v>3</v>
      </c>
      <c r="L139" s="206" t="s">
        <v>7</v>
      </c>
      <c r="M139" s="212">
        <v>3</v>
      </c>
      <c r="N139" s="81">
        <f t="shared" si="21"/>
        <v>11</v>
      </c>
      <c r="O139" s="82">
        <f t="shared" si="22"/>
        <v>6</v>
      </c>
      <c r="P139" s="70" t="str">
        <f t="shared" si="25"/>
        <v>ROOD</v>
      </c>
      <c r="Q139" s="86" t="str">
        <f t="shared" si="23"/>
        <v>Karel</v>
      </c>
      <c r="R139" s="87" t="str">
        <f t="shared" si="24"/>
        <v>Stef D</v>
      </c>
      <c r="S139" s="147" t="str">
        <f>Tabel158[[#This Row],[Rood Verdediging]]&amp;Tabel158[[#This Row],[Rood Aanval]]</f>
        <v>KarelStef D</v>
      </c>
      <c r="T139" s="147" t="str">
        <f>Tabel158[[#This Row],[Groen Verdediging]]&amp;Tabel158[[#This Row],[Groen Aanval]]</f>
        <v>JonasTiemen</v>
      </c>
      <c r="U139" s="147" t="str">
        <f>Tabel158[[#This Row],[Winnaar 1]]&amp;Tabel158[[#This Row],[Winnaar 2]]</f>
        <v>KarelStef D</v>
      </c>
      <c r="V139" s="147" t="str">
        <f>IF(Tabel158[[#This Row],[Team Rood]]=Tabel158[[#This Row],[Winnaars]],Tabel158[[#This Row],[Team Rood]])</f>
        <v>KarelStef D</v>
      </c>
      <c r="W139" s="147" t="b">
        <f>IF(Tabel158[[#This Row],[Team Groen]]=Tabel158[[#This Row],[Winnaars]],Tabel158[[#This Row],[Team Groen]])</f>
        <v>0</v>
      </c>
      <c r="AH139" s="250" t="s">
        <v>166</v>
      </c>
      <c r="AI139" s="232" t="s">
        <v>170</v>
      </c>
      <c r="AJ139" s="140" t="str">
        <f t="shared" si="26"/>
        <v>Stijn*Nico*</v>
      </c>
      <c r="AK139" s="160">
        <f>IF(Tabel59[[#This Row],[Aantal Games Rood]]=0,0,(Tabel59[[#This Row],[Wins Rood]])/Tabel59[[#This Row],[Aantal Games Rood]])</f>
        <v>0</v>
      </c>
      <c r="AL139" s="159">
        <f>IF(Tabel59[[#This Row],[Aantal Games Groen]]=0,0,(Tabel59[[#This Row],[Wins Groen]])/Tabel59[[#This Row],[Aantal Games Groen]])</f>
        <v>0</v>
      </c>
      <c r="AM139" s="156">
        <f>IF(Tabel59[[#This Row],[Aantal games Alg]]=0,0,(Tabel59[[#This Row],[Wins Alg]])/Tabel59[[#This Row],[Aantal games Alg]])</f>
        <v>0</v>
      </c>
      <c r="AN139" s="135">
        <f>COUNTIF(Tabel158[Winaar rood],Tabel59[[#This Row],[Team]])</f>
        <v>0</v>
      </c>
      <c r="AO139" s="134">
        <f>COUNTIF(Tabel158[Winnaar Groen],Tabel59[[#This Row],[Team]])</f>
        <v>0</v>
      </c>
      <c r="AP139">
        <f>COUNTIF(Tabel158[Winnaars],Tabel59[[#This Row],[Team]])</f>
        <v>0</v>
      </c>
      <c r="AQ139" s="135">
        <f>Tabel59[[#This Row],[Aantal Games Rood]]-Tabel59[[#This Row],[Wins Rood]]</f>
        <v>0</v>
      </c>
      <c r="AR139" s="136">
        <f>Tabel59[[#This Row],[Aantal Games Groen]]-Tabel59[[#This Row],[Wins Groen]]</f>
        <v>2</v>
      </c>
      <c r="AS139" s="137">
        <f>Tabel59[[#This Row],[Aantal games Alg]]-Tabel59[[#This Row],[Wins Alg]]</f>
        <v>2</v>
      </c>
      <c r="AT139" s="138">
        <f>COUNTIF(Tabel158[Team Rood],Tabel59[[#This Row],[Team]])</f>
        <v>0</v>
      </c>
      <c r="AU139" s="136">
        <f>COUNTIF(Tabel158[Team Groen],Tabel59[[#This Row],[Team]])</f>
        <v>2</v>
      </c>
      <c r="AV139" s="137">
        <f>Tabel59[[#This Row],[Aantal Games Rood]]+Tabel59[[#This Row],[Aantal Games Groen]]</f>
        <v>2</v>
      </c>
      <c r="AW139" s="138">
        <f>SUMIF(Tabel158[Team Rood],Tabel59[[#This Row],[Team]],Tabel158[Score])</f>
        <v>0</v>
      </c>
      <c r="AX139" s="138">
        <f>SUMIF(Tabel158[Team Rood],Tabel59[[#This Row],[Team]],Tabel158[Score2])</f>
        <v>0</v>
      </c>
      <c r="AY139" s="134">
        <f>SUMIF(Tabel158[Team Groen],Tabel59[[#This Row],[Team]],Tabel158[Score3])</f>
        <v>2</v>
      </c>
      <c r="AZ139" s="136">
        <f>SUMIF(Tabel158[Team Groen],Tabel59[[#This Row],[Team]],Tabel158[Score4])</f>
        <v>5</v>
      </c>
      <c r="BA139">
        <f>SUM(Tabel59[[#This Row],[Goals Verdediger]]+Tabel59[[#This Row],[Goals DefG]])</f>
        <v>2</v>
      </c>
      <c r="BB139">
        <f>IF(Tabel59[[#This Row],[Aantal games Alg]]=0,0,Tabel59[[#This Row],[Goals DefA]]/Tabel59[[#This Row],[Aantal games Alg]])</f>
        <v>1</v>
      </c>
      <c r="BC139">
        <f>SUM(Tabel59[[#This Row],[Goals Aanvaller]]+Tabel59[[#This Row],[Goals OffG]])</f>
        <v>5</v>
      </c>
      <c r="BD139">
        <f>IF(Tabel59[[#This Row],[Aantal games Alg]]=0,0,Tabel59[[#This Row],[Goals OffA]]/Tabel59[[#This Row],[Aantal games Alg]])</f>
        <v>2.5</v>
      </c>
      <c r="BE139" s="112">
        <f>Tabel59[[#This Row],[Goals DefA]]+Tabel59[[#This Row],[Goals OffA]]</f>
        <v>7</v>
      </c>
      <c r="BF139" s="112">
        <f>IF(Tabel59[[#This Row],[Aantal games Alg]]=0,0,Tabel59[[#This Row],[Goals Alg]]/Tabel59[[#This Row],[Aantal games Alg]])</f>
        <v>3.5</v>
      </c>
      <c r="BG139" s="148">
        <f>SUMIF(Tabel158[Team Rood],Tabel59[[#This Row],[Team]],Tabel158[ET])</f>
        <v>0</v>
      </c>
      <c r="BH139" s="150">
        <f ca="1">SUMIF(Tabel158[Team Groen],Tabel59[[#This Row],[Team]],Tabel158[ET])</f>
        <v>0</v>
      </c>
      <c r="BI139" s="153">
        <f ca="1">SUM(Tabel59[[#This Row],[ET Groen tot]],Tabel59[[#This Row],[ET Rood tot]])</f>
        <v>0</v>
      </c>
      <c r="BJ139" s="155">
        <f ca="1">IF(Tabel59[[#This Row],[Aantal games Alg]]=0,0,Tabel59[[#This Row],[ET tot]]/Tabel59[[#This Row],[Aantal games Alg]])</f>
        <v>0</v>
      </c>
    </row>
    <row r="140" spans="1:62" x14ac:dyDescent="0.25">
      <c r="A140" s="125">
        <f ca="1">IF(Tabel158[[#This Row],[Rood Verdediging]]&lt;&gt;"",IF(A140="",NOW(),A140),"")</f>
        <v>0</v>
      </c>
      <c r="B140" s="128">
        <f ca="1">IF(Tabel158[[#This Row],[Rood Verdediging]]&lt;&gt;"",IF(B140="",NOW(),B140),"")</f>
        <v>43878.947694907409</v>
      </c>
      <c r="C140" s="126">
        <f ca="1">IF(Tabel158[[#This Row],[Score]]&lt;&gt;"",IF(C140="",NOW(),C140),"")</f>
        <v>43878.947694907409</v>
      </c>
      <c r="D140" s="182">
        <f ca="1">IF(OR(Tabel158[[#This Row],[Starttijd]]="",Tabel158[[#This Row],[Eindtijd]]=""),"",Tabel158[[#This Row],[Eindtijd]]-Tabel158[[#This Row],[Starttijd]])</f>
        <v>0</v>
      </c>
      <c r="E140" s="74">
        <v>120</v>
      </c>
      <c r="F140" s="205" t="s">
        <v>7</v>
      </c>
      <c r="G140" s="210">
        <v>2</v>
      </c>
      <c r="H140" s="205" t="s">
        <v>6</v>
      </c>
      <c r="I140" s="210">
        <v>9</v>
      </c>
      <c r="J140" s="206" t="s">
        <v>3</v>
      </c>
      <c r="K140" s="212">
        <v>2</v>
      </c>
      <c r="L140" s="206" t="s">
        <v>19</v>
      </c>
      <c r="M140" s="212">
        <v>4</v>
      </c>
      <c r="N140" s="81">
        <f t="shared" si="21"/>
        <v>11</v>
      </c>
      <c r="O140" s="82">
        <f t="shared" si="22"/>
        <v>6</v>
      </c>
      <c r="P140" s="70" t="str">
        <f t="shared" si="25"/>
        <v>ROOD</v>
      </c>
      <c r="Q140" s="86" t="str">
        <f t="shared" si="23"/>
        <v>Tiemen</v>
      </c>
      <c r="R140" s="87" t="str">
        <f t="shared" si="24"/>
        <v>Stef D</v>
      </c>
      <c r="S140" s="147" t="str">
        <f>Tabel158[[#This Row],[Rood Verdediging]]&amp;Tabel158[[#This Row],[Rood Aanval]]</f>
        <v>TiemenStef D</v>
      </c>
      <c r="T140" s="147" t="str">
        <f>Tabel158[[#This Row],[Groen Verdediging]]&amp;Tabel158[[#This Row],[Groen Aanval]]</f>
        <v>KarelNicolas</v>
      </c>
      <c r="U140" s="147" t="str">
        <f>Tabel158[[#This Row],[Winnaar 1]]&amp;Tabel158[[#This Row],[Winnaar 2]]</f>
        <v>TiemenStef D</v>
      </c>
      <c r="V140" s="147" t="str">
        <f>IF(Tabel158[[#This Row],[Team Rood]]=Tabel158[[#This Row],[Winnaars]],Tabel158[[#This Row],[Team Rood]])</f>
        <v>TiemenStef D</v>
      </c>
      <c r="W140" s="147" t="b">
        <f>IF(Tabel158[[#This Row],[Team Groen]]=Tabel158[[#This Row],[Winnaars]],Tabel158[[#This Row],[Team Groen]])</f>
        <v>0</v>
      </c>
      <c r="AH140" s="250" t="s">
        <v>166</v>
      </c>
      <c r="AI140" s="232" t="s">
        <v>160</v>
      </c>
      <c r="AJ140" s="140" t="str">
        <f t="shared" si="26"/>
        <v>Stijn*Tiemen*</v>
      </c>
      <c r="AK140" s="160">
        <f>IF(Tabel59[[#This Row],[Aantal Games Rood]]=0,0,(Tabel59[[#This Row],[Wins Rood]])/Tabel59[[#This Row],[Aantal Games Rood]])</f>
        <v>0</v>
      </c>
      <c r="AL140" s="159">
        <f>IF(Tabel59[[#This Row],[Aantal Games Groen]]=0,0,(Tabel59[[#This Row],[Wins Groen]])/Tabel59[[#This Row],[Aantal Games Groen]])</f>
        <v>0</v>
      </c>
      <c r="AM140" s="156">
        <f>IF(Tabel59[[#This Row],[Aantal games Alg]]=0,0,(Tabel59[[#This Row],[Wins Alg]])/Tabel59[[#This Row],[Aantal games Alg]])</f>
        <v>0</v>
      </c>
      <c r="AN140" s="135">
        <f>COUNTIF(Tabel158[Winaar rood],Tabel59[[#This Row],[Team]])</f>
        <v>0</v>
      </c>
      <c r="AO140" s="134">
        <f>COUNTIF(Tabel158[Winnaar Groen],Tabel59[[#This Row],[Team]])</f>
        <v>0</v>
      </c>
      <c r="AP140">
        <f>COUNTIF(Tabel158[Winnaars],Tabel59[[#This Row],[Team]])</f>
        <v>0</v>
      </c>
      <c r="AQ140" s="135">
        <f>Tabel59[[#This Row],[Aantal Games Rood]]-Tabel59[[#This Row],[Wins Rood]]</f>
        <v>0</v>
      </c>
      <c r="AR140" s="136">
        <f>Tabel59[[#This Row],[Aantal Games Groen]]-Tabel59[[#This Row],[Wins Groen]]</f>
        <v>0</v>
      </c>
      <c r="AS140" s="137">
        <f>Tabel59[[#This Row],[Aantal games Alg]]-Tabel59[[#This Row],[Wins Alg]]</f>
        <v>0</v>
      </c>
      <c r="AT140" s="138">
        <f>COUNTIF(Tabel158[Team Rood],Tabel59[[#This Row],[Team]])</f>
        <v>0</v>
      </c>
      <c r="AU140" s="136">
        <f>COUNTIF(Tabel158[Team Groen],Tabel59[[#This Row],[Team]])</f>
        <v>0</v>
      </c>
      <c r="AV140" s="137">
        <f>Tabel59[[#This Row],[Aantal Games Rood]]+Tabel59[[#This Row],[Aantal Games Groen]]</f>
        <v>0</v>
      </c>
      <c r="AW140" s="138">
        <f>SUMIF(Tabel158[Team Rood],Tabel59[[#This Row],[Team]],Tabel158[Score])</f>
        <v>0</v>
      </c>
      <c r="AX140" s="138">
        <f>SUMIF(Tabel158[Team Rood],Tabel59[[#This Row],[Team]],Tabel158[Score2])</f>
        <v>0</v>
      </c>
      <c r="AY140" s="134">
        <f>SUMIF(Tabel158[Team Groen],Tabel59[[#This Row],[Team]],Tabel158[Score3])</f>
        <v>0</v>
      </c>
      <c r="AZ140" s="136">
        <f>SUMIF(Tabel158[Team Groen],Tabel59[[#This Row],[Team]],Tabel158[Score4])</f>
        <v>0</v>
      </c>
      <c r="BA140">
        <f>SUM(Tabel59[[#This Row],[Goals Verdediger]]+Tabel59[[#This Row],[Goals DefG]])</f>
        <v>0</v>
      </c>
      <c r="BB140">
        <f>IF(Tabel59[[#This Row],[Aantal games Alg]]=0,0,Tabel59[[#This Row],[Goals DefA]]/Tabel59[[#This Row],[Aantal games Alg]])</f>
        <v>0</v>
      </c>
      <c r="BC140">
        <f>SUM(Tabel59[[#This Row],[Goals Aanvaller]]+Tabel59[[#This Row],[Goals OffG]])</f>
        <v>0</v>
      </c>
      <c r="BD140">
        <f>IF(Tabel59[[#This Row],[Aantal games Alg]]=0,0,Tabel59[[#This Row],[Goals OffA]]/Tabel59[[#This Row],[Aantal games Alg]])</f>
        <v>0</v>
      </c>
      <c r="BE140" s="112">
        <f>Tabel59[[#This Row],[Goals DefA]]+Tabel59[[#This Row],[Goals OffA]]</f>
        <v>0</v>
      </c>
      <c r="BF140" s="112">
        <f>IF(Tabel59[[#This Row],[Aantal games Alg]]=0,0,Tabel59[[#This Row],[Goals Alg]]/Tabel59[[#This Row],[Aantal games Alg]])</f>
        <v>0</v>
      </c>
      <c r="BG140" s="148">
        <f>SUMIF(Tabel158[Team Rood],Tabel59[[#This Row],[Team]],Tabel158[ET])</f>
        <v>0</v>
      </c>
      <c r="BH140" s="150">
        <f>SUMIF(Tabel158[Team Groen],Tabel59[[#This Row],[Team]],Tabel158[ET])</f>
        <v>0</v>
      </c>
      <c r="BI140" s="153">
        <f>SUM(Tabel59[[#This Row],[ET Groen tot]],Tabel59[[#This Row],[ET Rood tot]])</f>
        <v>0</v>
      </c>
      <c r="BJ140" s="155">
        <f>IF(Tabel59[[#This Row],[Aantal games Alg]]=0,0,Tabel59[[#This Row],[ET tot]]/Tabel59[[#This Row],[Aantal games Alg]])</f>
        <v>0</v>
      </c>
    </row>
    <row r="141" spans="1:62" x14ac:dyDescent="0.25">
      <c r="A141" s="125">
        <f ca="1">IF(Tabel158[[#This Row],[Rood Verdediging]]&lt;&gt;"",IF(A141="",NOW(),A141),"")</f>
        <v>0</v>
      </c>
      <c r="B141" s="128">
        <f ca="1">IF(Tabel158[[#This Row],[Rood Verdediging]]&lt;&gt;"",IF(B141="",NOW(),B141),"")</f>
        <v>43878.947694907409</v>
      </c>
      <c r="C141" s="126">
        <f ca="1">IF(Tabel158[[#This Row],[Score]]&lt;&gt;"",IF(C141="",NOW(),C141),"")</f>
        <v>43878.947694907409</v>
      </c>
      <c r="D141" s="182">
        <f ca="1">IF(OR(Tabel158[[#This Row],[Starttijd]]="",Tabel158[[#This Row],[Eindtijd]]=""),"",Tabel158[[#This Row],[Eindtijd]]-Tabel158[[#This Row],[Starttijd]])</f>
        <v>0</v>
      </c>
      <c r="E141" s="74">
        <v>120</v>
      </c>
      <c r="F141" s="205" t="s">
        <v>0</v>
      </c>
      <c r="G141" s="210">
        <v>6</v>
      </c>
      <c r="H141" s="205" t="s">
        <v>19</v>
      </c>
      <c r="I141" s="210">
        <v>3</v>
      </c>
      <c r="J141" s="206" t="s">
        <v>3</v>
      </c>
      <c r="K141" s="212">
        <v>6</v>
      </c>
      <c r="L141" s="206" t="s">
        <v>7</v>
      </c>
      <c r="M141" s="212">
        <v>5</v>
      </c>
      <c r="N141" s="81">
        <f t="shared" si="21"/>
        <v>9</v>
      </c>
      <c r="O141" s="82">
        <f t="shared" si="22"/>
        <v>11</v>
      </c>
      <c r="P141" s="70" t="str">
        <f t="shared" si="25"/>
        <v>GROEN</v>
      </c>
      <c r="Q141" s="86" t="str">
        <f t="shared" si="23"/>
        <v>Karel</v>
      </c>
      <c r="R141" s="87" t="str">
        <f t="shared" si="24"/>
        <v>Tiemen</v>
      </c>
      <c r="S141" s="147" t="str">
        <f>Tabel158[[#This Row],[Rood Verdediging]]&amp;Tabel158[[#This Row],[Rood Aanval]]</f>
        <v>JonasNicolas</v>
      </c>
      <c r="T141" s="147" t="str">
        <f>Tabel158[[#This Row],[Groen Verdediging]]&amp;Tabel158[[#This Row],[Groen Aanval]]</f>
        <v>KarelTiemen</v>
      </c>
      <c r="U141" s="147" t="str">
        <f>Tabel158[[#This Row],[Winnaar 1]]&amp;Tabel158[[#This Row],[Winnaar 2]]</f>
        <v>KarelTiemen</v>
      </c>
      <c r="V141" s="147" t="b">
        <f>IF(Tabel158[[#This Row],[Team Rood]]=Tabel158[[#This Row],[Winnaars]],Tabel158[[#This Row],[Team Rood]])</f>
        <v>0</v>
      </c>
      <c r="W141" s="147" t="str">
        <f>IF(Tabel158[[#This Row],[Team Groen]]=Tabel158[[#This Row],[Winnaars]],Tabel158[[#This Row],[Team Groen]])</f>
        <v>KarelTiemen</v>
      </c>
      <c r="AH141" s="250" t="s">
        <v>166</v>
      </c>
      <c r="AI141" s="232" t="s">
        <v>157</v>
      </c>
      <c r="AJ141" s="140" t="str">
        <f t="shared" si="26"/>
        <v>Stijn*Tobi*</v>
      </c>
      <c r="AK141" s="160">
        <f>IF(Tabel59[[#This Row],[Aantal Games Rood]]=0,0,(Tabel59[[#This Row],[Wins Rood]])/Tabel59[[#This Row],[Aantal Games Rood]])</f>
        <v>0</v>
      </c>
      <c r="AL141" s="159">
        <f>IF(Tabel59[[#This Row],[Aantal Games Groen]]=0,0,(Tabel59[[#This Row],[Wins Groen]])/Tabel59[[#This Row],[Aantal Games Groen]])</f>
        <v>0</v>
      </c>
      <c r="AM141" s="156">
        <f>IF(Tabel59[[#This Row],[Aantal games Alg]]=0,0,(Tabel59[[#This Row],[Wins Alg]])/Tabel59[[#This Row],[Aantal games Alg]])</f>
        <v>0</v>
      </c>
      <c r="AN141" s="135">
        <f>COUNTIF(Tabel158[Winaar rood],Tabel59[[#This Row],[Team]])</f>
        <v>0</v>
      </c>
      <c r="AO141" s="134">
        <f>COUNTIF(Tabel158[Winnaar Groen],Tabel59[[#This Row],[Team]])</f>
        <v>0</v>
      </c>
      <c r="AP141">
        <f>COUNTIF(Tabel158[Winnaars],Tabel59[[#This Row],[Team]])</f>
        <v>0</v>
      </c>
      <c r="AQ141" s="135">
        <f>Tabel59[[#This Row],[Aantal Games Rood]]-Tabel59[[#This Row],[Wins Rood]]</f>
        <v>0</v>
      </c>
      <c r="AR141" s="136">
        <f>Tabel59[[#This Row],[Aantal Games Groen]]-Tabel59[[#This Row],[Wins Groen]]</f>
        <v>0</v>
      </c>
      <c r="AS141" s="137">
        <f>Tabel59[[#This Row],[Aantal games Alg]]-Tabel59[[#This Row],[Wins Alg]]</f>
        <v>0</v>
      </c>
      <c r="AT141" s="138">
        <f>COUNTIF(Tabel158[Team Rood],Tabel59[[#This Row],[Team]])</f>
        <v>0</v>
      </c>
      <c r="AU141" s="136">
        <f>COUNTIF(Tabel158[Team Groen],Tabel59[[#This Row],[Team]])</f>
        <v>0</v>
      </c>
      <c r="AV141" s="137">
        <f>Tabel59[[#This Row],[Aantal Games Rood]]+Tabel59[[#This Row],[Aantal Games Groen]]</f>
        <v>0</v>
      </c>
      <c r="AW141" s="138">
        <f>SUMIF(Tabel158[Team Rood],Tabel59[[#This Row],[Team]],Tabel158[Score])</f>
        <v>0</v>
      </c>
      <c r="AX141" s="138">
        <f>SUMIF(Tabel158[Team Rood],Tabel59[[#This Row],[Team]],Tabel158[Score2])</f>
        <v>0</v>
      </c>
      <c r="AY141" s="134">
        <f>SUMIF(Tabel158[Team Groen],Tabel59[[#This Row],[Team]],Tabel158[Score3])</f>
        <v>0</v>
      </c>
      <c r="AZ141" s="136">
        <f>SUMIF(Tabel158[Team Groen],Tabel59[[#This Row],[Team]],Tabel158[Score4])</f>
        <v>0</v>
      </c>
      <c r="BA141">
        <f>SUM(Tabel59[[#This Row],[Goals Verdediger]]+Tabel59[[#This Row],[Goals DefG]])</f>
        <v>0</v>
      </c>
      <c r="BB141">
        <f>IF(Tabel59[[#This Row],[Aantal games Alg]]=0,0,Tabel59[[#This Row],[Goals DefA]]/Tabel59[[#This Row],[Aantal games Alg]])</f>
        <v>0</v>
      </c>
      <c r="BC141">
        <f>SUM(Tabel59[[#This Row],[Goals Aanvaller]]+Tabel59[[#This Row],[Goals OffG]])</f>
        <v>0</v>
      </c>
      <c r="BD141">
        <f>IF(Tabel59[[#This Row],[Aantal games Alg]]=0,0,Tabel59[[#This Row],[Goals OffA]]/Tabel59[[#This Row],[Aantal games Alg]])</f>
        <v>0</v>
      </c>
      <c r="BE141" s="112">
        <f>Tabel59[[#This Row],[Goals DefA]]+Tabel59[[#This Row],[Goals OffA]]</f>
        <v>0</v>
      </c>
      <c r="BF141" s="112">
        <f>IF(Tabel59[[#This Row],[Aantal games Alg]]=0,0,Tabel59[[#This Row],[Goals Alg]]/Tabel59[[#This Row],[Aantal games Alg]])</f>
        <v>0</v>
      </c>
      <c r="BG141" s="148">
        <f>SUMIF(Tabel158[Team Rood],Tabel59[[#This Row],[Team]],Tabel158[ET])</f>
        <v>0</v>
      </c>
      <c r="BH141" s="150">
        <f>SUMIF(Tabel158[Team Groen],Tabel59[[#This Row],[Team]],Tabel158[ET])</f>
        <v>0</v>
      </c>
      <c r="BI141" s="153">
        <f>SUM(Tabel59[[#This Row],[ET Groen tot]],Tabel59[[#This Row],[ET Rood tot]])</f>
        <v>0</v>
      </c>
      <c r="BJ141" s="155">
        <f>IF(Tabel59[[#This Row],[Aantal games Alg]]=0,0,Tabel59[[#This Row],[ET tot]]/Tabel59[[#This Row],[Aantal games Alg]])</f>
        <v>0</v>
      </c>
    </row>
    <row r="142" spans="1:62" x14ac:dyDescent="0.25">
      <c r="A142" s="125">
        <f ca="1">IF(Tabel158[[#This Row],[Rood Verdediging]]&lt;&gt;"",IF(A142="",NOW(),A142),"")</f>
        <v>0</v>
      </c>
      <c r="B142" s="128">
        <f ca="1">IF(Tabel158[[#This Row],[Rood Verdediging]]&lt;&gt;"",IF(B142="",NOW(),B142),"")</f>
        <v>43878.947694907409</v>
      </c>
      <c r="C142" s="126">
        <f ca="1">IF(Tabel158[[#This Row],[Score]]&lt;&gt;"",IF(C142="",NOW(),C142),"")</f>
        <v>43878.947694907409</v>
      </c>
      <c r="D142" s="182">
        <f ca="1">IF(OR(Tabel158[[#This Row],[Starttijd]]="",Tabel158[[#This Row],[Eindtijd]]=""),"",Tabel158[[#This Row],[Eindtijd]]-Tabel158[[#This Row],[Starttijd]])</f>
        <v>0</v>
      </c>
      <c r="E142" s="74">
        <v>120</v>
      </c>
      <c r="F142" s="205" t="s">
        <v>3</v>
      </c>
      <c r="G142" s="210">
        <v>3</v>
      </c>
      <c r="H142" s="205" t="s">
        <v>0</v>
      </c>
      <c r="I142" s="210">
        <v>5</v>
      </c>
      <c r="J142" s="206" t="s">
        <v>6</v>
      </c>
      <c r="K142" s="212">
        <v>5</v>
      </c>
      <c r="L142" s="206" t="s">
        <v>7</v>
      </c>
      <c r="M142" s="212">
        <v>6</v>
      </c>
      <c r="N142" s="81">
        <f t="shared" si="21"/>
        <v>8</v>
      </c>
      <c r="O142" s="82">
        <f t="shared" si="22"/>
        <v>11</v>
      </c>
      <c r="P142" s="70" t="str">
        <f t="shared" si="25"/>
        <v>GROEN</v>
      </c>
      <c r="Q142" s="86" t="str">
        <f t="shared" si="23"/>
        <v>Stef D</v>
      </c>
      <c r="R142" s="87" t="str">
        <f t="shared" si="24"/>
        <v>Tiemen</v>
      </c>
      <c r="S142" s="147" t="str">
        <f>Tabel158[[#This Row],[Rood Verdediging]]&amp;Tabel158[[#This Row],[Rood Aanval]]</f>
        <v>KarelJonas</v>
      </c>
      <c r="T142" s="147" t="str">
        <f>Tabel158[[#This Row],[Groen Verdediging]]&amp;Tabel158[[#This Row],[Groen Aanval]]</f>
        <v>Stef DTiemen</v>
      </c>
      <c r="U142" s="147" t="str">
        <f>Tabel158[[#This Row],[Winnaar 1]]&amp;Tabel158[[#This Row],[Winnaar 2]]</f>
        <v>Stef DTiemen</v>
      </c>
      <c r="V142" s="147" t="b">
        <f>IF(Tabel158[[#This Row],[Team Rood]]=Tabel158[[#This Row],[Winnaars]],Tabel158[[#This Row],[Team Rood]])</f>
        <v>0</v>
      </c>
      <c r="W142" s="147" t="str">
        <f>IF(Tabel158[[#This Row],[Team Groen]]=Tabel158[[#This Row],[Winnaars]],Tabel158[[#This Row],[Team Groen]])</f>
        <v>Stef DTiemen</v>
      </c>
      <c r="AH142" s="250" t="s">
        <v>160</v>
      </c>
      <c r="AI142" s="232" t="s">
        <v>168</v>
      </c>
      <c r="AJ142" s="140" t="str">
        <f t="shared" si="26"/>
        <v>Tiemen*Coghe*</v>
      </c>
      <c r="AK142" s="160">
        <f>IF(Tabel59[[#This Row],[Aantal Games Rood]]=0,0,(Tabel59[[#This Row],[Wins Rood]])/Tabel59[[#This Row],[Aantal Games Rood]])</f>
        <v>0</v>
      </c>
      <c r="AL142" s="159">
        <f>IF(Tabel59[[#This Row],[Aantal Games Groen]]=0,0,(Tabel59[[#This Row],[Wins Groen]])/Tabel59[[#This Row],[Aantal Games Groen]])</f>
        <v>0</v>
      </c>
      <c r="AM142" s="156">
        <f>IF(Tabel59[[#This Row],[Aantal games Alg]]=0,0,(Tabel59[[#This Row],[Wins Alg]])/Tabel59[[#This Row],[Aantal games Alg]])</f>
        <v>0</v>
      </c>
      <c r="AN142" s="163">
        <f>COUNTIF(Tabel158[Winaar rood],Tabel59[[#This Row],[Team]])</f>
        <v>0</v>
      </c>
      <c r="AO142" s="169">
        <f>COUNTIF(Tabel158[Winnaar Groen],Tabel59[[#This Row],[Team]])</f>
        <v>0</v>
      </c>
      <c r="AP142" s="170">
        <f>COUNTIF(Tabel158[Winnaars],Tabel59[[#This Row],[Team]])</f>
        <v>0</v>
      </c>
      <c r="AQ142" s="163">
        <f>Tabel59[[#This Row],[Aantal Games Rood]]-Tabel59[[#This Row],[Wins Rood]]</f>
        <v>0</v>
      </c>
      <c r="AR142" s="169">
        <f>Tabel59[[#This Row],[Aantal Games Groen]]-Tabel59[[#This Row],[Wins Groen]]</f>
        <v>0</v>
      </c>
      <c r="AS142" s="165">
        <f>Tabel59[[#This Row],[Aantal games Alg]]-Tabel59[[#This Row],[Wins Alg]]</f>
        <v>0</v>
      </c>
      <c r="AT142" s="171">
        <f>COUNTIF(Tabel158[Team Rood],Tabel59[[#This Row],[Team]])</f>
        <v>0</v>
      </c>
      <c r="AU142" s="169">
        <f>COUNTIF(Tabel158[Team Groen],Tabel59[[#This Row],[Team]])</f>
        <v>0</v>
      </c>
      <c r="AV142" s="165">
        <f>Tabel59[[#This Row],[Aantal Games Rood]]+Tabel59[[#This Row],[Aantal Games Groen]]</f>
        <v>0</v>
      </c>
      <c r="AW142" s="171">
        <f>SUMIF(Tabel158[Team Rood],Tabel59[[#This Row],[Team]],Tabel158[Score])</f>
        <v>0</v>
      </c>
      <c r="AX142" s="171">
        <f>SUMIF(Tabel158[Team Rood],Tabel59[[#This Row],[Team]],Tabel158[Score2])</f>
        <v>0</v>
      </c>
      <c r="AY142" s="136">
        <f>SUMIF(Tabel158[Team Groen],Tabel59[[#This Row],[Team]],Tabel158[Score3])</f>
        <v>0</v>
      </c>
      <c r="AZ142" s="169">
        <f>SUMIF(Tabel158[Team Groen],Tabel59[[#This Row],[Team]],Tabel158[Score4])</f>
        <v>0</v>
      </c>
      <c r="BA142" s="172">
        <f>SUM(Tabel59[[#This Row],[Goals Verdediger]]+Tabel59[[#This Row],[Goals DefG]])</f>
        <v>0</v>
      </c>
      <c r="BB142" s="170">
        <f>IF(Tabel59[[#This Row],[Aantal games Alg]]=0,0,Tabel59[[#This Row],[Goals DefA]]/Tabel59[[#This Row],[Aantal games Alg]])</f>
        <v>0</v>
      </c>
      <c r="BC142" s="172">
        <f>SUM(Tabel59[[#This Row],[Goals Aanvaller]]+Tabel59[[#This Row],[Goals OffG]])</f>
        <v>0</v>
      </c>
      <c r="BD142" s="170">
        <f>IF(Tabel59[[#This Row],[Aantal games Alg]]=0,0,Tabel59[[#This Row],[Goals OffA]]/Tabel59[[#This Row],[Aantal games Alg]])</f>
        <v>0</v>
      </c>
      <c r="BE142" s="170">
        <f>Tabel59[[#This Row],[Goals DefA]]+Tabel59[[#This Row],[Goals OffA]]</f>
        <v>0</v>
      </c>
      <c r="BF142" s="170">
        <f>IF(Tabel59[[#This Row],[Aantal games Alg]]=0,0,Tabel59[[#This Row],[Goals Alg]]/Tabel59[[#This Row],[Aantal games Alg]])</f>
        <v>0</v>
      </c>
      <c r="BG142" s="148">
        <f>SUMIF(Tabel158[Team Rood],Tabel59[[#This Row],[Team]],Tabel158[ET])</f>
        <v>0</v>
      </c>
      <c r="BH142" s="150">
        <f>SUMIF(Tabel158[Team Groen],Tabel59[[#This Row],[Team]],Tabel158[ET])</f>
        <v>0</v>
      </c>
      <c r="BI142" s="153">
        <f>SUM(Tabel59[[#This Row],[ET Groen tot]],Tabel59[[#This Row],[ET Rood tot]])</f>
        <v>0</v>
      </c>
      <c r="BJ142" s="155">
        <f>IF(Tabel59[[#This Row],[Aantal games Alg]]=0,0,Tabel59[[#This Row],[ET tot]]/Tabel59[[#This Row],[Aantal games Alg]])</f>
        <v>0</v>
      </c>
    </row>
    <row r="143" spans="1:62" x14ac:dyDescent="0.25">
      <c r="A143" s="125">
        <f ca="1">IF(Tabel158[[#This Row],[Rood Verdediging]]&lt;&gt;"",IF(A143="",NOW(),A143),"")</f>
        <v>0</v>
      </c>
      <c r="B143" s="128">
        <f ca="1">IF(Tabel158[[#This Row],[Rood Verdediging]]&lt;&gt;"",IF(B143="",NOW(),B143),"")</f>
        <v>43878.947694907409</v>
      </c>
      <c r="C143" s="126">
        <f ca="1">IF(Tabel158[[#This Row],[Score]]&lt;&gt;"",IF(C143="",NOW(),C143),"")</f>
        <v>43878.947694907409</v>
      </c>
      <c r="D143" s="182">
        <f ca="1">IF(OR(Tabel158[[#This Row],[Starttijd]]="",Tabel158[[#This Row],[Eindtijd]]=""),"",Tabel158[[#This Row],[Eindtijd]]-Tabel158[[#This Row],[Starttijd]])</f>
        <v>0</v>
      </c>
      <c r="E143" s="74">
        <v>120</v>
      </c>
      <c r="F143" s="205" t="s">
        <v>19</v>
      </c>
      <c r="G143" s="210">
        <v>4</v>
      </c>
      <c r="H143" s="205" t="s">
        <v>7</v>
      </c>
      <c r="I143" s="210">
        <v>7</v>
      </c>
      <c r="J143" s="206" t="s">
        <v>6</v>
      </c>
      <c r="K143" s="212">
        <v>3</v>
      </c>
      <c r="L143" s="206" t="s">
        <v>0</v>
      </c>
      <c r="M143" s="212">
        <v>1</v>
      </c>
      <c r="N143" s="81">
        <f t="shared" si="21"/>
        <v>11</v>
      </c>
      <c r="O143" s="82">
        <f t="shared" si="22"/>
        <v>4</v>
      </c>
      <c r="P143" s="70" t="str">
        <f t="shared" si="25"/>
        <v>ROOD</v>
      </c>
      <c r="Q143" s="86" t="str">
        <f t="shared" si="23"/>
        <v>Nicolas</v>
      </c>
      <c r="R143" s="87" t="str">
        <f t="shared" si="24"/>
        <v>Tiemen</v>
      </c>
      <c r="S143" s="147" t="str">
        <f>Tabel158[[#This Row],[Rood Verdediging]]&amp;Tabel158[[#This Row],[Rood Aanval]]</f>
        <v>NicolasTiemen</v>
      </c>
      <c r="T143" s="147" t="str">
        <f>Tabel158[[#This Row],[Groen Verdediging]]&amp;Tabel158[[#This Row],[Groen Aanval]]</f>
        <v>Stef DJonas</v>
      </c>
      <c r="U143" s="147" t="str">
        <f>Tabel158[[#This Row],[Winnaar 1]]&amp;Tabel158[[#This Row],[Winnaar 2]]</f>
        <v>NicolasTiemen</v>
      </c>
      <c r="V143" s="147" t="str">
        <f>IF(Tabel158[[#This Row],[Team Rood]]=Tabel158[[#This Row],[Winnaars]],Tabel158[[#This Row],[Team Rood]])</f>
        <v>NicolasTiemen</v>
      </c>
      <c r="W143" s="147" t="b">
        <f>IF(Tabel158[[#This Row],[Team Groen]]=Tabel158[[#This Row],[Winnaars]],Tabel158[[#This Row],[Team Groen]])</f>
        <v>0</v>
      </c>
      <c r="AH143" s="250" t="s">
        <v>160</v>
      </c>
      <c r="AI143" s="232" t="s">
        <v>161</v>
      </c>
      <c r="AJ143" s="140" t="str">
        <f t="shared" si="26"/>
        <v>Tiemen*Louis*</v>
      </c>
      <c r="AK143" s="160">
        <f>IF(Tabel59[[#This Row],[Aantal Games Rood]]=0,0,(Tabel59[[#This Row],[Wins Rood]])/Tabel59[[#This Row],[Aantal Games Rood]])</f>
        <v>0</v>
      </c>
      <c r="AL143" s="159">
        <f>IF(Tabel59[[#This Row],[Aantal Games Groen]]=0,0,(Tabel59[[#This Row],[Wins Groen]])/Tabel59[[#This Row],[Aantal Games Groen]])</f>
        <v>0</v>
      </c>
      <c r="AM143" s="156">
        <f>IF(Tabel59[[#This Row],[Aantal games Alg]]=0,0,(Tabel59[[#This Row],[Wins Alg]])/Tabel59[[#This Row],[Aantal games Alg]])</f>
        <v>0</v>
      </c>
      <c r="AN143" s="135">
        <f>COUNTIF(Tabel158[Winaar rood],Tabel59[[#This Row],[Team]])</f>
        <v>0</v>
      </c>
      <c r="AO143" s="134">
        <f>COUNTIF(Tabel158[Winnaar Groen],Tabel59[[#This Row],[Team]])</f>
        <v>0</v>
      </c>
      <c r="AP143">
        <f>COUNTIF(Tabel158[Winnaars],Tabel59[[#This Row],[Team]])</f>
        <v>0</v>
      </c>
      <c r="AQ143" s="135">
        <f>Tabel59[[#This Row],[Aantal Games Rood]]-Tabel59[[#This Row],[Wins Rood]]</f>
        <v>0</v>
      </c>
      <c r="AR143" s="136">
        <f>Tabel59[[#This Row],[Aantal Games Groen]]-Tabel59[[#This Row],[Wins Groen]]</f>
        <v>2</v>
      </c>
      <c r="AS143" s="137">
        <f>Tabel59[[#This Row],[Aantal games Alg]]-Tabel59[[#This Row],[Wins Alg]]</f>
        <v>2</v>
      </c>
      <c r="AT143" s="138">
        <f>COUNTIF(Tabel158[Team Rood],Tabel59[[#This Row],[Team]])</f>
        <v>0</v>
      </c>
      <c r="AU143" s="136">
        <f>COUNTIF(Tabel158[Team Groen],Tabel59[[#This Row],[Team]])</f>
        <v>2</v>
      </c>
      <c r="AV143" s="137">
        <f>Tabel59[[#This Row],[Aantal Games Rood]]+Tabel59[[#This Row],[Aantal Games Groen]]</f>
        <v>2</v>
      </c>
      <c r="AW143" s="138">
        <f>SUMIF(Tabel158[Team Rood],Tabel59[[#This Row],[Team]],Tabel158[Score])</f>
        <v>0</v>
      </c>
      <c r="AX143" s="138">
        <f>SUMIF(Tabel158[Team Rood],Tabel59[[#This Row],[Team]],Tabel158[Score2])</f>
        <v>0</v>
      </c>
      <c r="AY143" s="134">
        <f>SUMIF(Tabel158[Team Groen],Tabel59[[#This Row],[Team]],Tabel158[Score3])</f>
        <v>3</v>
      </c>
      <c r="AZ143" s="136">
        <f>SUMIF(Tabel158[Team Groen],Tabel59[[#This Row],[Team]],Tabel158[Score4])</f>
        <v>8</v>
      </c>
      <c r="BA143">
        <f>SUM(Tabel59[[#This Row],[Goals Verdediger]]+Tabel59[[#This Row],[Goals DefG]])</f>
        <v>3</v>
      </c>
      <c r="BB143">
        <f>IF(Tabel59[[#This Row],[Aantal games Alg]]=0,0,Tabel59[[#This Row],[Goals DefA]]/Tabel59[[#This Row],[Aantal games Alg]])</f>
        <v>1.5</v>
      </c>
      <c r="BC143">
        <f>SUM(Tabel59[[#This Row],[Goals Aanvaller]]+Tabel59[[#This Row],[Goals OffG]])</f>
        <v>8</v>
      </c>
      <c r="BD143">
        <f>IF(Tabel59[[#This Row],[Aantal games Alg]]=0,0,Tabel59[[#This Row],[Goals OffA]]/Tabel59[[#This Row],[Aantal games Alg]])</f>
        <v>4</v>
      </c>
      <c r="BE143" s="112">
        <f>Tabel59[[#This Row],[Goals DefA]]+Tabel59[[#This Row],[Goals OffA]]</f>
        <v>11</v>
      </c>
      <c r="BF143" s="112">
        <f>IF(Tabel59[[#This Row],[Aantal games Alg]]=0,0,Tabel59[[#This Row],[Goals Alg]]/Tabel59[[#This Row],[Aantal games Alg]])</f>
        <v>5.5</v>
      </c>
      <c r="BG143" s="148">
        <f>SUMIF(Tabel158[Team Rood],Tabel59[[#This Row],[Team]],Tabel158[ET])</f>
        <v>0</v>
      </c>
      <c r="BH143" s="150">
        <f ca="1">SUMIF(Tabel158[Team Groen],Tabel59[[#This Row],[Team]],Tabel158[ET])</f>
        <v>0</v>
      </c>
      <c r="BI143" s="153">
        <f ca="1">SUM(Tabel59[[#This Row],[ET Groen tot]],Tabel59[[#This Row],[ET Rood tot]])</f>
        <v>0</v>
      </c>
      <c r="BJ143" s="155">
        <f ca="1">IF(Tabel59[[#This Row],[Aantal games Alg]]=0,0,Tabel59[[#This Row],[ET tot]]/Tabel59[[#This Row],[Aantal games Alg]])</f>
        <v>0</v>
      </c>
    </row>
    <row r="144" spans="1:62" x14ac:dyDescent="0.25">
      <c r="A144" s="125">
        <f ca="1">IF(Tabel158[[#This Row],[Rood Verdediging]]&lt;&gt;"",IF(A144="",NOW(),A144),"")</f>
        <v>0</v>
      </c>
      <c r="B144" s="128">
        <f ca="1">IF(Tabel158[[#This Row],[Rood Verdediging]]&lt;&gt;"",IF(B144="",NOW(),B144),"")</f>
        <v>43878.947694907409</v>
      </c>
      <c r="C144" s="126">
        <f ca="1">IF(Tabel158[[#This Row],[Score]]&lt;&gt;"",IF(C144="",NOW(),C144),"")</f>
        <v>43878.947694907409</v>
      </c>
      <c r="D144" s="182">
        <f ca="1">IF(OR(Tabel158[[#This Row],[Starttijd]]="",Tabel158[[#This Row],[Eindtijd]]=""),"",Tabel158[[#This Row],[Eindtijd]]-Tabel158[[#This Row],[Starttijd]])</f>
        <v>0</v>
      </c>
      <c r="E144" s="74">
        <v>120</v>
      </c>
      <c r="F144" s="205" t="s">
        <v>7</v>
      </c>
      <c r="G144" s="210">
        <v>4</v>
      </c>
      <c r="H144" s="205" t="s">
        <v>3</v>
      </c>
      <c r="I144" s="210">
        <v>7</v>
      </c>
      <c r="J144" s="206" t="s">
        <v>19</v>
      </c>
      <c r="K144" s="212">
        <v>1</v>
      </c>
      <c r="L144" s="206" t="s">
        <v>6</v>
      </c>
      <c r="M144" s="212">
        <v>7</v>
      </c>
      <c r="N144" s="81">
        <f t="shared" si="21"/>
        <v>11</v>
      </c>
      <c r="O144" s="82">
        <f t="shared" si="22"/>
        <v>8</v>
      </c>
      <c r="P144" s="70" t="str">
        <f t="shared" si="25"/>
        <v>ROOD</v>
      </c>
      <c r="Q144" s="86" t="str">
        <f t="shared" si="23"/>
        <v>Tiemen</v>
      </c>
      <c r="R144" s="87" t="str">
        <f t="shared" si="24"/>
        <v>Karel</v>
      </c>
      <c r="S144" s="147" t="str">
        <f>Tabel158[[#This Row],[Rood Verdediging]]&amp;Tabel158[[#This Row],[Rood Aanval]]</f>
        <v>TiemenKarel</v>
      </c>
      <c r="T144" s="147" t="str">
        <f>Tabel158[[#This Row],[Groen Verdediging]]&amp;Tabel158[[#This Row],[Groen Aanval]]</f>
        <v>NicolasStef D</v>
      </c>
      <c r="U144" s="147" t="str">
        <f>Tabel158[[#This Row],[Winnaar 1]]&amp;Tabel158[[#This Row],[Winnaar 2]]</f>
        <v>TiemenKarel</v>
      </c>
      <c r="V144" s="147" t="str">
        <f>IF(Tabel158[[#This Row],[Team Rood]]=Tabel158[[#This Row],[Winnaars]],Tabel158[[#This Row],[Team Rood]])</f>
        <v>TiemenKarel</v>
      </c>
      <c r="W144" s="147" t="b">
        <f>IF(Tabel158[[#This Row],[Team Groen]]=Tabel158[[#This Row],[Winnaars]],Tabel158[[#This Row],[Team Groen]])</f>
        <v>0</v>
      </c>
      <c r="AH144" s="250" t="s">
        <v>160</v>
      </c>
      <c r="AI144" s="249" t="s">
        <v>166</v>
      </c>
      <c r="AJ144" s="140" t="str">
        <f t="shared" si="26"/>
        <v>Tiemen*Stijn*</v>
      </c>
      <c r="AK144" s="160">
        <f>IF(Tabel59[[#This Row],[Aantal Games Rood]]=0,0,(Tabel59[[#This Row],[Wins Rood]])/Tabel59[[#This Row],[Aantal Games Rood]])</f>
        <v>0</v>
      </c>
      <c r="AL144" s="159">
        <f>IF(Tabel59[[#This Row],[Aantal Games Groen]]=0,0,(Tabel59[[#This Row],[Wins Groen]])/Tabel59[[#This Row],[Aantal Games Groen]])</f>
        <v>0</v>
      </c>
      <c r="AM144" s="156">
        <f>IF(Tabel59[[#This Row],[Aantal games Alg]]=0,0,(Tabel59[[#This Row],[Wins Alg]])/Tabel59[[#This Row],[Aantal games Alg]])</f>
        <v>0</v>
      </c>
      <c r="AN144" s="135">
        <f>COUNTIF(Tabel158[Winaar rood],Tabel59[[#This Row],[Team]])</f>
        <v>0</v>
      </c>
      <c r="AO144" s="134">
        <f>COUNTIF(Tabel158[Winnaar Groen],Tabel59[[#This Row],[Team]])</f>
        <v>0</v>
      </c>
      <c r="AP144">
        <f>COUNTIF(Tabel158[Winnaars],Tabel59[[#This Row],[Team]])</f>
        <v>0</v>
      </c>
      <c r="AQ144" s="135">
        <f>Tabel59[[#This Row],[Aantal Games Rood]]-Tabel59[[#This Row],[Wins Rood]]</f>
        <v>0</v>
      </c>
      <c r="AR144" s="136">
        <f>Tabel59[[#This Row],[Aantal Games Groen]]-Tabel59[[#This Row],[Wins Groen]]</f>
        <v>1</v>
      </c>
      <c r="AS144" s="137">
        <f>Tabel59[[#This Row],[Aantal games Alg]]-Tabel59[[#This Row],[Wins Alg]]</f>
        <v>1</v>
      </c>
      <c r="AT144" s="138">
        <f>COUNTIF(Tabel158[Team Rood],Tabel59[[#This Row],[Team]])</f>
        <v>0</v>
      </c>
      <c r="AU144" s="136">
        <f>COUNTIF(Tabel158[Team Groen],Tabel59[[#This Row],[Team]])</f>
        <v>1</v>
      </c>
      <c r="AV144" s="137">
        <f>Tabel59[[#This Row],[Aantal Games Rood]]+Tabel59[[#This Row],[Aantal Games Groen]]</f>
        <v>1</v>
      </c>
      <c r="AW144" s="138">
        <f>SUMIF(Tabel158[Team Rood],Tabel59[[#This Row],[Team]],Tabel158[Score])</f>
        <v>0</v>
      </c>
      <c r="AX144" s="138">
        <f>SUMIF(Tabel158[Team Rood],Tabel59[[#This Row],[Team]],Tabel158[Score2])</f>
        <v>0</v>
      </c>
      <c r="AY144" s="134">
        <f>SUMIF(Tabel158[Team Groen],Tabel59[[#This Row],[Team]],Tabel158[Score3])</f>
        <v>5</v>
      </c>
      <c r="AZ144" s="136">
        <f>SUMIF(Tabel158[Team Groen],Tabel59[[#This Row],[Team]],Tabel158[Score4])</f>
        <v>7</v>
      </c>
      <c r="BA144">
        <f>SUM(Tabel59[[#This Row],[Goals Verdediger]]+Tabel59[[#This Row],[Goals DefG]])</f>
        <v>5</v>
      </c>
      <c r="BB144">
        <f>IF(Tabel59[[#This Row],[Aantal games Alg]]=0,0,Tabel59[[#This Row],[Goals DefA]]/Tabel59[[#This Row],[Aantal games Alg]])</f>
        <v>5</v>
      </c>
      <c r="BC144">
        <f>SUM(Tabel59[[#This Row],[Goals Aanvaller]]+Tabel59[[#This Row],[Goals OffG]])</f>
        <v>7</v>
      </c>
      <c r="BD144">
        <f>IF(Tabel59[[#This Row],[Aantal games Alg]]=0,0,Tabel59[[#This Row],[Goals OffA]]/Tabel59[[#This Row],[Aantal games Alg]])</f>
        <v>7</v>
      </c>
      <c r="BE144" s="112">
        <f>Tabel59[[#This Row],[Goals DefA]]+Tabel59[[#This Row],[Goals OffA]]</f>
        <v>12</v>
      </c>
      <c r="BF144" s="112">
        <f>IF(Tabel59[[#This Row],[Aantal games Alg]]=0,0,Tabel59[[#This Row],[Goals Alg]]/Tabel59[[#This Row],[Aantal games Alg]])</f>
        <v>12</v>
      </c>
      <c r="BG144" s="148">
        <f>SUMIF(Tabel158[Team Rood],Tabel59[[#This Row],[Team]],Tabel158[ET])</f>
        <v>0</v>
      </c>
      <c r="BH144" s="150">
        <f ca="1">SUMIF(Tabel158[Team Groen],Tabel59[[#This Row],[Team]],Tabel158[ET])</f>
        <v>0</v>
      </c>
      <c r="BI144" s="153">
        <f ca="1">SUM(Tabel59[[#This Row],[ET Groen tot]],Tabel59[[#This Row],[ET Rood tot]])</f>
        <v>0</v>
      </c>
      <c r="BJ144" s="155">
        <f ca="1">IF(Tabel59[[#This Row],[Aantal games Alg]]=0,0,Tabel59[[#This Row],[ET tot]]/Tabel59[[#This Row],[Aantal games Alg]])</f>
        <v>0</v>
      </c>
    </row>
    <row r="145" spans="1:62" x14ac:dyDescent="0.25">
      <c r="A145" s="125">
        <f ca="1">IF(Tabel158[[#This Row],[Rood Verdediging]]&lt;&gt;"",IF(A145="",NOW(),A145),"")</f>
        <v>0</v>
      </c>
      <c r="B145" s="128">
        <f ca="1">IF(Tabel158[[#This Row],[Rood Verdediging]]&lt;&gt;"",IF(B145="",NOW(),B145),"")</f>
        <v>43878.947694907409</v>
      </c>
      <c r="C145" s="126">
        <f ca="1">IF(Tabel158[[#This Row],[Score]]&lt;&gt;"",IF(C145="",NOW(),C145),"")</f>
        <v>43878.947694907409</v>
      </c>
      <c r="D145" s="182">
        <f ca="1">IF(OR(Tabel158[[#This Row],[Starttijd]]="",Tabel158[[#This Row],[Eindtijd]]=""),"",Tabel158[[#This Row],[Eindtijd]]-Tabel158[[#This Row],[Starttijd]])</f>
        <v>0</v>
      </c>
      <c r="E145" s="74">
        <v>120</v>
      </c>
      <c r="F145" s="205" t="s">
        <v>0</v>
      </c>
      <c r="G145" s="210">
        <v>4</v>
      </c>
      <c r="H145" s="205" t="s">
        <v>6</v>
      </c>
      <c r="I145" s="210">
        <v>7</v>
      </c>
      <c r="J145" s="206" t="s">
        <v>3</v>
      </c>
      <c r="K145" s="212">
        <v>0</v>
      </c>
      <c r="L145" s="206" t="s">
        <v>19</v>
      </c>
      <c r="M145" s="212">
        <v>2</v>
      </c>
      <c r="N145" s="81">
        <f t="shared" si="21"/>
        <v>11</v>
      </c>
      <c r="O145" s="82">
        <f t="shared" si="22"/>
        <v>2</v>
      </c>
      <c r="P145" s="70" t="str">
        <f t="shared" si="25"/>
        <v>ROOD</v>
      </c>
      <c r="Q145" s="86" t="str">
        <f t="shared" si="23"/>
        <v>Jonas</v>
      </c>
      <c r="R145" s="87" t="str">
        <f t="shared" si="24"/>
        <v>Stef D</v>
      </c>
      <c r="S145" s="147" t="str">
        <f>Tabel158[[#This Row],[Rood Verdediging]]&amp;Tabel158[[#This Row],[Rood Aanval]]</f>
        <v>JonasStef D</v>
      </c>
      <c r="T145" s="147" t="str">
        <f>Tabel158[[#This Row],[Groen Verdediging]]&amp;Tabel158[[#This Row],[Groen Aanval]]</f>
        <v>KarelNicolas</v>
      </c>
      <c r="U145" s="147" t="str">
        <f>Tabel158[[#This Row],[Winnaar 1]]&amp;Tabel158[[#This Row],[Winnaar 2]]</f>
        <v>JonasStef D</v>
      </c>
      <c r="V145" s="147" t="str">
        <f>IF(Tabel158[[#This Row],[Team Rood]]=Tabel158[[#This Row],[Winnaars]],Tabel158[[#This Row],[Team Rood]])</f>
        <v>JonasStef D</v>
      </c>
      <c r="W145" s="147" t="b">
        <f>IF(Tabel158[[#This Row],[Team Groen]]=Tabel158[[#This Row],[Winnaars]],Tabel158[[#This Row],[Team Groen]])</f>
        <v>0</v>
      </c>
      <c r="AH145" s="250" t="s">
        <v>160</v>
      </c>
      <c r="AI145" s="249" t="s">
        <v>157</v>
      </c>
      <c r="AJ145" s="140" t="str">
        <f t="shared" si="26"/>
        <v>Tiemen*Tobi*</v>
      </c>
      <c r="AK145" s="160">
        <f>IF(Tabel59[[#This Row],[Aantal Games Rood]]=0,0,(Tabel59[[#This Row],[Wins Rood]])/Tabel59[[#This Row],[Aantal Games Rood]])</f>
        <v>0</v>
      </c>
      <c r="AL145" s="159">
        <f>IF(Tabel59[[#This Row],[Aantal Games Groen]]=0,0,(Tabel59[[#This Row],[Wins Groen]])/Tabel59[[#This Row],[Aantal Games Groen]])</f>
        <v>0</v>
      </c>
      <c r="AM145" s="156">
        <f>IF(Tabel59[[#This Row],[Aantal games Alg]]=0,0,(Tabel59[[#This Row],[Wins Alg]])/Tabel59[[#This Row],[Aantal games Alg]])</f>
        <v>0</v>
      </c>
      <c r="AN145" s="135">
        <f>COUNTIF(Tabel158[Winaar rood],Tabel59[[#This Row],[Team]])</f>
        <v>0</v>
      </c>
      <c r="AO145" s="134">
        <f>COUNTIF(Tabel158[Winnaar Groen],Tabel59[[#This Row],[Team]])</f>
        <v>0</v>
      </c>
      <c r="AP145">
        <f>COUNTIF(Tabel158[Winnaars],Tabel59[[#This Row],[Team]])</f>
        <v>0</v>
      </c>
      <c r="AQ145" s="135">
        <f>Tabel59[[#This Row],[Aantal Games Rood]]-Tabel59[[#This Row],[Wins Rood]]</f>
        <v>0</v>
      </c>
      <c r="AR145" s="136">
        <f>Tabel59[[#This Row],[Aantal Games Groen]]-Tabel59[[#This Row],[Wins Groen]]</f>
        <v>0</v>
      </c>
      <c r="AS145" s="137">
        <f>Tabel59[[#This Row],[Aantal games Alg]]-Tabel59[[#This Row],[Wins Alg]]</f>
        <v>0</v>
      </c>
      <c r="AT145" s="138">
        <f>COUNTIF(Tabel158[Team Rood],Tabel59[[#This Row],[Team]])</f>
        <v>0</v>
      </c>
      <c r="AU145" s="136">
        <f>COUNTIF(Tabel158[Team Groen],Tabel59[[#This Row],[Team]])</f>
        <v>0</v>
      </c>
      <c r="AV145" s="137">
        <f>Tabel59[[#This Row],[Aantal Games Rood]]+Tabel59[[#This Row],[Aantal Games Groen]]</f>
        <v>0</v>
      </c>
      <c r="AW145" s="138">
        <f>SUMIF(Tabel158[Team Rood],Tabel59[[#This Row],[Team]],Tabel158[Score])</f>
        <v>0</v>
      </c>
      <c r="AX145" s="138">
        <f>SUMIF(Tabel158[Team Rood],Tabel59[[#This Row],[Team]],Tabel158[Score2])</f>
        <v>0</v>
      </c>
      <c r="AY145" s="134">
        <f>SUMIF(Tabel158[Team Groen],Tabel59[[#This Row],[Team]],Tabel158[Score3])</f>
        <v>0</v>
      </c>
      <c r="AZ145" s="136">
        <f>SUMIF(Tabel158[Team Groen],Tabel59[[#This Row],[Team]],Tabel158[Score4])</f>
        <v>0</v>
      </c>
      <c r="BA145">
        <f>SUM(Tabel59[[#This Row],[Goals Verdediger]]+Tabel59[[#This Row],[Goals DefG]])</f>
        <v>0</v>
      </c>
      <c r="BB145">
        <f>IF(Tabel59[[#This Row],[Aantal games Alg]]=0,0,Tabel59[[#This Row],[Goals DefA]]/Tabel59[[#This Row],[Aantal games Alg]])</f>
        <v>0</v>
      </c>
      <c r="BC145">
        <f>SUM(Tabel59[[#This Row],[Goals Aanvaller]]+Tabel59[[#This Row],[Goals OffG]])</f>
        <v>0</v>
      </c>
      <c r="BD145">
        <f>IF(Tabel59[[#This Row],[Aantal games Alg]]=0,0,Tabel59[[#This Row],[Goals OffA]]/Tabel59[[#This Row],[Aantal games Alg]])</f>
        <v>0</v>
      </c>
      <c r="BE145" s="112">
        <f>Tabel59[[#This Row],[Goals DefA]]+Tabel59[[#This Row],[Goals OffA]]</f>
        <v>0</v>
      </c>
      <c r="BF145" s="112">
        <f>IF(Tabel59[[#This Row],[Aantal games Alg]]=0,0,Tabel59[[#This Row],[Goals Alg]]/Tabel59[[#This Row],[Aantal games Alg]])</f>
        <v>0</v>
      </c>
      <c r="BG145" s="148">
        <f>SUMIF(Tabel158[Team Rood],Tabel59[[#This Row],[Team]],Tabel158[ET])</f>
        <v>0</v>
      </c>
      <c r="BH145" s="150">
        <f>SUMIF(Tabel158[Team Groen],Tabel59[[#This Row],[Team]],Tabel158[ET])</f>
        <v>0</v>
      </c>
      <c r="BI145" s="153">
        <f>SUM(Tabel59[[#This Row],[ET Groen tot]],Tabel59[[#This Row],[ET Rood tot]])</f>
        <v>0</v>
      </c>
      <c r="BJ145" s="155">
        <f>IF(Tabel59[[#This Row],[Aantal games Alg]]=0,0,Tabel59[[#This Row],[ET tot]]/Tabel59[[#This Row],[Aantal games Alg]])</f>
        <v>0</v>
      </c>
    </row>
    <row r="146" spans="1:62" x14ac:dyDescent="0.25">
      <c r="A146" s="125">
        <f ca="1">IF(Tabel158[[#This Row],[Rood Verdediging]]&lt;&gt;"",IF(A146="",NOW(),A146),"")</f>
        <v>0</v>
      </c>
      <c r="B146" s="128">
        <f ca="1">IF(Tabel158[[#This Row],[Rood Verdediging]]&lt;&gt;"",IF(B146="",NOW(),B146),"")</f>
        <v>43878.947694907409</v>
      </c>
      <c r="C146" s="126">
        <f ca="1">IF(Tabel158[[#This Row],[Score]]&lt;&gt;"",IF(C146="",NOW(),C146),"")</f>
        <v>43878.947694907409</v>
      </c>
      <c r="D146" s="182">
        <f ca="1">IF(OR(Tabel158[[#This Row],[Starttijd]]="",Tabel158[[#This Row],[Eindtijd]]=""),"",Tabel158[[#This Row],[Eindtijd]]-Tabel158[[#This Row],[Starttijd]])</f>
        <v>0</v>
      </c>
      <c r="E146" s="74">
        <v>120</v>
      </c>
      <c r="F146" s="205" t="s">
        <v>6</v>
      </c>
      <c r="G146" s="210">
        <v>1</v>
      </c>
      <c r="H146" s="205" t="s">
        <v>3</v>
      </c>
      <c r="I146" s="210">
        <v>10</v>
      </c>
      <c r="J146" s="206" t="s">
        <v>0</v>
      </c>
      <c r="K146" s="212">
        <v>1</v>
      </c>
      <c r="L146" s="206" t="s">
        <v>7</v>
      </c>
      <c r="M146" s="212">
        <v>7</v>
      </c>
      <c r="N146" s="81">
        <f t="shared" si="21"/>
        <v>11</v>
      </c>
      <c r="O146" s="82">
        <f t="shared" si="22"/>
        <v>8</v>
      </c>
      <c r="P146" s="70" t="str">
        <f t="shared" si="25"/>
        <v>ROOD</v>
      </c>
      <c r="Q146" s="86" t="str">
        <f t="shared" si="23"/>
        <v>Stef D</v>
      </c>
      <c r="R146" s="87" t="str">
        <f t="shared" si="24"/>
        <v>Karel</v>
      </c>
      <c r="S146" s="147" t="str">
        <f>Tabel158[[#This Row],[Rood Verdediging]]&amp;Tabel158[[#This Row],[Rood Aanval]]</f>
        <v>Stef DKarel</v>
      </c>
      <c r="T146" s="147" t="str">
        <f>Tabel158[[#This Row],[Groen Verdediging]]&amp;Tabel158[[#This Row],[Groen Aanval]]</f>
        <v>JonasTiemen</v>
      </c>
      <c r="U146" s="147" t="str">
        <f>Tabel158[[#This Row],[Winnaar 1]]&amp;Tabel158[[#This Row],[Winnaar 2]]</f>
        <v>Stef DKarel</v>
      </c>
      <c r="V146" s="147" t="str">
        <f>IF(Tabel158[[#This Row],[Team Rood]]=Tabel158[[#This Row],[Winnaars]],Tabel158[[#This Row],[Team Rood]])</f>
        <v>Stef DKarel</v>
      </c>
      <c r="W146" s="147" t="b">
        <f>IF(Tabel158[[#This Row],[Team Groen]]=Tabel158[[#This Row],[Winnaars]],Tabel158[[#This Row],[Team Groen]])</f>
        <v>0</v>
      </c>
      <c r="AH146" s="251" t="s">
        <v>157</v>
      </c>
      <c r="AI146" s="250" t="s">
        <v>158</v>
      </c>
      <c r="AJ146" s="140" t="str">
        <f t="shared" si="26"/>
        <v>Tobi*Arno*</v>
      </c>
      <c r="AK146" s="160">
        <f>IF(Tabel59[[#This Row],[Aantal Games Rood]]=0,0,(Tabel59[[#This Row],[Wins Rood]])/Tabel59[[#This Row],[Aantal Games Rood]])</f>
        <v>0</v>
      </c>
      <c r="AL146" s="159">
        <f>IF(Tabel59[[#This Row],[Aantal Games Groen]]=0,0,(Tabel59[[#This Row],[Wins Groen]])/Tabel59[[#This Row],[Aantal Games Groen]])</f>
        <v>0</v>
      </c>
      <c r="AM146" s="156">
        <f>IF(Tabel59[[#This Row],[Aantal games Alg]]=0,0,(Tabel59[[#This Row],[Wins Alg]])/Tabel59[[#This Row],[Aantal games Alg]])</f>
        <v>0</v>
      </c>
      <c r="AN146" s="135">
        <f>COUNTIF(Tabel158[Winaar rood],Tabel59[[#This Row],[Team]])</f>
        <v>0</v>
      </c>
      <c r="AO146" s="136">
        <f>COUNTIF(Tabel158[Winnaar Groen],Tabel59[[#This Row],[Team]])</f>
        <v>0</v>
      </c>
      <c r="AP146" s="214">
        <f>COUNTIF(Tabel158[Winnaars],Tabel59[[#This Row],[Team]])</f>
        <v>0</v>
      </c>
      <c r="AQ146" s="135">
        <f>Tabel59[[#This Row],[Aantal Games Rood]]-Tabel59[[#This Row],[Wins Rood]]</f>
        <v>0</v>
      </c>
      <c r="AR146" s="136">
        <f>Tabel59[[#This Row],[Aantal Games Groen]]-Tabel59[[#This Row],[Wins Groen]]</f>
        <v>0</v>
      </c>
      <c r="AS146" s="137">
        <f>Tabel59[[#This Row],[Aantal games Alg]]-Tabel59[[#This Row],[Wins Alg]]</f>
        <v>0</v>
      </c>
      <c r="AT146" s="138">
        <f>COUNTIF(Tabel158[Team Rood],Tabel59[[#This Row],[Team]])</f>
        <v>0</v>
      </c>
      <c r="AU146" s="136">
        <f>COUNTIF(Tabel158[Team Groen],Tabel59[[#This Row],[Team]])</f>
        <v>0</v>
      </c>
      <c r="AV146" s="137">
        <f>Tabel59[[#This Row],[Aantal Games Rood]]+Tabel59[[#This Row],[Aantal Games Groen]]</f>
        <v>0</v>
      </c>
      <c r="AW146" s="138">
        <f>SUMIF(Tabel158[Team Rood],Tabel59[[#This Row],[Team]],Tabel158[Score])</f>
        <v>0</v>
      </c>
      <c r="AX146" s="138">
        <f>SUMIF(Tabel158[Team Rood],Tabel59[[#This Row],[Team]],Tabel158[Score2])</f>
        <v>0</v>
      </c>
      <c r="AY146" s="134">
        <f>SUMIF(Tabel158[Team Groen],Tabel59[[#This Row],[Team]],Tabel158[Score3])</f>
        <v>0</v>
      </c>
      <c r="AZ146" s="136">
        <f>SUMIF(Tabel158[Team Groen],Tabel59[[#This Row],[Team]],Tabel158[Score4])</f>
        <v>0</v>
      </c>
      <c r="BA146">
        <f>SUM(Tabel59[[#This Row],[Goals Verdediger]]+Tabel59[[#This Row],[Goals DefG]])</f>
        <v>0</v>
      </c>
      <c r="BB146">
        <f>IF(Tabel59[[#This Row],[Aantal games Alg]]=0,0,Tabel59[[#This Row],[Goals DefA]]/Tabel59[[#This Row],[Aantal games Alg]])</f>
        <v>0</v>
      </c>
      <c r="BC146">
        <f>SUM(Tabel59[[#This Row],[Goals Aanvaller]]+Tabel59[[#This Row],[Goals OffG]])</f>
        <v>0</v>
      </c>
      <c r="BD146">
        <f>IF(Tabel59[[#This Row],[Aantal games Alg]]=0,0,Tabel59[[#This Row],[Goals OffA]]/Tabel59[[#This Row],[Aantal games Alg]])</f>
        <v>0</v>
      </c>
      <c r="BE146" s="112">
        <f>Tabel59[[#This Row],[Goals DefA]]+Tabel59[[#This Row],[Goals OffA]]</f>
        <v>0</v>
      </c>
      <c r="BF146" s="112">
        <f>IF(Tabel59[[#This Row],[Aantal games Alg]]=0,0,Tabel59[[#This Row],[Goals Alg]]/Tabel59[[#This Row],[Aantal games Alg]])</f>
        <v>0</v>
      </c>
      <c r="BG146" s="148">
        <f>SUMIF(Tabel158[Team Rood],Tabel59[[#This Row],[Team]],Tabel158[ET])</f>
        <v>0</v>
      </c>
      <c r="BH146" s="150">
        <f>SUMIF(Tabel158[Team Groen],Tabel59[[#This Row],[Team]],Tabel158[ET])</f>
        <v>0</v>
      </c>
      <c r="BI146" s="153">
        <f>SUM(Tabel59[[#This Row],[ET Groen tot]],Tabel59[[#This Row],[ET Rood tot]])</f>
        <v>0</v>
      </c>
      <c r="BJ146" s="155">
        <f>IF(Tabel59[[#This Row],[Aantal games Alg]]=0,0,Tabel59[[#This Row],[ET tot]]/Tabel59[[#This Row],[Aantal games Alg]])</f>
        <v>0</v>
      </c>
    </row>
    <row r="147" spans="1:62" x14ac:dyDescent="0.25">
      <c r="A147" s="125">
        <f ca="1">IF(Tabel158[[#This Row],[Rood Verdediging]]&lt;&gt;"",IF(A147="",NOW(),A147),"")</f>
        <v>0</v>
      </c>
      <c r="B147" s="128">
        <f ca="1">IF(Tabel158[[#This Row],[Rood Verdediging]]&lt;&gt;"",IF(B147="",NOW(),B147),"")</f>
        <v>43878.947694907409</v>
      </c>
      <c r="C147" s="126">
        <f ca="1">IF(Tabel158[[#This Row],[Score]]&lt;&gt;"",IF(C147="",NOW(),C147),"")</f>
        <v>43878.947694907409</v>
      </c>
      <c r="D147" s="182">
        <f ca="1">IF(OR(Tabel158[[#This Row],[Starttijd]]="",Tabel158[[#This Row],[Eindtijd]]=""),"",Tabel158[[#This Row],[Eindtijd]]-Tabel158[[#This Row],[Starttijd]])</f>
        <v>0</v>
      </c>
      <c r="E147" s="74">
        <v>120</v>
      </c>
      <c r="F147" s="205" t="s">
        <v>19</v>
      </c>
      <c r="G147" s="210">
        <v>1</v>
      </c>
      <c r="H147" s="205" t="s">
        <v>6</v>
      </c>
      <c r="I147" s="210">
        <v>10</v>
      </c>
      <c r="J147" s="206" t="s">
        <v>7</v>
      </c>
      <c r="K147" s="212">
        <v>2</v>
      </c>
      <c r="L147" s="206" t="s">
        <v>3</v>
      </c>
      <c r="M147" s="212">
        <v>11</v>
      </c>
      <c r="N147" s="81">
        <f t="shared" si="21"/>
        <v>11</v>
      </c>
      <c r="O147" s="82">
        <f t="shared" si="22"/>
        <v>13</v>
      </c>
      <c r="P147" s="70" t="str">
        <f t="shared" si="25"/>
        <v>GROEN</v>
      </c>
      <c r="Q147" s="86" t="str">
        <f t="shared" si="23"/>
        <v>Tiemen</v>
      </c>
      <c r="R147" s="87" t="str">
        <f t="shared" si="24"/>
        <v>Karel</v>
      </c>
      <c r="S147" s="147" t="str">
        <f>Tabel158[[#This Row],[Rood Verdediging]]&amp;Tabel158[[#This Row],[Rood Aanval]]</f>
        <v>NicolasStef D</v>
      </c>
      <c r="T147" s="147" t="str">
        <f>Tabel158[[#This Row],[Groen Verdediging]]&amp;Tabel158[[#This Row],[Groen Aanval]]</f>
        <v>TiemenKarel</v>
      </c>
      <c r="U147" s="147" t="str">
        <f>Tabel158[[#This Row],[Winnaar 1]]&amp;Tabel158[[#This Row],[Winnaar 2]]</f>
        <v>TiemenKarel</v>
      </c>
      <c r="V147" s="147" t="b">
        <f>IF(Tabel158[[#This Row],[Team Rood]]=Tabel158[[#This Row],[Winnaars]],Tabel158[[#This Row],[Team Rood]])</f>
        <v>0</v>
      </c>
      <c r="W147" s="147" t="str">
        <f>IF(Tabel158[[#This Row],[Team Groen]]=Tabel158[[#This Row],[Winnaars]],Tabel158[[#This Row],[Team Groen]])</f>
        <v>TiemenKarel</v>
      </c>
      <c r="AH147" s="251" t="s">
        <v>157</v>
      </c>
      <c r="AI147" s="250" t="s">
        <v>163</v>
      </c>
      <c r="AJ147" s="140" t="str">
        <f t="shared" si="26"/>
        <v>Tobi*Bert*</v>
      </c>
      <c r="AK147" s="160">
        <f>IF(Tabel59[[#This Row],[Aantal Games Rood]]=0,0,(Tabel59[[#This Row],[Wins Rood]])/Tabel59[[#This Row],[Aantal Games Rood]])</f>
        <v>0</v>
      </c>
      <c r="AL147" s="159">
        <f>IF(Tabel59[[#This Row],[Aantal Games Groen]]=0,0,(Tabel59[[#This Row],[Wins Groen]])/Tabel59[[#This Row],[Aantal Games Groen]])</f>
        <v>0</v>
      </c>
      <c r="AM147" s="156">
        <f>IF(Tabel59[[#This Row],[Aantal games Alg]]=0,0,(Tabel59[[#This Row],[Wins Alg]])/Tabel59[[#This Row],[Aantal games Alg]])</f>
        <v>0</v>
      </c>
      <c r="AN147" s="135">
        <f>COUNTIF(Tabel158[Winaar rood],Tabel59[[#This Row],[Team]])</f>
        <v>0</v>
      </c>
      <c r="AO147" s="134">
        <f>COUNTIF(Tabel158[Winnaar Groen],Tabel59[[#This Row],[Team]])</f>
        <v>0</v>
      </c>
      <c r="AP147">
        <f>COUNTIF(Tabel158[Winnaars],Tabel59[[#This Row],[Team]])</f>
        <v>0</v>
      </c>
      <c r="AQ147" s="135">
        <f>Tabel59[[#This Row],[Aantal Games Rood]]-Tabel59[[#This Row],[Wins Rood]]</f>
        <v>0</v>
      </c>
      <c r="AR147" s="136">
        <f>Tabel59[[#This Row],[Aantal Games Groen]]-Tabel59[[#This Row],[Wins Groen]]</f>
        <v>0</v>
      </c>
      <c r="AS147" s="137">
        <f>Tabel59[[#This Row],[Aantal games Alg]]-Tabel59[[#This Row],[Wins Alg]]</f>
        <v>0</v>
      </c>
      <c r="AT147" s="138">
        <f>COUNTIF(Tabel158[Team Rood],Tabel59[[#This Row],[Team]])</f>
        <v>0</v>
      </c>
      <c r="AU147" s="136">
        <f>COUNTIF(Tabel158[Team Groen],Tabel59[[#This Row],[Team]])</f>
        <v>0</v>
      </c>
      <c r="AV147" s="137">
        <f>Tabel59[[#This Row],[Aantal Games Rood]]+Tabel59[[#This Row],[Aantal Games Groen]]</f>
        <v>0</v>
      </c>
      <c r="AW147" s="138">
        <f>SUMIF(Tabel158[Team Rood],Tabel59[[#This Row],[Team]],Tabel158[Score])</f>
        <v>0</v>
      </c>
      <c r="AX147" s="138">
        <f>SUMIF(Tabel158[Team Rood],Tabel59[[#This Row],[Team]],Tabel158[Score2])</f>
        <v>0</v>
      </c>
      <c r="AY147" s="134">
        <f>SUMIF(Tabel158[Team Groen],Tabel59[[#This Row],[Team]],Tabel158[Score3])</f>
        <v>0</v>
      </c>
      <c r="AZ147" s="136">
        <f>SUMIF(Tabel158[Team Groen],Tabel59[[#This Row],[Team]],Tabel158[Score4])</f>
        <v>0</v>
      </c>
      <c r="BA147">
        <f>SUM(Tabel59[[#This Row],[Goals Verdediger]]+Tabel59[[#This Row],[Goals DefG]])</f>
        <v>0</v>
      </c>
      <c r="BB147">
        <f>IF(Tabel59[[#This Row],[Aantal games Alg]]=0,0,Tabel59[[#This Row],[Goals DefA]]/Tabel59[[#This Row],[Aantal games Alg]])</f>
        <v>0</v>
      </c>
      <c r="BC147">
        <f>SUM(Tabel59[[#This Row],[Goals Aanvaller]]+Tabel59[[#This Row],[Goals OffG]])</f>
        <v>0</v>
      </c>
      <c r="BD147">
        <f>IF(Tabel59[[#This Row],[Aantal games Alg]]=0,0,Tabel59[[#This Row],[Goals OffA]]/Tabel59[[#This Row],[Aantal games Alg]])</f>
        <v>0</v>
      </c>
      <c r="BE147" s="112">
        <f>Tabel59[[#This Row],[Goals DefA]]+Tabel59[[#This Row],[Goals OffA]]</f>
        <v>0</v>
      </c>
      <c r="BF147" s="112">
        <f>IF(Tabel59[[#This Row],[Aantal games Alg]]=0,0,Tabel59[[#This Row],[Goals Alg]]/Tabel59[[#This Row],[Aantal games Alg]])</f>
        <v>0</v>
      </c>
      <c r="BG147" s="148">
        <f>SUMIF(Tabel158[Team Rood],Tabel59[[#This Row],[Team]],Tabel158[ET])</f>
        <v>0</v>
      </c>
      <c r="BH147" s="150">
        <f>SUMIF(Tabel158[Team Groen],Tabel59[[#This Row],[Team]],Tabel158[ET])</f>
        <v>0</v>
      </c>
      <c r="BI147" s="153">
        <f>SUM(Tabel59[[#This Row],[ET Groen tot]],Tabel59[[#This Row],[ET Rood tot]])</f>
        <v>0</v>
      </c>
      <c r="BJ147" s="155">
        <f>IF(Tabel59[[#This Row],[Aantal games Alg]]=0,0,Tabel59[[#This Row],[ET tot]]/Tabel59[[#This Row],[Aantal games Alg]])</f>
        <v>0</v>
      </c>
    </row>
    <row r="148" spans="1:62" x14ac:dyDescent="0.25">
      <c r="A148" s="125">
        <f ca="1">IF(Tabel158[[#This Row],[Rood Verdediging]]&lt;&gt;"",IF(A148="",NOW(),A148),"")</f>
        <v>0</v>
      </c>
      <c r="B148" s="128">
        <f ca="1">IF(Tabel158[[#This Row],[Rood Verdediging]]&lt;&gt;"",IF(B148="",NOW(),B148),"")</f>
        <v>43878.947694907409</v>
      </c>
      <c r="C148" s="126">
        <f ca="1">IF(Tabel158[[#This Row],[Score]]&lt;&gt;"",IF(C148="",NOW(),C148),"")</f>
        <v>43878.947694907409</v>
      </c>
      <c r="D148" s="182">
        <f ca="1">IF(OR(Tabel158[[#This Row],[Starttijd]]="",Tabel158[[#This Row],[Eindtijd]]=""),"",Tabel158[[#This Row],[Eindtijd]]-Tabel158[[#This Row],[Starttijd]])</f>
        <v>0</v>
      </c>
      <c r="E148" s="74">
        <v>120</v>
      </c>
      <c r="F148" s="205" t="s">
        <v>7</v>
      </c>
      <c r="G148" s="210">
        <v>0</v>
      </c>
      <c r="H148" s="205" t="s">
        <v>6</v>
      </c>
      <c r="I148" s="210">
        <v>2</v>
      </c>
      <c r="J148" s="206" t="s">
        <v>0</v>
      </c>
      <c r="K148" s="212">
        <v>2</v>
      </c>
      <c r="L148" s="206" t="s">
        <v>3</v>
      </c>
      <c r="M148" s="212">
        <v>9</v>
      </c>
      <c r="N148" s="81">
        <f t="shared" si="21"/>
        <v>2</v>
      </c>
      <c r="O148" s="82">
        <f t="shared" si="22"/>
        <v>11</v>
      </c>
      <c r="P148" s="70" t="str">
        <f t="shared" si="25"/>
        <v>GROEN</v>
      </c>
      <c r="Q148" s="86" t="str">
        <f t="shared" si="23"/>
        <v>Jonas</v>
      </c>
      <c r="R148" s="87" t="str">
        <f t="shared" si="24"/>
        <v>Karel</v>
      </c>
      <c r="S148" s="147" t="str">
        <f>Tabel158[[#This Row],[Rood Verdediging]]&amp;Tabel158[[#This Row],[Rood Aanval]]</f>
        <v>TiemenStef D</v>
      </c>
      <c r="T148" s="147" t="str">
        <f>Tabel158[[#This Row],[Groen Verdediging]]&amp;Tabel158[[#This Row],[Groen Aanval]]</f>
        <v>JonasKarel</v>
      </c>
      <c r="U148" s="147" t="str">
        <f>Tabel158[[#This Row],[Winnaar 1]]&amp;Tabel158[[#This Row],[Winnaar 2]]</f>
        <v>JonasKarel</v>
      </c>
      <c r="V148" s="147" t="b">
        <f>IF(Tabel158[[#This Row],[Team Rood]]=Tabel158[[#This Row],[Winnaars]],Tabel158[[#This Row],[Team Rood]])</f>
        <v>0</v>
      </c>
      <c r="W148" s="147" t="str">
        <f>IF(Tabel158[[#This Row],[Team Groen]]=Tabel158[[#This Row],[Winnaars]],Tabel158[[#This Row],[Team Groen]])</f>
        <v>JonasKarel</v>
      </c>
      <c r="AH148" s="251" t="s">
        <v>157</v>
      </c>
      <c r="AI148" s="250" t="s">
        <v>168</v>
      </c>
      <c r="AJ148" s="140" t="str">
        <f t="shared" si="26"/>
        <v>Tobi*Coghe*</v>
      </c>
      <c r="AK148" s="160">
        <f>IF(Tabel59[[#This Row],[Aantal Games Rood]]=0,0,(Tabel59[[#This Row],[Wins Rood]])/Tabel59[[#This Row],[Aantal Games Rood]])</f>
        <v>0</v>
      </c>
      <c r="AL148" s="159">
        <f>IF(Tabel59[[#This Row],[Aantal Games Groen]]=0,0,(Tabel59[[#This Row],[Wins Groen]])/Tabel59[[#This Row],[Aantal Games Groen]])</f>
        <v>0</v>
      </c>
      <c r="AM148" s="156">
        <f>IF(Tabel59[[#This Row],[Aantal games Alg]]=0,0,(Tabel59[[#This Row],[Wins Alg]])/Tabel59[[#This Row],[Aantal games Alg]])</f>
        <v>0</v>
      </c>
      <c r="AN148" s="163">
        <f>COUNTIF(Tabel158[Winaar rood],Tabel59[[#This Row],[Team]])</f>
        <v>0</v>
      </c>
      <c r="AO148" s="169">
        <f>COUNTIF(Tabel158[Winnaar Groen],Tabel59[[#This Row],[Team]])</f>
        <v>0</v>
      </c>
      <c r="AP148" s="170">
        <f>COUNTIF(Tabel158[Winnaars],Tabel59[[#This Row],[Team]])</f>
        <v>0</v>
      </c>
      <c r="AQ148" s="163">
        <f>Tabel59[[#This Row],[Aantal Games Rood]]-Tabel59[[#This Row],[Wins Rood]]</f>
        <v>0</v>
      </c>
      <c r="AR148" s="169">
        <f>Tabel59[[#This Row],[Aantal Games Groen]]-Tabel59[[#This Row],[Wins Groen]]</f>
        <v>0</v>
      </c>
      <c r="AS148" s="165">
        <f>Tabel59[[#This Row],[Aantal games Alg]]-Tabel59[[#This Row],[Wins Alg]]</f>
        <v>0</v>
      </c>
      <c r="AT148" s="171">
        <f>COUNTIF(Tabel158[Team Rood],Tabel59[[#This Row],[Team]])</f>
        <v>0</v>
      </c>
      <c r="AU148" s="169">
        <f>COUNTIF(Tabel158[Team Groen],Tabel59[[#This Row],[Team]])</f>
        <v>0</v>
      </c>
      <c r="AV148" s="165">
        <f>Tabel59[[#This Row],[Aantal Games Rood]]+Tabel59[[#This Row],[Aantal Games Groen]]</f>
        <v>0</v>
      </c>
      <c r="AW148" s="171">
        <f>SUMIF(Tabel158[Team Rood],Tabel59[[#This Row],[Team]],Tabel158[Score])</f>
        <v>0</v>
      </c>
      <c r="AX148" s="171">
        <f>SUMIF(Tabel158[Team Rood],Tabel59[[#This Row],[Team]],Tabel158[Score2])</f>
        <v>0</v>
      </c>
      <c r="AY148" s="136">
        <f>SUMIF(Tabel158[Team Groen],Tabel59[[#This Row],[Team]],Tabel158[Score3])</f>
        <v>0</v>
      </c>
      <c r="AZ148" s="169">
        <f>SUMIF(Tabel158[Team Groen],Tabel59[[#This Row],[Team]],Tabel158[Score4])</f>
        <v>0</v>
      </c>
      <c r="BA148" s="172">
        <f>SUM(Tabel59[[#This Row],[Goals Verdediger]]+Tabel59[[#This Row],[Goals DefG]])</f>
        <v>0</v>
      </c>
      <c r="BB148" s="170">
        <f>IF(Tabel59[[#This Row],[Aantal games Alg]]=0,0,Tabel59[[#This Row],[Goals DefA]]/Tabel59[[#This Row],[Aantal games Alg]])</f>
        <v>0</v>
      </c>
      <c r="BC148" s="172">
        <f>SUM(Tabel59[[#This Row],[Goals Aanvaller]]+Tabel59[[#This Row],[Goals OffG]])</f>
        <v>0</v>
      </c>
      <c r="BD148" s="170">
        <f>IF(Tabel59[[#This Row],[Aantal games Alg]]=0,0,Tabel59[[#This Row],[Goals OffA]]/Tabel59[[#This Row],[Aantal games Alg]])</f>
        <v>0</v>
      </c>
      <c r="BE148" s="170">
        <f>Tabel59[[#This Row],[Goals DefA]]+Tabel59[[#This Row],[Goals OffA]]</f>
        <v>0</v>
      </c>
      <c r="BF148" s="170">
        <f>IF(Tabel59[[#This Row],[Aantal games Alg]]=0,0,Tabel59[[#This Row],[Goals Alg]]/Tabel59[[#This Row],[Aantal games Alg]])</f>
        <v>0</v>
      </c>
      <c r="BG148" s="148">
        <f>SUMIF(Tabel158[Team Rood],Tabel59[[#This Row],[Team]],Tabel158[ET])</f>
        <v>0</v>
      </c>
      <c r="BH148" s="150">
        <f>SUMIF(Tabel158[Team Groen],Tabel59[[#This Row],[Team]],Tabel158[ET])</f>
        <v>0</v>
      </c>
      <c r="BI148" s="153">
        <f>SUM(Tabel59[[#This Row],[ET Groen tot]],Tabel59[[#This Row],[ET Rood tot]])</f>
        <v>0</v>
      </c>
      <c r="BJ148" s="155">
        <f>IF(Tabel59[[#This Row],[Aantal games Alg]]=0,0,Tabel59[[#This Row],[ET tot]]/Tabel59[[#This Row],[Aantal games Alg]])</f>
        <v>0</v>
      </c>
    </row>
    <row r="149" spans="1:62" x14ac:dyDescent="0.25">
      <c r="A149" s="125">
        <f ca="1">IF(Tabel158[[#This Row],[Rood Verdediging]]&lt;&gt;"",IF(A149="",NOW(),A149),"")</f>
        <v>0</v>
      </c>
      <c r="B149" s="128">
        <f ca="1">IF(Tabel158[[#This Row],[Rood Verdediging]]&lt;&gt;"",IF(B149="",NOW(),B149),"")</f>
        <v>43878.947694907409</v>
      </c>
      <c r="C149" s="126">
        <f ca="1">IF(Tabel158[[#This Row],[Score]]&lt;&gt;"",IF(C149="",NOW(),C149),"")</f>
        <v>43878.947694907409</v>
      </c>
      <c r="D149" s="182">
        <f ca="1">IF(OR(Tabel158[[#This Row],[Starttijd]]="",Tabel158[[#This Row],[Eindtijd]]=""),"",Tabel158[[#This Row],[Eindtijd]]-Tabel158[[#This Row],[Starttijd]])</f>
        <v>0</v>
      </c>
      <c r="E149" s="74">
        <v>120</v>
      </c>
      <c r="F149" s="205" t="s">
        <v>11</v>
      </c>
      <c r="G149" s="210">
        <v>4</v>
      </c>
      <c r="H149" s="205" t="s">
        <v>7</v>
      </c>
      <c r="I149" s="210">
        <v>7</v>
      </c>
      <c r="J149" s="206" t="s">
        <v>3</v>
      </c>
      <c r="K149" s="212">
        <v>4</v>
      </c>
      <c r="L149" s="206" t="s">
        <v>15</v>
      </c>
      <c r="M149" s="212">
        <v>4</v>
      </c>
      <c r="N149" s="81">
        <f t="shared" si="21"/>
        <v>11</v>
      </c>
      <c r="O149" s="82">
        <f t="shared" si="22"/>
        <v>8</v>
      </c>
      <c r="P149" s="70" t="str">
        <f t="shared" si="25"/>
        <v>ROOD</v>
      </c>
      <c r="Q149" s="86" t="str">
        <f t="shared" si="23"/>
        <v>Matthijs</v>
      </c>
      <c r="R149" s="87" t="str">
        <f t="shared" si="24"/>
        <v>Tiemen</v>
      </c>
      <c r="S149" s="147" t="str">
        <f>Tabel158[[#This Row],[Rood Verdediging]]&amp;Tabel158[[#This Row],[Rood Aanval]]</f>
        <v>MatthijsTiemen</v>
      </c>
      <c r="T149" s="147" t="str">
        <f>Tabel158[[#This Row],[Groen Verdediging]]&amp;Tabel158[[#This Row],[Groen Aanval]]</f>
        <v>KarelStijn</v>
      </c>
      <c r="U149" s="147" t="str">
        <f>Tabel158[[#This Row],[Winnaar 1]]&amp;Tabel158[[#This Row],[Winnaar 2]]</f>
        <v>MatthijsTiemen</v>
      </c>
      <c r="V149" s="147" t="str">
        <f>IF(Tabel158[[#This Row],[Team Rood]]=Tabel158[[#This Row],[Winnaars]],Tabel158[[#This Row],[Team Rood]])</f>
        <v>MatthijsTiemen</v>
      </c>
      <c r="W149" s="147" t="b">
        <f>IF(Tabel158[[#This Row],[Team Groen]]=Tabel158[[#This Row],[Winnaars]],Tabel158[[#This Row],[Team Groen]])</f>
        <v>0</v>
      </c>
      <c r="AH149" s="251" t="s">
        <v>157</v>
      </c>
      <c r="AI149" s="250" t="s">
        <v>159</v>
      </c>
      <c r="AJ149" s="140" t="str">
        <f t="shared" si="26"/>
        <v>Tobi*Jonas*</v>
      </c>
      <c r="AK149" s="160">
        <f>IF(Tabel59[[#This Row],[Aantal Games Rood]]=0,0,(Tabel59[[#This Row],[Wins Rood]])/Tabel59[[#This Row],[Aantal Games Rood]])</f>
        <v>0</v>
      </c>
      <c r="AL149" s="159">
        <f>IF(Tabel59[[#This Row],[Aantal Games Groen]]=0,0,(Tabel59[[#This Row],[Wins Groen]])/Tabel59[[#This Row],[Aantal Games Groen]])</f>
        <v>0</v>
      </c>
      <c r="AM149" s="156">
        <f>IF(Tabel59[[#This Row],[Aantal games Alg]]=0,0,(Tabel59[[#This Row],[Wins Alg]])/Tabel59[[#This Row],[Aantal games Alg]])</f>
        <v>0</v>
      </c>
      <c r="AN149" s="135">
        <f>COUNTIF(Tabel158[Winaar rood],Tabel59[[#This Row],[Team]])</f>
        <v>0</v>
      </c>
      <c r="AO149" s="134">
        <f>COUNTIF(Tabel158[Winnaar Groen],Tabel59[[#This Row],[Team]])</f>
        <v>0</v>
      </c>
      <c r="AP149">
        <f>COUNTIF(Tabel158[Winnaars],Tabel59[[#This Row],[Team]])</f>
        <v>0</v>
      </c>
      <c r="AQ149" s="135">
        <f>Tabel59[[#This Row],[Aantal Games Rood]]-Tabel59[[#This Row],[Wins Rood]]</f>
        <v>0</v>
      </c>
      <c r="AR149" s="136">
        <f>Tabel59[[#This Row],[Aantal Games Groen]]-Tabel59[[#This Row],[Wins Groen]]</f>
        <v>0</v>
      </c>
      <c r="AS149" s="137">
        <f>Tabel59[[#This Row],[Aantal games Alg]]-Tabel59[[#This Row],[Wins Alg]]</f>
        <v>0</v>
      </c>
      <c r="AT149" s="138">
        <f>COUNTIF(Tabel158[Team Rood],Tabel59[[#This Row],[Team]])</f>
        <v>0</v>
      </c>
      <c r="AU149" s="136">
        <f>COUNTIF(Tabel158[Team Groen],Tabel59[[#This Row],[Team]])</f>
        <v>0</v>
      </c>
      <c r="AV149" s="137">
        <f>Tabel59[[#This Row],[Aantal Games Rood]]+Tabel59[[#This Row],[Aantal Games Groen]]</f>
        <v>0</v>
      </c>
      <c r="AW149" s="138">
        <f>SUMIF(Tabel158[Team Rood],Tabel59[[#This Row],[Team]],Tabel158[Score])</f>
        <v>0</v>
      </c>
      <c r="AX149" s="138">
        <f>SUMIF(Tabel158[Team Rood],Tabel59[[#This Row],[Team]],Tabel158[Score2])</f>
        <v>0</v>
      </c>
      <c r="AY149" s="134">
        <f>SUMIF(Tabel158[Team Groen],Tabel59[[#This Row],[Team]],Tabel158[Score3])</f>
        <v>0</v>
      </c>
      <c r="AZ149" s="136">
        <f>SUMIF(Tabel158[Team Groen],Tabel59[[#This Row],[Team]],Tabel158[Score4])</f>
        <v>0</v>
      </c>
      <c r="BA149">
        <f>SUM(Tabel59[[#This Row],[Goals Verdediger]]+Tabel59[[#This Row],[Goals DefG]])</f>
        <v>0</v>
      </c>
      <c r="BB149">
        <f>IF(Tabel59[[#This Row],[Aantal games Alg]]=0,0,Tabel59[[#This Row],[Goals DefA]]/Tabel59[[#This Row],[Aantal games Alg]])</f>
        <v>0</v>
      </c>
      <c r="BC149">
        <f>SUM(Tabel59[[#This Row],[Goals Aanvaller]]+Tabel59[[#This Row],[Goals OffG]])</f>
        <v>0</v>
      </c>
      <c r="BD149">
        <f>IF(Tabel59[[#This Row],[Aantal games Alg]]=0,0,Tabel59[[#This Row],[Goals OffA]]/Tabel59[[#This Row],[Aantal games Alg]])</f>
        <v>0</v>
      </c>
      <c r="BE149" s="112">
        <f>Tabel59[[#This Row],[Goals DefA]]+Tabel59[[#This Row],[Goals OffA]]</f>
        <v>0</v>
      </c>
      <c r="BF149" s="112">
        <f>IF(Tabel59[[#This Row],[Aantal games Alg]]=0,0,Tabel59[[#This Row],[Goals Alg]]/Tabel59[[#This Row],[Aantal games Alg]])</f>
        <v>0</v>
      </c>
      <c r="BG149" s="148">
        <f>SUMIF(Tabel158[Team Rood],Tabel59[[#This Row],[Team]],Tabel158[ET])</f>
        <v>0</v>
      </c>
      <c r="BH149" s="150">
        <f>SUMIF(Tabel158[Team Groen],Tabel59[[#This Row],[Team]],Tabel158[ET])</f>
        <v>0</v>
      </c>
      <c r="BI149" s="153">
        <f>SUM(Tabel59[[#This Row],[ET Groen tot]],Tabel59[[#This Row],[ET Rood tot]])</f>
        <v>0</v>
      </c>
      <c r="BJ149" s="155">
        <f>IF(Tabel59[[#This Row],[Aantal games Alg]]=0,0,Tabel59[[#This Row],[ET tot]]/Tabel59[[#This Row],[Aantal games Alg]])</f>
        <v>0</v>
      </c>
    </row>
    <row r="150" spans="1:62" x14ac:dyDescent="0.25">
      <c r="A150" s="125">
        <f ca="1">IF(Tabel158[[#This Row],[Rood Verdediging]]&lt;&gt;"",IF(A150="",NOW(),A150),"")</f>
        <v>0</v>
      </c>
      <c r="B150" s="128">
        <f ca="1">IF(Tabel158[[#This Row],[Rood Verdediging]]&lt;&gt;"",IF(B150="",NOW(),B150),"")</f>
        <v>43878.947694907409</v>
      </c>
      <c r="C150" s="126">
        <f ca="1">IF(Tabel158[[#This Row],[Score]]&lt;&gt;"",IF(C150="",NOW(),C150),"")</f>
        <v>43878.947694907409</v>
      </c>
      <c r="D150" s="182">
        <f ca="1">IF(OR(Tabel158[[#This Row],[Starttijd]]="",Tabel158[[#This Row],[Eindtijd]]=""),"",Tabel158[[#This Row],[Eindtijd]]-Tabel158[[#This Row],[Starttijd]])</f>
        <v>0</v>
      </c>
      <c r="E150" s="74">
        <v>120</v>
      </c>
      <c r="F150" s="205" t="s">
        <v>167</v>
      </c>
      <c r="G150" s="210">
        <v>4</v>
      </c>
      <c r="H150" s="205" t="s">
        <v>11</v>
      </c>
      <c r="I150" s="210">
        <v>7</v>
      </c>
      <c r="J150" s="206" t="s">
        <v>7</v>
      </c>
      <c r="K150" s="212">
        <v>4</v>
      </c>
      <c r="L150" s="206" t="s">
        <v>3</v>
      </c>
      <c r="M150" s="212">
        <v>4</v>
      </c>
      <c r="N150" s="81">
        <f t="shared" si="21"/>
        <v>11</v>
      </c>
      <c r="O150" s="82">
        <f t="shared" si="22"/>
        <v>8</v>
      </c>
      <c r="P150" s="70" t="str">
        <f t="shared" si="25"/>
        <v>ROOD</v>
      </c>
      <c r="Q150" s="86" t="str">
        <f t="shared" si="23"/>
        <v>Coghe</v>
      </c>
      <c r="R150" s="87" t="str">
        <f t="shared" si="24"/>
        <v>Matthijs</v>
      </c>
      <c r="S150" s="147" t="str">
        <f>Tabel158[[#This Row],[Rood Verdediging]]&amp;Tabel158[[#This Row],[Rood Aanval]]</f>
        <v>CogheMatthijs</v>
      </c>
      <c r="T150" s="147" t="str">
        <f>Tabel158[[#This Row],[Groen Verdediging]]&amp;Tabel158[[#This Row],[Groen Aanval]]</f>
        <v>TiemenKarel</v>
      </c>
      <c r="U150" s="147" t="str">
        <f>Tabel158[[#This Row],[Winnaar 1]]&amp;Tabel158[[#This Row],[Winnaar 2]]</f>
        <v>CogheMatthijs</v>
      </c>
      <c r="V150" s="147" t="str">
        <f>IF(Tabel158[[#This Row],[Team Rood]]=Tabel158[[#This Row],[Winnaars]],Tabel158[[#This Row],[Team Rood]])</f>
        <v>CogheMatthijs</v>
      </c>
      <c r="W150" s="147" t="b">
        <f>IF(Tabel158[[#This Row],[Team Groen]]=Tabel158[[#This Row],[Winnaars]],Tabel158[[#This Row],[Team Groen]])</f>
        <v>0</v>
      </c>
      <c r="AH150" s="251" t="s">
        <v>157</v>
      </c>
      <c r="AI150" s="250" t="s">
        <v>164</v>
      </c>
      <c r="AJ150" s="140" t="str">
        <f t="shared" si="26"/>
        <v>Tobi*Karel*</v>
      </c>
      <c r="AK150" s="160">
        <f>IF(Tabel59[[#This Row],[Aantal Games Rood]]=0,0,(Tabel59[[#This Row],[Wins Rood]])/Tabel59[[#This Row],[Aantal Games Rood]])</f>
        <v>0</v>
      </c>
      <c r="AL150" s="159">
        <f>IF(Tabel59[[#This Row],[Aantal Games Groen]]=0,0,(Tabel59[[#This Row],[Wins Groen]])/Tabel59[[#This Row],[Aantal Games Groen]])</f>
        <v>0</v>
      </c>
      <c r="AM150" s="156">
        <f>IF(Tabel59[[#This Row],[Aantal games Alg]]=0,0,(Tabel59[[#This Row],[Wins Alg]])/Tabel59[[#This Row],[Aantal games Alg]])</f>
        <v>0</v>
      </c>
      <c r="AN150" s="135">
        <f>COUNTIF(Tabel158[Winaar rood],Tabel59[[#This Row],[Team]])</f>
        <v>0</v>
      </c>
      <c r="AO150" s="134">
        <f>COUNTIF(Tabel158[Winnaar Groen],Tabel59[[#This Row],[Team]])</f>
        <v>0</v>
      </c>
      <c r="AP150">
        <f>COUNTIF(Tabel158[Winnaars],Tabel59[[#This Row],[Team]])</f>
        <v>0</v>
      </c>
      <c r="AQ150" s="135">
        <f>Tabel59[[#This Row],[Aantal Games Rood]]-Tabel59[[#This Row],[Wins Rood]]</f>
        <v>0</v>
      </c>
      <c r="AR150" s="136">
        <f>Tabel59[[#This Row],[Aantal Games Groen]]-Tabel59[[#This Row],[Wins Groen]]</f>
        <v>0</v>
      </c>
      <c r="AS150" s="137">
        <f>Tabel59[[#This Row],[Aantal games Alg]]-Tabel59[[#This Row],[Wins Alg]]</f>
        <v>0</v>
      </c>
      <c r="AT150" s="138">
        <f>COUNTIF(Tabel158[Team Rood],Tabel59[[#This Row],[Team]])</f>
        <v>0</v>
      </c>
      <c r="AU150" s="136">
        <f>COUNTIF(Tabel158[Team Groen],Tabel59[[#This Row],[Team]])</f>
        <v>0</v>
      </c>
      <c r="AV150" s="137">
        <f>Tabel59[[#This Row],[Aantal Games Rood]]+Tabel59[[#This Row],[Aantal Games Groen]]</f>
        <v>0</v>
      </c>
      <c r="AW150" s="138">
        <f>SUMIF(Tabel158[Team Rood],Tabel59[[#This Row],[Team]],Tabel158[Score])</f>
        <v>0</v>
      </c>
      <c r="AX150" s="138">
        <f>SUMIF(Tabel158[Team Rood],Tabel59[[#This Row],[Team]],Tabel158[Score2])</f>
        <v>0</v>
      </c>
      <c r="AY150" s="134">
        <f>SUMIF(Tabel158[Team Groen],Tabel59[[#This Row],[Team]],Tabel158[Score3])</f>
        <v>0</v>
      </c>
      <c r="AZ150" s="136">
        <f>SUMIF(Tabel158[Team Groen],Tabel59[[#This Row],[Team]],Tabel158[Score4])</f>
        <v>0</v>
      </c>
      <c r="BA150">
        <f>SUM(Tabel59[[#This Row],[Goals Verdediger]]+Tabel59[[#This Row],[Goals DefG]])</f>
        <v>0</v>
      </c>
      <c r="BB150">
        <f>IF(Tabel59[[#This Row],[Aantal games Alg]]=0,0,Tabel59[[#This Row],[Goals DefA]]/Tabel59[[#This Row],[Aantal games Alg]])</f>
        <v>0</v>
      </c>
      <c r="BC150">
        <f>SUM(Tabel59[[#This Row],[Goals Aanvaller]]+Tabel59[[#This Row],[Goals OffG]])</f>
        <v>0</v>
      </c>
      <c r="BD150">
        <f>IF(Tabel59[[#This Row],[Aantal games Alg]]=0,0,Tabel59[[#This Row],[Goals OffA]]/Tabel59[[#This Row],[Aantal games Alg]])</f>
        <v>0</v>
      </c>
      <c r="BE150" s="112">
        <f>Tabel59[[#This Row],[Goals DefA]]+Tabel59[[#This Row],[Goals OffA]]</f>
        <v>0</v>
      </c>
      <c r="BF150" s="112">
        <f>IF(Tabel59[[#This Row],[Aantal games Alg]]=0,0,Tabel59[[#This Row],[Goals Alg]]/Tabel59[[#This Row],[Aantal games Alg]])</f>
        <v>0</v>
      </c>
      <c r="BG150" s="148">
        <f>SUMIF(Tabel158[Team Rood],Tabel59[[#This Row],[Team]],Tabel158[ET])</f>
        <v>0</v>
      </c>
      <c r="BH150" s="150">
        <f>SUMIF(Tabel158[Team Groen],Tabel59[[#This Row],[Team]],Tabel158[ET])</f>
        <v>0</v>
      </c>
      <c r="BI150" s="153">
        <f>SUM(Tabel59[[#This Row],[ET Groen tot]],Tabel59[[#This Row],[ET Rood tot]])</f>
        <v>0</v>
      </c>
      <c r="BJ150" s="155">
        <f>IF(Tabel59[[#This Row],[Aantal games Alg]]=0,0,Tabel59[[#This Row],[ET tot]]/Tabel59[[#This Row],[Aantal games Alg]])</f>
        <v>0</v>
      </c>
    </row>
    <row r="151" spans="1:62" x14ac:dyDescent="0.25">
      <c r="A151" s="125">
        <f ca="1">IF(Tabel158[[#This Row],[Rood Verdediging]]&lt;&gt;"",IF(A151="",NOW(),A151),"")</f>
        <v>0</v>
      </c>
      <c r="B151" s="128">
        <f ca="1">IF(Tabel158[[#This Row],[Rood Verdediging]]&lt;&gt;"",IF(B151="",NOW(),B151),"")</f>
        <v>43878.947694907409</v>
      </c>
      <c r="C151" s="126">
        <f ca="1">IF(Tabel158[[#This Row],[Score]]&lt;&gt;"",IF(C151="",NOW(),C151),"")</f>
        <v>43878.947694907409</v>
      </c>
      <c r="D151" s="182">
        <f ca="1">IF(OR(Tabel158[[#This Row],[Starttijd]]="",Tabel158[[#This Row],[Eindtijd]]=""),"",Tabel158[[#This Row],[Eindtijd]]-Tabel158[[#This Row],[Starttijd]])</f>
        <v>0</v>
      </c>
      <c r="E151" s="74">
        <v>120</v>
      </c>
      <c r="F151" s="205" t="s">
        <v>0</v>
      </c>
      <c r="G151" s="210">
        <v>4</v>
      </c>
      <c r="H151" s="205" t="s">
        <v>3</v>
      </c>
      <c r="I151" s="210">
        <v>7</v>
      </c>
      <c r="J151" s="206" t="s">
        <v>15</v>
      </c>
      <c r="K151" s="212">
        <v>2</v>
      </c>
      <c r="L151" s="206" t="s">
        <v>19</v>
      </c>
      <c r="M151" s="212">
        <v>0</v>
      </c>
      <c r="N151" s="81">
        <f t="shared" si="21"/>
        <v>11</v>
      </c>
      <c r="O151" s="82">
        <f t="shared" si="22"/>
        <v>2</v>
      </c>
      <c r="P151" s="70" t="str">
        <f t="shared" si="25"/>
        <v>ROOD</v>
      </c>
      <c r="Q151" s="86" t="str">
        <f t="shared" si="23"/>
        <v>Jonas</v>
      </c>
      <c r="R151" s="87" t="str">
        <f t="shared" si="24"/>
        <v>Karel</v>
      </c>
      <c r="S151" s="147" t="str">
        <f>Tabel158[[#This Row],[Rood Verdediging]]&amp;Tabel158[[#This Row],[Rood Aanval]]</f>
        <v>JonasKarel</v>
      </c>
      <c r="T151" s="147" t="str">
        <f>Tabel158[[#This Row],[Groen Verdediging]]&amp;Tabel158[[#This Row],[Groen Aanval]]</f>
        <v>StijnNicolas</v>
      </c>
      <c r="U151" s="147" t="str">
        <f>Tabel158[[#This Row],[Winnaar 1]]&amp;Tabel158[[#This Row],[Winnaar 2]]</f>
        <v>JonasKarel</v>
      </c>
      <c r="V151" s="147" t="str">
        <f>IF(Tabel158[[#This Row],[Team Rood]]=Tabel158[[#This Row],[Winnaars]],Tabel158[[#This Row],[Team Rood]])</f>
        <v>JonasKarel</v>
      </c>
      <c r="W151" s="147" t="b">
        <f>IF(Tabel158[[#This Row],[Team Groen]]=Tabel158[[#This Row],[Winnaars]],Tabel158[[#This Row],[Team Groen]])</f>
        <v>0</v>
      </c>
      <c r="AH151" s="251" t="s">
        <v>157</v>
      </c>
      <c r="AI151" s="250" t="s">
        <v>67</v>
      </c>
      <c r="AJ151" s="140" t="str">
        <f t="shared" si="26"/>
        <v>Tobi*Lawrence</v>
      </c>
      <c r="AK151" s="160">
        <f>IF(Tabel59[[#This Row],[Aantal Games Rood]]=0,0,(Tabel59[[#This Row],[Wins Rood]])/Tabel59[[#This Row],[Aantal Games Rood]])</f>
        <v>0</v>
      </c>
      <c r="AL151" s="159">
        <f>IF(Tabel59[[#This Row],[Aantal Games Groen]]=0,0,(Tabel59[[#This Row],[Wins Groen]])/Tabel59[[#This Row],[Aantal Games Groen]])</f>
        <v>0</v>
      </c>
      <c r="AM151" s="156">
        <f>IF(Tabel59[[#This Row],[Aantal games Alg]]=0,0,(Tabel59[[#This Row],[Wins Alg]])/Tabel59[[#This Row],[Aantal games Alg]])</f>
        <v>0</v>
      </c>
      <c r="AN151" s="135">
        <f>COUNTIF(Tabel158[Winaar rood],Tabel59[[#This Row],[Team]])</f>
        <v>0</v>
      </c>
      <c r="AO151" s="134">
        <f>COUNTIF(Tabel158[Winnaar Groen],Tabel59[[#This Row],[Team]])</f>
        <v>0</v>
      </c>
      <c r="AP151">
        <f>COUNTIF(Tabel158[Winnaars],Tabel59[[#This Row],[Team]])</f>
        <v>0</v>
      </c>
      <c r="AQ151" s="135">
        <f>Tabel59[[#This Row],[Aantal Games Rood]]-Tabel59[[#This Row],[Wins Rood]]</f>
        <v>0</v>
      </c>
      <c r="AR151" s="136">
        <f>Tabel59[[#This Row],[Aantal Games Groen]]-Tabel59[[#This Row],[Wins Groen]]</f>
        <v>0</v>
      </c>
      <c r="AS151" s="137">
        <f>Tabel59[[#This Row],[Aantal games Alg]]-Tabel59[[#This Row],[Wins Alg]]</f>
        <v>0</v>
      </c>
      <c r="AT151" s="138">
        <f>COUNTIF(Tabel158[Team Rood],Tabel59[[#This Row],[Team]])</f>
        <v>0</v>
      </c>
      <c r="AU151" s="136">
        <f>COUNTIF(Tabel158[Team Groen],Tabel59[[#This Row],[Team]])</f>
        <v>0</v>
      </c>
      <c r="AV151" s="137">
        <f>Tabel59[[#This Row],[Aantal Games Rood]]+Tabel59[[#This Row],[Aantal Games Groen]]</f>
        <v>0</v>
      </c>
      <c r="AW151" s="138">
        <f>SUMIF(Tabel158[Team Rood],Tabel59[[#This Row],[Team]],Tabel158[Score])</f>
        <v>0</v>
      </c>
      <c r="AX151" s="138">
        <f>SUMIF(Tabel158[Team Rood],Tabel59[[#This Row],[Team]],Tabel158[Score2])</f>
        <v>0</v>
      </c>
      <c r="AY151" s="134">
        <f>SUMIF(Tabel158[Team Groen],Tabel59[[#This Row],[Team]],Tabel158[Score3])</f>
        <v>0</v>
      </c>
      <c r="AZ151" s="136">
        <f>SUMIF(Tabel158[Team Groen],Tabel59[[#This Row],[Team]],Tabel158[Score4])</f>
        <v>0</v>
      </c>
      <c r="BA151">
        <f>SUM(Tabel59[[#This Row],[Goals Verdediger]]+Tabel59[[#This Row],[Goals DefG]])</f>
        <v>0</v>
      </c>
      <c r="BB151">
        <f>IF(Tabel59[[#This Row],[Aantal games Alg]]=0,0,Tabel59[[#This Row],[Goals DefA]]/Tabel59[[#This Row],[Aantal games Alg]])</f>
        <v>0</v>
      </c>
      <c r="BC151">
        <f>SUM(Tabel59[[#This Row],[Goals Aanvaller]]+Tabel59[[#This Row],[Goals OffG]])</f>
        <v>0</v>
      </c>
      <c r="BD151">
        <f>IF(Tabel59[[#This Row],[Aantal games Alg]]=0,0,Tabel59[[#This Row],[Goals OffA]]/Tabel59[[#This Row],[Aantal games Alg]])</f>
        <v>0</v>
      </c>
      <c r="BE151" s="112">
        <f>Tabel59[[#This Row],[Goals DefA]]+Tabel59[[#This Row],[Goals OffA]]</f>
        <v>0</v>
      </c>
      <c r="BF151" s="112">
        <f>IF(Tabel59[[#This Row],[Aantal games Alg]]=0,0,Tabel59[[#This Row],[Goals Alg]]/Tabel59[[#This Row],[Aantal games Alg]])</f>
        <v>0</v>
      </c>
      <c r="BG151" s="148">
        <f>SUMIF(Tabel158[Team Rood],Tabel59[[#This Row],[Team]],Tabel158[ET])</f>
        <v>0</v>
      </c>
      <c r="BH151" s="150">
        <f>SUMIF(Tabel158[Team Groen],Tabel59[[#This Row],[Team]],Tabel158[ET])</f>
        <v>0</v>
      </c>
      <c r="BI151" s="153">
        <f>SUM(Tabel59[[#This Row],[ET Groen tot]],Tabel59[[#This Row],[ET Rood tot]])</f>
        <v>0</v>
      </c>
      <c r="BJ151" s="155">
        <f>IF(Tabel59[[#This Row],[Aantal games Alg]]=0,0,Tabel59[[#This Row],[ET tot]]/Tabel59[[#This Row],[Aantal games Alg]])</f>
        <v>0</v>
      </c>
    </row>
    <row r="152" spans="1:62" x14ac:dyDescent="0.25">
      <c r="A152" s="125">
        <f ca="1">IF(Tabel158[[#This Row],[Rood Verdediging]]&lt;&gt;"",IF(A152="",NOW(),A152),"")</f>
        <v>0</v>
      </c>
      <c r="B152" s="128">
        <f ca="1">IF(Tabel158[[#This Row],[Rood Verdediging]]&lt;&gt;"",IF(B152="",NOW(),B152),"")</f>
        <v>43878.947694907409</v>
      </c>
      <c r="C152" s="126">
        <f ca="1">IF(Tabel158[[#This Row],[Score]]&lt;&gt;"",IF(C152="",NOW(),C152),"")</f>
        <v>43878.947694907409</v>
      </c>
      <c r="D152" s="182">
        <f ca="1">IF(OR(Tabel158[[#This Row],[Starttijd]]="",Tabel158[[#This Row],[Eindtijd]]=""),"",Tabel158[[#This Row],[Eindtijd]]-Tabel158[[#This Row],[Starttijd]])</f>
        <v>0</v>
      </c>
      <c r="E152" s="74">
        <v>120</v>
      </c>
      <c r="F152" s="205" t="s">
        <v>6</v>
      </c>
      <c r="G152" s="210">
        <v>6</v>
      </c>
      <c r="H152" s="205" t="s">
        <v>15</v>
      </c>
      <c r="I152" s="210">
        <v>4</v>
      </c>
      <c r="J152" s="206" t="s">
        <v>167</v>
      </c>
      <c r="K152" s="212">
        <v>3</v>
      </c>
      <c r="L152" s="206" t="s">
        <v>7</v>
      </c>
      <c r="M152" s="212">
        <v>9</v>
      </c>
      <c r="N152" s="81">
        <f t="shared" si="21"/>
        <v>10</v>
      </c>
      <c r="O152" s="82">
        <f t="shared" si="22"/>
        <v>12</v>
      </c>
      <c r="P152" s="70" t="str">
        <f t="shared" si="25"/>
        <v>GROEN</v>
      </c>
      <c r="Q152" s="86" t="str">
        <f t="shared" si="23"/>
        <v>Coghe</v>
      </c>
      <c r="R152" s="87" t="str">
        <f t="shared" si="24"/>
        <v>Tiemen</v>
      </c>
      <c r="S152" s="147" t="str">
        <f>Tabel158[[#This Row],[Rood Verdediging]]&amp;Tabel158[[#This Row],[Rood Aanval]]</f>
        <v>Stef DStijn</v>
      </c>
      <c r="T152" s="147" t="str">
        <f>Tabel158[[#This Row],[Groen Verdediging]]&amp;Tabel158[[#This Row],[Groen Aanval]]</f>
        <v>CogheTiemen</v>
      </c>
      <c r="U152" s="147" t="str">
        <f>Tabel158[[#This Row],[Winnaar 1]]&amp;Tabel158[[#This Row],[Winnaar 2]]</f>
        <v>CogheTiemen</v>
      </c>
      <c r="V152" s="147" t="b">
        <f>IF(Tabel158[[#This Row],[Team Rood]]=Tabel158[[#This Row],[Winnaars]],Tabel158[[#This Row],[Team Rood]])</f>
        <v>0</v>
      </c>
      <c r="W152" s="147" t="str">
        <f>IF(Tabel158[[#This Row],[Team Groen]]=Tabel158[[#This Row],[Winnaars]],Tabel158[[#This Row],[Team Groen]])</f>
        <v>CogheTiemen</v>
      </c>
      <c r="AH152" s="251" t="s">
        <v>157</v>
      </c>
      <c r="AI152" s="250" t="s">
        <v>161</v>
      </c>
      <c r="AJ152" s="140" t="str">
        <f t="shared" si="26"/>
        <v>Tobi*Louis*</v>
      </c>
      <c r="AK152" s="160">
        <f>IF(Tabel59[[#This Row],[Aantal Games Rood]]=0,0,(Tabel59[[#This Row],[Wins Rood]])/Tabel59[[#This Row],[Aantal Games Rood]])</f>
        <v>0</v>
      </c>
      <c r="AL152" s="159">
        <f>IF(Tabel59[[#This Row],[Aantal Games Groen]]=0,0,(Tabel59[[#This Row],[Wins Groen]])/Tabel59[[#This Row],[Aantal Games Groen]])</f>
        <v>0</v>
      </c>
      <c r="AM152" s="156">
        <f>IF(Tabel59[[#This Row],[Aantal games Alg]]=0,0,(Tabel59[[#This Row],[Wins Alg]])/Tabel59[[#This Row],[Aantal games Alg]])</f>
        <v>0</v>
      </c>
      <c r="AN152" s="135">
        <f>COUNTIF(Tabel158[Winaar rood],Tabel59[[#This Row],[Team]])</f>
        <v>0</v>
      </c>
      <c r="AO152" s="134">
        <f>COUNTIF(Tabel158[Winnaar Groen],Tabel59[[#This Row],[Team]])</f>
        <v>0</v>
      </c>
      <c r="AP152">
        <f>COUNTIF(Tabel158[Winnaars],Tabel59[[#This Row],[Team]])</f>
        <v>0</v>
      </c>
      <c r="AQ152" s="135">
        <f>Tabel59[[#This Row],[Aantal Games Rood]]-Tabel59[[#This Row],[Wins Rood]]</f>
        <v>0</v>
      </c>
      <c r="AR152" s="136">
        <f>Tabel59[[#This Row],[Aantal Games Groen]]-Tabel59[[#This Row],[Wins Groen]]</f>
        <v>0</v>
      </c>
      <c r="AS152" s="137">
        <f>Tabel59[[#This Row],[Aantal games Alg]]-Tabel59[[#This Row],[Wins Alg]]</f>
        <v>0</v>
      </c>
      <c r="AT152" s="138">
        <f>COUNTIF(Tabel158[Team Rood],Tabel59[[#This Row],[Team]])</f>
        <v>0</v>
      </c>
      <c r="AU152" s="136">
        <f>COUNTIF(Tabel158[Team Groen],Tabel59[[#This Row],[Team]])</f>
        <v>0</v>
      </c>
      <c r="AV152" s="137">
        <f>Tabel59[[#This Row],[Aantal Games Rood]]+Tabel59[[#This Row],[Aantal Games Groen]]</f>
        <v>0</v>
      </c>
      <c r="AW152" s="138">
        <f>SUMIF(Tabel158[Team Rood],Tabel59[[#This Row],[Team]],Tabel158[Score])</f>
        <v>0</v>
      </c>
      <c r="AX152" s="138">
        <f>SUMIF(Tabel158[Team Rood],Tabel59[[#This Row],[Team]],Tabel158[Score2])</f>
        <v>0</v>
      </c>
      <c r="AY152" s="134">
        <f>SUMIF(Tabel158[Team Groen],Tabel59[[#This Row],[Team]],Tabel158[Score3])</f>
        <v>0</v>
      </c>
      <c r="AZ152" s="136">
        <f>SUMIF(Tabel158[Team Groen],Tabel59[[#This Row],[Team]],Tabel158[Score4])</f>
        <v>0</v>
      </c>
      <c r="BA152">
        <f>SUM(Tabel59[[#This Row],[Goals Verdediger]]+Tabel59[[#This Row],[Goals DefG]])</f>
        <v>0</v>
      </c>
      <c r="BB152">
        <f>IF(Tabel59[[#This Row],[Aantal games Alg]]=0,0,Tabel59[[#This Row],[Goals DefA]]/Tabel59[[#This Row],[Aantal games Alg]])</f>
        <v>0</v>
      </c>
      <c r="BC152">
        <f>SUM(Tabel59[[#This Row],[Goals Aanvaller]]+Tabel59[[#This Row],[Goals OffG]])</f>
        <v>0</v>
      </c>
      <c r="BD152">
        <f>IF(Tabel59[[#This Row],[Aantal games Alg]]=0,0,Tabel59[[#This Row],[Goals OffA]]/Tabel59[[#This Row],[Aantal games Alg]])</f>
        <v>0</v>
      </c>
      <c r="BE152" s="112">
        <f>Tabel59[[#This Row],[Goals DefA]]+Tabel59[[#This Row],[Goals OffA]]</f>
        <v>0</v>
      </c>
      <c r="BF152" s="112">
        <f>IF(Tabel59[[#This Row],[Aantal games Alg]]=0,0,Tabel59[[#This Row],[Goals Alg]]/Tabel59[[#This Row],[Aantal games Alg]])</f>
        <v>0</v>
      </c>
      <c r="BG152" s="148">
        <f>SUMIF(Tabel158[Team Rood],Tabel59[[#This Row],[Team]],Tabel158[ET])</f>
        <v>0</v>
      </c>
      <c r="BH152" s="150">
        <f>SUMIF(Tabel158[Team Groen],Tabel59[[#This Row],[Team]],Tabel158[ET])</f>
        <v>0</v>
      </c>
      <c r="BI152" s="153">
        <f>SUM(Tabel59[[#This Row],[ET Groen tot]],Tabel59[[#This Row],[ET Rood tot]])</f>
        <v>0</v>
      </c>
      <c r="BJ152" s="155">
        <f>IF(Tabel59[[#This Row],[Aantal games Alg]]=0,0,Tabel59[[#This Row],[ET tot]]/Tabel59[[#This Row],[Aantal games Alg]])</f>
        <v>0</v>
      </c>
    </row>
    <row r="153" spans="1:62" x14ac:dyDescent="0.25">
      <c r="A153" s="125">
        <f ca="1">IF(Tabel158[[#This Row],[Rood Verdediging]]&lt;&gt;"",IF(A153="",NOW(),A153),"")</f>
        <v>0</v>
      </c>
      <c r="B153" s="128">
        <f ca="1">IF(Tabel158[[#This Row],[Rood Verdediging]]&lt;&gt;"",IF(B153="",NOW(),B153),"")</f>
        <v>43878.947694907409</v>
      </c>
      <c r="C153" s="126">
        <f ca="1">IF(Tabel158[[#This Row],[Score]]&lt;&gt;"",IF(C153="",NOW(),C153),"")</f>
        <v>43878.947694907409</v>
      </c>
      <c r="D153" s="182">
        <f ca="1">IF(OR(Tabel158[[#This Row],[Starttijd]]="",Tabel158[[#This Row],[Eindtijd]]=""),"",Tabel158[[#This Row],[Eindtijd]]-Tabel158[[#This Row],[Starttijd]])</f>
        <v>0</v>
      </c>
      <c r="E153" s="74">
        <v>120</v>
      </c>
      <c r="F153" s="205" t="s">
        <v>11</v>
      </c>
      <c r="G153" s="210">
        <v>2</v>
      </c>
      <c r="H153" s="205" t="s">
        <v>6</v>
      </c>
      <c r="I153" s="210">
        <v>9</v>
      </c>
      <c r="J153" s="206" t="s">
        <v>0</v>
      </c>
      <c r="K153" s="212">
        <v>1</v>
      </c>
      <c r="L153" s="206" t="s">
        <v>19</v>
      </c>
      <c r="M153" s="212">
        <v>5</v>
      </c>
      <c r="N153" s="81">
        <f t="shared" si="21"/>
        <v>11</v>
      </c>
      <c r="O153" s="82">
        <f t="shared" si="22"/>
        <v>6</v>
      </c>
      <c r="P153" s="70" t="str">
        <f t="shared" si="25"/>
        <v>ROOD</v>
      </c>
      <c r="Q153" s="86" t="str">
        <f t="shared" si="23"/>
        <v>Matthijs</v>
      </c>
      <c r="R153" s="87" t="str">
        <f t="shared" si="24"/>
        <v>Stef D</v>
      </c>
      <c r="S153" s="147" t="str">
        <f>Tabel158[[#This Row],[Rood Verdediging]]&amp;Tabel158[[#This Row],[Rood Aanval]]</f>
        <v>MatthijsStef D</v>
      </c>
      <c r="T153" s="147" t="str">
        <f>Tabel158[[#This Row],[Groen Verdediging]]&amp;Tabel158[[#This Row],[Groen Aanval]]</f>
        <v>JonasNicolas</v>
      </c>
      <c r="U153" s="147" t="str">
        <f>Tabel158[[#This Row],[Winnaar 1]]&amp;Tabel158[[#This Row],[Winnaar 2]]</f>
        <v>MatthijsStef D</v>
      </c>
      <c r="V153" s="147" t="str">
        <f>IF(Tabel158[[#This Row],[Team Rood]]=Tabel158[[#This Row],[Winnaars]],Tabel158[[#This Row],[Team Rood]])</f>
        <v>MatthijsStef D</v>
      </c>
      <c r="W153" s="147" t="b">
        <f>IF(Tabel158[[#This Row],[Team Groen]]=Tabel158[[#This Row],[Winnaars]],Tabel158[[#This Row],[Team Groen]])</f>
        <v>0</v>
      </c>
      <c r="AH153" s="251" t="s">
        <v>157</v>
      </c>
      <c r="AI153" s="250" t="s">
        <v>162</v>
      </c>
      <c r="AJ153" s="140" t="str">
        <f t="shared" si="26"/>
        <v>Tobi*Matthijs*</v>
      </c>
      <c r="AK153" s="160">
        <f>IF(Tabel59[[#This Row],[Aantal Games Rood]]=0,0,(Tabel59[[#This Row],[Wins Rood]])/Tabel59[[#This Row],[Aantal Games Rood]])</f>
        <v>0</v>
      </c>
      <c r="AL153" s="159">
        <f>IF(Tabel59[[#This Row],[Aantal Games Groen]]=0,0,(Tabel59[[#This Row],[Wins Groen]])/Tabel59[[#This Row],[Aantal Games Groen]])</f>
        <v>0</v>
      </c>
      <c r="AM153" s="156">
        <f>IF(Tabel59[[#This Row],[Aantal games Alg]]=0,0,(Tabel59[[#This Row],[Wins Alg]])/Tabel59[[#This Row],[Aantal games Alg]])</f>
        <v>0</v>
      </c>
      <c r="AN153" s="135">
        <f>COUNTIF(Tabel158[Winaar rood],Tabel59[[#This Row],[Team]])</f>
        <v>0</v>
      </c>
      <c r="AO153" s="134">
        <f>COUNTIF(Tabel158[Winnaar Groen],Tabel59[[#This Row],[Team]])</f>
        <v>0</v>
      </c>
      <c r="AP153">
        <f>COUNTIF(Tabel158[Winnaars],Tabel59[[#This Row],[Team]])</f>
        <v>0</v>
      </c>
      <c r="AQ153" s="135">
        <f>Tabel59[[#This Row],[Aantal Games Rood]]-Tabel59[[#This Row],[Wins Rood]]</f>
        <v>0</v>
      </c>
      <c r="AR153" s="136">
        <f>Tabel59[[#This Row],[Aantal Games Groen]]-Tabel59[[#This Row],[Wins Groen]]</f>
        <v>0</v>
      </c>
      <c r="AS153" s="137">
        <f>Tabel59[[#This Row],[Aantal games Alg]]-Tabel59[[#This Row],[Wins Alg]]</f>
        <v>0</v>
      </c>
      <c r="AT153" s="138">
        <f>COUNTIF(Tabel158[Team Rood],Tabel59[[#This Row],[Team]])</f>
        <v>0</v>
      </c>
      <c r="AU153" s="136">
        <f>COUNTIF(Tabel158[Team Groen],Tabel59[[#This Row],[Team]])</f>
        <v>0</v>
      </c>
      <c r="AV153" s="137">
        <f>Tabel59[[#This Row],[Aantal Games Rood]]+Tabel59[[#This Row],[Aantal Games Groen]]</f>
        <v>0</v>
      </c>
      <c r="AW153" s="138">
        <f>SUMIF(Tabel158[Team Rood],Tabel59[[#This Row],[Team]],Tabel158[Score])</f>
        <v>0</v>
      </c>
      <c r="AX153" s="138">
        <f>SUMIF(Tabel158[Team Rood],Tabel59[[#This Row],[Team]],Tabel158[Score2])</f>
        <v>0</v>
      </c>
      <c r="AY153" s="134">
        <f>SUMIF(Tabel158[Team Groen],Tabel59[[#This Row],[Team]],Tabel158[Score3])</f>
        <v>0</v>
      </c>
      <c r="AZ153" s="136">
        <f>SUMIF(Tabel158[Team Groen],Tabel59[[#This Row],[Team]],Tabel158[Score4])</f>
        <v>0</v>
      </c>
      <c r="BA153">
        <f>SUM(Tabel59[[#This Row],[Goals Verdediger]]+Tabel59[[#This Row],[Goals DefG]])</f>
        <v>0</v>
      </c>
      <c r="BB153">
        <f>IF(Tabel59[[#This Row],[Aantal games Alg]]=0,0,Tabel59[[#This Row],[Goals DefA]]/Tabel59[[#This Row],[Aantal games Alg]])</f>
        <v>0</v>
      </c>
      <c r="BC153">
        <f>SUM(Tabel59[[#This Row],[Goals Aanvaller]]+Tabel59[[#This Row],[Goals OffG]])</f>
        <v>0</v>
      </c>
      <c r="BD153">
        <f>IF(Tabel59[[#This Row],[Aantal games Alg]]=0,0,Tabel59[[#This Row],[Goals OffA]]/Tabel59[[#This Row],[Aantal games Alg]])</f>
        <v>0</v>
      </c>
      <c r="BE153" s="112">
        <f>Tabel59[[#This Row],[Goals DefA]]+Tabel59[[#This Row],[Goals OffA]]</f>
        <v>0</v>
      </c>
      <c r="BF153" s="112">
        <f>IF(Tabel59[[#This Row],[Aantal games Alg]]=0,0,Tabel59[[#This Row],[Goals Alg]]/Tabel59[[#This Row],[Aantal games Alg]])</f>
        <v>0</v>
      </c>
      <c r="BG153" s="148">
        <f>SUMIF(Tabel158[Team Rood],Tabel59[[#This Row],[Team]],Tabel158[ET])</f>
        <v>0</v>
      </c>
      <c r="BH153" s="150">
        <f>SUMIF(Tabel158[Team Groen],Tabel59[[#This Row],[Team]],Tabel158[ET])</f>
        <v>0</v>
      </c>
      <c r="BI153" s="153">
        <f>SUM(Tabel59[[#This Row],[ET Groen tot]],Tabel59[[#This Row],[ET Rood tot]])</f>
        <v>0</v>
      </c>
      <c r="BJ153" s="155">
        <f>IF(Tabel59[[#This Row],[Aantal games Alg]]=0,0,Tabel59[[#This Row],[ET tot]]/Tabel59[[#This Row],[Aantal games Alg]])</f>
        <v>0</v>
      </c>
    </row>
    <row r="154" spans="1:62" x14ac:dyDescent="0.25">
      <c r="A154" s="125">
        <f ca="1">IF(Tabel158[[#This Row],[Rood Verdediging]]&lt;&gt;"",IF(A154="",NOW(),A154),"")</f>
        <v>0</v>
      </c>
      <c r="B154" s="128">
        <f ca="1">IF(Tabel158[[#This Row],[Rood Verdediging]]&lt;&gt;"",IF(B154="",NOW(),B154),"")</f>
        <v>43878.947694907409</v>
      </c>
      <c r="C154" s="126">
        <f ca="1">IF(Tabel158[[#This Row],[Score]]&lt;&gt;"",IF(C154="",NOW(),C154),"")</f>
        <v>43878.947694907409</v>
      </c>
      <c r="D154" s="182">
        <f ca="1">IF(OR(Tabel158[[#This Row],[Starttijd]]="",Tabel158[[#This Row],[Eindtijd]]=""),"",Tabel158[[#This Row],[Eindtijd]]-Tabel158[[#This Row],[Starttijd]])</f>
        <v>0</v>
      </c>
      <c r="E154" s="74">
        <v>120</v>
      </c>
      <c r="F154" s="205" t="s">
        <v>7</v>
      </c>
      <c r="G154" s="210">
        <v>3</v>
      </c>
      <c r="H154" s="205" t="s">
        <v>13</v>
      </c>
      <c r="I154" s="210">
        <v>8</v>
      </c>
      <c r="J154" s="206" t="s">
        <v>15</v>
      </c>
      <c r="K154" s="212">
        <v>1</v>
      </c>
      <c r="L154" s="206" t="s">
        <v>11</v>
      </c>
      <c r="M154" s="212">
        <v>4</v>
      </c>
      <c r="N154" s="81">
        <f t="shared" si="21"/>
        <v>11</v>
      </c>
      <c r="O154" s="82">
        <f t="shared" si="22"/>
        <v>5</v>
      </c>
      <c r="P154" s="70" t="str">
        <f t="shared" si="25"/>
        <v>ROOD</v>
      </c>
      <c r="Q154" s="86" t="str">
        <f t="shared" si="23"/>
        <v>Tiemen</v>
      </c>
      <c r="R154" s="87" t="str">
        <f t="shared" si="24"/>
        <v>Bert</v>
      </c>
      <c r="S154" s="147" t="str">
        <f>Tabel158[[#This Row],[Rood Verdediging]]&amp;Tabel158[[#This Row],[Rood Aanval]]</f>
        <v>TiemenBert</v>
      </c>
      <c r="T154" s="147" t="str">
        <f>Tabel158[[#This Row],[Groen Verdediging]]&amp;Tabel158[[#This Row],[Groen Aanval]]</f>
        <v>StijnMatthijs</v>
      </c>
      <c r="U154" s="147" t="str">
        <f>Tabel158[[#This Row],[Winnaar 1]]&amp;Tabel158[[#This Row],[Winnaar 2]]</f>
        <v>TiemenBert</v>
      </c>
      <c r="V154" s="147" t="str">
        <f>IF(Tabel158[[#This Row],[Team Rood]]=Tabel158[[#This Row],[Winnaars]],Tabel158[[#This Row],[Team Rood]])</f>
        <v>TiemenBert</v>
      </c>
      <c r="W154" s="147" t="b">
        <f>IF(Tabel158[[#This Row],[Team Groen]]=Tabel158[[#This Row],[Winnaars]],Tabel158[[#This Row],[Team Groen]])</f>
        <v>0</v>
      </c>
      <c r="AH154" s="251" t="s">
        <v>157</v>
      </c>
      <c r="AI154" s="250" t="s">
        <v>170</v>
      </c>
      <c r="AJ154" s="140" t="str">
        <f t="shared" si="26"/>
        <v>Tobi*Nico*</v>
      </c>
      <c r="AK154" s="160">
        <f>IF(Tabel59[[#This Row],[Aantal Games Rood]]=0,0,(Tabel59[[#This Row],[Wins Rood]])/Tabel59[[#This Row],[Aantal Games Rood]])</f>
        <v>0</v>
      </c>
      <c r="AL154" s="159">
        <f>IF(Tabel59[[#This Row],[Aantal Games Groen]]=0,0,(Tabel59[[#This Row],[Wins Groen]])/Tabel59[[#This Row],[Aantal Games Groen]])</f>
        <v>0</v>
      </c>
      <c r="AM154" s="156">
        <f>IF(Tabel59[[#This Row],[Aantal games Alg]]=0,0,(Tabel59[[#This Row],[Wins Alg]])/Tabel59[[#This Row],[Aantal games Alg]])</f>
        <v>0</v>
      </c>
      <c r="AN154" s="135">
        <f>COUNTIF(Tabel158[Winaar rood],Tabel59[[#This Row],[Team]])</f>
        <v>0</v>
      </c>
      <c r="AO154" s="134">
        <f>COUNTIF(Tabel158[Winnaar Groen],Tabel59[[#This Row],[Team]])</f>
        <v>0</v>
      </c>
      <c r="AP154">
        <f>COUNTIF(Tabel158[Winnaars],Tabel59[[#This Row],[Team]])</f>
        <v>0</v>
      </c>
      <c r="AQ154" s="135">
        <f>Tabel59[[#This Row],[Aantal Games Rood]]-Tabel59[[#This Row],[Wins Rood]]</f>
        <v>0</v>
      </c>
      <c r="AR154" s="136">
        <f>Tabel59[[#This Row],[Aantal Games Groen]]-Tabel59[[#This Row],[Wins Groen]]</f>
        <v>0</v>
      </c>
      <c r="AS154" s="137">
        <f>Tabel59[[#This Row],[Aantal games Alg]]-Tabel59[[#This Row],[Wins Alg]]</f>
        <v>0</v>
      </c>
      <c r="AT154" s="138">
        <f>COUNTIF(Tabel158[Team Rood],Tabel59[[#This Row],[Team]])</f>
        <v>0</v>
      </c>
      <c r="AU154" s="136">
        <f>COUNTIF(Tabel158[Team Groen],Tabel59[[#This Row],[Team]])</f>
        <v>0</v>
      </c>
      <c r="AV154" s="137">
        <f>Tabel59[[#This Row],[Aantal Games Rood]]+Tabel59[[#This Row],[Aantal Games Groen]]</f>
        <v>0</v>
      </c>
      <c r="AW154" s="138">
        <f>SUMIF(Tabel158[Team Rood],Tabel59[[#This Row],[Team]],Tabel158[Score])</f>
        <v>0</v>
      </c>
      <c r="AX154" s="138">
        <f>SUMIF(Tabel158[Team Rood],Tabel59[[#This Row],[Team]],Tabel158[Score2])</f>
        <v>0</v>
      </c>
      <c r="AY154" s="134">
        <f>SUMIF(Tabel158[Team Groen],Tabel59[[#This Row],[Team]],Tabel158[Score3])</f>
        <v>0</v>
      </c>
      <c r="AZ154" s="136">
        <f>SUMIF(Tabel158[Team Groen],Tabel59[[#This Row],[Team]],Tabel158[Score4])</f>
        <v>0</v>
      </c>
      <c r="BA154">
        <f>SUM(Tabel59[[#This Row],[Goals Verdediger]]+Tabel59[[#This Row],[Goals DefG]])</f>
        <v>0</v>
      </c>
      <c r="BB154">
        <f>IF(Tabel59[[#This Row],[Aantal games Alg]]=0,0,Tabel59[[#This Row],[Goals DefA]]/Tabel59[[#This Row],[Aantal games Alg]])</f>
        <v>0</v>
      </c>
      <c r="BC154">
        <f>SUM(Tabel59[[#This Row],[Goals Aanvaller]]+Tabel59[[#This Row],[Goals OffG]])</f>
        <v>0</v>
      </c>
      <c r="BD154">
        <f>IF(Tabel59[[#This Row],[Aantal games Alg]]=0,0,Tabel59[[#This Row],[Goals OffA]]/Tabel59[[#This Row],[Aantal games Alg]])</f>
        <v>0</v>
      </c>
      <c r="BE154" s="112">
        <f>Tabel59[[#This Row],[Goals DefA]]+Tabel59[[#This Row],[Goals OffA]]</f>
        <v>0</v>
      </c>
      <c r="BF154" s="112">
        <f>IF(Tabel59[[#This Row],[Aantal games Alg]]=0,0,Tabel59[[#This Row],[Goals Alg]]/Tabel59[[#This Row],[Aantal games Alg]])</f>
        <v>0</v>
      </c>
      <c r="BG154" s="148">
        <f>SUMIF(Tabel158[Team Rood],Tabel59[[#This Row],[Team]],Tabel158[ET])</f>
        <v>0</v>
      </c>
      <c r="BH154" s="150">
        <f>SUMIF(Tabel158[Team Groen],Tabel59[[#This Row],[Team]],Tabel158[ET])</f>
        <v>0</v>
      </c>
      <c r="BI154" s="153">
        <f>SUM(Tabel59[[#This Row],[ET Groen tot]],Tabel59[[#This Row],[ET Rood tot]])</f>
        <v>0</v>
      </c>
      <c r="BJ154" s="155">
        <f>IF(Tabel59[[#This Row],[Aantal games Alg]]=0,0,Tabel59[[#This Row],[ET tot]]/Tabel59[[#This Row],[Aantal games Alg]])</f>
        <v>0</v>
      </c>
    </row>
    <row r="155" spans="1:62" x14ac:dyDescent="0.25">
      <c r="A155" s="125">
        <f ca="1">IF(Tabel158[[#This Row],[Rood Verdediging]]&lt;&gt;"",IF(A155="",NOW(),A155),"")</f>
        <v>0</v>
      </c>
      <c r="B155" s="128">
        <f ca="1">IF(Tabel158[[#This Row],[Rood Verdediging]]&lt;&gt;"",IF(B155="",NOW(),B155),"")</f>
        <v>43878.947694907409</v>
      </c>
      <c r="C155" s="126">
        <f ca="1">IF(Tabel158[[#This Row],[Score]]&lt;&gt;"",IF(C155="",NOW(),C155),"")</f>
        <v>43878.947694907409</v>
      </c>
      <c r="D155" s="182">
        <f ca="1">IF(OR(Tabel158[[#This Row],[Starttijd]]="",Tabel158[[#This Row],[Eindtijd]]=""),"",Tabel158[[#This Row],[Eindtijd]]-Tabel158[[#This Row],[Starttijd]])</f>
        <v>0</v>
      </c>
      <c r="E155" s="74">
        <v>120</v>
      </c>
      <c r="F155" s="205" t="s">
        <v>11</v>
      </c>
      <c r="G155" s="210">
        <v>3</v>
      </c>
      <c r="H155" s="205" t="s">
        <v>0</v>
      </c>
      <c r="I155" s="210">
        <v>8</v>
      </c>
      <c r="J155" s="206" t="s">
        <v>15</v>
      </c>
      <c r="K155" s="212">
        <v>2</v>
      </c>
      <c r="L155" s="206" t="s">
        <v>3</v>
      </c>
      <c r="M155" s="212">
        <v>1</v>
      </c>
      <c r="N155" s="81">
        <f t="shared" si="21"/>
        <v>11</v>
      </c>
      <c r="O155" s="82">
        <f t="shared" si="22"/>
        <v>3</v>
      </c>
      <c r="P155" s="70" t="str">
        <f t="shared" si="25"/>
        <v>ROOD</v>
      </c>
      <c r="Q155" s="86" t="str">
        <f t="shared" si="23"/>
        <v>Matthijs</v>
      </c>
      <c r="R155" s="87" t="str">
        <f t="shared" si="24"/>
        <v>Jonas</v>
      </c>
      <c r="S155" s="147" t="str">
        <f>Tabel158[[#This Row],[Rood Verdediging]]&amp;Tabel158[[#This Row],[Rood Aanval]]</f>
        <v>MatthijsJonas</v>
      </c>
      <c r="T155" s="147" t="str">
        <f>Tabel158[[#This Row],[Groen Verdediging]]&amp;Tabel158[[#This Row],[Groen Aanval]]</f>
        <v>StijnKarel</v>
      </c>
      <c r="U155" s="147" t="str">
        <f>Tabel158[[#This Row],[Winnaar 1]]&amp;Tabel158[[#This Row],[Winnaar 2]]</f>
        <v>MatthijsJonas</v>
      </c>
      <c r="V155" s="147" t="str">
        <f>IF(Tabel158[[#This Row],[Team Rood]]=Tabel158[[#This Row],[Winnaars]],Tabel158[[#This Row],[Team Rood]])</f>
        <v>MatthijsJonas</v>
      </c>
      <c r="W155" s="147" t="b">
        <f>IF(Tabel158[[#This Row],[Team Groen]]=Tabel158[[#This Row],[Winnaars]],Tabel158[[#This Row],[Team Groen]])</f>
        <v>0</v>
      </c>
      <c r="AH155" s="251" t="s">
        <v>157</v>
      </c>
      <c r="AI155" s="250" t="s">
        <v>169</v>
      </c>
      <c r="AJ155" s="140" t="str">
        <f t="shared" si="26"/>
        <v>Tobi*Stef*</v>
      </c>
      <c r="AK155" s="160">
        <f>IF(Tabel59[[#This Row],[Aantal Games Rood]]=0,0,(Tabel59[[#This Row],[Wins Rood]])/Tabel59[[#This Row],[Aantal Games Rood]])</f>
        <v>0</v>
      </c>
      <c r="AL155" s="159">
        <f>IF(Tabel59[[#This Row],[Aantal Games Groen]]=0,0,(Tabel59[[#This Row],[Wins Groen]])/Tabel59[[#This Row],[Aantal Games Groen]])</f>
        <v>0</v>
      </c>
      <c r="AM155" s="156">
        <f>IF(Tabel59[[#This Row],[Aantal games Alg]]=0,0,(Tabel59[[#This Row],[Wins Alg]])/Tabel59[[#This Row],[Aantal games Alg]])</f>
        <v>0</v>
      </c>
      <c r="AN155" s="135">
        <f>COUNTIF(Tabel158[Winaar rood],Tabel59[[#This Row],[Team]])</f>
        <v>0</v>
      </c>
      <c r="AO155" s="134">
        <f>COUNTIF(Tabel158[Winnaar Groen],Tabel59[[#This Row],[Team]])</f>
        <v>0</v>
      </c>
      <c r="AP155">
        <f>COUNTIF(Tabel158[Winnaars],Tabel59[[#This Row],[Team]])</f>
        <v>0</v>
      </c>
      <c r="AQ155" s="135">
        <f>Tabel59[[#This Row],[Aantal Games Rood]]-Tabel59[[#This Row],[Wins Rood]]</f>
        <v>0</v>
      </c>
      <c r="AR155" s="136">
        <f>Tabel59[[#This Row],[Aantal Games Groen]]-Tabel59[[#This Row],[Wins Groen]]</f>
        <v>0</v>
      </c>
      <c r="AS155" s="137">
        <f>Tabel59[[#This Row],[Aantal games Alg]]-Tabel59[[#This Row],[Wins Alg]]</f>
        <v>0</v>
      </c>
      <c r="AT155" s="138">
        <f>COUNTIF(Tabel158[Team Rood],Tabel59[[#This Row],[Team]])</f>
        <v>0</v>
      </c>
      <c r="AU155" s="136">
        <f>COUNTIF(Tabel158[Team Groen],Tabel59[[#This Row],[Team]])</f>
        <v>0</v>
      </c>
      <c r="AV155" s="137">
        <f>Tabel59[[#This Row],[Aantal Games Rood]]+Tabel59[[#This Row],[Aantal Games Groen]]</f>
        <v>0</v>
      </c>
      <c r="AW155" s="138">
        <f>SUMIF(Tabel158[Team Rood],Tabel59[[#This Row],[Team]],Tabel158[Score])</f>
        <v>0</v>
      </c>
      <c r="AX155" s="138">
        <f>SUMIF(Tabel158[Team Rood],Tabel59[[#This Row],[Team]],Tabel158[Score2])</f>
        <v>0</v>
      </c>
      <c r="AY155" s="134">
        <f>SUMIF(Tabel158[Team Groen],Tabel59[[#This Row],[Team]],Tabel158[Score3])</f>
        <v>0</v>
      </c>
      <c r="AZ155" s="136">
        <f>SUMIF(Tabel158[Team Groen],Tabel59[[#This Row],[Team]],Tabel158[Score4])</f>
        <v>0</v>
      </c>
      <c r="BA155">
        <f>SUM(Tabel59[[#This Row],[Goals Verdediger]]+Tabel59[[#This Row],[Goals DefG]])</f>
        <v>0</v>
      </c>
      <c r="BB155">
        <f>IF(Tabel59[[#This Row],[Aantal games Alg]]=0,0,Tabel59[[#This Row],[Goals DefA]]/Tabel59[[#This Row],[Aantal games Alg]])</f>
        <v>0</v>
      </c>
      <c r="BC155">
        <f>SUM(Tabel59[[#This Row],[Goals Aanvaller]]+Tabel59[[#This Row],[Goals OffG]])</f>
        <v>0</v>
      </c>
      <c r="BD155">
        <f>IF(Tabel59[[#This Row],[Aantal games Alg]]=0,0,Tabel59[[#This Row],[Goals OffA]]/Tabel59[[#This Row],[Aantal games Alg]])</f>
        <v>0</v>
      </c>
      <c r="BE155" s="112">
        <f>Tabel59[[#This Row],[Goals DefA]]+Tabel59[[#This Row],[Goals OffA]]</f>
        <v>0</v>
      </c>
      <c r="BF155" s="112">
        <f>IF(Tabel59[[#This Row],[Aantal games Alg]]=0,0,Tabel59[[#This Row],[Goals Alg]]/Tabel59[[#This Row],[Aantal games Alg]])</f>
        <v>0</v>
      </c>
      <c r="BG155" s="148">
        <f>SUMIF(Tabel158[Team Rood],Tabel59[[#This Row],[Team]],Tabel158[ET])</f>
        <v>0</v>
      </c>
      <c r="BH155" s="150">
        <f>SUMIF(Tabel158[Team Groen],Tabel59[[#This Row],[Team]],Tabel158[ET])</f>
        <v>0</v>
      </c>
      <c r="BI155" s="153">
        <f>SUM(Tabel59[[#This Row],[ET Groen tot]],Tabel59[[#This Row],[ET Rood tot]])</f>
        <v>0</v>
      </c>
      <c r="BJ155" s="155">
        <f>IF(Tabel59[[#This Row],[Aantal games Alg]]=0,0,Tabel59[[#This Row],[ET tot]]/Tabel59[[#This Row],[Aantal games Alg]])</f>
        <v>0</v>
      </c>
    </row>
    <row r="156" spans="1:62" x14ac:dyDescent="0.25">
      <c r="A156" s="125">
        <f ca="1">IF(Tabel158[[#This Row],[Rood Verdediging]]&lt;&gt;"",IF(A156="",NOW(),A156),"")</f>
        <v>0</v>
      </c>
      <c r="B156" s="128">
        <f ca="1">IF(Tabel158[[#This Row],[Rood Verdediging]]&lt;&gt;"",IF(B156="",NOW(),B156),"")</f>
        <v>43878.947694907409</v>
      </c>
      <c r="C156" s="126">
        <f ca="1">IF(Tabel158[[#This Row],[Score]]&lt;&gt;"",IF(C156="",NOW(),C156),"")</f>
        <v>43878.947694907409</v>
      </c>
      <c r="D156" s="182">
        <f ca="1">IF(OR(Tabel158[[#This Row],[Starttijd]]="",Tabel158[[#This Row],[Eindtijd]]=""),"",Tabel158[[#This Row],[Eindtijd]]-Tabel158[[#This Row],[Starttijd]])</f>
        <v>0</v>
      </c>
      <c r="E156" s="74">
        <v>120</v>
      </c>
      <c r="F156" s="205" t="s">
        <v>19</v>
      </c>
      <c r="G156" s="210">
        <v>0</v>
      </c>
      <c r="H156" s="205" t="s">
        <v>6</v>
      </c>
      <c r="I156" s="210">
        <v>1</v>
      </c>
      <c r="J156" s="206" t="s">
        <v>0</v>
      </c>
      <c r="K156" s="212">
        <v>6</v>
      </c>
      <c r="L156" s="206" t="s">
        <v>13</v>
      </c>
      <c r="M156" s="212">
        <v>5</v>
      </c>
      <c r="N156" s="81">
        <f t="shared" si="21"/>
        <v>1</v>
      </c>
      <c r="O156" s="82">
        <f t="shared" si="22"/>
        <v>11</v>
      </c>
      <c r="P156" s="70" t="str">
        <f t="shared" si="25"/>
        <v>GROEN</v>
      </c>
      <c r="Q156" s="86" t="str">
        <f t="shared" si="23"/>
        <v>Jonas</v>
      </c>
      <c r="R156" s="87" t="str">
        <f t="shared" si="24"/>
        <v>Bert</v>
      </c>
      <c r="S156" s="147" t="str">
        <f>Tabel158[[#This Row],[Rood Verdediging]]&amp;Tabel158[[#This Row],[Rood Aanval]]</f>
        <v>NicolasStef D</v>
      </c>
      <c r="T156" s="147" t="str">
        <f>Tabel158[[#This Row],[Groen Verdediging]]&amp;Tabel158[[#This Row],[Groen Aanval]]</f>
        <v>JonasBert</v>
      </c>
      <c r="U156" s="147" t="str">
        <f>Tabel158[[#This Row],[Winnaar 1]]&amp;Tabel158[[#This Row],[Winnaar 2]]</f>
        <v>JonasBert</v>
      </c>
      <c r="V156" s="147" t="b">
        <f>IF(Tabel158[[#This Row],[Team Rood]]=Tabel158[[#This Row],[Winnaars]],Tabel158[[#This Row],[Team Rood]])</f>
        <v>0</v>
      </c>
      <c r="W156" s="147" t="str">
        <f>IF(Tabel158[[#This Row],[Team Groen]]=Tabel158[[#This Row],[Winnaars]],Tabel158[[#This Row],[Team Groen]])</f>
        <v>JonasBert</v>
      </c>
      <c r="AH156" s="251" t="s">
        <v>157</v>
      </c>
      <c r="AI156" s="250" t="s">
        <v>166</v>
      </c>
      <c r="AJ156" s="140" t="str">
        <f t="shared" si="26"/>
        <v>Tobi*Stijn*</v>
      </c>
      <c r="AK156" s="160">
        <f>IF(Tabel59[[#This Row],[Aantal Games Rood]]=0,0,(Tabel59[[#This Row],[Wins Rood]])/Tabel59[[#This Row],[Aantal Games Rood]])</f>
        <v>0</v>
      </c>
      <c r="AL156" s="159">
        <f>IF(Tabel59[[#This Row],[Aantal Games Groen]]=0,0,(Tabel59[[#This Row],[Wins Groen]])/Tabel59[[#This Row],[Aantal Games Groen]])</f>
        <v>0</v>
      </c>
      <c r="AM156" s="156">
        <f>IF(Tabel59[[#This Row],[Aantal games Alg]]=0,0,(Tabel59[[#This Row],[Wins Alg]])/Tabel59[[#This Row],[Aantal games Alg]])</f>
        <v>0</v>
      </c>
      <c r="AN156" s="135">
        <f>COUNTIF(Tabel158[Winaar rood],Tabel59[[#This Row],[Team]])</f>
        <v>0</v>
      </c>
      <c r="AO156" s="134">
        <f>COUNTIF(Tabel158[Winnaar Groen],Tabel59[[#This Row],[Team]])</f>
        <v>0</v>
      </c>
      <c r="AP156">
        <f>COUNTIF(Tabel158[Winnaars],Tabel59[[#This Row],[Team]])</f>
        <v>0</v>
      </c>
      <c r="AQ156" s="135">
        <f>Tabel59[[#This Row],[Aantal Games Rood]]-Tabel59[[#This Row],[Wins Rood]]</f>
        <v>0</v>
      </c>
      <c r="AR156" s="136">
        <f>Tabel59[[#This Row],[Aantal Games Groen]]-Tabel59[[#This Row],[Wins Groen]]</f>
        <v>0</v>
      </c>
      <c r="AS156" s="137">
        <f>Tabel59[[#This Row],[Aantal games Alg]]-Tabel59[[#This Row],[Wins Alg]]</f>
        <v>0</v>
      </c>
      <c r="AT156" s="138">
        <f>COUNTIF(Tabel158[Team Rood],Tabel59[[#This Row],[Team]])</f>
        <v>0</v>
      </c>
      <c r="AU156" s="136">
        <f>COUNTIF(Tabel158[Team Groen],Tabel59[[#This Row],[Team]])</f>
        <v>0</v>
      </c>
      <c r="AV156" s="137">
        <f>Tabel59[[#This Row],[Aantal Games Rood]]+Tabel59[[#This Row],[Aantal Games Groen]]</f>
        <v>0</v>
      </c>
      <c r="AW156" s="138">
        <f>SUMIF(Tabel158[Team Rood],Tabel59[[#This Row],[Team]],Tabel158[Score])</f>
        <v>0</v>
      </c>
      <c r="AX156" s="138">
        <f>SUMIF(Tabel158[Team Rood],Tabel59[[#This Row],[Team]],Tabel158[Score2])</f>
        <v>0</v>
      </c>
      <c r="AY156" s="134">
        <f>SUMIF(Tabel158[Team Groen],Tabel59[[#This Row],[Team]],Tabel158[Score3])</f>
        <v>0</v>
      </c>
      <c r="AZ156" s="136">
        <f>SUMIF(Tabel158[Team Groen],Tabel59[[#This Row],[Team]],Tabel158[Score4])</f>
        <v>0</v>
      </c>
      <c r="BA156">
        <f>SUM(Tabel59[[#This Row],[Goals Verdediger]]+Tabel59[[#This Row],[Goals DefG]])</f>
        <v>0</v>
      </c>
      <c r="BB156">
        <f>IF(Tabel59[[#This Row],[Aantal games Alg]]=0,0,Tabel59[[#This Row],[Goals DefA]]/Tabel59[[#This Row],[Aantal games Alg]])</f>
        <v>0</v>
      </c>
      <c r="BC156">
        <f>SUM(Tabel59[[#This Row],[Goals Aanvaller]]+Tabel59[[#This Row],[Goals OffG]])</f>
        <v>0</v>
      </c>
      <c r="BD156">
        <f>IF(Tabel59[[#This Row],[Aantal games Alg]]=0,0,Tabel59[[#This Row],[Goals OffA]]/Tabel59[[#This Row],[Aantal games Alg]])</f>
        <v>0</v>
      </c>
      <c r="BE156" s="112">
        <f>Tabel59[[#This Row],[Goals DefA]]+Tabel59[[#This Row],[Goals OffA]]</f>
        <v>0</v>
      </c>
      <c r="BF156" s="112">
        <f>IF(Tabel59[[#This Row],[Aantal games Alg]]=0,0,Tabel59[[#This Row],[Goals Alg]]/Tabel59[[#This Row],[Aantal games Alg]])</f>
        <v>0</v>
      </c>
      <c r="BG156" s="148">
        <f>SUMIF(Tabel158[Team Rood],Tabel59[[#This Row],[Team]],Tabel158[ET])</f>
        <v>0</v>
      </c>
      <c r="BH156" s="150">
        <f>SUMIF(Tabel158[Team Groen],Tabel59[[#This Row],[Team]],Tabel158[ET])</f>
        <v>0</v>
      </c>
      <c r="BI156" s="153">
        <f>SUM(Tabel59[[#This Row],[ET Groen tot]],Tabel59[[#This Row],[ET Rood tot]])</f>
        <v>0</v>
      </c>
      <c r="BJ156" s="155">
        <f>IF(Tabel59[[#This Row],[Aantal games Alg]]=0,0,Tabel59[[#This Row],[ET tot]]/Tabel59[[#This Row],[Aantal games Alg]])</f>
        <v>0</v>
      </c>
    </row>
    <row r="157" spans="1:62" x14ac:dyDescent="0.25">
      <c r="A157" s="125">
        <f ca="1">IF(Tabel158[[#This Row],[Rood Verdediging]]&lt;&gt;"",IF(A157="",NOW(),A157),"")</f>
        <v>0</v>
      </c>
      <c r="B157" s="128">
        <f ca="1">IF(Tabel158[[#This Row],[Rood Verdediging]]&lt;&gt;"",IF(B157="",NOW(),B157),"")</f>
        <v>43878.947694907409</v>
      </c>
      <c r="C157" s="126">
        <f ca="1">IF(Tabel158[[#This Row],[Score]]&lt;&gt;"",IF(C157="",NOW(),C157),"")</f>
        <v>43878.947694907409</v>
      </c>
      <c r="D157" s="182">
        <f ca="1">IF(OR(Tabel158[[#This Row],[Starttijd]]="",Tabel158[[#This Row],[Eindtijd]]=""),"",Tabel158[[#This Row],[Eindtijd]]-Tabel158[[#This Row],[Starttijd]])</f>
        <v>0</v>
      </c>
      <c r="E157" s="74">
        <v>120</v>
      </c>
      <c r="F157" s="205" t="s">
        <v>0</v>
      </c>
      <c r="G157" s="210">
        <v>6</v>
      </c>
      <c r="H157" s="205" t="s">
        <v>15</v>
      </c>
      <c r="I157" s="210">
        <v>3</v>
      </c>
      <c r="J157" s="206" t="s">
        <v>3</v>
      </c>
      <c r="K157" s="212">
        <v>4</v>
      </c>
      <c r="L157" s="206" t="s">
        <v>6</v>
      </c>
      <c r="M157" s="212">
        <v>7</v>
      </c>
      <c r="N157" s="81">
        <f t="shared" si="21"/>
        <v>9</v>
      </c>
      <c r="O157" s="82">
        <f t="shared" si="22"/>
        <v>11</v>
      </c>
      <c r="P157" s="70" t="str">
        <f t="shared" si="25"/>
        <v>GROEN</v>
      </c>
      <c r="Q157" s="86" t="str">
        <f t="shared" si="23"/>
        <v>Karel</v>
      </c>
      <c r="R157" s="87" t="str">
        <f t="shared" si="24"/>
        <v>Stef D</v>
      </c>
      <c r="S157" s="147" t="str">
        <f>Tabel158[[#This Row],[Rood Verdediging]]&amp;Tabel158[[#This Row],[Rood Aanval]]</f>
        <v>JonasStijn</v>
      </c>
      <c r="T157" s="147" t="str">
        <f>Tabel158[[#This Row],[Groen Verdediging]]&amp;Tabel158[[#This Row],[Groen Aanval]]</f>
        <v>KarelStef D</v>
      </c>
      <c r="U157" s="147" t="str">
        <f>Tabel158[[#This Row],[Winnaar 1]]&amp;Tabel158[[#This Row],[Winnaar 2]]</f>
        <v>KarelStef D</v>
      </c>
      <c r="V157" s="147" t="b">
        <f>IF(Tabel158[[#This Row],[Team Rood]]=Tabel158[[#This Row],[Winnaars]],Tabel158[[#This Row],[Team Rood]])</f>
        <v>0</v>
      </c>
      <c r="W157" s="147" t="str">
        <f>IF(Tabel158[[#This Row],[Team Groen]]=Tabel158[[#This Row],[Winnaars]],Tabel158[[#This Row],[Team Groen]])</f>
        <v>KarelStef D</v>
      </c>
      <c r="AH157" s="258" t="s">
        <v>157</v>
      </c>
      <c r="AI157" s="258" t="s">
        <v>160</v>
      </c>
      <c r="AJ157" s="140" t="str">
        <f t="shared" si="26"/>
        <v>Tobi*Tiemen*</v>
      </c>
      <c r="AK157" s="160">
        <f>IF(Tabel59[[#This Row],[Aantal Games Rood]]=0,0,(Tabel59[[#This Row],[Wins Rood]])/Tabel59[[#This Row],[Aantal Games Rood]])</f>
        <v>0</v>
      </c>
      <c r="AL157" s="159">
        <f>IF(Tabel59[[#This Row],[Aantal Games Groen]]=0,0,(Tabel59[[#This Row],[Wins Groen]])/Tabel59[[#This Row],[Aantal Games Groen]])</f>
        <v>0</v>
      </c>
      <c r="AM157" s="156">
        <f>IF(Tabel59[[#This Row],[Aantal games Alg]]=0,0,(Tabel59[[#This Row],[Wins Alg]])/Tabel59[[#This Row],[Aantal games Alg]])</f>
        <v>0</v>
      </c>
      <c r="AN157" s="135">
        <f>COUNTIF(Tabel158[Winaar rood],Tabel59[[#This Row],[Team]])</f>
        <v>0</v>
      </c>
      <c r="AO157" s="134">
        <f>COUNTIF(Tabel158[Winnaar Groen],Tabel59[[#This Row],[Team]])</f>
        <v>0</v>
      </c>
      <c r="AP157">
        <f>COUNTIF(Tabel158[Winnaars],Tabel59[[#This Row],[Team]])</f>
        <v>0</v>
      </c>
      <c r="AQ157" s="135">
        <f>Tabel59[[#This Row],[Aantal Games Rood]]-Tabel59[[#This Row],[Wins Rood]]</f>
        <v>0</v>
      </c>
      <c r="AR157" s="136">
        <f>Tabel59[[#This Row],[Aantal Games Groen]]-Tabel59[[#This Row],[Wins Groen]]</f>
        <v>0</v>
      </c>
      <c r="AS157" s="137">
        <f>Tabel59[[#This Row],[Aantal games Alg]]-Tabel59[[#This Row],[Wins Alg]]</f>
        <v>0</v>
      </c>
      <c r="AT157" s="138">
        <f>COUNTIF(Tabel158[Team Rood],Tabel59[[#This Row],[Team]])</f>
        <v>0</v>
      </c>
      <c r="AU157" s="136">
        <f>COUNTIF(Tabel158[Team Groen],Tabel59[[#This Row],[Team]])</f>
        <v>0</v>
      </c>
      <c r="AV157" s="137">
        <f>Tabel59[[#This Row],[Aantal Games Rood]]+Tabel59[[#This Row],[Aantal Games Groen]]</f>
        <v>0</v>
      </c>
      <c r="AW157" s="138">
        <f>SUMIF(Tabel158[Team Rood],Tabel59[[#This Row],[Team]],Tabel158[Score])</f>
        <v>0</v>
      </c>
      <c r="AX157" s="138">
        <f>SUMIF(Tabel158[Team Rood],Tabel59[[#This Row],[Team]],Tabel158[Score2])</f>
        <v>0</v>
      </c>
      <c r="AY157" s="134">
        <f>SUMIF(Tabel158[Team Groen],Tabel59[[#This Row],[Team]],Tabel158[Score3])</f>
        <v>0</v>
      </c>
      <c r="AZ157" s="136">
        <f>SUMIF(Tabel158[Team Groen],Tabel59[[#This Row],[Team]],Tabel158[Score4])</f>
        <v>0</v>
      </c>
      <c r="BA157">
        <f>SUM(Tabel59[[#This Row],[Goals Verdediger]]+Tabel59[[#This Row],[Goals DefG]])</f>
        <v>0</v>
      </c>
      <c r="BB157">
        <f>IF(Tabel59[[#This Row],[Aantal games Alg]]=0,0,Tabel59[[#This Row],[Goals DefA]]/Tabel59[[#This Row],[Aantal games Alg]])</f>
        <v>0</v>
      </c>
      <c r="BC157">
        <f>SUM(Tabel59[[#This Row],[Goals Aanvaller]]+Tabel59[[#This Row],[Goals OffG]])</f>
        <v>0</v>
      </c>
      <c r="BD157">
        <f>IF(Tabel59[[#This Row],[Aantal games Alg]]=0,0,Tabel59[[#This Row],[Goals OffA]]/Tabel59[[#This Row],[Aantal games Alg]])</f>
        <v>0</v>
      </c>
      <c r="BE157" s="112">
        <f>Tabel59[[#This Row],[Goals DefA]]+Tabel59[[#This Row],[Goals OffA]]</f>
        <v>0</v>
      </c>
      <c r="BF157" s="112">
        <f>IF(Tabel59[[#This Row],[Aantal games Alg]]=0,0,Tabel59[[#This Row],[Goals Alg]]/Tabel59[[#This Row],[Aantal games Alg]])</f>
        <v>0</v>
      </c>
      <c r="BG157" s="148">
        <f>SUMIF(Tabel158[Team Rood],Tabel59[[#This Row],[Team]],Tabel158[ET])</f>
        <v>0</v>
      </c>
      <c r="BH157" s="150">
        <f>SUMIF(Tabel158[Team Groen],Tabel59[[#This Row],[Team]],Tabel158[ET])</f>
        <v>0</v>
      </c>
      <c r="BI157" s="153">
        <f>SUM(Tabel59[[#This Row],[ET Groen tot]],Tabel59[[#This Row],[ET Rood tot]])</f>
        <v>0</v>
      </c>
      <c r="BJ157" s="155">
        <f>IF(Tabel59[[#This Row],[Aantal games Alg]]=0,0,Tabel59[[#This Row],[ET tot]]/Tabel59[[#This Row],[Aantal games Alg]])</f>
        <v>0</v>
      </c>
    </row>
    <row r="158" spans="1:62" x14ac:dyDescent="0.25">
      <c r="A158" s="125">
        <f ca="1">IF(Tabel158[[#This Row],[Rood Verdediging]]&lt;&gt;"",IF(A158="",NOW(),A158),"")</f>
        <v>0</v>
      </c>
      <c r="B158" s="128">
        <f ca="1">IF(Tabel158[[#This Row],[Rood Verdediging]]&lt;&gt;"",IF(B158="",NOW(),B158),"")</f>
        <v>43878.947694907409</v>
      </c>
      <c r="C158" s="126">
        <f ca="1">IF(Tabel158[[#This Row],[Score]]&lt;&gt;"",IF(C158="",NOW(),C158),"")</f>
        <v>43878.947694907409</v>
      </c>
      <c r="D158" s="182">
        <f ca="1">IF(OR(Tabel158[[#This Row],[Starttijd]]="",Tabel158[[#This Row],[Eindtijd]]=""),"",Tabel158[[#This Row],[Eindtijd]]-Tabel158[[#This Row],[Starttijd]])</f>
        <v>0</v>
      </c>
      <c r="E158" s="74">
        <v>120</v>
      </c>
      <c r="F158" s="205" t="s">
        <v>3</v>
      </c>
      <c r="G158" s="210">
        <v>4</v>
      </c>
      <c r="H158" s="205" t="s">
        <v>11</v>
      </c>
      <c r="I158" s="210">
        <v>3</v>
      </c>
      <c r="J158" s="206" t="s">
        <v>8</v>
      </c>
      <c r="K158" s="212">
        <v>3</v>
      </c>
      <c r="L158" s="206" t="s">
        <v>13</v>
      </c>
      <c r="M158" s="212">
        <v>8</v>
      </c>
      <c r="N158" s="81">
        <f t="shared" si="21"/>
        <v>7</v>
      </c>
      <c r="O158" s="82">
        <f t="shared" si="22"/>
        <v>11</v>
      </c>
      <c r="P158" s="70" t="str">
        <f t="shared" si="25"/>
        <v>GROEN</v>
      </c>
      <c r="Q158" s="86" t="str">
        <f t="shared" si="23"/>
        <v>Louis</v>
      </c>
      <c r="R158" s="87" t="str">
        <f t="shared" si="24"/>
        <v>Bert</v>
      </c>
      <c r="S158" s="147" t="str">
        <f>Tabel158[[#This Row],[Rood Verdediging]]&amp;Tabel158[[#This Row],[Rood Aanval]]</f>
        <v>KarelMatthijs</v>
      </c>
      <c r="T158" s="147" t="str">
        <f>Tabel158[[#This Row],[Groen Verdediging]]&amp;Tabel158[[#This Row],[Groen Aanval]]</f>
        <v>LouisBert</v>
      </c>
      <c r="U158" s="147" t="str">
        <f>Tabel158[[#This Row],[Winnaar 1]]&amp;Tabel158[[#This Row],[Winnaar 2]]</f>
        <v>LouisBert</v>
      </c>
      <c r="V158" s="147" t="b">
        <f>IF(Tabel158[[#This Row],[Team Rood]]=Tabel158[[#This Row],[Winnaars]],Tabel158[[#This Row],[Team Rood]])</f>
        <v>0</v>
      </c>
      <c r="W158" s="147" t="str">
        <f>IF(Tabel158[[#This Row],[Team Groen]]=Tabel158[[#This Row],[Winnaars]],Tabel158[[#This Row],[Team Groen]])</f>
        <v>LouisBert</v>
      </c>
    </row>
    <row r="159" spans="1:62" x14ac:dyDescent="0.25">
      <c r="A159" s="125">
        <f ca="1">IF(Tabel158[[#This Row],[Rood Verdediging]]&lt;&gt;"",IF(A159="",NOW(),A159),"")</f>
        <v>0</v>
      </c>
      <c r="B159" s="128">
        <f ca="1">IF(Tabel158[[#This Row],[Rood Verdediging]]&lt;&gt;"",IF(B159="",NOW(),B159),"")</f>
        <v>43878.947694907409</v>
      </c>
      <c r="C159" s="126">
        <f ca="1">IF(Tabel158[[#This Row],[Score]]&lt;&gt;"",IF(C159="",NOW(),C159),"")</f>
        <v>43878.947694907409</v>
      </c>
      <c r="D159" s="182">
        <f ca="1">IF(OR(Tabel158[[#This Row],[Starttijd]]="",Tabel158[[#This Row],[Eindtijd]]=""),"",Tabel158[[#This Row],[Eindtijd]]-Tabel158[[#This Row],[Starttijd]])</f>
        <v>0</v>
      </c>
      <c r="E159" s="74">
        <v>120</v>
      </c>
      <c r="F159" s="205" t="s">
        <v>0</v>
      </c>
      <c r="G159" s="210">
        <v>4</v>
      </c>
      <c r="H159" s="205" t="s">
        <v>6</v>
      </c>
      <c r="I159" s="210">
        <v>7</v>
      </c>
      <c r="J159" s="206" t="s">
        <v>15</v>
      </c>
      <c r="K159" s="212">
        <v>0</v>
      </c>
      <c r="L159" s="206" t="s">
        <v>8</v>
      </c>
      <c r="M159" s="212">
        <v>5</v>
      </c>
      <c r="N159" s="81">
        <f t="shared" si="21"/>
        <v>11</v>
      </c>
      <c r="O159" s="82">
        <f t="shared" si="22"/>
        <v>5</v>
      </c>
      <c r="P159" s="70" t="str">
        <f t="shared" si="25"/>
        <v>ROOD</v>
      </c>
      <c r="Q159" s="86" t="str">
        <f t="shared" si="23"/>
        <v>Jonas</v>
      </c>
      <c r="R159" s="87" t="str">
        <f t="shared" si="24"/>
        <v>Stef D</v>
      </c>
      <c r="S159" s="147" t="str">
        <f>Tabel158[[#This Row],[Rood Verdediging]]&amp;Tabel158[[#This Row],[Rood Aanval]]</f>
        <v>JonasStef D</v>
      </c>
      <c r="T159" s="147" t="str">
        <f>Tabel158[[#This Row],[Groen Verdediging]]&amp;Tabel158[[#This Row],[Groen Aanval]]</f>
        <v>StijnLouis</v>
      </c>
      <c r="U159" s="147" t="str">
        <f>Tabel158[[#This Row],[Winnaar 1]]&amp;Tabel158[[#This Row],[Winnaar 2]]</f>
        <v>JonasStef D</v>
      </c>
      <c r="V159" s="147" t="str">
        <f>IF(Tabel158[[#This Row],[Team Rood]]=Tabel158[[#This Row],[Winnaars]],Tabel158[[#This Row],[Team Rood]])</f>
        <v>JonasStef D</v>
      </c>
      <c r="W159" s="147" t="b">
        <f>IF(Tabel158[[#This Row],[Team Groen]]=Tabel158[[#This Row],[Winnaars]],Tabel158[[#This Row],[Team Groen]])</f>
        <v>0</v>
      </c>
    </row>
    <row r="160" spans="1:62" x14ac:dyDescent="0.25">
      <c r="A160" s="125">
        <f ca="1">IF(Tabel158[[#This Row],[Rood Verdediging]]&lt;&gt;"",IF(A160="",NOW(),A160),"")</f>
        <v>0</v>
      </c>
      <c r="B160" s="128">
        <f ca="1">IF(Tabel158[[#This Row],[Rood Verdediging]]&lt;&gt;"",IF(B160="",NOW(),B160),"")</f>
        <v>43878.947694907409</v>
      </c>
      <c r="C160" s="126">
        <f ca="1">IF(Tabel158[[#This Row],[Score]]&lt;&gt;"",IF(C160="",NOW(),C160),"")</f>
        <v>43878.947694907409</v>
      </c>
      <c r="D160" s="182">
        <f ca="1">IF(OR(Tabel158[[#This Row],[Starttijd]]="",Tabel158[[#This Row],[Eindtijd]]=""),"",Tabel158[[#This Row],[Eindtijd]]-Tabel158[[#This Row],[Starttijd]])</f>
        <v>0</v>
      </c>
      <c r="E160" s="74">
        <v>120</v>
      </c>
      <c r="F160" s="205" t="s">
        <v>7</v>
      </c>
      <c r="G160" s="210">
        <v>5</v>
      </c>
      <c r="H160" s="205" t="s">
        <v>6</v>
      </c>
      <c r="I160" s="210">
        <v>6</v>
      </c>
      <c r="J160" s="206" t="s">
        <v>0</v>
      </c>
      <c r="K160" s="212">
        <v>1</v>
      </c>
      <c r="L160" s="206" t="s">
        <v>67</v>
      </c>
      <c r="M160" s="212">
        <v>2</v>
      </c>
      <c r="N160" s="81">
        <f t="shared" si="21"/>
        <v>11</v>
      </c>
      <c r="O160" s="82">
        <f t="shared" si="22"/>
        <v>3</v>
      </c>
      <c r="P160" s="70" t="str">
        <f t="shared" si="25"/>
        <v>ROOD</v>
      </c>
      <c r="Q160" s="86" t="str">
        <f t="shared" si="23"/>
        <v>Tiemen</v>
      </c>
      <c r="R160" s="87" t="str">
        <f t="shared" si="24"/>
        <v>Stef D</v>
      </c>
      <c r="S160" s="147" t="str">
        <f>Tabel158[[#This Row],[Rood Verdediging]]&amp;Tabel158[[#This Row],[Rood Aanval]]</f>
        <v>TiemenStef D</v>
      </c>
      <c r="T160" s="147" t="str">
        <f>Tabel158[[#This Row],[Groen Verdediging]]&amp;Tabel158[[#This Row],[Groen Aanval]]</f>
        <v>JonasLawrence</v>
      </c>
      <c r="U160" s="147" t="str">
        <f>Tabel158[[#This Row],[Winnaar 1]]&amp;Tabel158[[#This Row],[Winnaar 2]]</f>
        <v>TiemenStef D</v>
      </c>
      <c r="V160" s="147" t="str">
        <f>IF(Tabel158[[#This Row],[Team Rood]]=Tabel158[[#This Row],[Winnaars]],Tabel158[[#This Row],[Team Rood]])</f>
        <v>TiemenStef D</v>
      </c>
      <c r="W160" s="147" t="b">
        <f>IF(Tabel158[[#This Row],[Team Groen]]=Tabel158[[#This Row],[Winnaars]],Tabel158[[#This Row],[Team Groen]])</f>
        <v>0</v>
      </c>
    </row>
    <row r="161" spans="1:23" x14ac:dyDescent="0.25">
      <c r="A161" s="125">
        <f ca="1">IF(Tabel158[[#This Row],[Rood Verdediging]]&lt;&gt;"",IF(A161="",NOW(),A161),"")</f>
        <v>0</v>
      </c>
      <c r="B161" s="128">
        <f ca="1">IF(Tabel158[[#This Row],[Rood Verdediging]]&lt;&gt;"",IF(B161="",NOW(),B161),"")</f>
        <v>43878.947694907409</v>
      </c>
      <c r="C161" s="126">
        <f ca="1">IF(Tabel158[[#This Row],[Score]]&lt;&gt;"",IF(C161="",NOW(),C161),"")</f>
        <v>43878.947694907409</v>
      </c>
      <c r="D161" s="182">
        <f ca="1">IF(OR(Tabel158[[#This Row],[Starttijd]]="",Tabel158[[#This Row],[Eindtijd]]=""),"",Tabel158[[#This Row],[Eindtijd]]-Tabel158[[#This Row],[Starttijd]])</f>
        <v>0</v>
      </c>
      <c r="E161" s="74">
        <v>120</v>
      </c>
      <c r="F161" s="205" t="s">
        <v>0</v>
      </c>
      <c r="G161" s="210">
        <v>4</v>
      </c>
      <c r="H161" s="205" t="s">
        <v>7</v>
      </c>
      <c r="I161" s="210">
        <v>7</v>
      </c>
      <c r="J161" s="206" t="s">
        <v>11</v>
      </c>
      <c r="K161" s="212">
        <v>1</v>
      </c>
      <c r="L161" s="206" t="s">
        <v>67</v>
      </c>
      <c r="M161" s="212">
        <v>3</v>
      </c>
      <c r="N161" s="81">
        <f t="shared" si="21"/>
        <v>11</v>
      </c>
      <c r="O161" s="82">
        <f t="shared" si="22"/>
        <v>4</v>
      </c>
      <c r="P161" s="70" t="str">
        <f t="shared" si="25"/>
        <v>ROOD</v>
      </c>
      <c r="Q161" s="86" t="str">
        <f t="shared" si="23"/>
        <v>Jonas</v>
      </c>
      <c r="R161" s="87" t="str">
        <f t="shared" si="24"/>
        <v>Tiemen</v>
      </c>
      <c r="S161" s="147" t="str">
        <f>Tabel158[[#This Row],[Rood Verdediging]]&amp;Tabel158[[#This Row],[Rood Aanval]]</f>
        <v>JonasTiemen</v>
      </c>
      <c r="T161" s="147" t="str">
        <f>Tabel158[[#This Row],[Groen Verdediging]]&amp;Tabel158[[#This Row],[Groen Aanval]]</f>
        <v>MatthijsLawrence</v>
      </c>
      <c r="U161" s="147" t="str">
        <f>Tabel158[[#This Row],[Winnaar 1]]&amp;Tabel158[[#This Row],[Winnaar 2]]</f>
        <v>JonasTiemen</v>
      </c>
      <c r="V161" s="147" t="str">
        <f>IF(Tabel158[[#This Row],[Team Rood]]=Tabel158[[#This Row],[Winnaars]],Tabel158[[#This Row],[Team Rood]])</f>
        <v>JonasTiemen</v>
      </c>
      <c r="W161" s="147" t="b">
        <f>IF(Tabel158[[#This Row],[Team Groen]]=Tabel158[[#This Row],[Winnaars]],Tabel158[[#This Row],[Team Groen]])</f>
        <v>0</v>
      </c>
    </row>
    <row r="162" spans="1:23" x14ac:dyDescent="0.25">
      <c r="A162" s="125">
        <f ca="1">IF(Tabel158[[#This Row],[Rood Verdediging]]&lt;&gt;"",IF(A162="",NOW(),A162),"")</f>
        <v>0</v>
      </c>
      <c r="B162" s="128">
        <f ca="1">IF(Tabel158[[#This Row],[Rood Verdediging]]&lt;&gt;"",IF(B162="",NOW(),B162),"")</f>
        <v>43878.947694907409</v>
      </c>
      <c r="C162" s="126">
        <f ca="1">IF(Tabel158[[#This Row],[Score]]&lt;&gt;"",IF(C162="",NOW(),C162),"")</f>
        <v>43878.947694907409</v>
      </c>
      <c r="D162" s="182">
        <f ca="1">IF(OR(Tabel158[[#This Row],[Starttijd]]="",Tabel158[[#This Row],[Eindtijd]]=""),"",Tabel158[[#This Row],[Eindtijd]]-Tabel158[[#This Row],[Starttijd]])</f>
        <v>0</v>
      </c>
      <c r="E162" s="74">
        <v>120</v>
      </c>
      <c r="F162" s="205" t="s">
        <v>67</v>
      </c>
      <c r="G162" s="210">
        <v>1</v>
      </c>
      <c r="H162" s="205" t="s">
        <v>6</v>
      </c>
      <c r="I162" s="210">
        <v>7</v>
      </c>
      <c r="J162" s="206" t="s">
        <v>0</v>
      </c>
      <c r="K162" s="212">
        <v>5</v>
      </c>
      <c r="L162" s="206" t="s">
        <v>11</v>
      </c>
      <c r="M162" s="212">
        <v>6</v>
      </c>
      <c r="N162" s="81">
        <f t="shared" si="21"/>
        <v>8</v>
      </c>
      <c r="O162" s="82">
        <f t="shared" si="22"/>
        <v>11</v>
      </c>
      <c r="P162" s="70" t="str">
        <f t="shared" si="25"/>
        <v>GROEN</v>
      </c>
      <c r="Q162" s="86" t="str">
        <f t="shared" si="23"/>
        <v>Jonas</v>
      </c>
      <c r="R162" s="87" t="str">
        <f t="shared" si="24"/>
        <v>Matthijs</v>
      </c>
      <c r="S162" s="147" t="str">
        <f>Tabel158[[#This Row],[Rood Verdediging]]&amp;Tabel158[[#This Row],[Rood Aanval]]</f>
        <v>LawrenceStef D</v>
      </c>
      <c r="T162" s="147" t="str">
        <f>Tabel158[[#This Row],[Groen Verdediging]]&amp;Tabel158[[#This Row],[Groen Aanval]]</f>
        <v>JonasMatthijs</v>
      </c>
      <c r="U162" s="147" t="str">
        <f>Tabel158[[#This Row],[Winnaar 1]]&amp;Tabel158[[#This Row],[Winnaar 2]]</f>
        <v>JonasMatthijs</v>
      </c>
      <c r="V162" s="147" t="b">
        <f>IF(Tabel158[[#This Row],[Team Rood]]=Tabel158[[#This Row],[Winnaars]],Tabel158[[#This Row],[Team Rood]])</f>
        <v>0</v>
      </c>
      <c r="W162" s="147" t="str">
        <f>IF(Tabel158[[#This Row],[Team Groen]]=Tabel158[[#This Row],[Winnaars]],Tabel158[[#This Row],[Team Groen]])</f>
        <v>JonasMatthijs</v>
      </c>
    </row>
    <row r="163" spans="1:23" x14ac:dyDescent="0.25">
      <c r="A163" s="125">
        <f ca="1">IF(Tabel158[[#This Row],[Rood Verdediging]]&lt;&gt;"",IF(A163="",NOW(),A163),"")</f>
        <v>0</v>
      </c>
      <c r="B163" s="128">
        <f ca="1">IF(Tabel158[[#This Row],[Rood Verdediging]]&lt;&gt;"",IF(B163="",NOW(),B163),"")</f>
        <v>43878.947694907409</v>
      </c>
      <c r="C163" s="126">
        <f ca="1">IF(Tabel158[[#This Row],[Score]]&lt;&gt;"",IF(C163="",NOW(),C163),"")</f>
        <v>43878.947694907409</v>
      </c>
      <c r="D163" s="182">
        <f ca="1">IF(OR(Tabel158[[#This Row],[Starttijd]]="",Tabel158[[#This Row],[Eindtijd]]=""),"",Tabel158[[#This Row],[Eindtijd]]-Tabel158[[#This Row],[Starttijd]])</f>
        <v>0</v>
      </c>
      <c r="E163" s="74">
        <v>120</v>
      </c>
      <c r="F163" s="205" t="s">
        <v>11</v>
      </c>
      <c r="G163" s="210">
        <v>4</v>
      </c>
      <c r="H163" s="205" t="s">
        <v>0</v>
      </c>
      <c r="I163" s="210">
        <v>4</v>
      </c>
      <c r="J163" s="206" t="s">
        <v>7</v>
      </c>
      <c r="K163" s="212">
        <v>3</v>
      </c>
      <c r="L163" s="206" t="s">
        <v>6</v>
      </c>
      <c r="M163" s="212">
        <v>8</v>
      </c>
      <c r="N163" s="81">
        <f t="shared" si="21"/>
        <v>8</v>
      </c>
      <c r="O163" s="82">
        <f t="shared" si="22"/>
        <v>11</v>
      </c>
      <c r="P163" s="70" t="str">
        <f t="shared" si="25"/>
        <v>GROEN</v>
      </c>
      <c r="Q163" s="86" t="str">
        <f t="shared" si="23"/>
        <v>Tiemen</v>
      </c>
      <c r="R163" s="87" t="str">
        <f t="shared" si="24"/>
        <v>Stef D</v>
      </c>
      <c r="S163" s="147" t="str">
        <f>Tabel158[[#This Row],[Rood Verdediging]]&amp;Tabel158[[#This Row],[Rood Aanval]]</f>
        <v>MatthijsJonas</v>
      </c>
      <c r="T163" s="147" t="str">
        <f>Tabel158[[#This Row],[Groen Verdediging]]&amp;Tabel158[[#This Row],[Groen Aanval]]</f>
        <v>TiemenStef D</v>
      </c>
      <c r="U163" s="147" t="str">
        <f>Tabel158[[#This Row],[Winnaar 1]]&amp;Tabel158[[#This Row],[Winnaar 2]]</f>
        <v>TiemenStef D</v>
      </c>
      <c r="V163" s="147" t="b">
        <f>IF(Tabel158[[#This Row],[Team Rood]]=Tabel158[[#This Row],[Winnaars]],Tabel158[[#This Row],[Team Rood]])</f>
        <v>0</v>
      </c>
      <c r="W163" s="147" t="str">
        <f>IF(Tabel158[[#This Row],[Team Groen]]=Tabel158[[#This Row],[Winnaars]],Tabel158[[#This Row],[Team Groen]])</f>
        <v>TiemenStef D</v>
      </c>
    </row>
    <row r="164" spans="1:23" x14ac:dyDescent="0.25">
      <c r="A164" s="125">
        <f ca="1">IF(Tabel158[[#This Row],[Rood Verdediging]]&lt;&gt;"",IF(A164="",NOW(),A164),"")</f>
        <v>0</v>
      </c>
      <c r="B164" s="128">
        <f ca="1">IF(Tabel158[[#This Row],[Rood Verdediging]]&lt;&gt;"",IF(B164="",NOW(),B164),"")</f>
        <v>43878.947694907409</v>
      </c>
      <c r="C164" s="126">
        <f ca="1">IF(Tabel158[[#This Row],[Score]]&lt;&gt;"",IF(C164="",NOW(),C164),"")</f>
        <v>43878.947694907409</v>
      </c>
      <c r="D164" s="182">
        <f ca="1">IF(OR(Tabel158[[#This Row],[Starttijd]]="",Tabel158[[#This Row],[Eindtijd]]=""),"",Tabel158[[#This Row],[Eindtijd]]-Tabel158[[#This Row],[Starttijd]])</f>
        <v>0</v>
      </c>
      <c r="E164" s="74">
        <v>120</v>
      </c>
      <c r="F164" s="205" t="s">
        <v>6</v>
      </c>
      <c r="G164" s="210">
        <v>5</v>
      </c>
      <c r="H164" s="205" t="s">
        <v>11</v>
      </c>
      <c r="I164" s="210">
        <v>3</v>
      </c>
      <c r="J164" s="206" t="s">
        <v>7</v>
      </c>
      <c r="K164" s="212">
        <v>4</v>
      </c>
      <c r="L164" s="206" t="s">
        <v>67</v>
      </c>
      <c r="M164" s="212">
        <v>7</v>
      </c>
      <c r="N164" s="81">
        <f t="shared" si="21"/>
        <v>8</v>
      </c>
      <c r="O164" s="82">
        <f t="shared" si="22"/>
        <v>11</v>
      </c>
      <c r="P164" s="70" t="str">
        <f t="shared" si="25"/>
        <v>GROEN</v>
      </c>
      <c r="Q164" s="86" t="str">
        <f t="shared" si="23"/>
        <v>Tiemen</v>
      </c>
      <c r="R164" s="87" t="str">
        <f t="shared" si="24"/>
        <v>Lawrence</v>
      </c>
      <c r="S164" s="147" t="str">
        <f>Tabel158[[#This Row],[Rood Verdediging]]&amp;Tabel158[[#This Row],[Rood Aanval]]</f>
        <v>Stef DMatthijs</v>
      </c>
      <c r="T164" s="147" t="str">
        <f>Tabel158[[#This Row],[Groen Verdediging]]&amp;Tabel158[[#This Row],[Groen Aanval]]</f>
        <v>TiemenLawrence</v>
      </c>
      <c r="U164" s="147" t="str">
        <f>Tabel158[[#This Row],[Winnaar 1]]&amp;Tabel158[[#This Row],[Winnaar 2]]</f>
        <v>TiemenLawrence</v>
      </c>
      <c r="V164" s="147" t="b">
        <f>IF(Tabel158[[#This Row],[Team Rood]]=Tabel158[[#This Row],[Winnaars]],Tabel158[[#This Row],[Team Rood]])</f>
        <v>0</v>
      </c>
      <c r="W164" s="147" t="str">
        <f>IF(Tabel158[[#This Row],[Team Groen]]=Tabel158[[#This Row],[Winnaars]],Tabel158[[#This Row],[Team Groen]])</f>
        <v>TiemenLawrence</v>
      </c>
    </row>
    <row r="165" spans="1:23" x14ac:dyDescent="0.25">
      <c r="A165" s="125">
        <f ca="1">IF(Tabel158[[#This Row],[Rood Verdediging]]&lt;&gt;"",IF(A165="",NOW(),A165),"")</f>
        <v>0</v>
      </c>
      <c r="B165" s="128">
        <f ca="1">IF(Tabel158[[#This Row],[Rood Verdediging]]&lt;&gt;"",IF(B165="",NOW(),B165),"")</f>
        <v>43878.947694907409</v>
      </c>
      <c r="C165" s="126">
        <f ca="1">IF(Tabel158[[#This Row],[Score]]&lt;&gt;"",IF(C165="",NOW(),C165),"")</f>
        <v>43878.947694907409</v>
      </c>
      <c r="D165" s="182">
        <f ca="1">IF(OR(Tabel158[[#This Row],[Starttijd]]="",Tabel158[[#This Row],[Eindtijd]]=""),"",Tabel158[[#This Row],[Eindtijd]]-Tabel158[[#This Row],[Starttijd]])</f>
        <v>0</v>
      </c>
      <c r="E165" s="74">
        <v>120</v>
      </c>
      <c r="F165" s="205" t="s">
        <v>0</v>
      </c>
      <c r="G165" s="210">
        <v>7</v>
      </c>
      <c r="H165" s="205" t="s">
        <v>6</v>
      </c>
      <c r="I165" s="210">
        <v>4</v>
      </c>
      <c r="J165" s="206" t="s">
        <v>11</v>
      </c>
      <c r="K165" s="212">
        <v>3</v>
      </c>
      <c r="L165" s="206" t="s">
        <v>7</v>
      </c>
      <c r="M165" s="212">
        <v>3</v>
      </c>
      <c r="N165" s="81">
        <f t="shared" si="21"/>
        <v>11</v>
      </c>
      <c r="O165" s="82">
        <f t="shared" si="22"/>
        <v>6</v>
      </c>
      <c r="P165" s="70" t="str">
        <f t="shared" si="25"/>
        <v>ROOD</v>
      </c>
      <c r="Q165" s="86" t="str">
        <f t="shared" si="23"/>
        <v>Jonas</v>
      </c>
      <c r="R165" s="87" t="str">
        <f t="shared" si="24"/>
        <v>Stef D</v>
      </c>
      <c r="S165" s="147" t="str">
        <f>Tabel158[[#This Row],[Rood Verdediging]]&amp;Tabel158[[#This Row],[Rood Aanval]]</f>
        <v>JonasStef D</v>
      </c>
      <c r="T165" s="147" t="str">
        <f>Tabel158[[#This Row],[Groen Verdediging]]&amp;Tabel158[[#This Row],[Groen Aanval]]</f>
        <v>MatthijsTiemen</v>
      </c>
      <c r="U165" s="147" t="str">
        <f>Tabel158[[#This Row],[Winnaar 1]]&amp;Tabel158[[#This Row],[Winnaar 2]]</f>
        <v>JonasStef D</v>
      </c>
      <c r="V165" s="147" t="str">
        <f>IF(Tabel158[[#This Row],[Team Rood]]=Tabel158[[#This Row],[Winnaars]],Tabel158[[#This Row],[Team Rood]])</f>
        <v>JonasStef D</v>
      </c>
      <c r="W165" s="147" t="b">
        <f>IF(Tabel158[[#This Row],[Team Groen]]=Tabel158[[#This Row],[Winnaars]],Tabel158[[#This Row],[Team Groen]])</f>
        <v>0</v>
      </c>
    </row>
    <row r="166" spans="1:23" x14ac:dyDescent="0.25">
      <c r="A166" s="125">
        <f ca="1">IF(Tabel158[[#This Row],[Rood Verdediging]]&lt;&gt;"",IF(A166="",NOW(),A166),"")</f>
        <v>0</v>
      </c>
      <c r="B166" s="128">
        <f ca="1">IF(Tabel158[[#This Row],[Rood Verdediging]]&lt;&gt;"",IF(B166="",NOW(),B166),"")</f>
        <v>43878.947694907409</v>
      </c>
      <c r="C166" s="126">
        <f ca="1">IF(Tabel158[[#This Row],[Score]]&lt;&gt;"",IF(C166="",NOW(),C166),"")</f>
        <v>43878.947694907409</v>
      </c>
      <c r="D166" s="182">
        <f ca="1">IF(OR(Tabel158[[#This Row],[Starttijd]]="",Tabel158[[#This Row],[Eindtijd]]=""),"",Tabel158[[#This Row],[Eindtijd]]-Tabel158[[#This Row],[Starttijd]])</f>
        <v>0</v>
      </c>
      <c r="E166" s="74">
        <v>120</v>
      </c>
      <c r="F166" s="205" t="s">
        <v>19</v>
      </c>
      <c r="G166" s="210">
        <v>0</v>
      </c>
      <c r="H166" s="205" t="s">
        <v>13</v>
      </c>
      <c r="I166" s="210">
        <v>8</v>
      </c>
      <c r="J166" s="206" t="s">
        <v>8</v>
      </c>
      <c r="K166" s="212">
        <v>3</v>
      </c>
      <c r="L166" s="206" t="s">
        <v>67</v>
      </c>
      <c r="M166" s="212">
        <v>8</v>
      </c>
      <c r="N166" s="81">
        <f t="shared" si="21"/>
        <v>8</v>
      </c>
      <c r="O166" s="82">
        <f t="shared" si="22"/>
        <v>11</v>
      </c>
      <c r="P166" s="70" t="str">
        <f t="shared" si="25"/>
        <v>GROEN</v>
      </c>
      <c r="Q166" s="86" t="str">
        <f t="shared" si="23"/>
        <v>Louis</v>
      </c>
      <c r="R166" s="87" t="str">
        <f t="shared" si="24"/>
        <v>Lawrence</v>
      </c>
      <c r="S166" s="147" t="str">
        <f>Tabel158[[#This Row],[Rood Verdediging]]&amp;Tabel158[[#This Row],[Rood Aanval]]</f>
        <v>NicolasBert</v>
      </c>
      <c r="T166" s="147" t="str">
        <f>Tabel158[[#This Row],[Groen Verdediging]]&amp;Tabel158[[#This Row],[Groen Aanval]]</f>
        <v>LouisLawrence</v>
      </c>
      <c r="U166" s="147" t="str">
        <f>Tabel158[[#This Row],[Winnaar 1]]&amp;Tabel158[[#This Row],[Winnaar 2]]</f>
        <v>LouisLawrence</v>
      </c>
      <c r="V166" s="147" t="b">
        <f>IF(Tabel158[[#This Row],[Team Rood]]=Tabel158[[#This Row],[Winnaars]],Tabel158[[#This Row],[Team Rood]])</f>
        <v>0</v>
      </c>
      <c r="W166" s="147" t="str">
        <f>IF(Tabel158[[#This Row],[Team Groen]]=Tabel158[[#This Row],[Winnaars]],Tabel158[[#This Row],[Team Groen]])</f>
        <v>LouisLawrence</v>
      </c>
    </row>
    <row r="167" spans="1:23" x14ac:dyDescent="0.25">
      <c r="A167" s="125">
        <f ca="1">IF(Tabel158[[#This Row],[Rood Verdediging]]&lt;&gt;"",IF(A167="",NOW(),A167),"")</f>
        <v>0</v>
      </c>
      <c r="B167" s="128">
        <f ca="1">IF(Tabel158[[#This Row],[Rood Verdediging]]&lt;&gt;"",IF(B167="",NOW(),B167),"")</f>
        <v>43878.947694907409</v>
      </c>
      <c r="C167" s="126">
        <f ca="1">IF(Tabel158[[#This Row],[Score]]&lt;&gt;"",IF(C167="",NOW(),C167),"")</f>
        <v>43878.947694907409</v>
      </c>
      <c r="D167" s="182">
        <f ca="1">IF(OR(Tabel158[[#This Row],[Starttijd]]="",Tabel158[[#This Row],[Eindtijd]]=""),"",Tabel158[[#This Row],[Eindtijd]]-Tabel158[[#This Row],[Starttijd]])</f>
        <v>0</v>
      </c>
      <c r="E167" s="74">
        <v>120</v>
      </c>
      <c r="F167" s="205" t="s">
        <v>8</v>
      </c>
      <c r="G167" s="210">
        <v>5</v>
      </c>
      <c r="H167" s="205" t="s">
        <v>13</v>
      </c>
      <c r="I167" s="210">
        <v>6</v>
      </c>
      <c r="J167" s="206" t="s">
        <v>0</v>
      </c>
      <c r="K167" s="212">
        <v>1</v>
      </c>
      <c r="L167" s="206" t="s">
        <v>6</v>
      </c>
      <c r="M167" s="212">
        <v>7</v>
      </c>
      <c r="N167" s="81">
        <f t="shared" si="21"/>
        <v>11</v>
      </c>
      <c r="O167" s="82">
        <f t="shared" si="22"/>
        <v>8</v>
      </c>
      <c r="P167" s="70" t="str">
        <f t="shared" si="25"/>
        <v>ROOD</v>
      </c>
      <c r="Q167" s="86" t="str">
        <f t="shared" si="23"/>
        <v>Louis</v>
      </c>
      <c r="R167" s="87" t="str">
        <f t="shared" si="24"/>
        <v>Bert</v>
      </c>
      <c r="S167" s="147" t="str">
        <f>Tabel158[[#This Row],[Rood Verdediging]]&amp;Tabel158[[#This Row],[Rood Aanval]]</f>
        <v>LouisBert</v>
      </c>
      <c r="T167" s="147" t="str">
        <f>Tabel158[[#This Row],[Groen Verdediging]]&amp;Tabel158[[#This Row],[Groen Aanval]]</f>
        <v>JonasStef D</v>
      </c>
      <c r="U167" s="147" t="str">
        <f>Tabel158[[#This Row],[Winnaar 1]]&amp;Tabel158[[#This Row],[Winnaar 2]]</f>
        <v>LouisBert</v>
      </c>
      <c r="V167" s="147" t="str">
        <f>IF(Tabel158[[#This Row],[Team Rood]]=Tabel158[[#This Row],[Winnaars]],Tabel158[[#This Row],[Team Rood]])</f>
        <v>LouisBert</v>
      </c>
      <c r="W167" s="147" t="b">
        <f>IF(Tabel158[[#This Row],[Team Groen]]=Tabel158[[#This Row],[Winnaars]],Tabel158[[#This Row],[Team Groen]])</f>
        <v>0</v>
      </c>
    </row>
    <row r="168" spans="1:23" x14ac:dyDescent="0.25">
      <c r="A168" s="125">
        <f ca="1">IF(Tabel158[[#This Row],[Rood Verdediging]]&lt;&gt;"",IF(A168="",NOW(),A168),"")</f>
        <v>0</v>
      </c>
      <c r="B168" s="128">
        <f ca="1">IF(Tabel158[[#This Row],[Rood Verdediging]]&lt;&gt;"",IF(B168="",NOW(),B168),"")</f>
        <v>43878.947694907409</v>
      </c>
      <c r="C168" s="126">
        <f ca="1">IF(Tabel158[[#This Row],[Score]]&lt;&gt;"",IF(C168="",NOW(),C168),"")</f>
        <v>43878.947694907409</v>
      </c>
      <c r="D168" s="182">
        <f ca="1">IF(OR(Tabel158[[#This Row],[Starttijd]]="",Tabel158[[#This Row],[Eindtijd]]=""),"",Tabel158[[#This Row],[Eindtijd]]-Tabel158[[#This Row],[Starttijd]])</f>
        <v>0</v>
      </c>
      <c r="E168" s="74">
        <v>120</v>
      </c>
      <c r="F168" s="205" t="s">
        <v>11</v>
      </c>
      <c r="G168" s="210">
        <v>2</v>
      </c>
      <c r="H168" s="205" t="s">
        <v>19</v>
      </c>
      <c r="I168" s="210">
        <v>7</v>
      </c>
      <c r="J168" s="206" t="s">
        <v>13</v>
      </c>
      <c r="K168" s="212">
        <v>5</v>
      </c>
      <c r="L168" s="206" t="s">
        <v>6</v>
      </c>
      <c r="M168" s="212">
        <v>6</v>
      </c>
      <c r="N168" s="81">
        <f t="shared" si="21"/>
        <v>9</v>
      </c>
      <c r="O168" s="82">
        <f t="shared" si="22"/>
        <v>11</v>
      </c>
      <c r="P168" s="70" t="str">
        <f t="shared" si="25"/>
        <v>GROEN</v>
      </c>
      <c r="Q168" s="86" t="str">
        <f t="shared" si="23"/>
        <v>Bert</v>
      </c>
      <c r="R168" s="87" t="str">
        <f t="shared" si="24"/>
        <v>Stef D</v>
      </c>
      <c r="S168" s="147" t="str">
        <f>Tabel158[[#This Row],[Rood Verdediging]]&amp;Tabel158[[#This Row],[Rood Aanval]]</f>
        <v>MatthijsNicolas</v>
      </c>
      <c r="T168" s="147" t="str">
        <f>Tabel158[[#This Row],[Groen Verdediging]]&amp;Tabel158[[#This Row],[Groen Aanval]]</f>
        <v>BertStef D</v>
      </c>
      <c r="U168" s="147" t="str">
        <f>Tabel158[[#This Row],[Winnaar 1]]&amp;Tabel158[[#This Row],[Winnaar 2]]</f>
        <v>BertStef D</v>
      </c>
      <c r="V168" s="147" t="b">
        <f>IF(Tabel158[[#This Row],[Team Rood]]=Tabel158[[#This Row],[Winnaars]],Tabel158[[#This Row],[Team Rood]])</f>
        <v>0</v>
      </c>
      <c r="W168" s="147" t="str">
        <f>IF(Tabel158[[#This Row],[Team Groen]]=Tabel158[[#This Row],[Winnaars]],Tabel158[[#This Row],[Team Groen]])</f>
        <v>BertStef D</v>
      </c>
    </row>
    <row r="169" spans="1:23" x14ac:dyDescent="0.25">
      <c r="A169" s="125">
        <f ca="1">IF(Tabel158[[#This Row],[Rood Verdediging]]&lt;&gt;"",IF(A169="",NOW(),A169),"")</f>
        <v>0</v>
      </c>
      <c r="B169" s="128">
        <f ca="1">IF(Tabel158[[#This Row],[Rood Verdediging]]&lt;&gt;"",IF(B169="",NOW(),B169),"")</f>
        <v>43878.947694907409</v>
      </c>
      <c r="C169" s="126">
        <f ca="1">IF(Tabel158[[#This Row],[Score]]&lt;&gt;"",IF(C169="",NOW(),C169),"")</f>
        <v>43878.947694907409</v>
      </c>
      <c r="D169" s="182">
        <f ca="1">IF(OR(Tabel158[[#This Row],[Starttijd]]="",Tabel158[[#This Row],[Eindtijd]]=""),"",Tabel158[[#This Row],[Eindtijd]]-Tabel158[[#This Row],[Starttijd]])</f>
        <v>0</v>
      </c>
      <c r="E169" s="74">
        <v>120</v>
      </c>
      <c r="F169" s="205" t="s">
        <v>6</v>
      </c>
      <c r="G169" s="210">
        <v>5</v>
      </c>
      <c r="H169" s="205" t="s">
        <v>8</v>
      </c>
      <c r="I169" s="210">
        <v>2</v>
      </c>
      <c r="J169" s="206" t="s">
        <v>0</v>
      </c>
      <c r="K169" s="212">
        <v>1</v>
      </c>
      <c r="L169" s="206" t="s">
        <v>13</v>
      </c>
      <c r="M169" s="212">
        <v>10</v>
      </c>
      <c r="N169" s="81">
        <f t="shared" si="21"/>
        <v>7</v>
      </c>
      <c r="O169" s="82">
        <f t="shared" si="22"/>
        <v>11</v>
      </c>
      <c r="P169" s="70" t="str">
        <f t="shared" si="25"/>
        <v>GROEN</v>
      </c>
      <c r="Q169" s="86" t="str">
        <f t="shared" si="23"/>
        <v>Jonas</v>
      </c>
      <c r="R169" s="87" t="str">
        <f t="shared" si="24"/>
        <v>Bert</v>
      </c>
      <c r="S169" s="147" t="str">
        <f>Tabel158[[#This Row],[Rood Verdediging]]&amp;Tabel158[[#This Row],[Rood Aanval]]</f>
        <v>Stef DLouis</v>
      </c>
      <c r="T169" s="147" t="str">
        <f>Tabel158[[#This Row],[Groen Verdediging]]&amp;Tabel158[[#This Row],[Groen Aanval]]</f>
        <v>JonasBert</v>
      </c>
      <c r="U169" s="147" t="str">
        <f>Tabel158[[#This Row],[Winnaar 1]]&amp;Tabel158[[#This Row],[Winnaar 2]]</f>
        <v>JonasBert</v>
      </c>
      <c r="V169" s="147" t="b">
        <f>IF(Tabel158[[#This Row],[Team Rood]]=Tabel158[[#This Row],[Winnaars]],Tabel158[[#This Row],[Team Rood]])</f>
        <v>0</v>
      </c>
      <c r="W169" s="147" t="str">
        <f>IF(Tabel158[[#This Row],[Team Groen]]=Tabel158[[#This Row],[Winnaars]],Tabel158[[#This Row],[Team Groen]])</f>
        <v>JonasBert</v>
      </c>
    </row>
    <row r="170" spans="1:23" x14ac:dyDescent="0.25">
      <c r="A170" s="125">
        <f ca="1">IF(Tabel158[[#This Row],[Rood Verdediging]]&lt;&gt;"",IF(A170="",NOW(),A170),"")</f>
        <v>0</v>
      </c>
      <c r="B170" s="128">
        <f ca="1">IF(Tabel158[[#This Row],[Rood Verdediging]]&lt;&gt;"",IF(B170="",NOW(),B170),"")</f>
        <v>43878.947694907409</v>
      </c>
      <c r="C170" s="126">
        <f ca="1">IF(Tabel158[[#This Row],[Score]]&lt;&gt;"",IF(C170="",NOW(),C170),"")</f>
        <v>43878.947694907409</v>
      </c>
      <c r="D170" s="182">
        <f ca="1">IF(OR(Tabel158[[#This Row],[Starttijd]]="",Tabel158[[#This Row],[Eindtijd]]=""),"",Tabel158[[#This Row],[Eindtijd]]-Tabel158[[#This Row],[Starttijd]])</f>
        <v>0</v>
      </c>
      <c r="E170" s="74">
        <v>120</v>
      </c>
      <c r="F170" s="205" t="s">
        <v>8</v>
      </c>
      <c r="G170" s="210">
        <v>1</v>
      </c>
      <c r="H170" s="205" t="s">
        <v>6</v>
      </c>
      <c r="I170" s="210">
        <v>10</v>
      </c>
      <c r="J170" s="206" t="s">
        <v>0</v>
      </c>
      <c r="K170" s="212">
        <v>4</v>
      </c>
      <c r="L170" s="206" t="s">
        <v>13</v>
      </c>
      <c r="M170" s="212">
        <v>5</v>
      </c>
      <c r="N170" s="81">
        <f t="shared" si="21"/>
        <v>11</v>
      </c>
      <c r="O170" s="82">
        <f t="shared" si="22"/>
        <v>9</v>
      </c>
      <c r="P170" s="70" t="str">
        <f t="shared" si="25"/>
        <v>ROOD</v>
      </c>
      <c r="Q170" s="86" t="str">
        <f t="shared" si="23"/>
        <v>Louis</v>
      </c>
      <c r="R170" s="87" t="str">
        <f t="shared" si="24"/>
        <v>Stef D</v>
      </c>
      <c r="S170" s="147" t="str">
        <f>Tabel158[[#This Row],[Rood Verdediging]]&amp;Tabel158[[#This Row],[Rood Aanval]]</f>
        <v>LouisStef D</v>
      </c>
      <c r="T170" s="147" t="str">
        <f>Tabel158[[#This Row],[Groen Verdediging]]&amp;Tabel158[[#This Row],[Groen Aanval]]</f>
        <v>JonasBert</v>
      </c>
      <c r="U170" s="147" t="str">
        <f>Tabel158[[#This Row],[Winnaar 1]]&amp;Tabel158[[#This Row],[Winnaar 2]]</f>
        <v>LouisStef D</v>
      </c>
      <c r="V170" s="147" t="str">
        <f>IF(Tabel158[[#This Row],[Team Rood]]=Tabel158[[#This Row],[Winnaars]],Tabel158[[#This Row],[Team Rood]])</f>
        <v>LouisStef D</v>
      </c>
      <c r="W170" s="147" t="b">
        <f>IF(Tabel158[[#This Row],[Team Groen]]=Tabel158[[#This Row],[Winnaars]],Tabel158[[#This Row],[Team Groen]])</f>
        <v>0</v>
      </c>
    </row>
    <row r="171" spans="1:23" x14ac:dyDescent="0.25">
      <c r="A171" s="125">
        <f ca="1">IF(Tabel158[[#This Row],[Rood Verdediging]]&lt;&gt;"",IF(A171="",NOW(),A171),"")</f>
        <v>0</v>
      </c>
      <c r="B171" s="128">
        <f ca="1">IF(Tabel158[[#This Row],[Rood Verdediging]]&lt;&gt;"",IF(B171="",NOW(),B171),"")</f>
        <v>43878.947694907409</v>
      </c>
      <c r="C171" s="126">
        <f ca="1">IF(Tabel158[[#This Row],[Score]]&lt;&gt;"",IF(C171="",NOW(),C171),"")</f>
        <v>43878.947694907409</v>
      </c>
      <c r="D171" s="182">
        <f ca="1">IF(OR(Tabel158[[#This Row],[Starttijd]]="",Tabel158[[#This Row],[Eindtijd]]=""),"",Tabel158[[#This Row],[Eindtijd]]-Tabel158[[#This Row],[Starttijd]])</f>
        <v>0</v>
      </c>
      <c r="E171" s="74">
        <v>120</v>
      </c>
      <c r="F171" s="205" t="s">
        <v>7</v>
      </c>
      <c r="G171" s="210">
        <v>2</v>
      </c>
      <c r="H171" s="205" t="s">
        <v>6</v>
      </c>
      <c r="I171" s="210">
        <v>10</v>
      </c>
      <c r="J171" s="206" t="s">
        <v>8</v>
      </c>
      <c r="K171" s="212">
        <v>4</v>
      </c>
      <c r="L171" s="206" t="s">
        <v>3</v>
      </c>
      <c r="M171" s="212">
        <v>6</v>
      </c>
      <c r="N171" s="81">
        <f t="shared" si="21"/>
        <v>12</v>
      </c>
      <c r="O171" s="82">
        <f t="shared" si="22"/>
        <v>10</v>
      </c>
      <c r="P171" s="70" t="str">
        <f t="shared" si="25"/>
        <v>ROOD</v>
      </c>
      <c r="Q171" s="86" t="str">
        <f t="shared" si="23"/>
        <v>Tiemen</v>
      </c>
      <c r="R171" s="87" t="str">
        <f t="shared" si="24"/>
        <v>Stef D</v>
      </c>
      <c r="S171" s="147" t="str">
        <f>Tabel158[[#This Row],[Rood Verdediging]]&amp;Tabel158[[#This Row],[Rood Aanval]]</f>
        <v>TiemenStef D</v>
      </c>
      <c r="T171" s="147" t="str">
        <f>Tabel158[[#This Row],[Groen Verdediging]]&amp;Tabel158[[#This Row],[Groen Aanval]]</f>
        <v>LouisKarel</v>
      </c>
      <c r="U171" s="147" t="str">
        <f>Tabel158[[#This Row],[Winnaar 1]]&amp;Tabel158[[#This Row],[Winnaar 2]]</f>
        <v>TiemenStef D</v>
      </c>
      <c r="V171" s="147" t="str">
        <f>IF(Tabel158[[#This Row],[Team Rood]]=Tabel158[[#This Row],[Winnaars]],Tabel158[[#This Row],[Team Rood]])</f>
        <v>TiemenStef D</v>
      </c>
      <c r="W171" s="147" t="b">
        <f>IF(Tabel158[[#This Row],[Team Groen]]=Tabel158[[#This Row],[Winnaars]],Tabel158[[#This Row],[Team Groen]])</f>
        <v>0</v>
      </c>
    </row>
    <row r="172" spans="1:23" x14ac:dyDescent="0.25">
      <c r="A172" s="125">
        <f ca="1">IF(Tabel158[[#This Row],[Rood Verdediging]]&lt;&gt;"",IF(A172="",NOW(),A172),"")</f>
        <v>0</v>
      </c>
      <c r="B172" s="128">
        <f ca="1">IF(Tabel158[[#This Row],[Rood Verdediging]]&lt;&gt;"",IF(B172="",NOW(),B172),"")</f>
        <v>43878.947694907409</v>
      </c>
      <c r="C172" s="126">
        <f ca="1">IF(Tabel158[[#This Row],[Score]]&lt;&gt;"",IF(C172="",NOW(),C172),"")</f>
        <v>43878.947694907409</v>
      </c>
      <c r="D172" s="182">
        <f ca="1">IF(OR(Tabel158[[#This Row],[Starttijd]]="",Tabel158[[#This Row],[Eindtijd]]=""),"",Tabel158[[#This Row],[Eindtijd]]-Tabel158[[#This Row],[Starttijd]])</f>
        <v>0</v>
      </c>
      <c r="E172" s="74">
        <v>120</v>
      </c>
      <c r="F172" s="205" t="s">
        <v>3</v>
      </c>
      <c r="G172" s="210">
        <v>4</v>
      </c>
      <c r="H172" s="205" t="s">
        <v>7</v>
      </c>
      <c r="I172" s="210">
        <v>6</v>
      </c>
      <c r="J172" s="206" t="s">
        <v>8</v>
      </c>
      <c r="K172" s="212">
        <v>2</v>
      </c>
      <c r="L172" s="206" t="s">
        <v>6</v>
      </c>
      <c r="M172" s="212">
        <v>10</v>
      </c>
      <c r="N172" s="81">
        <f t="shared" si="21"/>
        <v>10</v>
      </c>
      <c r="O172" s="82">
        <f t="shared" si="22"/>
        <v>12</v>
      </c>
      <c r="P172" s="70" t="str">
        <f t="shared" si="25"/>
        <v>GROEN</v>
      </c>
      <c r="Q172" s="86" t="str">
        <f t="shared" si="23"/>
        <v>Louis</v>
      </c>
      <c r="R172" s="87" t="str">
        <f t="shared" si="24"/>
        <v>Stef D</v>
      </c>
      <c r="S172" s="147" t="str">
        <f>Tabel158[[#This Row],[Rood Verdediging]]&amp;Tabel158[[#This Row],[Rood Aanval]]</f>
        <v>KarelTiemen</v>
      </c>
      <c r="T172" s="147" t="str">
        <f>Tabel158[[#This Row],[Groen Verdediging]]&amp;Tabel158[[#This Row],[Groen Aanval]]</f>
        <v>LouisStef D</v>
      </c>
      <c r="U172" s="147" t="str">
        <f>Tabel158[[#This Row],[Winnaar 1]]&amp;Tabel158[[#This Row],[Winnaar 2]]</f>
        <v>LouisStef D</v>
      </c>
      <c r="V172" s="147" t="b">
        <f>IF(Tabel158[[#This Row],[Team Rood]]=Tabel158[[#This Row],[Winnaars]],Tabel158[[#This Row],[Team Rood]])</f>
        <v>0</v>
      </c>
      <c r="W172" s="147" t="str">
        <f>IF(Tabel158[[#This Row],[Team Groen]]=Tabel158[[#This Row],[Winnaars]],Tabel158[[#This Row],[Team Groen]])</f>
        <v>LouisStef D</v>
      </c>
    </row>
    <row r="173" spans="1:23" x14ac:dyDescent="0.25">
      <c r="A173" s="125">
        <f ca="1">IF(Tabel158[[#This Row],[Rood Verdediging]]&lt;&gt;"",IF(A173="",NOW(),A173),"")</f>
        <v>0</v>
      </c>
      <c r="B173" s="128">
        <f ca="1">IF(Tabel158[[#This Row],[Rood Verdediging]]&lt;&gt;"",IF(B173="",NOW(),B173),"")</f>
        <v>43878.947694907409</v>
      </c>
      <c r="C173" s="126">
        <f ca="1">IF(Tabel158[[#This Row],[Score]]&lt;&gt;"",IF(C173="",NOW(),C173),"")</f>
        <v>43878.947694907409</v>
      </c>
      <c r="D173" s="182">
        <f ca="1">IF(OR(Tabel158[[#This Row],[Starttijd]]="",Tabel158[[#This Row],[Eindtijd]]=""),"",Tabel158[[#This Row],[Eindtijd]]-Tabel158[[#This Row],[Starttijd]])</f>
        <v>0</v>
      </c>
      <c r="E173" s="74">
        <v>120</v>
      </c>
      <c r="F173" s="205" t="s">
        <v>7</v>
      </c>
      <c r="G173" s="210">
        <v>3</v>
      </c>
      <c r="H173" s="205" t="s">
        <v>19</v>
      </c>
      <c r="I173" s="210">
        <v>8</v>
      </c>
      <c r="J173" s="206" t="s">
        <v>8</v>
      </c>
      <c r="K173" s="212">
        <v>6</v>
      </c>
      <c r="L173" s="206" t="s">
        <v>6</v>
      </c>
      <c r="M173" s="212">
        <v>2</v>
      </c>
      <c r="N173" s="81">
        <f t="shared" si="21"/>
        <v>11</v>
      </c>
      <c r="O173" s="82">
        <f t="shared" si="22"/>
        <v>8</v>
      </c>
      <c r="P173" s="70" t="str">
        <f t="shared" si="25"/>
        <v>ROOD</v>
      </c>
      <c r="Q173" s="86" t="str">
        <f t="shared" si="23"/>
        <v>Tiemen</v>
      </c>
      <c r="R173" s="87" t="str">
        <f t="shared" si="24"/>
        <v>Nicolas</v>
      </c>
      <c r="S173" s="147" t="str">
        <f>Tabel158[[#This Row],[Rood Verdediging]]&amp;Tabel158[[#This Row],[Rood Aanval]]</f>
        <v>TiemenNicolas</v>
      </c>
      <c r="T173" s="147" t="str">
        <f>Tabel158[[#This Row],[Groen Verdediging]]&amp;Tabel158[[#This Row],[Groen Aanval]]</f>
        <v>LouisStef D</v>
      </c>
      <c r="U173" s="147" t="str">
        <f>Tabel158[[#This Row],[Winnaar 1]]&amp;Tabel158[[#This Row],[Winnaar 2]]</f>
        <v>TiemenNicolas</v>
      </c>
      <c r="V173" s="147" t="str">
        <f>IF(Tabel158[[#This Row],[Team Rood]]=Tabel158[[#This Row],[Winnaars]],Tabel158[[#This Row],[Team Rood]])</f>
        <v>TiemenNicolas</v>
      </c>
      <c r="W173" s="147" t="b">
        <f>IF(Tabel158[[#This Row],[Team Groen]]=Tabel158[[#This Row],[Winnaars]],Tabel158[[#This Row],[Team Groen]])</f>
        <v>0</v>
      </c>
    </row>
    <row r="174" spans="1:23" x14ac:dyDescent="0.25">
      <c r="A174" s="125">
        <f ca="1">IF(Tabel158[[#This Row],[Rood Verdediging]]&lt;&gt;"",IF(A174="",NOW(),A174),"")</f>
        <v>0</v>
      </c>
      <c r="B174" s="128">
        <f ca="1">IF(Tabel158[[#This Row],[Rood Verdediging]]&lt;&gt;"",IF(B174="",NOW(),B174),"")</f>
        <v>43878.947694907409</v>
      </c>
      <c r="C174" s="126">
        <f ca="1">IF(Tabel158[[#This Row],[Score]]&lt;&gt;"",IF(C174="",NOW(),C174),"")</f>
        <v>43878.947694907409</v>
      </c>
      <c r="D174" s="182">
        <f ca="1">IF(OR(Tabel158[[#This Row],[Starttijd]]="",Tabel158[[#This Row],[Eindtijd]]=""),"",Tabel158[[#This Row],[Eindtijd]]-Tabel158[[#This Row],[Starttijd]])</f>
        <v>0</v>
      </c>
      <c r="E174" s="74">
        <v>120</v>
      </c>
      <c r="F174" s="205" t="s">
        <v>19</v>
      </c>
      <c r="G174" s="210">
        <v>1</v>
      </c>
      <c r="H174" s="205" t="s">
        <v>7</v>
      </c>
      <c r="I174" s="210">
        <v>3</v>
      </c>
      <c r="J174" s="206" t="s">
        <v>3</v>
      </c>
      <c r="K174" s="212">
        <v>4</v>
      </c>
      <c r="L174" s="206" t="s">
        <v>6</v>
      </c>
      <c r="M174" s="212">
        <v>7</v>
      </c>
      <c r="N174" s="81">
        <f t="shared" si="21"/>
        <v>4</v>
      </c>
      <c r="O174" s="82">
        <f t="shared" si="22"/>
        <v>11</v>
      </c>
      <c r="P174" s="70" t="str">
        <f t="shared" si="25"/>
        <v>GROEN</v>
      </c>
      <c r="Q174" s="86" t="str">
        <f t="shared" si="23"/>
        <v>Karel</v>
      </c>
      <c r="R174" s="87" t="str">
        <f t="shared" si="24"/>
        <v>Stef D</v>
      </c>
      <c r="S174" s="147" t="str">
        <f>Tabel158[[#This Row],[Rood Verdediging]]&amp;Tabel158[[#This Row],[Rood Aanval]]</f>
        <v>NicolasTiemen</v>
      </c>
      <c r="T174" s="147" t="str">
        <f>Tabel158[[#This Row],[Groen Verdediging]]&amp;Tabel158[[#This Row],[Groen Aanval]]</f>
        <v>KarelStef D</v>
      </c>
      <c r="U174" s="147" t="str">
        <f>Tabel158[[#This Row],[Winnaar 1]]&amp;Tabel158[[#This Row],[Winnaar 2]]</f>
        <v>KarelStef D</v>
      </c>
      <c r="V174" s="147" t="b">
        <f>IF(Tabel158[[#This Row],[Team Rood]]=Tabel158[[#This Row],[Winnaars]],Tabel158[[#This Row],[Team Rood]])</f>
        <v>0</v>
      </c>
      <c r="W174" s="147" t="str">
        <f>IF(Tabel158[[#This Row],[Team Groen]]=Tabel158[[#This Row],[Winnaars]],Tabel158[[#This Row],[Team Groen]])</f>
        <v>KarelStef D</v>
      </c>
    </row>
    <row r="175" spans="1:23" x14ac:dyDescent="0.25">
      <c r="A175" s="125">
        <f ca="1">IF(Tabel158[[#This Row],[Rood Verdediging]]&lt;&gt;"",IF(A175="",NOW(),A175),"")</f>
        <v>0</v>
      </c>
      <c r="B175" s="128">
        <f ca="1">IF(Tabel158[[#This Row],[Rood Verdediging]]&lt;&gt;"",IF(B175="",NOW(),B175),"")</f>
        <v>43878.947694907409</v>
      </c>
      <c r="C175" s="126">
        <f ca="1">IF(Tabel158[[#This Row],[Score]]&lt;&gt;"",IF(C175="",NOW(),C175),"")</f>
        <v>43878.947694907409</v>
      </c>
      <c r="D175" s="182">
        <f ca="1">IF(OR(Tabel158[[#This Row],[Starttijd]]="",Tabel158[[#This Row],[Eindtijd]]=""),"",Tabel158[[#This Row],[Eindtijd]]-Tabel158[[#This Row],[Starttijd]])</f>
        <v>0</v>
      </c>
      <c r="E175" s="74">
        <v>120</v>
      </c>
      <c r="F175" s="205" t="s">
        <v>7</v>
      </c>
      <c r="G175" s="210">
        <v>6</v>
      </c>
      <c r="H175" s="205" t="s">
        <v>6</v>
      </c>
      <c r="I175" s="210">
        <v>8</v>
      </c>
      <c r="J175" s="206" t="s">
        <v>19</v>
      </c>
      <c r="K175" s="212">
        <v>6</v>
      </c>
      <c r="L175" s="206" t="s">
        <v>3</v>
      </c>
      <c r="M175" s="212">
        <v>6</v>
      </c>
      <c r="N175" s="81">
        <f t="shared" si="21"/>
        <v>14</v>
      </c>
      <c r="O175" s="82">
        <f t="shared" si="22"/>
        <v>12</v>
      </c>
      <c r="P175" s="70" t="str">
        <f t="shared" si="25"/>
        <v>ROOD</v>
      </c>
      <c r="Q175" s="86" t="str">
        <f t="shared" si="23"/>
        <v>Tiemen</v>
      </c>
      <c r="R175" s="87" t="str">
        <f t="shared" si="24"/>
        <v>Stef D</v>
      </c>
      <c r="S175" s="147" t="str">
        <f>Tabel158[[#This Row],[Rood Verdediging]]&amp;Tabel158[[#This Row],[Rood Aanval]]</f>
        <v>TiemenStef D</v>
      </c>
      <c r="T175" s="147" t="str">
        <f>Tabel158[[#This Row],[Groen Verdediging]]&amp;Tabel158[[#This Row],[Groen Aanval]]</f>
        <v>NicolasKarel</v>
      </c>
      <c r="U175" s="147" t="str">
        <f>Tabel158[[#This Row],[Winnaar 1]]&amp;Tabel158[[#This Row],[Winnaar 2]]</f>
        <v>TiemenStef D</v>
      </c>
      <c r="V175" s="147" t="str">
        <f>IF(Tabel158[[#This Row],[Team Rood]]=Tabel158[[#This Row],[Winnaars]],Tabel158[[#This Row],[Team Rood]])</f>
        <v>TiemenStef D</v>
      </c>
      <c r="W175" s="147" t="b">
        <f>IF(Tabel158[[#This Row],[Team Groen]]=Tabel158[[#This Row],[Winnaars]],Tabel158[[#This Row],[Team Groen]])</f>
        <v>0</v>
      </c>
    </row>
    <row r="176" spans="1:23" x14ac:dyDescent="0.25">
      <c r="A176" s="125">
        <f ca="1">IF(Tabel158[[#This Row],[Rood Verdediging]]&lt;&gt;"",IF(A176="",NOW(),A176),"")</f>
        <v>0</v>
      </c>
      <c r="B176" s="128">
        <f ca="1">IF(Tabel158[[#This Row],[Rood Verdediging]]&lt;&gt;"",IF(B176="",NOW(),B176),"")</f>
        <v>43878.947694907409</v>
      </c>
      <c r="C176" s="126">
        <f ca="1">IF(Tabel158[[#This Row],[Score]]&lt;&gt;"",IF(C176="",NOW(),C176),"")</f>
        <v>43878.947694907409</v>
      </c>
      <c r="D176" s="182">
        <f ca="1">IF(OR(Tabel158[[#This Row],[Starttijd]]="",Tabel158[[#This Row],[Eindtijd]]=""),"",Tabel158[[#This Row],[Eindtijd]]-Tabel158[[#This Row],[Starttijd]])</f>
        <v>0</v>
      </c>
      <c r="E176" s="74">
        <v>120</v>
      </c>
      <c r="F176" s="205" t="s">
        <v>19</v>
      </c>
      <c r="G176" s="210">
        <v>2</v>
      </c>
      <c r="H176" s="205" t="s">
        <v>6</v>
      </c>
      <c r="I176" s="210">
        <v>10</v>
      </c>
      <c r="J176" s="206" t="s">
        <v>8</v>
      </c>
      <c r="K176" s="212">
        <v>1</v>
      </c>
      <c r="L176" s="206" t="s">
        <v>3</v>
      </c>
      <c r="M176" s="212">
        <v>13</v>
      </c>
      <c r="N176" s="81">
        <f t="shared" si="21"/>
        <v>12</v>
      </c>
      <c r="O176" s="82">
        <f t="shared" si="22"/>
        <v>14</v>
      </c>
      <c r="P176" s="70" t="str">
        <f t="shared" si="25"/>
        <v>GROEN</v>
      </c>
      <c r="Q176" s="86" t="str">
        <f t="shared" si="23"/>
        <v>Louis</v>
      </c>
      <c r="R176" s="87" t="str">
        <f t="shared" si="24"/>
        <v>Karel</v>
      </c>
      <c r="S176" s="147" t="str">
        <f>Tabel158[[#This Row],[Rood Verdediging]]&amp;Tabel158[[#This Row],[Rood Aanval]]</f>
        <v>NicolasStef D</v>
      </c>
      <c r="T176" s="147" t="str">
        <f>Tabel158[[#This Row],[Groen Verdediging]]&amp;Tabel158[[#This Row],[Groen Aanval]]</f>
        <v>LouisKarel</v>
      </c>
      <c r="U176" s="147" t="str">
        <f>Tabel158[[#This Row],[Winnaar 1]]&amp;Tabel158[[#This Row],[Winnaar 2]]</f>
        <v>LouisKarel</v>
      </c>
      <c r="V176" s="147" t="b">
        <f>IF(Tabel158[[#This Row],[Team Rood]]=Tabel158[[#This Row],[Winnaars]],Tabel158[[#This Row],[Team Rood]])</f>
        <v>0</v>
      </c>
      <c r="W176" s="147" t="str">
        <f>IF(Tabel158[[#This Row],[Team Groen]]=Tabel158[[#This Row],[Winnaars]],Tabel158[[#This Row],[Team Groen]])</f>
        <v>LouisKarel</v>
      </c>
    </row>
    <row r="177" spans="1:23" x14ac:dyDescent="0.25">
      <c r="A177" s="125">
        <f ca="1">IF(Tabel158[[#This Row],[Rood Verdediging]]&lt;&gt;"",IF(A177="",NOW(),A177),"")</f>
        <v>0</v>
      </c>
      <c r="B177" s="128">
        <f ca="1">IF(Tabel158[[#This Row],[Rood Verdediging]]&lt;&gt;"",IF(B177="",NOW(),B177),"")</f>
        <v>43878.947694907409</v>
      </c>
      <c r="C177" s="126">
        <f ca="1">IF(Tabel158[[#This Row],[Score]]&lt;&gt;"",IF(C177="",NOW(),C177),"")</f>
        <v>43878.947694907409</v>
      </c>
      <c r="D177" s="182">
        <f ca="1">IF(OR(Tabel158[[#This Row],[Starttijd]]="",Tabel158[[#This Row],[Eindtijd]]=""),"",Tabel158[[#This Row],[Eindtijd]]-Tabel158[[#This Row],[Starttijd]])</f>
        <v>0</v>
      </c>
      <c r="E177" s="74">
        <v>120</v>
      </c>
      <c r="F177" s="205" t="s">
        <v>0</v>
      </c>
      <c r="G177" s="210">
        <v>2</v>
      </c>
      <c r="H177" s="205" t="s">
        <v>6</v>
      </c>
      <c r="I177" s="210">
        <v>10</v>
      </c>
      <c r="J177" s="206" t="s">
        <v>19</v>
      </c>
      <c r="K177" s="212">
        <v>2</v>
      </c>
      <c r="L177" s="206" t="s">
        <v>3</v>
      </c>
      <c r="M177" s="212">
        <v>8</v>
      </c>
      <c r="N177" s="81">
        <f t="shared" si="21"/>
        <v>12</v>
      </c>
      <c r="O177" s="82">
        <f t="shared" si="22"/>
        <v>10</v>
      </c>
      <c r="P177" s="70" t="str">
        <f t="shared" si="25"/>
        <v>ROOD</v>
      </c>
      <c r="Q177" s="86" t="str">
        <f t="shared" si="23"/>
        <v>Jonas</v>
      </c>
      <c r="R177" s="87" t="str">
        <f t="shared" si="24"/>
        <v>Stef D</v>
      </c>
      <c r="S177" s="147" t="str">
        <f>Tabel158[[#This Row],[Rood Verdediging]]&amp;Tabel158[[#This Row],[Rood Aanval]]</f>
        <v>JonasStef D</v>
      </c>
      <c r="T177" s="147" t="str">
        <f>Tabel158[[#This Row],[Groen Verdediging]]&amp;Tabel158[[#This Row],[Groen Aanval]]</f>
        <v>NicolasKarel</v>
      </c>
      <c r="U177" s="147" t="str">
        <f>Tabel158[[#This Row],[Winnaar 1]]&amp;Tabel158[[#This Row],[Winnaar 2]]</f>
        <v>JonasStef D</v>
      </c>
      <c r="V177" s="147" t="str">
        <f>IF(Tabel158[[#This Row],[Team Rood]]=Tabel158[[#This Row],[Winnaars]],Tabel158[[#This Row],[Team Rood]])</f>
        <v>JonasStef D</v>
      </c>
      <c r="W177" s="147" t="b">
        <f>IF(Tabel158[[#This Row],[Team Groen]]=Tabel158[[#This Row],[Winnaars]],Tabel158[[#This Row],[Team Groen]])</f>
        <v>0</v>
      </c>
    </row>
    <row r="178" spans="1:23" x14ac:dyDescent="0.25">
      <c r="A178" s="125">
        <f ca="1">IF(Tabel158[[#This Row],[Rood Verdediging]]&lt;&gt;"",IF(A178="",NOW(),A178),"")</f>
        <v>0</v>
      </c>
      <c r="B178" s="128">
        <f ca="1">IF(Tabel158[[#This Row],[Rood Verdediging]]&lt;&gt;"",IF(B178="",NOW(),B178),"")</f>
        <v>43878.947694907409</v>
      </c>
      <c r="C178" s="126">
        <f ca="1">IF(Tabel158[[#This Row],[Score]]&lt;&gt;"",IF(C178="",NOW(),C178),"")</f>
        <v>43878.947694907409</v>
      </c>
      <c r="D178" s="182">
        <f ca="1">IF(OR(Tabel158[[#This Row],[Starttijd]]="",Tabel158[[#This Row],[Eindtijd]]=""),"",Tabel158[[#This Row],[Eindtijd]]-Tabel158[[#This Row],[Starttijd]])</f>
        <v>0</v>
      </c>
      <c r="E178" s="74">
        <v>120</v>
      </c>
      <c r="F178" s="205" t="s">
        <v>6</v>
      </c>
      <c r="G178" s="210">
        <v>3</v>
      </c>
      <c r="H178" s="205" t="s">
        <v>0</v>
      </c>
      <c r="I178" s="210">
        <v>8</v>
      </c>
      <c r="J178" s="206" t="s">
        <v>3</v>
      </c>
      <c r="K178" s="212">
        <v>5</v>
      </c>
      <c r="L178" s="206" t="s">
        <v>19</v>
      </c>
      <c r="M178" s="212">
        <v>2</v>
      </c>
      <c r="N178" s="81">
        <f t="shared" si="21"/>
        <v>11</v>
      </c>
      <c r="O178" s="82">
        <f t="shared" si="22"/>
        <v>7</v>
      </c>
      <c r="P178" s="70" t="str">
        <f t="shared" si="25"/>
        <v>ROOD</v>
      </c>
      <c r="Q178" s="86" t="str">
        <f t="shared" si="23"/>
        <v>Stef D</v>
      </c>
      <c r="R178" s="87" t="str">
        <f t="shared" si="24"/>
        <v>Jonas</v>
      </c>
      <c r="S178" s="147" t="str">
        <f>Tabel158[[#This Row],[Rood Verdediging]]&amp;Tabel158[[#This Row],[Rood Aanval]]</f>
        <v>Stef DJonas</v>
      </c>
      <c r="T178" s="147" t="str">
        <f>Tabel158[[#This Row],[Groen Verdediging]]&amp;Tabel158[[#This Row],[Groen Aanval]]</f>
        <v>KarelNicolas</v>
      </c>
      <c r="U178" s="147" t="str">
        <f>Tabel158[[#This Row],[Winnaar 1]]&amp;Tabel158[[#This Row],[Winnaar 2]]</f>
        <v>Stef DJonas</v>
      </c>
      <c r="V178" s="147" t="str">
        <f>IF(Tabel158[[#This Row],[Team Rood]]=Tabel158[[#This Row],[Winnaars]],Tabel158[[#This Row],[Team Rood]])</f>
        <v>Stef DJonas</v>
      </c>
      <c r="W178" s="147" t="b">
        <f>IF(Tabel158[[#This Row],[Team Groen]]=Tabel158[[#This Row],[Winnaars]],Tabel158[[#This Row],[Team Groen]])</f>
        <v>0</v>
      </c>
    </row>
    <row r="179" spans="1:23" x14ac:dyDescent="0.25">
      <c r="A179" s="125">
        <f ca="1">IF(Tabel158[[#This Row],[Rood Verdediging]]&lt;&gt;"",IF(A179="",NOW(),A179),"")</f>
        <v>0</v>
      </c>
      <c r="B179" s="128">
        <f ca="1">IF(Tabel158[[#This Row],[Rood Verdediging]]&lt;&gt;"",IF(B179="",NOW(),B179),"")</f>
        <v>43878.947694907409</v>
      </c>
      <c r="C179" s="126">
        <f ca="1">IF(Tabel158[[#This Row],[Score]]&lt;&gt;"",IF(C179="",NOW(),C179),"")</f>
        <v>43878.947694907409</v>
      </c>
      <c r="D179" s="182">
        <f ca="1">IF(OR(Tabel158[[#This Row],[Starttijd]]="",Tabel158[[#This Row],[Eindtijd]]=""),"",Tabel158[[#This Row],[Eindtijd]]-Tabel158[[#This Row],[Starttijd]])</f>
        <v>0</v>
      </c>
      <c r="E179" s="74">
        <v>120</v>
      </c>
      <c r="F179" s="205" t="s">
        <v>19</v>
      </c>
      <c r="G179" s="210">
        <v>2</v>
      </c>
      <c r="H179" s="205" t="s">
        <v>6</v>
      </c>
      <c r="I179" s="210">
        <v>8</v>
      </c>
      <c r="J179" s="206" t="s">
        <v>0</v>
      </c>
      <c r="K179" s="212">
        <v>2</v>
      </c>
      <c r="L179" s="206" t="s">
        <v>3</v>
      </c>
      <c r="M179" s="212">
        <v>11</v>
      </c>
      <c r="N179" s="81">
        <f t="shared" si="21"/>
        <v>10</v>
      </c>
      <c r="O179" s="82">
        <f t="shared" si="22"/>
        <v>13</v>
      </c>
      <c r="P179" s="70" t="str">
        <f t="shared" si="25"/>
        <v>GROEN</v>
      </c>
      <c r="Q179" s="86" t="str">
        <f t="shared" si="23"/>
        <v>Jonas</v>
      </c>
      <c r="R179" s="87" t="str">
        <f t="shared" si="24"/>
        <v>Karel</v>
      </c>
      <c r="S179" s="147" t="str">
        <f>Tabel158[[#This Row],[Rood Verdediging]]&amp;Tabel158[[#This Row],[Rood Aanval]]</f>
        <v>NicolasStef D</v>
      </c>
      <c r="T179" s="147" t="str">
        <f>Tabel158[[#This Row],[Groen Verdediging]]&amp;Tabel158[[#This Row],[Groen Aanval]]</f>
        <v>JonasKarel</v>
      </c>
      <c r="U179" s="147" t="str">
        <f>Tabel158[[#This Row],[Winnaar 1]]&amp;Tabel158[[#This Row],[Winnaar 2]]</f>
        <v>JonasKarel</v>
      </c>
      <c r="V179" s="147" t="b">
        <f>IF(Tabel158[[#This Row],[Team Rood]]=Tabel158[[#This Row],[Winnaars]],Tabel158[[#This Row],[Team Rood]])</f>
        <v>0</v>
      </c>
      <c r="W179" s="147" t="str">
        <f>IF(Tabel158[[#This Row],[Team Groen]]=Tabel158[[#This Row],[Winnaars]],Tabel158[[#This Row],[Team Groen]])</f>
        <v>JonasKarel</v>
      </c>
    </row>
    <row r="180" spans="1:23" x14ac:dyDescent="0.25">
      <c r="A180" s="125">
        <f ca="1">IF(Tabel158[[#This Row],[Rood Verdediging]]&lt;&gt;"",IF(A180="",NOW(),A180),"")</f>
        <v>0</v>
      </c>
      <c r="B180" s="128">
        <f ca="1">IF(Tabel158[[#This Row],[Rood Verdediging]]&lt;&gt;"",IF(B180="",NOW(),B180),"")</f>
        <v>43878.947694907409</v>
      </c>
      <c r="C180" s="126">
        <f ca="1">IF(Tabel158[[#This Row],[Score]]&lt;&gt;"",IF(C180="",NOW(),C180),"")</f>
        <v>43878.947694907409</v>
      </c>
      <c r="D180" s="182">
        <f ca="1">IF(OR(Tabel158[[#This Row],[Starttijd]]="",Tabel158[[#This Row],[Eindtijd]]=""),"",Tabel158[[#This Row],[Eindtijd]]-Tabel158[[#This Row],[Starttijd]])</f>
        <v>0</v>
      </c>
      <c r="E180" s="74">
        <v>120</v>
      </c>
      <c r="F180" s="205" t="s">
        <v>6</v>
      </c>
      <c r="G180" s="210">
        <v>5</v>
      </c>
      <c r="H180" s="205" t="s">
        <v>19</v>
      </c>
      <c r="I180" s="210">
        <v>6</v>
      </c>
      <c r="J180" s="206" t="s">
        <v>3</v>
      </c>
      <c r="K180" s="212">
        <v>3</v>
      </c>
      <c r="L180" s="206" t="s">
        <v>0</v>
      </c>
      <c r="M180" s="212">
        <v>10</v>
      </c>
      <c r="N180" s="81">
        <f t="shared" si="21"/>
        <v>11</v>
      </c>
      <c r="O180" s="82">
        <f t="shared" si="22"/>
        <v>13</v>
      </c>
      <c r="P180" s="70" t="str">
        <f t="shared" si="25"/>
        <v>GROEN</v>
      </c>
      <c r="Q180" s="86" t="str">
        <f t="shared" si="23"/>
        <v>Karel</v>
      </c>
      <c r="R180" s="87" t="str">
        <f t="shared" si="24"/>
        <v>Jonas</v>
      </c>
      <c r="S180" s="147" t="str">
        <f>Tabel158[[#This Row],[Rood Verdediging]]&amp;Tabel158[[#This Row],[Rood Aanval]]</f>
        <v>Stef DNicolas</v>
      </c>
      <c r="T180" s="147" t="str">
        <f>Tabel158[[#This Row],[Groen Verdediging]]&amp;Tabel158[[#This Row],[Groen Aanval]]</f>
        <v>KarelJonas</v>
      </c>
      <c r="U180" s="147" t="str">
        <f>Tabel158[[#This Row],[Winnaar 1]]&amp;Tabel158[[#This Row],[Winnaar 2]]</f>
        <v>KarelJonas</v>
      </c>
      <c r="V180" s="147" t="b">
        <f>IF(Tabel158[[#This Row],[Team Rood]]=Tabel158[[#This Row],[Winnaars]],Tabel158[[#This Row],[Team Rood]])</f>
        <v>0</v>
      </c>
      <c r="W180" s="147" t="str">
        <f>IF(Tabel158[[#This Row],[Team Groen]]=Tabel158[[#This Row],[Winnaars]],Tabel158[[#This Row],[Team Groen]])</f>
        <v>KarelJonas</v>
      </c>
    </row>
    <row r="181" spans="1:23" x14ac:dyDescent="0.25">
      <c r="A181" s="125">
        <f ca="1">IF(Tabel158[[#This Row],[Rood Verdediging]]&lt;&gt;"",IF(A181="",NOW(),A181),"")</f>
        <v>0</v>
      </c>
      <c r="B181" s="128">
        <f ca="1">IF(Tabel158[[#This Row],[Rood Verdediging]]&lt;&gt;"",IF(B181="",NOW(),B181),"")</f>
        <v>43878.947694907409</v>
      </c>
      <c r="C181" s="126">
        <f ca="1">IF(Tabel158[[#This Row],[Score]]&lt;&gt;"",IF(C181="",NOW(),C181),"")</f>
        <v>43878.947694907409</v>
      </c>
      <c r="D181" s="182">
        <f ca="1">IF(OR(Tabel158[[#This Row],[Starttijd]]="",Tabel158[[#This Row],[Eindtijd]]=""),"",Tabel158[[#This Row],[Eindtijd]]-Tabel158[[#This Row],[Starttijd]])</f>
        <v>0</v>
      </c>
      <c r="E181" s="74">
        <v>120</v>
      </c>
      <c r="F181" s="205" t="s">
        <v>3</v>
      </c>
      <c r="G181" s="210">
        <v>2</v>
      </c>
      <c r="H181" s="205" t="s">
        <v>6</v>
      </c>
      <c r="I181" s="210">
        <v>12</v>
      </c>
      <c r="J181" s="206" t="s">
        <v>19</v>
      </c>
      <c r="K181" s="212">
        <v>2</v>
      </c>
      <c r="L181" s="206" t="s">
        <v>0</v>
      </c>
      <c r="M181" s="212">
        <v>10</v>
      </c>
      <c r="N181" s="81">
        <f t="shared" si="21"/>
        <v>14</v>
      </c>
      <c r="O181" s="82">
        <f t="shared" si="22"/>
        <v>12</v>
      </c>
      <c r="P181" s="70" t="str">
        <f t="shared" si="25"/>
        <v>ROOD</v>
      </c>
      <c r="Q181" s="86" t="str">
        <f t="shared" si="23"/>
        <v>Karel</v>
      </c>
      <c r="R181" s="87" t="str">
        <f t="shared" si="24"/>
        <v>Stef D</v>
      </c>
      <c r="S181" s="147" t="str">
        <f>Tabel158[[#This Row],[Rood Verdediging]]&amp;Tabel158[[#This Row],[Rood Aanval]]</f>
        <v>KarelStef D</v>
      </c>
      <c r="T181" s="147" t="str">
        <f>Tabel158[[#This Row],[Groen Verdediging]]&amp;Tabel158[[#This Row],[Groen Aanval]]</f>
        <v>NicolasJonas</v>
      </c>
      <c r="U181" s="147" t="str">
        <f>Tabel158[[#This Row],[Winnaar 1]]&amp;Tabel158[[#This Row],[Winnaar 2]]</f>
        <v>KarelStef D</v>
      </c>
      <c r="V181" s="147" t="str">
        <f>IF(Tabel158[[#This Row],[Team Rood]]=Tabel158[[#This Row],[Winnaars]],Tabel158[[#This Row],[Team Rood]])</f>
        <v>KarelStef D</v>
      </c>
      <c r="W181" s="147" t="b">
        <f>IF(Tabel158[[#This Row],[Team Groen]]=Tabel158[[#This Row],[Winnaars]],Tabel158[[#This Row],[Team Groen]])</f>
        <v>0</v>
      </c>
    </row>
    <row r="182" spans="1:23" x14ac:dyDescent="0.25">
      <c r="A182" s="125">
        <f ca="1">IF(Tabel158[[#This Row],[Rood Verdediging]]&lt;&gt;"",IF(A182="",NOW(),A182),"")</f>
        <v>0</v>
      </c>
      <c r="B182" s="128">
        <f ca="1">IF(Tabel158[[#This Row],[Rood Verdediging]]&lt;&gt;"",IF(B182="",NOW(),B182),"")</f>
        <v>43878.947694907409</v>
      </c>
      <c r="C182" s="126">
        <f ca="1">IF(Tabel158[[#This Row],[Score]]&lt;&gt;"",IF(C182="",NOW(),C182),"")</f>
        <v>43878.947694907409</v>
      </c>
      <c r="D182" s="182">
        <f ca="1">IF(OR(Tabel158[[#This Row],[Starttijd]]="",Tabel158[[#This Row],[Eindtijd]]=""),"",Tabel158[[#This Row],[Eindtijd]]-Tabel158[[#This Row],[Starttijd]])</f>
        <v>0</v>
      </c>
      <c r="E182" s="74">
        <v>120</v>
      </c>
      <c r="F182" s="205" t="s">
        <v>6</v>
      </c>
      <c r="G182" s="210">
        <v>3</v>
      </c>
      <c r="H182" s="205" t="s">
        <v>3</v>
      </c>
      <c r="I182" s="210">
        <v>9</v>
      </c>
      <c r="J182" s="206" t="s">
        <v>0</v>
      </c>
      <c r="K182" s="212">
        <v>4</v>
      </c>
      <c r="L182" s="206" t="s">
        <v>19</v>
      </c>
      <c r="M182" s="212">
        <v>6</v>
      </c>
      <c r="N182" s="81">
        <f t="shared" si="21"/>
        <v>12</v>
      </c>
      <c r="O182" s="82">
        <f t="shared" si="22"/>
        <v>10</v>
      </c>
      <c r="P182" s="70" t="str">
        <f t="shared" si="25"/>
        <v>ROOD</v>
      </c>
      <c r="Q182" s="86" t="str">
        <f t="shared" si="23"/>
        <v>Stef D</v>
      </c>
      <c r="R182" s="87" t="str">
        <f t="shared" si="24"/>
        <v>Karel</v>
      </c>
      <c r="S182" s="147" t="str">
        <f>Tabel158[[#This Row],[Rood Verdediging]]&amp;Tabel158[[#This Row],[Rood Aanval]]</f>
        <v>Stef DKarel</v>
      </c>
      <c r="T182" s="147" t="str">
        <f>Tabel158[[#This Row],[Groen Verdediging]]&amp;Tabel158[[#This Row],[Groen Aanval]]</f>
        <v>JonasNicolas</v>
      </c>
      <c r="U182" s="147" t="str">
        <f>Tabel158[[#This Row],[Winnaar 1]]&amp;Tabel158[[#This Row],[Winnaar 2]]</f>
        <v>Stef DKarel</v>
      </c>
      <c r="V182" s="147" t="str">
        <f>IF(Tabel158[[#This Row],[Team Rood]]=Tabel158[[#This Row],[Winnaars]],Tabel158[[#This Row],[Team Rood]])</f>
        <v>Stef DKarel</v>
      </c>
      <c r="W182" s="147" t="b">
        <f>IF(Tabel158[[#This Row],[Team Groen]]=Tabel158[[#This Row],[Winnaars]],Tabel158[[#This Row],[Team Groen]])</f>
        <v>0</v>
      </c>
    </row>
    <row r="183" spans="1:23" x14ac:dyDescent="0.25">
      <c r="A183" s="125">
        <f ca="1">IF(Tabel158[[#This Row],[Rood Verdediging]]&lt;&gt;"",IF(A183="",NOW(),A183),"")</f>
        <v>0</v>
      </c>
      <c r="B183" s="128">
        <f ca="1">IF(Tabel158[[#This Row],[Rood Verdediging]]&lt;&gt;"",IF(B183="",NOW(),B183),"")</f>
        <v>43878.947694907409</v>
      </c>
      <c r="C183" s="126">
        <f ca="1">IF(Tabel158[[#This Row],[Score]]&lt;&gt;"",IF(C183="",NOW(),C183),"")</f>
        <v>43878.947694907409</v>
      </c>
      <c r="D183" s="182">
        <f ca="1">IF(OR(Tabel158[[#This Row],[Starttijd]]="",Tabel158[[#This Row],[Eindtijd]]=""),"",Tabel158[[#This Row],[Eindtijd]]-Tabel158[[#This Row],[Starttijd]])</f>
        <v>0</v>
      </c>
      <c r="E183" s="74">
        <v>120</v>
      </c>
      <c r="F183" s="205" t="s">
        <v>3</v>
      </c>
      <c r="G183" s="210">
        <v>5</v>
      </c>
      <c r="H183" s="205" t="s">
        <v>19</v>
      </c>
      <c r="I183" s="210">
        <v>7</v>
      </c>
      <c r="J183" s="206" t="s">
        <v>0</v>
      </c>
      <c r="K183" s="212">
        <v>6</v>
      </c>
      <c r="L183" s="206" t="s">
        <v>6</v>
      </c>
      <c r="M183" s="212">
        <v>4</v>
      </c>
      <c r="N183" s="81">
        <f t="shared" si="21"/>
        <v>12</v>
      </c>
      <c r="O183" s="82">
        <f t="shared" si="22"/>
        <v>10</v>
      </c>
      <c r="P183" s="70" t="str">
        <f t="shared" si="25"/>
        <v>ROOD</v>
      </c>
      <c r="Q183" s="86" t="str">
        <f t="shared" si="23"/>
        <v>Karel</v>
      </c>
      <c r="R183" s="87" t="str">
        <f t="shared" si="24"/>
        <v>Nicolas</v>
      </c>
      <c r="S183" s="147" t="str">
        <f>Tabel158[[#This Row],[Rood Verdediging]]&amp;Tabel158[[#This Row],[Rood Aanval]]</f>
        <v>KarelNicolas</v>
      </c>
      <c r="T183" s="147" t="str">
        <f>Tabel158[[#This Row],[Groen Verdediging]]&amp;Tabel158[[#This Row],[Groen Aanval]]</f>
        <v>JonasStef D</v>
      </c>
      <c r="U183" s="147" t="str">
        <f>Tabel158[[#This Row],[Winnaar 1]]&amp;Tabel158[[#This Row],[Winnaar 2]]</f>
        <v>KarelNicolas</v>
      </c>
      <c r="V183" s="147" t="str">
        <f>IF(Tabel158[[#This Row],[Team Rood]]=Tabel158[[#This Row],[Winnaars]],Tabel158[[#This Row],[Team Rood]])</f>
        <v>KarelNicolas</v>
      </c>
      <c r="W183" s="147" t="b">
        <f>IF(Tabel158[[#This Row],[Team Groen]]=Tabel158[[#This Row],[Winnaars]],Tabel158[[#This Row],[Team Groen]])</f>
        <v>0</v>
      </c>
    </row>
    <row r="184" spans="1:23" x14ac:dyDescent="0.25">
      <c r="A184" s="125">
        <f ca="1">IF(Tabel158[[#This Row],[Rood Verdediging]]&lt;&gt;"",IF(A184="",NOW(),A184),"")</f>
        <v>0</v>
      </c>
      <c r="B184" s="128">
        <f ca="1">IF(Tabel158[[#This Row],[Rood Verdediging]]&lt;&gt;"",IF(B184="",NOW(),B184),"")</f>
        <v>43878.947694907409</v>
      </c>
      <c r="C184" s="126">
        <f ca="1">IF(Tabel158[[#This Row],[Score]]&lt;&gt;"",IF(C184="",NOW(),C184),"")</f>
        <v>43878.947694907409</v>
      </c>
      <c r="D184" s="182">
        <f ca="1">IF(OR(Tabel158[[#This Row],[Starttijd]]="",Tabel158[[#This Row],[Eindtijd]]=""),"",Tabel158[[#This Row],[Eindtijd]]-Tabel158[[#This Row],[Starttijd]])</f>
        <v>0</v>
      </c>
      <c r="E184" s="74">
        <v>120</v>
      </c>
      <c r="F184" s="205" t="s">
        <v>19</v>
      </c>
      <c r="G184" s="210">
        <v>2</v>
      </c>
      <c r="H184" s="205" t="s">
        <v>3</v>
      </c>
      <c r="I184" s="210">
        <v>9</v>
      </c>
      <c r="J184" s="206" t="s">
        <v>6</v>
      </c>
      <c r="K184" s="212">
        <v>4</v>
      </c>
      <c r="L184" s="206" t="s">
        <v>0</v>
      </c>
      <c r="M184" s="212">
        <v>3</v>
      </c>
      <c r="N184" s="81">
        <f t="shared" si="21"/>
        <v>11</v>
      </c>
      <c r="O184" s="82">
        <f t="shared" si="22"/>
        <v>7</v>
      </c>
      <c r="P184" s="70" t="str">
        <f t="shared" si="25"/>
        <v>ROOD</v>
      </c>
      <c r="Q184" s="86" t="str">
        <f t="shared" si="23"/>
        <v>Nicolas</v>
      </c>
      <c r="R184" s="87" t="str">
        <f t="shared" si="24"/>
        <v>Karel</v>
      </c>
      <c r="S184" s="147" t="str">
        <f>Tabel158[[#This Row],[Rood Verdediging]]&amp;Tabel158[[#This Row],[Rood Aanval]]</f>
        <v>NicolasKarel</v>
      </c>
      <c r="T184" s="147" t="str">
        <f>Tabel158[[#This Row],[Groen Verdediging]]&amp;Tabel158[[#This Row],[Groen Aanval]]</f>
        <v>Stef DJonas</v>
      </c>
      <c r="U184" s="147" t="str">
        <f>Tabel158[[#This Row],[Winnaar 1]]&amp;Tabel158[[#This Row],[Winnaar 2]]</f>
        <v>NicolasKarel</v>
      </c>
      <c r="V184" s="147" t="str">
        <f>IF(Tabel158[[#This Row],[Team Rood]]=Tabel158[[#This Row],[Winnaars]],Tabel158[[#This Row],[Team Rood]])</f>
        <v>NicolasKarel</v>
      </c>
      <c r="W184" s="147" t="b">
        <f>IF(Tabel158[[#This Row],[Team Groen]]=Tabel158[[#This Row],[Winnaars]],Tabel158[[#This Row],[Team Groen]])</f>
        <v>0</v>
      </c>
    </row>
    <row r="185" spans="1:23" x14ac:dyDescent="0.25">
      <c r="A185" s="125">
        <f ca="1">IF(Tabel158[[#This Row],[Rood Verdediging]]&lt;&gt;"",IF(A185="",NOW(),A185),"")</f>
        <v>0</v>
      </c>
      <c r="B185" s="128">
        <f ca="1">IF(Tabel158[[#This Row],[Rood Verdediging]]&lt;&gt;"",IF(B185="",NOW(),B185),"")</f>
        <v>43878.947694907409</v>
      </c>
      <c r="C185" s="126">
        <f ca="1">IF(Tabel158[[#This Row],[Score]]&lt;&gt;"",IF(C185="",NOW(),C185),"")</f>
        <v>43878.947694907409</v>
      </c>
      <c r="D185" s="182">
        <f ca="1">IF(OR(Tabel158[[#This Row],[Starttijd]]="",Tabel158[[#This Row],[Eindtijd]]=""),"",Tabel158[[#This Row],[Eindtijd]]-Tabel158[[#This Row],[Starttijd]])</f>
        <v>0</v>
      </c>
      <c r="E185" s="74">
        <v>120</v>
      </c>
      <c r="F185" s="205" t="s">
        <v>19</v>
      </c>
      <c r="G185" s="210">
        <v>1</v>
      </c>
      <c r="H185" s="205" t="s">
        <v>6</v>
      </c>
      <c r="I185" s="210">
        <v>10</v>
      </c>
      <c r="J185" s="206" t="s">
        <v>0</v>
      </c>
      <c r="K185" s="212">
        <v>5</v>
      </c>
      <c r="L185" s="206" t="s">
        <v>3</v>
      </c>
      <c r="M185" s="212">
        <v>8</v>
      </c>
      <c r="N185" s="81">
        <f t="shared" si="21"/>
        <v>11</v>
      </c>
      <c r="O185" s="82">
        <f t="shared" si="22"/>
        <v>13</v>
      </c>
      <c r="P185" s="70" t="str">
        <f t="shared" si="25"/>
        <v>GROEN</v>
      </c>
      <c r="Q185" s="86" t="str">
        <f t="shared" si="23"/>
        <v>Jonas</v>
      </c>
      <c r="R185" s="87" t="str">
        <f t="shared" si="24"/>
        <v>Karel</v>
      </c>
      <c r="S185" s="147" t="str">
        <f>Tabel158[[#This Row],[Rood Verdediging]]&amp;Tabel158[[#This Row],[Rood Aanval]]</f>
        <v>NicolasStef D</v>
      </c>
      <c r="T185" s="147" t="str">
        <f>Tabel158[[#This Row],[Groen Verdediging]]&amp;Tabel158[[#This Row],[Groen Aanval]]</f>
        <v>JonasKarel</v>
      </c>
      <c r="U185" s="147" t="str">
        <f>Tabel158[[#This Row],[Winnaar 1]]&amp;Tabel158[[#This Row],[Winnaar 2]]</f>
        <v>JonasKarel</v>
      </c>
      <c r="V185" s="147" t="b">
        <f>IF(Tabel158[[#This Row],[Team Rood]]=Tabel158[[#This Row],[Winnaars]],Tabel158[[#This Row],[Team Rood]])</f>
        <v>0</v>
      </c>
      <c r="W185" s="147" t="str">
        <f>IF(Tabel158[[#This Row],[Team Groen]]=Tabel158[[#This Row],[Winnaars]],Tabel158[[#This Row],[Team Groen]])</f>
        <v>JonasKarel</v>
      </c>
    </row>
    <row r="186" spans="1:23" x14ac:dyDescent="0.25">
      <c r="A186" s="125">
        <f ca="1">IF(Tabel158[[#This Row],[Rood Verdediging]]&lt;&gt;"",IF(A186="",NOW(),A186),"")</f>
        <v>0</v>
      </c>
      <c r="B186" s="128">
        <f ca="1">IF(Tabel158[[#This Row],[Rood Verdediging]]&lt;&gt;"",IF(B186="",NOW(),B186),"")</f>
        <v>43878.947694907409</v>
      </c>
      <c r="C186" s="126">
        <f ca="1">IF(Tabel158[[#This Row],[Score]]&lt;&gt;"",IF(C186="",NOW(),C186),"")</f>
        <v>43878.947694907409</v>
      </c>
      <c r="D186" s="182">
        <f ca="1">IF(OR(Tabel158[[#This Row],[Starttijd]]="",Tabel158[[#This Row],[Eindtijd]]=""),"",Tabel158[[#This Row],[Eindtijd]]-Tabel158[[#This Row],[Starttijd]])</f>
        <v>0</v>
      </c>
      <c r="E186" s="74">
        <v>120</v>
      </c>
      <c r="F186" s="205" t="s">
        <v>6</v>
      </c>
      <c r="G186" s="210">
        <v>4</v>
      </c>
      <c r="H186" s="205" t="s">
        <v>19</v>
      </c>
      <c r="I186" s="210">
        <v>2</v>
      </c>
      <c r="J186" s="206" t="s">
        <v>0</v>
      </c>
      <c r="K186" s="212">
        <v>4</v>
      </c>
      <c r="L186" s="206" t="s">
        <v>3</v>
      </c>
      <c r="M186" s="212">
        <v>7</v>
      </c>
      <c r="N186" s="81">
        <f t="shared" si="21"/>
        <v>6</v>
      </c>
      <c r="O186" s="82">
        <f t="shared" si="22"/>
        <v>11</v>
      </c>
      <c r="P186" s="70" t="str">
        <f t="shared" si="25"/>
        <v>GROEN</v>
      </c>
      <c r="Q186" s="86" t="str">
        <f t="shared" si="23"/>
        <v>Jonas</v>
      </c>
      <c r="R186" s="87" t="str">
        <f t="shared" si="24"/>
        <v>Karel</v>
      </c>
      <c r="S186" s="147" t="str">
        <f>Tabel158[[#This Row],[Rood Verdediging]]&amp;Tabel158[[#This Row],[Rood Aanval]]</f>
        <v>Stef DNicolas</v>
      </c>
      <c r="T186" s="147" t="str">
        <f>Tabel158[[#This Row],[Groen Verdediging]]&amp;Tabel158[[#This Row],[Groen Aanval]]</f>
        <v>JonasKarel</v>
      </c>
      <c r="U186" s="147" t="str">
        <f>Tabel158[[#This Row],[Winnaar 1]]&amp;Tabel158[[#This Row],[Winnaar 2]]</f>
        <v>JonasKarel</v>
      </c>
      <c r="V186" s="147" t="b">
        <f>IF(Tabel158[[#This Row],[Team Rood]]=Tabel158[[#This Row],[Winnaars]],Tabel158[[#This Row],[Team Rood]])</f>
        <v>0</v>
      </c>
      <c r="W186" s="147" t="str">
        <f>IF(Tabel158[[#This Row],[Team Groen]]=Tabel158[[#This Row],[Winnaars]],Tabel158[[#This Row],[Team Groen]])</f>
        <v>JonasKarel</v>
      </c>
    </row>
    <row r="187" spans="1:23" x14ac:dyDescent="0.25">
      <c r="A187" s="125">
        <f ca="1">IF(Tabel158[[#This Row],[Rood Verdediging]]&lt;&gt;"",IF(A187="",NOW(),A187),"")</f>
        <v>0</v>
      </c>
      <c r="B187" s="128">
        <f ca="1">IF(Tabel158[[#This Row],[Rood Verdediging]]&lt;&gt;"",IF(B187="",NOW(),B187),"")</f>
        <v>43878.947694907409</v>
      </c>
      <c r="C187" s="126">
        <f ca="1">IF(Tabel158[[#This Row],[Score]]&lt;&gt;"",IF(C187="",NOW(),C187),"")</f>
        <v>43878.947694907409</v>
      </c>
      <c r="D187" s="182">
        <f ca="1">IF(OR(Tabel158[[#This Row],[Starttijd]]="",Tabel158[[#This Row],[Eindtijd]]=""),"",Tabel158[[#This Row],[Eindtijd]]-Tabel158[[#This Row],[Starttijd]])</f>
        <v>0</v>
      </c>
      <c r="E187" s="74">
        <v>120</v>
      </c>
      <c r="F187" s="205" t="s">
        <v>8</v>
      </c>
      <c r="G187" s="210">
        <v>5</v>
      </c>
      <c r="H187" s="205" t="s">
        <v>6</v>
      </c>
      <c r="I187" s="210">
        <v>6</v>
      </c>
      <c r="J187" s="206" t="s">
        <v>3</v>
      </c>
      <c r="K187" s="212">
        <v>0</v>
      </c>
      <c r="L187" s="206" t="s">
        <v>0</v>
      </c>
      <c r="M187" s="212">
        <v>3</v>
      </c>
      <c r="N187" s="81">
        <f t="shared" si="21"/>
        <v>11</v>
      </c>
      <c r="O187" s="82">
        <f t="shared" si="22"/>
        <v>3</v>
      </c>
      <c r="P187" s="70" t="str">
        <f t="shared" si="25"/>
        <v>ROOD</v>
      </c>
      <c r="Q187" s="86" t="str">
        <f t="shared" si="23"/>
        <v>Louis</v>
      </c>
      <c r="R187" s="87" t="str">
        <f t="shared" si="24"/>
        <v>Stef D</v>
      </c>
      <c r="S187" s="147" t="str">
        <f>Tabel158[[#This Row],[Rood Verdediging]]&amp;Tabel158[[#This Row],[Rood Aanval]]</f>
        <v>LouisStef D</v>
      </c>
      <c r="T187" s="147" t="str">
        <f>Tabel158[[#This Row],[Groen Verdediging]]&amp;Tabel158[[#This Row],[Groen Aanval]]</f>
        <v>KarelJonas</v>
      </c>
      <c r="U187" s="147" t="str">
        <f>Tabel158[[#This Row],[Winnaar 1]]&amp;Tabel158[[#This Row],[Winnaar 2]]</f>
        <v>LouisStef D</v>
      </c>
      <c r="V187" s="147" t="str">
        <f>IF(Tabel158[[#This Row],[Team Rood]]=Tabel158[[#This Row],[Winnaars]],Tabel158[[#This Row],[Team Rood]])</f>
        <v>LouisStef D</v>
      </c>
      <c r="W187" s="147" t="b">
        <f>IF(Tabel158[[#This Row],[Team Groen]]=Tabel158[[#This Row],[Winnaars]],Tabel158[[#This Row],[Team Groen]])</f>
        <v>0</v>
      </c>
    </row>
    <row r="188" spans="1:23" x14ac:dyDescent="0.25">
      <c r="A188" s="125">
        <f ca="1">IF(Tabel158[[#This Row],[Rood Verdediging]]&lt;&gt;"",IF(A188="",NOW(),A188),"")</f>
        <v>0</v>
      </c>
      <c r="B188" s="128">
        <f ca="1">IF(Tabel158[[#This Row],[Rood Verdediging]]&lt;&gt;"",IF(B188="",NOW(),B188),"")</f>
        <v>43878.947694907409</v>
      </c>
      <c r="C188" s="126">
        <f ca="1">IF(Tabel158[[#This Row],[Score]]&lt;&gt;"",IF(C188="",NOW(),C188),"")</f>
        <v>43878.947694907409</v>
      </c>
      <c r="D188" s="182">
        <f ca="1">IF(OR(Tabel158[[#This Row],[Starttijd]]="",Tabel158[[#This Row],[Eindtijd]]=""),"",Tabel158[[#This Row],[Eindtijd]]-Tabel158[[#This Row],[Starttijd]])</f>
        <v>0</v>
      </c>
      <c r="E188" s="74">
        <v>120</v>
      </c>
      <c r="F188" s="205" t="s">
        <v>3</v>
      </c>
      <c r="G188" s="210">
        <v>4</v>
      </c>
      <c r="H188" s="205" t="s">
        <v>6</v>
      </c>
      <c r="I188" s="210">
        <v>7</v>
      </c>
      <c r="J188" s="206" t="s">
        <v>8</v>
      </c>
      <c r="K188" s="212">
        <v>3</v>
      </c>
      <c r="L188" s="206" t="s">
        <v>19</v>
      </c>
      <c r="M188" s="212">
        <v>0</v>
      </c>
      <c r="N188" s="81">
        <f t="shared" si="21"/>
        <v>11</v>
      </c>
      <c r="O188" s="82">
        <f t="shared" si="22"/>
        <v>3</v>
      </c>
      <c r="P188" s="70" t="str">
        <f t="shared" si="25"/>
        <v>ROOD</v>
      </c>
      <c r="Q188" s="86" t="str">
        <f t="shared" si="23"/>
        <v>Karel</v>
      </c>
      <c r="R188" s="87" t="str">
        <f t="shared" si="24"/>
        <v>Stef D</v>
      </c>
      <c r="S188" s="147" t="str">
        <f>Tabel158[[#This Row],[Rood Verdediging]]&amp;Tabel158[[#This Row],[Rood Aanval]]</f>
        <v>KarelStef D</v>
      </c>
      <c r="T188" s="147" t="str">
        <f>Tabel158[[#This Row],[Groen Verdediging]]&amp;Tabel158[[#This Row],[Groen Aanval]]</f>
        <v>LouisNicolas</v>
      </c>
      <c r="U188" s="147" t="str">
        <f>Tabel158[[#This Row],[Winnaar 1]]&amp;Tabel158[[#This Row],[Winnaar 2]]</f>
        <v>KarelStef D</v>
      </c>
      <c r="V188" s="147" t="str">
        <f>IF(Tabel158[[#This Row],[Team Rood]]=Tabel158[[#This Row],[Winnaars]],Tabel158[[#This Row],[Team Rood]])</f>
        <v>KarelStef D</v>
      </c>
      <c r="W188" s="147" t="b">
        <f>IF(Tabel158[[#This Row],[Team Groen]]=Tabel158[[#This Row],[Winnaars]],Tabel158[[#This Row],[Team Groen]])</f>
        <v>0</v>
      </c>
    </row>
    <row r="189" spans="1:23" x14ac:dyDescent="0.25">
      <c r="A189" s="125">
        <f ca="1">IF(Tabel158[[#This Row],[Rood Verdediging]]&lt;&gt;"",IF(A189="",NOW(),A189),"")</f>
        <v>0</v>
      </c>
      <c r="B189" s="128">
        <f ca="1">IF(Tabel158[[#This Row],[Rood Verdediging]]&lt;&gt;"",IF(B189="",NOW(),B189),"")</f>
        <v>43878.947694907409</v>
      </c>
      <c r="C189" s="126">
        <f ca="1">IF(Tabel158[[#This Row],[Score]]&lt;&gt;"",IF(C189="",NOW(),C189),"")</f>
        <v>43878.947694907409</v>
      </c>
      <c r="D189" s="182">
        <f ca="1">IF(OR(Tabel158[[#This Row],[Starttijd]]="",Tabel158[[#This Row],[Eindtijd]]=""),"",Tabel158[[#This Row],[Eindtijd]]-Tabel158[[#This Row],[Starttijd]])</f>
        <v>0</v>
      </c>
      <c r="E189" s="74">
        <v>120</v>
      </c>
      <c r="F189" s="205" t="s">
        <v>0</v>
      </c>
      <c r="G189" s="210">
        <v>1</v>
      </c>
      <c r="H189" s="205" t="s">
        <v>6</v>
      </c>
      <c r="I189" s="210">
        <v>10</v>
      </c>
      <c r="J189" s="206" t="s">
        <v>19</v>
      </c>
      <c r="K189" s="212">
        <v>2</v>
      </c>
      <c r="L189" s="206" t="s">
        <v>8</v>
      </c>
      <c r="M189" s="212">
        <v>2</v>
      </c>
      <c r="N189" s="81">
        <f t="shared" si="21"/>
        <v>11</v>
      </c>
      <c r="O189" s="82">
        <f t="shared" si="22"/>
        <v>4</v>
      </c>
      <c r="P189" s="70" t="str">
        <f t="shared" si="25"/>
        <v>ROOD</v>
      </c>
      <c r="Q189" s="86" t="str">
        <f t="shared" si="23"/>
        <v>Jonas</v>
      </c>
      <c r="R189" s="87" t="str">
        <f t="shared" si="24"/>
        <v>Stef D</v>
      </c>
      <c r="S189" s="147" t="str">
        <f>Tabel158[[#This Row],[Rood Verdediging]]&amp;Tabel158[[#This Row],[Rood Aanval]]</f>
        <v>JonasStef D</v>
      </c>
      <c r="T189" s="147" t="str">
        <f>Tabel158[[#This Row],[Groen Verdediging]]&amp;Tabel158[[#This Row],[Groen Aanval]]</f>
        <v>NicolasLouis</v>
      </c>
      <c r="U189" s="147" t="str">
        <f>Tabel158[[#This Row],[Winnaar 1]]&amp;Tabel158[[#This Row],[Winnaar 2]]</f>
        <v>JonasStef D</v>
      </c>
      <c r="V189" s="147" t="str">
        <f>IF(Tabel158[[#This Row],[Team Rood]]=Tabel158[[#This Row],[Winnaars]],Tabel158[[#This Row],[Team Rood]])</f>
        <v>JonasStef D</v>
      </c>
      <c r="W189" s="147" t="b">
        <f>IF(Tabel158[[#This Row],[Team Groen]]=Tabel158[[#This Row],[Winnaars]],Tabel158[[#This Row],[Team Groen]])</f>
        <v>0</v>
      </c>
    </row>
    <row r="190" spans="1:23" x14ac:dyDescent="0.25">
      <c r="A190" s="125">
        <f ca="1">IF(Tabel158[[#This Row],[Rood Verdediging]]&lt;&gt;"",IF(A190="",NOW(),A190),"")</f>
        <v>0</v>
      </c>
      <c r="B190" s="128">
        <f ca="1">IF(Tabel158[[#This Row],[Rood Verdediging]]&lt;&gt;"",IF(B190="",NOW(),B190),"")</f>
        <v>43878.947694907409</v>
      </c>
      <c r="C190" s="126">
        <f ca="1">IF(Tabel158[[#This Row],[Score]]&lt;&gt;"",IF(C190="",NOW(),C190),"")</f>
        <v>43878.947694907409</v>
      </c>
      <c r="D190" s="182">
        <f ca="1">IF(OR(Tabel158[[#This Row],[Starttijd]]="",Tabel158[[#This Row],[Eindtijd]]=""),"",Tabel158[[#This Row],[Eindtijd]]-Tabel158[[#This Row],[Starttijd]])</f>
        <v>0</v>
      </c>
      <c r="E190" s="74">
        <v>120</v>
      </c>
      <c r="F190" s="205" t="s">
        <v>3</v>
      </c>
      <c r="G190" s="210">
        <v>0</v>
      </c>
      <c r="H190" s="205" t="s">
        <v>19</v>
      </c>
      <c r="I190" s="210">
        <v>5</v>
      </c>
      <c r="J190" s="206" t="s">
        <v>8</v>
      </c>
      <c r="K190" s="212">
        <v>6</v>
      </c>
      <c r="L190" s="206" t="s">
        <v>6</v>
      </c>
      <c r="M190" s="212">
        <v>5</v>
      </c>
      <c r="N190" s="81">
        <f t="shared" si="21"/>
        <v>5</v>
      </c>
      <c r="O190" s="82">
        <f t="shared" si="22"/>
        <v>11</v>
      </c>
      <c r="P190" s="70" t="str">
        <f t="shared" si="25"/>
        <v>GROEN</v>
      </c>
      <c r="Q190" s="86" t="str">
        <f t="shared" si="23"/>
        <v>Louis</v>
      </c>
      <c r="R190" s="87" t="str">
        <f t="shared" si="24"/>
        <v>Stef D</v>
      </c>
      <c r="S190" s="147" t="str">
        <f>Tabel158[[#This Row],[Rood Verdediging]]&amp;Tabel158[[#This Row],[Rood Aanval]]</f>
        <v>KarelNicolas</v>
      </c>
      <c r="T190" s="147" t="str">
        <f>Tabel158[[#This Row],[Groen Verdediging]]&amp;Tabel158[[#This Row],[Groen Aanval]]</f>
        <v>LouisStef D</v>
      </c>
      <c r="U190" s="147" t="str">
        <f>Tabel158[[#This Row],[Winnaar 1]]&amp;Tabel158[[#This Row],[Winnaar 2]]</f>
        <v>LouisStef D</v>
      </c>
      <c r="V190" s="147" t="b">
        <f>IF(Tabel158[[#This Row],[Team Rood]]=Tabel158[[#This Row],[Winnaars]],Tabel158[[#This Row],[Team Rood]])</f>
        <v>0</v>
      </c>
      <c r="W190" s="147" t="str">
        <f>IF(Tabel158[[#This Row],[Team Groen]]=Tabel158[[#This Row],[Winnaars]],Tabel158[[#This Row],[Team Groen]])</f>
        <v>LouisStef D</v>
      </c>
    </row>
    <row r="191" spans="1:23" x14ac:dyDescent="0.25">
      <c r="A191" s="125">
        <f ca="1">IF(Tabel158[[#This Row],[Rood Verdediging]]&lt;&gt;"",IF(A191="",NOW(),A191),"")</f>
        <v>0</v>
      </c>
      <c r="B191" s="128">
        <f ca="1">IF(Tabel158[[#This Row],[Rood Verdediging]]&lt;&gt;"",IF(B191="",NOW(),B191),"")</f>
        <v>43878.947694907409</v>
      </c>
      <c r="C191" s="126">
        <f ca="1">IF(Tabel158[[#This Row],[Score]]&lt;&gt;"",IF(C191="",NOW(),C191),"")</f>
        <v>43878.947694907409</v>
      </c>
      <c r="D191" s="182">
        <f ca="1">IF(OR(Tabel158[[#This Row],[Starttijd]]="",Tabel158[[#This Row],[Eindtijd]]=""),"",Tabel158[[#This Row],[Eindtijd]]-Tabel158[[#This Row],[Starttijd]])</f>
        <v>0</v>
      </c>
      <c r="E191" s="74">
        <v>120</v>
      </c>
      <c r="F191" s="205" t="s">
        <v>19</v>
      </c>
      <c r="G191" s="210">
        <v>0</v>
      </c>
      <c r="H191" s="205" t="s">
        <v>3</v>
      </c>
      <c r="I191" s="210">
        <v>5</v>
      </c>
      <c r="J191" s="206" t="s">
        <v>6</v>
      </c>
      <c r="K191" s="212">
        <v>5</v>
      </c>
      <c r="L191" s="206" t="s">
        <v>8</v>
      </c>
      <c r="M191" s="212">
        <v>6</v>
      </c>
      <c r="N191" s="81">
        <f t="shared" si="21"/>
        <v>5</v>
      </c>
      <c r="O191" s="82">
        <f t="shared" si="22"/>
        <v>11</v>
      </c>
      <c r="P191" s="70" t="str">
        <f t="shared" si="25"/>
        <v>GROEN</v>
      </c>
      <c r="Q191" s="86" t="str">
        <f t="shared" si="23"/>
        <v>Stef D</v>
      </c>
      <c r="R191" s="87" t="str">
        <f t="shared" si="24"/>
        <v>Louis</v>
      </c>
      <c r="S191" s="147" t="str">
        <f>Tabel158[[#This Row],[Rood Verdediging]]&amp;Tabel158[[#This Row],[Rood Aanval]]</f>
        <v>NicolasKarel</v>
      </c>
      <c r="T191" s="147" t="str">
        <f>Tabel158[[#This Row],[Groen Verdediging]]&amp;Tabel158[[#This Row],[Groen Aanval]]</f>
        <v>Stef DLouis</v>
      </c>
      <c r="U191" s="147" t="str">
        <f>Tabel158[[#This Row],[Winnaar 1]]&amp;Tabel158[[#This Row],[Winnaar 2]]</f>
        <v>Stef DLouis</v>
      </c>
      <c r="V191" s="147" t="b">
        <f>IF(Tabel158[[#This Row],[Team Rood]]=Tabel158[[#This Row],[Winnaars]],Tabel158[[#This Row],[Team Rood]])</f>
        <v>0</v>
      </c>
      <c r="W191" s="147" t="str">
        <f>IF(Tabel158[[#This Row],[Team Groen]]=Tabel158[[#This Row],[Winnaars]],Tabel158[[#This Row],[Team Groen]])</f>
        <v>Stef DLouis</v>
      </c>
    </row>
    <row r="192" spans="1:23" x14ac:dyDescent="0.25">
      <c r="A192" s="125">
        <f ca="1">IF(Tabel158[[#This Row],[Rood Verdediging]]&lt;&gt;"",IF(A192="",NOW(),A192),"")</f>
        <v>0</v>
      </c>
      <c r="B192" s="128">
        <f ca="1">IF(Tabel158[[#This Row],[Rood Verdediging]]&lt;&gt;"",IF(B192="",NOW(),B192),"")</f>
        <v>43878.947694907409</v>
      </c>
      <c r="C192" s="126">
        <f ca="1">IF(Tabel158[[#This Row],[Score]]&lt;&gt;"",IF(C192="",NOW(),C192),"")</f>
        <v>43878.947694907409</v>
      </c>
      <c r="D192" s="182">
        <f ca="1">IF(OR(Tabel158[[#This Row],[Starttijd]]="",Tabel158[[#This Row],[Eindtijd]]=""),"",Tabel158[[#This Row],[Eindtijd]]-Tabel158[[#This Row],[Starttijd]])</f>
        <v>0</v>
      </c>
      <c r="E192" s="74">
        <v>120</v>
      </c>
      <c r="F192" s="205" t="s">
        <v>19</v>
      </c>
      <c r="G192" s="210">
        <v>0</v>
      </c>
      <c r="H192" s="205" t="s">
        <v>6</v>
      </c>
      <c r="I192" s="210">
        <v>9</v>
      </c>
      <c r="J192" s="206" t="s">
        <v>8</v>
      </c>
      <c r="K192" s="212">
        <v>4</v>
      </c>
      <c r="L192" s="206" t="s">
        <v>3</v>
      </c>
      <c r="M192" s="212">
        <v>7</v>
      </c>
      <c r="N192" s="81">
        <f t="shared" si="21"/>
        <v>9</v>
      </c>
      <c r="O192" s="82">
        <f t="shared" si="22"/>
        <v>11</v>
      </c>
      <c r="P192" s="70" t="str">
        <f t="shared" si="25"/>
        <v>GROEN</v>
      </c>
      <c r="Q192" s="86" t="str">
        <f t="shared" si="23"/>
        <v>Louis</v>
      </c>
      <c r="R192" s="87" t="str">
        <f t="shared" si="24"/>
        <v>Karel</v>
      </c>
      <c r="S192" s="147" t="str">
        <f>Tabel158[[#This Row],[Rood Verdediging]]&amp;Tabel158[[#This Row],[Rood Aanval]]</f>
        <v>NicolasStef D</v>
      </c>
      <c r="T192" s="147" t="str">
        <f>Tabel158[[#This Row],[Groen Verdediging]]&amp;Tabel158[[#This Row],[Groen Aanval]]</f>
        <v>LouisKarel</v>
      </c>
      <c r="U192" s="147" t="str">
        <f>Tabel158[[#This Row],[Winnaar 1]]&amp;Tabel158[[#This Row],[Winnaar 2]]</f>
        <v>LouisKarel</v>
      </c>
      <c r="V192" s="147" t="b">
        <f>IF(Tabel158[[#This Row],[Team Rood]]=Tabel158[[#This Row],[Winnaars]],Tabel158[[#This Row],[Team Rood]])</f>
        <v>0</v>
      </c>
      <c r="W192" s="147" t="str">
        <f>IF(Tabel158[[#This Row],[Team Groen]]=Tabel158[[#This Row],[Winnaars]],Tabel158[[#This Row],[Team Groen]])</f>
        <v>LouisKarel</v>
      </c>
    </row>
    <row r="193" spans="1:23" x14ac:dyDescent="0.25">
      <c r="A193" s="125">
        <f ca="1">IF(Tabel158[[#This Row],[Rood Verdediging]]&lt;&gt;"",IF(A193="",NOW(),A193),"")</f>
        <v>0</v>
      </c>
      <c r="B193" s="128">
        <f ca="1">IF(Tabel158[[#This Row],[Rood Verdediging]]&lt;&gt;"",IF(B193="",NOW(),B193),"")</f>
        <v>43878.947694907409</v>
      </c>
      <c r="C193" s="126">
        <f ca="1">IF(Tabel158[[#This Row],[Score]]&lt;&gt;"",IF(C193="",NOW(),C193),"")</f>
        <v>43878.947694907409</v>
      </c>
      <c r="D193" s="182">
        <f ca="1">IF(OR(Tabel158[[#This Row],[Starttijd]]="",Tabel158[[#This Row],[Eindtijd]]=""),"",Tabel158[[#This Row],[Eindtijd]]-Tabel158[[#This Row],[Starttijd]])</f>
        <v>0</v>
      </c>
      <c r="E193" s="74">
        <v>120</v>
      </c>
      <c r="F193" s="205" t="s">
        <v>8</v>
      </c>
      <c r="G193" s="210">
        <v>6</v>
      </c>
      <c r="H193" s="205" t="s">
        <v>6</v>
      </c>
      <c r="I193" s="210">
        <v>5</v>
      </c>
      <c r="J193" s="206" t="s">
        <v>11</v>
      </c>
      <c r="K193" s="212">
        <v>1</v>
      </c>
      <c r="L193" s="206" t="s">
        <v>3</v>
      </c>
      <c r="M193" s="212">
        <v>4</v>
      </c>
      <c r="N193" s="81">
        <f t="shared" ref="N193:N256" si="27">IF(ISBLANK(F193),"",SUM(G193,I193))</f>
        <v>11</v>
      </c>
      <c r="O193" s="82">
        <f t="shared" ref="O193:O256" si="28">IF(ISBLANK(F193),"",SUM(K193,M193))</f>
        <v>5</v>
      </c>
      <c r="P193" s="70" t="str">
        <f t="shared" si="25"/>
        <v>ROOD</v>
      </c>
      <c r="Q193" s="86" t="str">
        <f t="shared" ref="Q193:Q256" si="29">IF(N193&gt;O193,F193,IF(N193="","",J193))</f>
        <v>Louis</v>
      </c>
      <c r="R193" s="87" t="str">
        <f t="shared" ref="R193:R256" si="30">IF(N193&gt;O193,H193,IF(N193="","",L193))</f>
        <v>Stef D</v>
      </c>
      <c r="S193" s="147" t="str">
        <f>Tabel158[[#This Row],[Rood Verdediging]]&amp;Tabel158[[#This Row],[Rood Aanval]]</f>
        <v>LouisStef D</v>
      </c>
      <c r="T193" s="147" t="str">
        <f>Tabel158[[#This Row],[Groen Verdediging]]&amp;Tabel158[[#This Row],[Groen Aanval]]</f>
        <v>MatthijsKarel</v>
      </c>
      <c r="U193" s="147" t="str">
        <f>Tabel158[[#This Row],[Winnaar 1]]&amp;Tabel158[[#This Row],[Winnaar 2]]</f>
        <v>LouisStef D</v>
      </c>
      <c r="V193" s="147" t="str">
        <f>IF(Tabel158[[#This Row],[Team Rood]]=Tabel158[[#This Row],[Winnaars]],Tabel158[[#This Row],[Team Rood]])</f>
        <v>LouisStef D</v>
      </c>
      <c r="W193" s="147" t="b">
        <f>IF(Tabel158[[#This Row],[Team Groen]]=Tabel158[[#This Row],[Winnaars]],Tabel158[[#This Row],[Team Groen]])</f>
        <v>0</v>
      </c>
    </row>
    <row r="194" spans="1:23" x14ac:dyDescent="0.25">
      <c r="A194" s="125">
        <f ca="1">IF(Tabel158[[#This Row],[Rood Verdediging]]&lt;&gt;"",IF(A194="",NOW(),A194),"")</f>
        <v>0</v>
      </c>
      <c r="B194" s="128">
        <f ca="1">IF(Tabel158[[#This Row],[Rood Verdediging]]&lt;&gt;"",IF(B194="",NOW(),B194),"")</f>
        <v>43878.947694907409</v>
      </c>
      <c r="C194" s="126">
        <f ca="1">IF(Tabel158[[#This Row],[Score]]&lt;&gt;"",IF(C194="",NOW(),C194),"")</f>
        <v>43878.947694907409</v>
      </c>
      <c r="D194" s="182">
        <f ca="1">IF(OR(Tabel158[[#This Row],[Starttijd]]="",Tabel158[[#This Row],[Eindtijd]]=""),"",Tabel158[[#This Row],[Eindtijd]]-Tabel158[[#This Row],[Starttijd]])</f>
        <v>0</v>
      </c>
      <c r="E194" s="74">
        <v>120</v>
      </c>
      <c r="F194" s="205" t="s">
        <v>6</v>
      </c>
      <c r="G194" s="210">
        <v>7</v>
      </c>
      <c r="H194" s="205" t="s">
        <v>8</v>
      </c>
      <c r="I194" s="210">
        <v>4</v>
      </c>
      <c r="J194" s="206" t="s">
        <v>3</v>
      </c>
      <c r="K194" s="212">
        <v>1</v>
      </c>
      <c r="L194" s="206" t="s">
        <v>11</v>
      </c>
      <c r="M194" s="212">
        <v>4</v>
      </c>
      <c r="N194" s="81">
        <f t="shared" si="27"/>
        <v>11</v>
      </c>
      <c r="O194" s="82">
        <f t="shared" si="28"/>
        <v>5</v>
      </c>
      <c r="P194" s="70" t="str">
        <f t="shared" ref="P194:P257" si="31">IF(N194&gt;O194,"ROOD",IF(N194=O194,"","GROEN"))</f>
        <v>ROOD</v>
      </c>
      <c r="Q194" s="86" t="str">
        <f t="shared" si="29"/>
        <v>Stef D</v>
      </c>
      <c r="R194" s="87" t="str">
        <f t="shared" si="30"/>
        <v>Louis</v>
      </c>
      <c r="S194" s="147" t="str">
        <f>Tabel158[[#This Row],[Rood Verdediging]]&amp;Tabel158[[#This Row],[Rood Aanval]]</f>
        <v>Stef DLouis</v>
      </c>
      <c r="T194" s="147" t="str">
        <f>Tabel158[[#This Row],[Groen Verdediging]]&amp;Tabel158[[#This Row],[Groen Aanval]]</f>
        <v>KarelMatthijs</v>
      </c>
      <c r="U194" s="147" t="str">
        <f>Tabel158[[#This Row],[Winnaar 1]]&amp;Tabel158[[#This Row],[Winnaar 2]]</f>
        <v>Stef DLouis</v>
      </c>
      <c r="V194" s="147" t="str">
        <f>IF(Tabel158[[#This Row],[Team Rood]]=Tabel158[[#This Row],[Winnaars]],Tabel158[[#This Row],[Team Rood]])</f>
        <v>Stef DLouis</v>
      </c>
      <c r="W194" s="147" t="b">
        <f>IF(Tabel158[[#This Row],[Team Groen]]=Tabel158[[#This Row],[Winnaars]],Tabel158[[#This Row],[Team Groen]])</f>
        <v>0</v>
      </c>
    </row>
    <row r="195" spans="1:23" x14ac:dyDescent="0.25">
      <c r="A195" s="125">
        <f ca="1">IF(Tabel158[[#This Row],[Rood Verdediging]]&lt;&gt;"",IF(A195="",NOW(),A195),"")</f>
        <v>0</v>
      </c>
      <c r="B195" s="128">
        <f ca="1">IF(Tabel158[[#This Row],[Rood Verdediging]]&lt;&gt;"",IF(B195="",NOW(),B195),"")</f>
        <v>43878.947694907409</v>
      </c>
      <c r="C195" s="126">
        <f ca="1">IF(Tabel158[[#This Row],[Score]]&lt;&gt;"",IF(C195="",NOW(),C195),"")</f>
        <v>43878.947694907409</v>
      </c>
      <c r="D195" s="182">
        <f ca="1">IF(OR(Tabel158[[#This Row],[Starttijd]]="",Tabel158[[#This Row],[Eindtijd]]=""),"",Tabel158[[#This Row],[Eindtijd]]-Tabel158[[#This Row],[Starttijd]])</f>
        <v>0</v>
      </c>
      <c r="E195" s="74">
        <v>120</v>
      </c>
      <c r="F195" s="205" t="s">
        <v>11</v>
      </c>
      <c r="G195" s="210">
        <v>0</v>
      </c>
      <c r="H195" s="205" t="s">
        <v>6</v>
      </c>
      <c r="I195" s="210">
        <v>7</v>
      </c>
      <c r="J195" s="206" t="s">
        <v>8</v>
      </c>
      <c r="K195" s="212">
        <v>6</v>
      </c>
      <c r="L195" s="206" t="s">
        <v>3</v>
      </c>
      <c r="M195" s="212">
        <v>5</v>
      </c>
      <c r="N195" s="81">
        <f t="shared" si="27"/>
        <v>7</v>
      </c>
      <c r="O195" s="82">
        <f t="shared" si="28"/>
        <v>11</v>
      </c>
      <c r="P195" s="70" t="str">
        <f t="shared" si="31"/>
        <v>GROEN</v>
      </c>
      <c r="Q195" s="86" t="str">
        <f t="shared" si="29"/>
        <v>Louis</v>
      </c>
      <c r="R195" s="87" t="str">
        <f t="shared" si="30"/>
        <v>Karel</v>
      </c>
      <c r="S195" s="147" t="str">
        <f>Tabel158[[#This Row],[Rood Verdediging]]&amp;Tabel158[[#This Row],[Rood Aanval]]</f>
        <v>MatthijsStef D</v>
      </c>
      <c r="T195" s="147" t="str">
        <f>Tabel158[[#This Row],[Groen Verdediging]]&amp;Tabel158[[#This Row],[Groen Aanval]]</f>
        <v>LouisKarel</v>
      </c>
      <c r="U195" s="147" t="str">
        <f>Tabel158[[#This Row],[Winnaar 1]]&amp;Tabel158[[#This Row],[Winnaar 2]]</f>
        <v>LouisKarel</v>
      </c>
      <c r="V195" s="147" t="b">
        <f>IF(Tabel158[[#This Row],[Team Rood]]=Tabel158[[#This Row],[Winnaars]],Tabel158[[#This Row],[Team Rood]])</f>
        <v>0</v>
      </c>
      <c r="W195" s="147" t="str">
        <f>IF(Tabel158[[#This Row],[Team Groen]]=Tabel158[[#This Row],[Winnaars]],Tabel158[[#This Row],[Team Groen]])</f>
        <v>LouisKarel</v>
      </c>
    </row>
    <row r="196" spans="1:23" x14ac:dyDescent="0.25">
      <c r="A196" s="125">
        <f ca="1">IF(Tabel158[[#This Row],[Rood Verdediging]]&lt;&gt;"",IF(A196="",NOW(),A196),"")</f>
        <v>0</v>
      </c>
      <c r="B196" s="128">
        <f ca="1">IF(Tabel158[[#This Row],[Rood Verdediging]]&lt;&gt;"",IF(B196="",NOW(),B196),"")</f>
        <v>43878.947694907409</v>
      </c>
      <c r="C196" s="126">
        <f ca="1">IF(Tabel158[[#This Row],[Score]]&lt;&gt;"",IF(C196="",NOW(),C196),"")</f>
        <v>43878.947694907409</v>
      </c>
      <c r="D196" s="182">
        <f ca="1">IF(OR(Tabel158[[#This Row],[Starttijd]]="",Tabel158[[#This Row],[Eindtijd]]=""),"",Tabel158[[#This Row],[Eindtijd]]-Tabel158[[#This Row],[Starttijd]])</f>
        <v>0</v>
      </c>
      <c r="E196" s="74">
        <v>120</v>
      </c>
      <c r="F196" s="205" t="s">
        <v>7</v>
      </c>
      <c r="G196" s="210">
        <v>0</v>
      </c>
      <c r="H196" s="205" t="s">
        <v>11</v>
      </c>
      <c r="I196" s="210">
        <v>5</v>
      </c>
      <c r="J196" s="206" t="s">
        <v>3</v>
      </c>
      <c r="K196" s="212">
        <v>4</v>
      </c>
      <c r="L196" s="206" t="s">
        <v>6</v>
      </c>
      <c r="M196" s="212">
        <v>7</v>
      </c>
      <c r="N196" s="81">
        <f t="shared" si="27"/>
        <v>5</v>
      </c>
      <c r="O196" s="82">
        <f t="shared" si="28"/>
        <v>11</v>
      </c>
      <c r="P196" s="70" t="str">
        <f t="shared" si="31"/>
        <v>GROEN</v>
      </c>
      <c r="Q196" s="86" t="str">
        <f t="shared" si="29"/>
        <v>Karel</v>
      </c>
      <c r="R196" s="87" t="str">
        <f t="shared" si="30"/>
        <v>Stef D</v>
      </c>
      <c r="S196" s="147" t="str">
        <f>Tabel158[[#This Row],[Rood Verdediging]]&amp;Tabel158[[#This Row],[Rood Aanval]]</f>
        <v>TiemenMatthijs</v>
      </c>
      <c r="T196" s="147" t="str">
        <f>Tabel158[[#This Row],[Groen Verdediging]]&amp;Tabel158[[#This Row],[Groen Aanval]]</f>
        <v>KarelStef D</v>
      </c>
      <c r="U196" s="147" t="str">
        <f>Tabel158[[#This Row],[Winnaar 1]]&amp;Tabel158[[#This Row],[Winnaar 2]]</f>
        <v>KarelStef D</v>
      </c>
      <c r="V196" s="147" t="b">
        <f>IF(Tabel158[[#This Row],[Team Rood]]=Tabel158[[#This Row],[Winnaars]],Tabel158[[#This Row],[Team Rood]])</f>
        <v>0</v>
      </c>
      <c r="W196" s="147" t="str">
        <f>IF(Tabel158[[#This Row],[Team Groen]]=Tabel158[[#This Row],[Winnaars]],Tabel158[[#This Row],[Team Groen]])</f>
        <v>KarelStef D</v>
      </c>
    </row>
    <row r="197" spans="1:23" x14ac:dyDescent="0.25">
      <c r="A197" s="125">
        <f ca="1">IF(Tabel158[[#This Row],[Rood Verdediging]]&lt;&gt;"",IF(A197="",NOW(),A197),"")</f>
        <v>0</v>
      </c>
      <c r="B197" s="128">
        <f ca="1">IF(Tabel158[[#This Row],[Rood Verdediging]]&lt;&gt;"",IF(B197="",NOW(),B197),"")</f>
        <v>43878.947694907409</v>
      </c>
      <c r="C197" s="126">
        <f ca="1">IF(Tabel158[[#This Row],[Score]]&lt;&gt;"",IF(C197="",NOW(),C197),"")</f>
        <v>43878.947694907409</v>
      </c>
      <c r="D197" s="182">
        <f ca="1">IF(OR(Tabel158[[#This Row],[Starttijd]]="",Tabel158[[#This Row],[Eindtijd]]=""),"",Tabel158[[#This Row],[Eindtijd]]-Tabel158[[#This Row],[Starttijd]])</f>
        <v>0</v>
      </c>
      <c r="E197" s="74">
        <v>120</v>
      </c>
      <c r="F197" s="205" t="s">
        <v>8</v>
      </c>
      <c r="G197" s="210">
        <v>3</v>
      </c>
      <c r="H197" s="205" t="s">
        <v>11</v>
      </c>
      <c r="I197" s="210">
        <v>5</v>
      </c>
      <c r="J197" s="206" t="s">
        <v>3</v>
      </c>
      <c r="K197" s="212">
        <v>3</v>
      </c>
      <c r="L197" s="206" t="s">
        <v>6</v>
      </c>
      <c r="M197" s="212">
        <v>8</v>
      </c>
      <c r="N197" s="81">
        <f t="shared" si="27"/>
        <v>8</v>
      </c>
      <c r="O197" s="82">
        <f t="shared" si="28"/>
        <v>11</v>
      </c>
      <c r="P197" s="70" t="str">
        <f t="shared" si="31"/>
        <v>GROEN</v>
      </c>
      <c r="Q197" s="86" t="str">
        <f t="shared" si="29"/>
        <v>Karel</v>
      </c>
      <c r="R197" s="87" t="str">
        <f t="shared" si="30"/>
        <v>Stef D</v>
      </c>
      <c r="S197" s="147" t="str">
        <f>Tabel158[[#This Row],[Rood Verdediging]]&amp;Tabel158[[#This Row],[Rood Aanval]]</f>
        <v>LouisMatthijs</v>
      </c>
      <c r="T197" s="147" t="str">
        <f>Tabel158[[#This Row],[Groen Verdediging]]&amp;Tabel158[[#This Row],[Groen Aanval]]</f>
        <v>KarelStef D</v>
      </c>
      <c r="U197" s="147" t="str">
        <f>Tabel158[[#This Row],[Winnaar 1]]&amp;Tabel158[[#This Row],[Winnaar 2]]</f>
        <v>KarelStef D</v>
      </c>
      <c r="V197" s="147" t="b">
        <f>IF(Tabel158[[#This Row],[Team Rood]]=Tabel158[[#This Row],[Winnaars]],Tabel158[[#This Row],[Team Rood]])</f>
        <v>0</v>
      </c>
      <c r="W197" s="147" t="str">
        <f>IF(Tabel158[[#This Row],[Team Groen]]=Tabel158[[#This Row],[Winnaars]],Tabel158[[#This Row],[Team Groen]])</f>
        <v>KarelStef D</v>
      </c>
    </row>
    <row r="198" spans="1:23" x14ac:dyDescent="0.25">
      <c r="A198" s="125">
        <f ca="1">IF(Tabel158[[#This Row],[Rood Verdediging]]&lt;&gt;"",IF(A198="",NOW(),A198),"")</f>
        <v>0</v>
      </c>
      <c r="B198" s="128">
        <f ca="1">IF(Tabel158[[#This Row],[Rood Verdediging]]&lt;&gt;"",IF(B198="",NOW(),B198),"")</f>
        <v>43878.947694907409</v>
      </c>
      <c r="C198" s="126">
        <f ca="1">IF(Tabel158[[#This Row],[Score]]&lt;&gt;"",IF(C198="",NOW(),C198),"")</f>
        <v>43878.947694907409</v>
      </c>
      <c r="D198" s="182">
        <f ca="1">IF(OR(Tabel158[[#This Row],[Starttijd]]="",Tabel158[[#This Row],[Eindtijd]]=""),"",Tabel158[[#This Row],[Eindtijd]]-Tabel158[[#This Row],[Starttijd]])</f>
        <v>0</v>
      </c>
      <c r="E198" s="74">
        <v>120</v>
      </c>
      <c r="F198" s="205" t="s">
        <v>11</v>
      </c>
      <c r="G198" s="210">
        <v>3</v>
      </c>
      <c r="H198" s="205" t="s">
        <v>19</v>
      </c>
      <c r="I198" s="210">
        <v>6</v>
      </c>
      <c r="J198" s="206" t="s">
        <v>6</v>
      </c>
      <c r="K198" s="212">
        <v>5</v>
      </c>
      <c r="L198" s="206" t="s">
        <v>7</v>
      </c>
      <c r="M198" s="212">
        <v>6</v>
      </c>
      <c r="N198" s="81">
        <f t="shared" si="27"/>
        <v>9</v>
      </c>
      <c r="O198" s="82">
        <f t="shared" si="28"/>
        <v>11</v>
      </c>
      <c r="P198" s="70" t="str">
        <f t="shared" si="31"/>
        <v>GROEN</v>
      </c>
      <c r="Q198" s="86" t="str">
        <f t="shared" si="29"/>
        <v>Stef D</v>
      </c>
      <c r="R198" s="87" t="str">
        <f t="shared" si="30"/>
        <v>Tiemen</v>
      </c>
      <c r="S198" s="147" t="str">
        <f>Tabel158[[#This Row],[Rood Verdediging]]&amp;Tabel158[[#This Row],[Rood Aanval]]</f>
        <v>MatthijsNicolas</v>
      </c>
      <c r="T198" s="147" t="str">
        <f>Tabel158[[#This Row],[Groen Verdediging]]&amp;Tabel158[[#This Row],[Groen Aanval]]</f>
        <v>Stef DTiemen</v>
      </c>
      <c r="U198" s="147" t="str">
        <f>Tabel158[[#This Row],[Winnaar 1]]&amp;Tabel158[[#This Row],[Winnaar 2]]</f>
        <v>Stef DTiemen</v>
      </c>
      <c r="V198" s="147" t="b">
        <f>IF(Tabel158[[#This Row],[Team Rood]]=Tabel158[[#This Row],[Winnaars]],Tabel158[[#This Row],[Team Rood]])</f>
        <v>0</v>
      </c>
      <c r="W198" s="147" t="str">
        <f>IF(Tabel158[[#This Row],[Team Groen]]=Tabel158[[#This Row],[Winnaars]],Tabel158[[#This Row],[Team Groen]])</f>
        <v>Stef DTiemen</v>
      </c>
    </row>
    <row r="199" spans="1:23" x14ac:dyDescent="0.25">
      <c r="A199" s="125">
        <f ca="1">IF(Tabel158[[#This Row],[Rood Verdediging]]&lt;&gt;"",IF(A199="",NOW(),A199),"")</f>
        <v>0</v>
      </c>
      <c r="B199" s="128">
        <f ca="1">IF(Tabel158[[#This Row],[Rood Verdediging]]&lt;&gt;"",IF(B199="",NOW(),B199),"")</f>
        <v>43878.947694907409</v>
      </c>
      <c r="C199" s="126">
        <f ca="1">IF(Tabel158[[#This Row],[Score]]&lt;&gt;"",IF(C199="",NOW(),C199),"")</f>
        <v>43878.947694907409</v>
      </c>
      <c r="D199" s="182">
        <f ca="1">IF(OR(Tabel158[[#This Row],[Starttijd]]="",Tabel158[[#This Row],[Eindtijd]]=""),"",Tabel158[[#This Row],[Eindtijd]]-Tabel158[[#This Row],[Starttijd]])</f>
        <v>0</v>
      </c>
      <c r="E199" s="74">
        <v>120</v>
      </c>
      <c r="F199" s="205" t="s">
        <v>19</v>
      </c>
      <c r="G199" s="210">
        <v>1</v>
      </c>
      <c r="H199" s="205" t="s">
        <v>6</v>
      </c>
      <c r="I199" s="210">
        <v>10</v>
      </c>
      <c r="J199" s="206" t="s">
        <v>3</v>
      </c>
      <c r="K199" s="212">
        <v>0</v>
      </c>
      <c r="L199" s="206" t="s">
        <v>8</v>
      </c>
      <c r="M199" s="212">
        <v>6</v>
      </c>
      <c r="N199" s="81">
        <f t="shared" si="27"/>
        <v>11</v>
      </c>
      <c r="O199" s="82">
        <f t="shared" si="28"/>
        <v>6</v>
      </c>
      <c r="P199" s="70" t="str">
        <f t="shared" si="31"/>
        <v>ROOD</v>
      </c>
      <c r="Q199" s="86" t="str">
        <f t="shared" si="29"/>
        <v>Nicolas</v>
      </c>
      <c r="R199" s="87" t="str">
        <f t="shared" si="30"/>
        <v>Stef D</v>
      </c>
      <c r="S199" s="147" t="str">
        <f>Tabel158[[#This Row],[Rood Verdediging]]&amp;Tabel158[[#This Row],[Rood Aanval]]</f>
        <v>NicolasStef D</v>
      </c>
      <c r="T199" s="147" t="str">
        <f>Tabel158[[#This Row],[Groen Verdediging]]&amp;Tabel158[[#This Row],[Groen Aanval]]</f>
        <v>KarelLouis</v>
      </c>
      <c r="U199" s="147" t="str">
        <f>Tabel158[[#This Row],[Winnaar 1]]&amp;Tabel158[[#This Row],[Winnaar 2]]</f>
        <v>NicolasStef D</v>
      </c>
      <c r="V199" s="147" t="str">
        <f>IF(Tabel158[[#This Row],[Team Rood]]=Tabel158[[#This Row],[Winnaars]],Tabel158[[#This Row],[Team Rood]])</f>
        <v>NicolasStef D</v>
      </c>
      <c r="W199" s="147" t="b">
        <f>IF(Tabel158[[#This Row],[Team Groen]]=Tabel158[[#This Row],[Winnaars]],Tabel158[[#This Row],[Team Groen]])</f>
        <v>0</v>
      </c>
    </row>
    <row r="200" spans="1:23" x14ac:dyDescent="0.25">
      <c r="A200" s="125">
        <f ca="1">IF(Tabel158[[#This Row],[Rood Verdediging]]&lt;&gt;"",IF(A200="",NOW(),A200),"")</f>
        <v>0</v>
      </c>
      <c r="B200" s="128">
        <f ca="1">IF(Tabel158[[#This Row],[Rood Verdediging]]&lt;&gt;"",IF(B200="",NOW(),B200),"")</f>
        <v>43878.947694907409</v>
      </c>
      <c r="C200" s="126">
        <f ca="1">IF(Tabel158[[#This Row],[Score]]&lt;&gt;"",IF(C200="",NOW(),C200),"")</f>
        <v>43878.947694907409</v>
      </c>
      <c r="D200" s="182">
        <f ca="1">IF(OR(Tabel158[[#This Row],[Starttijd]]="",Tabel158[[#This Row],[Eindtijd]]=""),"",Tabel158[[#This Row],[Eindtijd]]-Tabel158[[#This Row],[Starttijd]])</f>
        <v>0</v>
      </c>
      <c r="E200" s="74">
        <v>120</v>
      </c>
      <c r="F200" s="205" t="s">
        <v>3</v>
      </c>
      <c r="G200" s="210">
        <v>2</v>
      </c>
      <c r="H200" s="205" t="s">
        <v>19</v>
      </c>
      <c r="I200" s="210">
        <v>7</v>
      </c>
      <c r="J200" s="206" t="s">
        <v>8</v>
      </c>
      <c r="K200" s="212">
        <v>6</v>
      </c>
      <c r="L200" s="206" t="s">
        <v>6</v>
      </c>
      <c r="M200" s="212">
        <v>5</v>
      </c>
      <c r="N200" s="81">
        <f t="shared" si="27"/>
        <v>9</v>
      </c>
      <c r="O200" s="82">
        <f t="shared" si="28"/>
        <v>11</v>
      </c>
      <c r="P200" s="70" t="str">
        <f t="shared" si="31"/>
        <v>GROEN</v>
      </c>
      <c r="Q200" s="86" t="str">
        <f t="shared" si="29"/>
        <v>Louis</v>
      </c>
      <c r="R200" s="87" t="str">
        <f t="shared" si="30"/>
        <v>Stef D</v>
      </c>
      <c r="S200" s="147" t="str">
        <f>Tabel158[[#This Row],[Rood Verdediging]]&amp;Tabel158[[#This Row],[Rood Aanval]]</f>
        <v>KarelNicolas</v>
      </c>
      <c r="T200" s="147" t="str">
        <f>Tabel158[[#This Row],[Groen Verdediging]]&amp;Tabel158[[#This Row],[Groen Aanval]]</f>
        <v>LouisStef D</v>
      </c>
      <c r="U200" s="147" t="str">
        <f>Tabel158[[#This Row],[Winnaar 1]]&amp;Tabel158[[#This Row],[Winnaar 2]]</f>
        <v>LouisStef D</v>
      </c>
      <c r="V200" s="147" t="b">
        <f>IF(Tabel158[[#This Row],[Team Rood]]=Tabel158[[#This Row],[Winnaars]],Tabel158[[#This Row],[Team Rood]])</f>
        <v>0</v>
      </c>
      <c r="W200" s="147" t="str">
        <f>IF(Tabel158[[#This Row],[Team Groen]]=Tabel158[[#This Row],[Winnaars]],Tabel158[[#This Row],[Team Groen]])</f>
        <v>LouisStef D</v>
      </c>
    </row>
    <row r="201" spans="1:23" x14ac:dyDescent="0.25">
      <c r="A201" s="125">
        <f ca="1">IF(Tabel158[[#This Row],[Rood Verdediging]]&lt;&gt;"",IF(A201="",NOW(),A201),"")</f>
        <v>0</v>
      </c>
      <c r="B201" s="128">
        <f ca="1">IF(Tabel158[[#This Row],[Rood Verdediging]]&lt;&gt;"",IF(B201="",NOW(),B201),"")</f>
        <v>43878.947694907409</v>
      </c>
      <c r="C201" s="126">
        <f ca="1">IF(Tabel158[[#This Row],[Score]]&lt;&gt;"",IF(C201="",NOW(),C201),"")</f>
        <v>43878.947694907409</v>
      </c>
      <c r="D201" s="182">
        <f ca="1">IF(OR(Tabel158[[#This Row],[Starttijd]]="",Tabel158[[#This Row],[Eindtijd]]=""),"",Tabel158[[#This Row],[Eindtijd]]-Tabel158[[#This Row],[Starttijd]])</f>
        <v>0</v>
      </c>
      <c r="E201" s="74">
        <v>120</v>
      </c>
      <c r="F201" s="205" t="s">
        <v>11</v>
      </c>
      <c r="G201" s="210">
        <v>2</v>
      </c>
      <c r="H201" s="205" t="s">
        <v>6</v>
      </c>
      <c r="I201" s="210">
        <v>9</v>
      </c>
      <c r="J201" s="206" t="s">
        <v>19</v>
      </c>
      <c r="K201" s="212">
        <v>1</v>
      </c>
      <c r="L201" s="206" t="s">
        <v>8</v>
      </c>
      <c r="M201" s="212">
        <v>3</v>
      </c>
      <c r="N201" s="81">
        <f t="shared" si="27"/>
        <v>11</v>
      </c>
      <c r="O201" s="82">
        <f t="shared" si="28"/>
        <v>4</v>
      </c>
      <c r="P201" s="70" t="str">
        <f t="shared" si="31"/>
        <v>ROOD</v>
      </c>
      <c r="Q201" s="86" t="str">
        <f t="shared" si="29"/>
        <v>Matthijs</v>
      </c>
      <c r="R201" s="87" t="str">
        <f t="shared" si="30"/>
        <v>Stef D</v>
      </c>
      <c r="S201" s="147" t="str">
        <f>Tabel158[[#This Row],[Rood Verdediging]]&amp;Tabel158[[#This Row],[Rood Aanval]]</f>
        <v>MatthijsStef D</v>
      </c>
      <c r="T201" s="147" t="str">
        <f>Tabel158[[#This Row],[Groen Verdediging]]&amp;Tabel158[[#This Row],[Groen Aanval]]</f>
        <v>NicolasLouis</v>
      </c>
      <c r="U201" s="147" t="str">
        <f>Tabel158[[#This Row],[Winnaar 1]]&amp;Tabel158[[#This Row],[Winnaar 2]]</f>
        <v>MatthijsStef D</v>
      </c>
      <c r="V201" s="147" t="str">
        <f>IF(Tabel158[[#This Row],[Team Rood]]=Tabel158[[#This Row],[Winnaars]],Tabel158[[#This Row],[Team Rood]])</f>
        <v>MatthijsStef D</v>
      </c>
      <c r="W201" s="147" t="b">
        <f>IF(Tabel158[[#This Row],[Team Groen]]=Tabel158[[#This Row],[Winnaars]],Tabel158[[#This Row],[Team Groen]])</f>
        <v>0</v>
      </c>
    </row>
    <row r="202" spans="1:23" x14ac:dyDescent="0.25">
      <c r="A202" s="125">
        <f ca="1">IF(Tabel158[[#This Row],[Rood Verdediging]]&lt;&gt;"",IF(A202="",NOW(),A202),"")</f>
        <v>0</v>
      </c>
      <c r="B202" s="128">
        <f ca="1">IF(Tabel158[[#This Row],[Rood Verdediging]]&lt;&gt;"",IF(B202="",NOW(),B202),"")</f>
        <v>43878.947694907409</v>
      </c>
      <c r="C202" s="126">
        <f ca="1">IF(Tabel158[[#This Row],[Score]]&lt;&gt;"",IF(C202="",NOW(),C202),"")</f>
        <v>43878.947694907409</v>
      </c>
      <c r="D202" s="182">
        <f ca="1">IF(OR(Tabel158[[#This Row],[Starttijd]]="",Tabel158[[#This Row],[Eindtijd]]=""),"",Tabel158[[#This Row],[Eindtijd]]-Tabel158[[#This Row],[Starttijd]])</f>
        <v>0</v>
      </c>
      <c r="E202" s="74">
        <v>120</v>
      </c>
      <c r="F202" s="205" t="s">
        <v>11</v>
      </c>
      <c r="G202" s="210">
        <v>4</v>
      </c>
      <c r="H202" s="205" t="s">
        <v>6</v>
      </c>
      <c r="I202" s="210">
        <v>7</v>
      </c>
      <c r="J202" s="206" t="s">
        <v>19</v>
      </c>
      <c r="K202" s="212">
        <v>0</v>
      </c>
      <c r="L202" s="206" t="s">
        <v>8</v>
      </c>
      <c r="M202" s="212">
        <v>9</v>
      </c>
      <c r="N202" s="81">
        <f t="shared" si="27"/>
        <v>11</v>
      </c>
      <c r="O202" s="82">
        <f t="shared" si="28"/>
        <v>9</v>
      </c>
      <c r="P202" s="70" t="str">
        <f t="shared" si="31"/>
        <v>ROOD</v>
      </c>
      <c r="Q202" s="86" t="str">
        <f t="shared" si="29"/>
        <v>Matthijs</v>
      </c>
      <c r="R202" s="87" t="str">
        <f t="shared" si="30"/>
        <v>Stef D</v>
      </c>
      <c r="S202" s="147" t="str">
        <f>Tabel158[[#This Row],[Rood Verdediging]]&amp;Tabel158[[#This Row],[Rood Aanval]]</f>
        <v>MatthijsStef D</v>
      </c>
      <c r="T202" s="147" t="str">
        <f>Tabel158[[#This Row],[Groen Verdediging]]&amp;Tabel158[[#This Row],[Groen Aanval]]</f>
        <v>NicolasLouis</v>
      </c>
      <c r="U202" s="147" t="str">
        <f>Tabel158[[#This Row],[Winnaar 1]]&amp;Tabel158[[#This Row],[Winnaar 2]]</f>
        <v>MatthijsStef D</v>
      </c>
      <c r="V202" s="147" t="str">
        <f>IF(Tabel158[[#This Row],[Team Rood]]=Tabel158[[#This Row],[Winnaars]],Tabel158[[#This Row],[Team Rood]])</f>
        <v>MatthijsStef D</v>
      </c>
      <c r="W202" s="147" t="b">
        <f>IF(Tabel158[[#This Row],[Team Groen]]=Tabel158[[#This Row],[Winnaars]],Tabel158[[#This Row],[Team Groen]])</f>
        <v>0</v>
      </c>
    </row>
    <row r="203" spans="1:23" x14ac:dyDescent="0.25">
      <c r="A203" s="125">
        <f ca="1">IF(Tabel158[[#This Row],[Rood Verdediging]]&lt;&gt;"",IF(A203="",NOW(),A203),"")</f>
        <v>0</v>
      </c>
      <c r="B203" s="128">
        <f ca="1">IF(Tabel158[[#This Row],[Rood Verdediging]]&lt;&gt;"",IF(B203="",NOW(),B203),"")</f>
        <v>43878.947694907409</v>
      </c>
      <c r="C203" s="126">
        <f ca="1">IF(Tabel158[[#This Row],[Score]]&lt;&gt;"",IF(C203="",NOW(),C203),"")</f>
        <v>43878.947694907409</v>
      </c>
      <c r="D203" s="182">
        <f ca="1">IF(OR(Tabel158[[#This Row],[Starttijd]]="",Tabel158[[#This Row],[Eindtijd]]=""),"",Tabel158[[#This Row],[Eindtijd]]-Tabel158[[#This Row],[Starttijd]])</f>
        <v>0</v>
      </c>
      <c r="E203" s="74">
        <v>120</v>
      </c>
      <c r="F203" s="205" t="s">
        <v>70</v>
      </c>
      <c r="G203" s="210">
        <v>7</v>
      </c>
      <c r="H203" s="205" t="s">
        <v>6</v>
      </c>
      <c r="I203" s="210">
        <v>4</v>
      </c>
      <c r="J203" s="206" t="s">
        <v>0</v>
      </c>
      <c r="K203" s="212">
        <v>0</v>
      </c>
      <c r="L203" s="206" t="s">
        <v>7</v>
      </c>
      <c r="M203" s="212">
        <v>7</v>
      </c>
      <c r="N203" s="81">
        <f t="shared" si="27"/>
        <v>11</v>
      </c>
      <c r="O203" s="82">
        <f t="shared" si="28"/>
        <v>7</v>
      </c>
      <c r="P203" s="70" t="str">
        <f t="shared" si="31"/>
        <v>ROOD</v>
      </c>
      <c r="Q203" s="86" t="str">
        <f t="shared" si="29"/>
        <v>Arno</v>
      </c>
      <c r="R203" s="87" t="str">
        <f t="shared" si="30"/>
        <v>Stef D</v>
      </c>
      <c r="S203" s="147" t="str">
        <f>Tabel158[[#This Row],[Rood Verdediging]]&amp;Tabel158[[#This Row],[Rood Aanval]]</f>
        <v>ArnoStef D</v>
      </c>
      <c r="T203" s="147" t="str">
        <f>Tabel158[[#This Row],[Groen Verdediging]]&amp;Tabel158[[#This Row],[Groen Aanval]]</f>
        <v>JonasTiemen</v>
      </c>
      <c r="U203" s="147" t="str">
        <f>Tabel158[[#This Row],[Winnaar 1]]&amp;Tabel158[[#This Row],[Winnaar 2]]</f>
        <v>ArnoStef D</v>
      </c>
      <c r="V203" s="147" t="str">
        <f>IF(Tabel158[[#This Row],[Team Rood]]=Tabel158[[#This Row],[Winnaars]],Tabel158[[#This Row],[Team Rood]])</f>
        <v>ArnoStef D</v>
      </c>
      <c r="W203" s="147" t="b">
        <f>IF(Tabel158[[#This Row],[Team Groen]]=Tabel158[[#This Row],[Winnaars]],Tabel158[[#This Row],[Team Groen]])</f>
        <v>0</v>
      </c>
    </row>
    <row r="204" spans="1:23" x14ac:dyDescent="0.25">
      <c r="A204" s="125">
        <f ca="1">IF(Tabel158[[#This Row],[Rood Verdediging]]&lt;&gt;"",IF(A204="",NOW(),A204),"")</f>
        <v>0</v>
      </c>
      <c r="B204" s="128">
        <f ca="1">IF(Tabel158[[#This Row],[Rood Verdediging]]&lt;&gt;"",IF(B204="",NOW(),B204),"")</f>
        <v>43878.947694907409</v>
      </c>
      <c r="C204" s="126">
        <f ca="1">IF(Tabel158[[#This Row],[Score]]&lt;&gt;"",IF(C204="",NOW(),C204),"")</f>
        <v>43878.947694907409</v>
      </c>
      <c r="D204" s="182">
        <f ca="1">IF(OR(Tabel158[[#This Row],[Starttijd]]="",Tabel158[[#This Row],[Eindtijd]]=""),"",Tabel158[[#This Row],[Eindtijd]]-Tabel158[[#This Row],[Starttijd]])</f>
        <v>0</v>
      </c>
      <c r="E204" s="74">
        <v>120</v>
      </c>
      <c r="F204" s="205" t="s">
        <v>6</v>
      </c>
      <c r="G204" s="210">
        <v>4</v>
      </c>
      <c r="H204" s="205" t="s">
        <v>70</v>
      </c>
      <c r="I204" s="210">
        <v>7</v>
      </c>
      <c r="J204" s="206" t="s">
        <v>7</v>
      </c>
      <c r="K204" s="212">
        <v>3</v>
      </c>
      <c r="L204" s="206" t="s">
        <v>0</v>
      </c>
      <c r="M204" s="212">
        <v>4</v>
      </c>
      <c r="N204" s="81">
        <f t="shared" si="27"/>
        <v>11</v>
      </c>
      <c r="O204" s="82">
        <f t="shared" si="28"/>
        <v>7</v>
      </c>
      <c r="P204" s="70" t="str">
        <f t="shared" si="31"/>
        <v>ROOD</v>
      </c>
      <c r="Q204" s="86" t="str">
        <f t="shared" si="29"/>
        <v>Stef D</v>
      </c>
      <c r="R204" s="87" t="str">
        <f t="shared" si="30"/>
        <v>Arno</v>
      </c>
      <c r="S204" s="147" t="str">
        <f>Tabel158[[#This Row],[Rood Verdediging]]&amp;Tabel158[[#This Row],[Rood Aanval]]</f>
        <v>Stef DArno</v>
      </c>
      <c r="T204" s="147" t="str">
        <f>Tabel158[[#This Row],[Groen Verdediging]]&amp;Tabel158[[#This Row],[Groen Aanval]]</f>
        <v>TiemenJonas</v>
      </c>
      <c r="U204" s="147" t="str">
        <f>Tabel158[[#This Row],[Winnaar 1]]&amp;Tabel158[[#This Row],[Winnaar 2]]</f>
        <v>Stef DArno</v>
      </c>
      <c r="V204" s="147" t="str">
        <f>IF(Tabel158[[#This Row],[Team Rood]]=Tabel158[[#This Row],[Winnaars]],Tabel158[[#This Row],[Team Rood]])</f>
        <v>Stef DArno</v>
      </c>
      <c r="W204" s="147" t="b">
        <f>IF(Tabel158[[#This Row],[Team Groen]]=Tabel158[[#This Row],[Winnaars]],Tabel158[[#This Row],[Team Groen]])</f>
        <v>0</v>
      </c>
    </row>
    <row r="205" spans="1:23" x14ac:dyDescent="0.25">
      <c r="A205" s="125">
        <f ca="1">IF(Tabel158[[#This Row],[Rood Verdediging]]&lt;&gt;"",IF(A205="",NOW(),A205),"")</f>
        <v>0</v>
      </c>
      <c r="B205" s="128">
        <f ca="1">IF(Tabel158[[#This Row],[Rood Verdediging]]&lt;&gt;"",IF(B205="",NOW(),B205),"")</f>
        <v>43878.947694907409</v>
      </c>
      <c r="C205" s="126">
        <f ca="1">IF(Tabel158[[#This Row],[Score]]&lt;&gt;"",IF(C205="",NOW(),C205),"")</f>
        <v>43878.947694907409</v>
      </c>
      <c r="D205" s="182">
        <f ca="1">IF(OR(Tabel158[[#This Row],[Starttijd]]="",Tabel158[[#This Row],[Eindtijd]]=""),"",Tabel158[[#This Row],[Eindtijd]]-Tabel158[[#This Row],[Starttijd]])</f>
        <v>0</v>
      </c>
      <c r="E205" s="74">
        <v>120</v>
      </c>
      <c r="F205" s="205" t="s">
        <v>7</v>
      </c>
      <c r="G205" s="210">
        <v>6</v>
      </c>
      <c r="H205" s="205" t="s">
        <v>6</v>
      </c>
      <c r="I205" s="210">
        <v>6</v>
      </c>
      <c r="J205" s="206" t="s">
        <v>8</v>
      </c>
      <c r="K205" s="212">
        <v>3</v>
      </c>
      <c r="L205" s="206" t="s">
        <v>3</v>
      </c>
      <c r="M205" s="212">
        <v>7</v>
      </c>
      <c r="N205" s="81">
        <f t="shared" si="27"/>
        <v>12</v>
      </c>
      <c r="O205" s="82">
        <f t="shared" si="28"/>
        <v>10</v>
      </c>
      <c r="P205" s="70" t="str">
        <f t="shared" si="31"/>
        <v>ROOD</v>
      </c>
      <c r="Q205" s="86" t="str">
        <f t="shared" si="29"/>
        <v>Tiemen</v>
      </c>
      <c r="R205" s="87" t="str">
        <f t="shared" si="30"/>
        <v>Stef D</v>
      </c>
      <c r="S205" s="147" t="str">
        <f>Tabel158[[#This Row],[Rood Verdediging]]&amp;Tabel158[[#This Row],[Rood Aanval]]</f>
        <v>TiemenStef D</v>
      </c>
      <c r="T205" s="147" t="str">
        <f>Tabel158[[#This Row],[Groen Verdediging]]&amp;Tabel158[[#This Row],[Groen Aanval]]</f>
        <v>LouisKarel</v>
      </c>
      <c r="U205" s="147" t="str">
        <f>Tabel158[[#This Row],[Winnaar 1]]&amp;Tabel158[[#This Row],[Winnaar 2]]</f>
        <v>TiemenStef D</v>
      </c>
      <c r="V205" s="147" t="str">
        <f>IF(Tabel158[[#This Row],[Team Rood]]=Tabel158[[#This Row],[Winnaars]],Tabel158[[#This Row],[Team Rood]])</f>
        <v>TiemenStef D</v>
      </c>
      <c r="W205" s="147" t="b">
        <f>IF(Tabel158[[#This Row],[Team Groen]]=Tabel158[[#This Row],[Winnaars]],Tabel158[[#This Row],[Team Groen]])</f>
        <v>0</v>
      </c>
    </row>
    <row r="206" spans="1:23" x14ac:dyDescent="0.25">
      <c r="A206" s="125">
        <f ca="1">IF(Tabel158[[#This Row],[Rood Verdediging]]&lt;&gt;"",IF(A206="",NOW(),A206),"")</f>
        <v>0</v>
      </c>
      <c r="B206" s="128">
        <f ca="1">IF(Tabel158[[#This Row],[Rood Verdediging]]&lt;&gt;"",IF(B206="",NOW(),B206),"")</f>
        <v>43878.947694907409</v>
      </c>
      <c r="C206" s="126">
        <f ca="1">IF(Tabel158[[#This Row],[Score]]&lt;&gt;"",IF(C206="",NOW(),C206),"")</f>
        <v>43878.947694907409</v>
      </c>
      <c r="D206" s="182">
        <f ca="1">IF(OR(Tabel158[[#This Row],[Starttijd]]="",Tabel158[[#This Row],[Eindtijd]]=""),"",Tabel158[[#This Row],[Eindtijd]]-Tabel158[[#This Row],[Starttijd]])</f>
        <v>0</v>
      </c>
      <c r="E206" s="74">
        <v>120</v>
      </c>
      <c r="F206" s="205" t="s">
        <v>6</v>
      </c>
      <c r="G206" s="210">
        <v>2</v>
      </c>
      <c r="H206" s="205" t="s">
        <v>7</v>
      </c>
      <c r="I206" s="210">
        <v>10</v>
      </c>
      <c r="J206" s="206" t="s">
        <v>3</v>
      </c>
      <c r="K206" s="212">
        <v>5</v>
      </c>
      <c r="L206" s="206" t="s">
        <v>8</v>
      </c>
      <c r="M206" s="212">
        <v>5</v>
      </c>
      <c r="N206" s="81">
        <f t="shared" si="27"/>
        <v>12</v>
      </c>
      <c r="O206" s="82">
        <f t="shared" si="28"/>
        <v>10</v>
      </c>
      <c r="P206" s="70" t="str">
        <f t="shared" si="31"/>
        <v>ROOD</v>
      </c>
      <c r="Q206" s="86" t="str">
        <f t="shared" si="29"/>
        <v>Stef D</v>
      </c>
      <c r="R206" s="87" t="str">
        <f t="shared" si="30"/>
        <v>Tiemen</v>
      </c>
      <c r="S206" s="147" t="str">
        <f>Tabel158[[#This Row],[Rood Verdediging]]&amp;Tabel158[[#This Row],[Rood Aanval]]</f>
        <v>Stef DTiemen</v>
      </c>
      <c r="T206" s="147" t="str">
        <f>Tabel158[[#This Row],[Groen Verdediging]]&amp;Tabel158[[#This Row],[Groen Aanval]]</f>
        <v>KarelLouis</v>
      </c>
      <c r="U206" s="147" t="str">
        <f>Tabel158[[#This Row],[Winnaar 1]]&amp;Tabel158[[#This Row],[Winnaar 2]]</f>
        <v>Stef DTiemen</v>
      </c>
      <c r="V206" s="147" t="str">
        <f>IF(Tabel158[[#This Row],[Team Rood]]=Tabel158[[#This Row],[Winnaars]],Tabel158[[#This Row],[Team Rood]])</f>
        <v>Stef DTiemen</v>
      </c>
      <c r="W206" s="147" t="b">
        <f>IF(Tabel158[[#This Row],[Team Groen]]=Tabel158[[#This Row],[Winnaars]],Tabel158[[#This Row],[Team Groen]])</f>
        <v>0</v>
      </c>
    </row>
    <row r="207" spans="1:23" x14ac:dyDescent="0.25">
      <c r="A207" s="125">
        <f ca="1">IF(Tabel158[[#This Row],[Rood Verdediging]]&lt;&gt;"",IF(A207="",NOW(),A207),"")</f>
        <v>0</v>
      </c>
      <c r="B207" s="128">
        <f ca="1">IF(Tabel158[[#This Row],[Rood Verdediging]]&lt;&gt;"",IF(B207="",NOW(),B207),"")</f>
        <v>43878.947694907409</v>
      </c>
      <c r="C207" s="126">
        <f ca="1">IF(Tabel158[[#This Row],[Score]]&lt;&gt;"",IF(C207="",NOW(),C207),"")</f>
        <v>43878.947694907409</v>
      </c>
      <c r="D207" s="182">
        <f ca="1">IF(OR(Tabel158[[#This Row],[Starttijd]]="",Tabel158[[#This Row],[Eindtijd]]=""),"",Tabel158[[#This Row],[Eindtijd]]-Tabel158[[#This Row],[Starttijd]])</f>
        <v>0</v>
      </c>
      <c r="E207" s="74">
        <v>120</v>
      </c>
      <c r="F207" s="205" t="s">
        <v>7</v>
      </c>
      <c r="G207" s="210">
        <v>3</v>
      </c>
      <c r="H207" s="205" t="s">
        <v>3</v>
      </c>
      <c r="I207" s="210">
        <v>8</v>
      </c>
      <c r="J207" s="206" t="s">
        <v>19</v>
      </c>
      <c r="K207" s="212">
        <v>1</v>
      </c>
      <c r="L207" s="206" t="s">
        <v>6</v>
      </c>
      <c r="M207" s="212">
        <v>5</v>
      </c>
      <c r="N207" s="81">
        <f t="shared" si="27"/>
        <v>11</v>
      </c>
      <c r="O207" s="82">
        <f t="shared" si="28"/>
        <v>6</v>
      </c>
      <c r="P207" s="70" t="str">
        <f t="shared" si="31"/>
        <v>ROOD</v>
      </c>
      <c r="Q207" s="86" t="str">
        <f t="shared" si="29"/>
        <v>Tiemen</v>
      </c>
      <c r="R207" s="87" t="str">
        <f t="shared" si="30"/>
        <v>Karel</v>
      </c>
      <c r="S207" s="147" t="str">
        <f>Tabel158[[#This Row],[Rood Verdediging]]&amp;Tabel158[[#This Row],[Rood Aanval]]</f>
        <v>TiemenKarel</v>
      </c>
      <c r="T207" s="147" t="str">
        <f>Tabel158[[#This Row],[Groen Verdediging]]&amp;Tabel158[[#This Row],[Groen Aanval]]</f>
        <v>NicolasStef D</v>
      </c>
      <c r="U207" s="147" t="str">
        <f>Tabel158[[#This Row],[Winnaar 1]]&amp;Tabel158[[#This Row],[Winnaar 2]]</f>
        <v>TiemenKarel</v>
      </c>
      <c r="V207" s="147" t="str">
        <f>IF(Tabel158[[#This Row],[Team Rood]]=Tabel158[[#This Row],[Winnaars]],Tabel158[[#This Row],[Team Rood]])</f>
        <v>TiemenKarel</v>
      </c>
      <c r="W207" s="147" t="b">
        <f>IF(Tabel158[[#This Row],[Team Groen]]=Tabel158[[#This Row],[Winnaars]],Tabel158[[#This Row],[Team Groen]])</f>
        <v>0</v>
      </c>
    </row>
    <row r="208" spans="1:23" x14ac:dyDescent="0.25">
      <c r="A208" s="125">
        <f ca="1">IF(Tabel158[[#This Row],[Rood Verdediging]]&lt;&gt;"",IF(A208="",NOW(),A208),"")</f>
        <v>0</v>
      </c>
      <c r="B208" s="128">
        <f ca="1">IF(Tabel158[[#This Row],[Rood Verdediging]]&lt;&gt;"",IF(B208="",NOW(),B208),"")</f>
        <v>43878.947694907409</v>
      </c>
      <c r="C208" s="126">
        <f ca="1">IF(Tabel158[[#This Row],[Score]]&lt;&gt;"",IF(C208="",NOW(),C208),"")</f>
        <v>43878.947694907409</v>
      </c>
      <c r="D208" s="182">
        <f ca="1">IF(OR(Tabel158[[#This Row],[Starttijd]]="",Tabel158[[#This Row],[Eindtijd]]=""),"",Tabel158[[#This Row],[Eindtijd]]-Tabel158[[#This Row],[Starttijd]])</f>
        <v>0</v>
      </c>
      <c r="E208" s="74">
        <v>120</v>
      </c>
      <c r="F208" s="205" t="s">
        <v>3</v>
      </c>
      <c r="G208" s="210">
        <v>4</v>
      </c>
      <c r="H208" s="205" t="s">
        <v>6</v>
      </c>
      <c r="I208" s="210">
        <v>7</v>
      </c>
      <c r="J208" s="206" t="s">
        <v>8</v>
      </c>
      <c r="K208" s="212">
        <v>3</v>
      </c>
      <c r="L208" s="206" t="s">
        <v>19</v>
      </c>
      <c r="M208" s="212">
        <v>5</v>
      </c>
      <c r="N208" s="81">
        <f t="shared" si="27"/>
        <v>11</v>
      </c>
      <c r="O208" s="82">
        <f t="shared" si="28"/>
        <v>8</v>
      </c>
      <c r="P208" s="70" t="str">
        <f t="shared" si="31"/>
        <v>ROOD</v>
      </c>
      <c r="Q208" s="86" t="str">
        <f t="shared" si="29"/>
        <v>Karel</v>
      </c>
      <c r="R208" s="87" t="str">
        <f t="shared" si="30"/>
        <v>Stef D</v>
      </c>
      <c r="S208" s="147" t="str">
        <f>Tabel158[[#This Row],[Rood Verdediging]]&amp;Tabel158[[#This Row],[Rood Aanval]]</f>
        <v>KarelStef D</v>
      </c>
      <c r="T208" s="147" t="str">
        <f>Tabel158[[#This Row],[Groen Verdediging]]&amp;Tabel158[[#This Row],[Groen Aanval]]</f>
        <v>LouisNicolas</v>
      </c>
      <c r="U208" s="147" t="str">
        <f>Tabel158[[#This Row],[Winnaar 1]]&amp;Tabel158[[#This Row],[Winnaar 2]]</f>
        <v>KarelStef D</v>
      </c>
      <c r="V208" s="147" t="str">
        <f>IF(Tabel158[[#This Row],[Team Rood]]=Tabel158[[#This Row],[Winnaars]],Tabel158[[#This Row],[Team Rood]])</f>
        <v>KarelStef D</v>
      </c>
      <c r="W208" s="147" t="b">
        <f>IF(Tabel158[[#This Row],[Team Groen]]=Tabel158[[#This Row],[Winnaars]],Tabel158[[#This Row],[Team Groen]])</f>
        <v>0</v>
      </c>
    </row>
    <row r="209" spans="1:23" x14ac:dyDescent="0.25">
      <c r="A209" s="125">
        <f ca="1">IF(Tabel158[[#This Row],[Rood Verdediging]]&lt;&gt;"",IF(A209="",NOW(),A209),"")</f>
        <v>0</v>
      </c>
      <c r="B209" s="128">
        <f ca="1">IF(Tabel158[[#This Row],[Rood Verdediging]]&lt;&gt;"",IF(B209="",NOW(),B209),"")</f>
        <v>43878.947694907409</v>
      </c>
      <c r="C209" s="126">
        <f ca="1">IF(Tabel158[[#This Row],[Score]]&lt;&gt;"",IF(C209="",NOW(),C209),"")</f>
        <v>43878.947694907409</v>
      </c>
      <c r="D209" s="182">
        <f ca="1">IF(OR(Tabel158[[#This Row],[Starttijd]]="",Tabel158[[#This Row],[Eindtijd]]=""),"",Tabel158[[#This Row],[Eindtijd]]-Tabel158[[#This Row],[Starttijd]])</f>
        <v>0</v>
      </c>
      <c r="E209" s="74">
        <v>120</v>
      </c>
      <c r="F209" s="205" t="s">
        <v>8</v>
      </c>
      <c r="G209" s="210">
        <v>5</v>
      </c>
      <c r="H209" s="205" t="s">
        <v>7</v>
      </c>
      <c r="I209" s="210">
        <v>7</v>
      </c>
      <c r="J209" s="206" t="s">
        <v>6</v>
      </c>
      <c r="K209" s="212">
        <v>4</v>
      </c>
      <c r="L209" s="206" t="s">
        <v>3</v>
      </c>
      <c r="M209" s="212">
        <v>6</v>
      </c>
      <c r="N209" s="81">
        <f t="shared" si="27"/>
        <v>12</v>
      </c>
      <c r="O209" s="82">
        <f t="shared" si="28"/>
        <v>10</v>
      </c>
      <c r="P209" s="70" t="str">
        <f t="shared" si="31"/>
        <v>ROOD</v>
      </c>
      <c r="Q209" s="86" t="str">
        <f t="shared" si="29"/>
        <v>Louis</v>
      </c>
      <c r="R209" s="87" t="str">
        <f t="shared" si="30"/>
        <v>Tiemen</v>
      </c>
      <c r="S209" s="147" t="str">
        <f>Tabel158[[#This Row],[Rood Verdediging]]&amp;Tabel158[[#This Row],[Rood Aanval]]</f>
        <v>LouisTiemen</v>
      </c>
      <c r="T209" s="147" t="str">
        <f>Tabel158[[#This Row],[Groen Verdediging]]&amp;Tabel158[[#This Row],[Groen Aanval]]</f>
        <v>Stef DKarel</v>
      </c>
      <c r="U209" s="147" t="str">
        <f>Tabel158[[#This Row],[Winnaar 1]]&amp;Tabel158[[#This Row],[Winnaar 2]]</f>
        <v>LouisTiemen</v>
      </c>
      <c r="V209" s="147" t="str">
        <f>IF(Tabel158[[#This Row],[Team Rood]]=Tabel158[[#This Row],[Winnaars]],Tabel158[[#This Row],[Team Rood]])</f>
        <v>LouisTiemen</v>
      </c>
      <c r="W209" s="147" t="b">
        <f>IF(Tabel158[[#This Row],[Team Groen]]=Tabel158[[#This Row],[Winnaars]],Tabel158[[#This Row],[Team Groen]])</f>
        <v>0</v>
      </c>
    </row>
    <row r="210" spans="1:23" x14ac:dyDescent="0.25">
      <c r="A210" s="125">
        <f ca="1">IF(Tabel158[[#This Row],[Rood Verdediging]]&lt;&gt;"",IF(A210="",NOW(),A210),"")</f>
        <v>0</v>
      </c>
      <c r="B210" s="128">
        <f ca="1">IF(Tabel158[[#This Row],[Rood Verdediging]]&lt;&gt;"",IF(B210="",NOW(),B210),"")</f>
        <v>43878.947694907409</v>
      </c>
      <c r="C210" s="126">
        <f ca="1">IF(Tabel158[[#This Row],[Score]]&lt;&gt;"",IF(C210="",NOW(),C210),"")</f>
        <v>43878.947694907409</v>
      </c>
      <c r="D210" s="182">
        <f ca="1">IF(OR(Tabel158[[#This Row],[Starttijd]]="",Tabel158[[#This Row],[Eindtijd]]=""),"",Tabel158[[#This Row],[Eindtijd]]-Tabel158[[#This Row],[Starttijd]])</f>
        <v>0</v>
      </c>
      <c r="E210" s="74">
        <v>120</v>
      </c>
      <c r="F210" s="205" t="s">
        <v>8</v>
      </c>
      <c r="G210" s="210">
        <v>3</v>
      </c>
      <c r="H210" s="205" t="s">
        <v>6</v>
      </c>
      <c r="I210" s="210">
        <v>8</v>
      </c>
      <c r="J210" s="206" t="s">
        <v>7</v>
      </c>
      <c r="K210" s="212">
        <v>3</v>
      </c>
      <c r="L210" s="206" t="s">
        <v>3</v>
      </c>
      <c r="M210" s="212">
        <v>4</v>
      </c>
      <c r="N210" s="81">
        <f t="shared" si="27"/>
        <v>11</v>
      </c>
      <c r="O210" s="82">
        <f t="shared" si="28"/>
        <v>7</v>
      </c>
      <c r="P210" s="70" t="str">
        <f t="shared" si="31"/>
        <v>ROOD</v>
      </c>
      <c r="Q210" s="86" t="str">
        <f t="shared" si="29"/>
        <v>Louis</v>
      </c>
      <c r="R210" s="87" t="str">
        <f t="shared" si="30"/>
        <v>Stef D</v>
      </c>
      <c r="S210" s="147" t="str">
        <f>Tabel158[[#This Row],[Rood Verdediging]]&amp;Tabel158[[#This Row],[Rood Aanval]]</f>
        <v>LouisStef D</v>
      </c>
      <c r="T210" s="147" t="str">
        <f>Tabel158[[#This Row],[Groen Verdediging]]&amp;Tabel158[[#This Row],[Groen Aanval]]</f>
        <v>TiemenKarel</v>
      </c>
      <c r="U210" s="147" t="str">
        <f>Tabel158[[#This Row],[Winnaar 1]]&amp;Tabel158[[#This Row],[Winnaar 2]]</f>
        <v>LouisStef D</v>
      </c>
      <c r="V210" s="147" t="str">
        <f>IF(Tabel158[[#This Row],[Team Rood]]=Tabel158[[#This Row],[Winnaars]],Tabel158[[#This Row],[Team Rood]])</f>
        <v>LouisStef D</v>
      </c>
      <c r="W210" s="147" t="b">
        <f>IF(Tabel158[[#This Row],[Team Groen]]=Tabel158[[#This Row],[Winnaars]],Tabel158[[#This Row],[Team Groen]])</f>
        <v>0</v>
      </c>
    </row>
    <row r="211" spans="1:23" x14ac:dyDescent="0.25">
      <c r="A211" s="125">
        <f ca="1">IF(Tabel158[[#This Row],[Rood Verdediging]]&lt;&gt;"",IF(A211="",NOW(),A211),"")</f>
        <v>0</v>
      </c>
      <c r="B211" s="128">
        <f ca="1">IF(Tabel158[[#This Row],[Rood Verdediging]]&lt;&gt;"",IF(B211="",NOW(),B211),"")</f>
        <v>43878.947694907409</v>
      </c>
      <c r="C211" s="126">
        <f ca="1">IF(Tabel158[[#This Row],[Score]]&lt;&gt;"",IF(C211="",NOW(),C211),"")</f>
        <v>43878.947694907409</v>
      </c>
      <c r="D211" s="182">
        <f ca="1">IF(OR(Tabel158[[#This Row],[Starttijd]]="",Tabel158[[#This Row],[Eindtijd]]=""),"",Tabel158[[#This Row],[Eindtijd]]-Tabel158[[#This Row],[Starttijd]])</f>
        <v>0</v>
      </c>
      <c r="E211" s="74">
        <v>120</v>
      </c>
      <c r="F211" s="205" t="s">
        <v>7</v>
      </c>
      <c r="G211" s="210">
        <v>1</v>
      </c>
      <c r="H211" s="205" t="s">
        <v>6</v>
      </c>
      <c r="I211" s="210">
        <v>10</v>
      </c>
      <c r="J211" s="206" t="s">
        <v>11</v>
      </c>
      <c r="K211" s="212">
        <v>1</v>
      </c>
      <c r="L211" s="206" t="s">
        <v>8</v>
      </c>
      <c r="M211" s="212">
        <v>5</v>
      </c>
      <c r="N211" s="81">
        <f t="shared" si="27"/>
        <v>11</v>
      </c>
      <c r="O211" s="82">
        <f t="shared" si="28"/>
        <v>6</v>
      </c>
      <c r="P211" s="70" t="str">
        <f t="shared" si="31"/>
        <v>ROOD</v>
      </c>
      <c r="Q211" s="86" t="str">
        <f t="shared" si="29"/>
        <v>Tiemen</v>
      </c>
      <c r="R211" s="87" t="str">
        <f t="shared" si="30"/>
        <v>Stef D</v>
      </c>
      <c r="S211" s="147" t="str">
        <f>Tabel158[[#This Row],[Rood Verdediging]]&amp;Tabel158[[#This Row],[Rood Aanval]]</f>
        <v>TiemenStef D</v>
      </c>
      <c r="T211" s="147" t="str">
        <f>Tabel158[[#This Row],[Groen Verdediging]]&amp;Tabel158[[#This Row],[Groen Aanval]]</f>
        <v>MatthijsLouis</v>
      </c>
      <c r="U211" s="147" t="str">
        <f>Tabel158[[#This Row],[Winnaar 1]]&amp;Tabel158[[#This Row],[Winnaar 2]]</f>
        <v>TiemenStef D</v>
      </c>
      <c r="V211" s="147" t="str">
        <f>IF(Tabel158[[#This Row],[Team Rood]]=Tabel158[[#This Row],[Winnaars]],Tabel158[[#This Row],[Team Rood]])</f>
        <v>TiemenStef D</v>
      </c>
      <c r="W211" s="147" t="b">
        <f>IF(Tabel158[[#This Row],[Team Groen]]=Tabel158[[#This Row],[Winnaars]],Tabel158[[#This Row],[Team Groen]])</f>
        <v>0</v>
      </c>
    </row>
    <row r="212" spans="1:23" x14ac:dyDescent="0.25">
      <c r="A212" s="125">
        <f ca="1">IF(Tabel158[[#This Row],[Rood Verdediging]]&lt;&gt;"",IF(A212="",NOW(),A212),"")</f>
        <v>0</v>
      </c>
      <c r="B212" s="128">
        <f ca="1">IF(Tabel158[[#This Row],[Rood Verdediging]]&lt;&gt;"",IF(B212="",NOW(),B212),"")</f>
        <v>43878.947694907409</v>
      </c>
      <c r="C212" s="126">
        <f ca="1">IF(Tabel158[[#This Row],[Score]]&lt;&gt;"",IF(C212="",NOW(),C212),"")</f>
        <v>43878.947694907409</v>
      </c>
      <c r="D212" s="182">
        <f ca="1">IF(OR(Tabel158[[#This Row],[Starttijd]]="",Tabel158[[#This Row],[Eindtijd]]=""),"",Tabel158[[#This Row],[Eindtijd]]-Tabel158[[#This Row],[Starttijd]])</f>
        <v>0</v>
      </c>
      <c r="E212" s="74">
        <v>120</v>
      </c>
      <c r="F212" s="205" t="s">
        <v>3</v>
      </c>
      <c r="G212" s="210">
        <v>5</v>
      </c>
      <c r="H212" s="205" t="s">
        <v>7</v>
      </c>
      <c r="I212" s="210">
        <v>9</v>
      </c>
      <c r="J212" s="206" t="s">
        <v>8</v>
      </c>
      <c r="K212" s="212">
        <v>5</v>
      </c>
      <c r="L212" s="206" t="s">
        <v>6</v>
      </c>
      <c r="M212" s="212">
        <v>11</v>
      </c>
      <c r="N212" s="81">
        <f t="shared" si="27"/>
        <v>14</v>
      </c>
      <c r="O212" s="82">
        <f t="shared" si="28"/>
        <v>16</v>
      </c>
      <c r="P212" s="70" t="str">
        <f t="shared" si="31"/>
        <v>GROEN</v>
      </c>
      <c r="Q212" s="86" t="str">
        <f t="shared" si="29"/>
        <v>Louis</v>
      </c>
      <c r="R212" s="87" t="str">
        <f t="shared" si="30"/>
        <v>Stef D</v>
      </c>
      <c r="S212" s="147" t="str">
        <f>Tabel158[[#This Row],[Rood Verdediging]]&amp;Tabel158[[#This Row],[Rood Aanval]]</f>
        <v>KarelTiemen</v>
      </c>
      <c r="T212" s="147" t="str">
        <f>Tabel158[[#This Row],[Groen Verdediging]]&amp;Tabel158[[#This Row],[Groen Aanval]]</f>
        <v>LouisStef D</v>
      </c>
      <c r="U212" s="147" t="str">
        <f>Tabel158[[#This Row],[Winnaar 1]]&amp;Tabel158[[#This Row],[Winnaar 2]]</f>
        <v>LouisStef D</v>
      </c>
      <c r="V212" s="147" t="b">
        <f>IF(Tabel158[[#This Row],[Team Rood]]=Tabel158[[#This Row],[Winnaars]],Tabel158[[#This Row],[Team Rood]])</f>
        <v>0</v>
      </c>
      <c r="W212" s="147" t="str">
        <f>IF(Tabel158[[#This Row],[Team Groen]]=Tabel158[[#This Row],[Winnaars]],Tabel158[[#This Row],[Team Groen]])</f>
        <v>LouisStef D</v>
      </c>
    </row>
    <row r="213" spans="1:23" x14ac:dyDescent="0.25">
      <c r="A213" s="125">
        <f ca="1">IF(Tabel158[[#This Row],[Rood Verdediging]]&lt;&gt;"",IF(A213="",NOW(),A213),"")</f>
        <v>0</v>
      </c>
      <c r="B213" s="128">
        <f ca="1">IF(Tabel158[[#This Row],[Rood Verdediging]]&lt;&gt;"",IF(B213="",NOW(),B213),"")</f>
        <v>43878.947694907409</v>
      </c>
      <c r="C213" s="126">
        <f ca="1">IF(Tabel158[[#This Row],[Score]]&lt;&gt;"",IF(C213="",NOW(),C213),"")</f>
        <v>43878.947694907409</v>
      </c>
      <c r="D213" s="182">
        <f ca="1">IF(OR(Tabel158[[#This Row],[Starttijd]]="",Tabel158[[#This Row],[Eindtijd]]=""),"",Tabel158[[#This Row],[Eindtijd]]-Tabel158[[#This Row],[Starttijd]])</f>
        <v>0</v>
      </c>
      <c r="E213" s="74">
        <v>120</v>
      </c>
      <c r="F213" s="205" t="s">
        <v>11</v>
      </c>
      <c r="G213" s="210">
        <v>5</v>
      </c>
      <c r="H213" s="205" t="s">
        <v>6</v>
      </c>
      <c r="I213" s="210">
        <v>6</v>
      </c>
      <c r="J213" s="206" t="s">
        <v>7</v>
      </c>
      <c r="K213" s="212">
        <v>1</v>
      </c>
      <c r="L213" s="206" t="s">
        <v>8</v>
      </c>
      <c r="M213" s="212">
        <v>1</v>
      </c>
      <c r="N213" s="81">
        <f t="shared" si="27"/>
        <v>11</v>
      </c>
      <c r="O213" s="82">
        <f t="shared" si="28"/>
        <v>2</v>
      </c>
      <c r="P213" s="70" t="str">
        <f t="shared" si="31"/>
        <v>ROOD</v>
      </c>
      <c r="Q213" s="86" t="str">
        <f t="shared" si="29"/>
        <v>Matthijs</v>
      </c>
      <c r="R213" s="87" t="str">
        <f t="shared" si="30"/>
        <v>Stef D</v>
      </c>
      <c r="S213" s="147" t="str">
        <f>Tabel158[[#This Row],[Rood Verdediging]]&amp;Tabel158[[#This Row],[Rood Aanval]]</f>
        <v>MatthijsStef D</v>
      </c>
      <c r="T213" s="147" t="str">
        <f>Tabel158[[#This Row],[Groen Verdediging]]&amp;Tabel158[[#This Row],[Groen Aanval]]</f>
        <v>TiemenLouis</v>
      </c>
      <c r="U213" s="147" t="str">
        <f>Tabel158[[#This Row],[Winnaar 1]]&amp;Tabel158[[#This Row],[Winnaar 2]]</f>
        <v>MatthijsStef D</v>
      </c>
      <c r="V213" s="147" t="str">
        <f>IF(Tabel158[[#This Row],[Team Rood]]=Tabel158[[#This Row],[Winnaars]],Tabel158[[#This Row],[Team Rood]])</f>
        <v>MatthijsStef D</v>
      </c>
      <c r="W213" s="147" t="b">
        <f>IF(Tabel158[[#This Row],[Team Groen]]=Tabel158[[#This Row],[Winnaars]],Tabel158[[#This Row],[Team Groen]])</f>
        <v>0</v>
      </c>
    </row>
    <row r="214" spans="1:23" x14ac:dyDescent="0.25">
      <c r="A214" s="125">
        <f ca="1">IF(Tabel158[[#This Row],[Rood Verdediging]]&lt;&gt;"",IF(A214="",NOW(),A214),"")</f>
        <v>0</v>
      </c>
      <c r="B214" s="128">
        <f ca="1">IF(Tabel158[[#This Row],[Rood Verdediging]]&lt;&gt;"",IF(B214="",NOW(),B214),"")</f>
        <v>43878.947694907409</v>
      </c>
      <c r="C214" s="126">
        <f ca="1">IF(Tabel158[[#This Row],[Score]]&lt;&gt;"",IF(C214="",NOW(),C214),"")</f>
        <v>43878.947694907409</v>
      </c>
      <c r="D214" s="182">
        <f ca="1">IF(OR(Tabel158[[#This Row],[Starttijd]]="",Tabel158[[#This Row],[Eindtijd]]=""),"",Tabel158[[#This Row],[Eindtijd]]-Tabel158[[#This Row],[Starttijd]])</f>
        <v>0</v>
      </c>
      <c r="E214" s="74">
        <v>120</v>
      </c>
      <c r="F214" s="205" t="s">
        <v>19</v>
      </c>
      <c r="G214" s="210">
        <v>7</v>
      </c>
      <c r="H214" s="205" t="s">
        <v>3</v>
      </c>
      <c r="I214" s="210">
        <v>7</v>
      </c>
      <c r="J214" s="206" t="s">
        <v>6</v>
      </c>
      <c r="K214" s="212">
        <v>5</v>
      </c>
      <c r="L214" s="206" t="s">
        <v>11</v>
      </c>
      <c r="M214" s="212">
        <v>11</v>
      </c>
      <c r="N214" s="81">
        <f t="shared" si="27"/>
        <v>14</v>
      </c>
      <c r="O214" s="82">
        <f t="shared" si="28"/>
        <v>16</v>
      </c>
      <c r="P214" s="70" t="str">
        <f t="shared" si="31"/>
        <v>GROEN</v>
      </c>
      <c r="Q214" s="86" t="str">
        <f t="shared" si="29"/>
        <v>Stef D</v>
      </c>
      <c r="R214" s="87" t="str">
        <f t="shared" si="30"/>
        <v>Matthijs</v>
      </c>
      <c r="S214" s="147" t="str">
        <f>Tabel158[[#This Row],[Rood Verdediging]]&amp;Tabel158[[#This Row],[Rood Aanval]]</f>
        <v>NicolasKarel</v>
      </c>
      <c r="T214" s="147" t="str">
        <f>Tabel158[[#This Row],[Groen Verdediging]]&amp;Tabel158[[#This Row],[Groen Aanval]]</f>
        <v>Stef DMatthijs</v>
      </c>
      <c r="U214" s="147" t="str">
        <f>Tabel158[[#This Row],[Winnaar 1]]&amp;Tabel158[[#This Row],[Winnaar 2]]</f>
        <v>Stef DMatthijs</v>
      </c>
      <c r="V214" s="147" t="b">
        <f>IF(Tabel158[[#This Row],[Team Rood]]=Tabel158[[#This Row],[Winnaars]],Tabel158[[#This Row],[Team Rood]])</f>
        <v>0</v>
      </c>
      <c r="W214" s="147" t="str">
        <f>IF(Tabel158[[#This Row],[Team Groen]]=Tabel158[[#This Row],[Winnaars]],Tabel158[[#This Row],[Team Groen]])</f>
        <v>Stef DMatthijs</v>
      </c>
    </row>
    <row r="215" spans="1:23" x14ac:dyDescent="0.25">
      <c r="A215" s="125">
        <f ca="1">IF(Tabel158[[#This Row],[Rood Verdediging]]&lt;&gt;"",IF(A215="",NOW(),A215),"")</f>
        <v>0</v>
      </c>
      <c r="B215" s="128">
        <f ca="1">IF(Tabel158[[#This Row],[Rood Verdediging]]&lt;&gt;"",IF(B215="",NOW(),B215),"")</f>
        <v>43878.947694907409</v>
      </c>
      <c r="C215" s="126">
        <f ca="1">IF(Tabel158[[#This Row],[Score]]&lt;&gt;"",IF(C215="",NOW(),C215),"")</f>
        <v>43878.947694907409</v>
      </c>
      <c r="D215" s="182">
        <f ca="1">IF(OR(Tabel158[[#This Row],[Starttijd]]="",Tabel158[[#This Row],[Eindtijd]]=""),"",Tabel158[[#This Row],[Eindtijd]]-Tabel158[[#This Row],[Starttijd]])</f>
        <v>0</v>
      </c>
      <c r="E215" s="74">
        <v>120</v>
      </c>
      <c r="F215" s="205" t="s">
        <v>8</v>
      </c>
      <c r="G215" s="210">
        <v>6</v>
      </c>
      <c r="H215" s="205" t="s">
        <v>6</v>
      </c>
      <c r="I215" s="210">
        <v>5</v>
      </c>
      <c r="J215" s="206" t="s">
        <v>11</v>
      </c>
      <c r="K215" s="212">
        <v>2</v>
      </c>
      <c r="L215" s="206" t="s">
        <v>3</v>
      </c>
      <c r="M215" s="212">
        <v>5</v>
      </c>
      <c r="N215" s="81">
        <f t="shared" si="27"/>
        <v>11</v>
      </c>
      <c r="O215" s="82">
        <f t="shared" si="28"/>
        <v>7</v>
      </c>
      <c r="P215" s="70" t="str">
        <f t="shared" si="31"/>
        <v>ROOD</v>
      </c>
      <c r="Q215" s="86" t="str">
        <f t="shared" si="29"/>
        <v>Louis</v>
      </c>
      <c r="R215" s="87" t="str">
        <f t="shared" si="30"/>
        <v>Stef D</v>
      </c>
      <c r="S215" s="147" t="str">
        <f>Tabel158[[#This Row],[Rood Verdediging]]&amp;Tabel158[[#This Row],[Rood Aanval]]</f>
        <v>LouisStef D</v>
      </c>
      <c r="T215" s="147" t="str">
        <f>Tabel158[[#This Row],[Groen Verdediging]]&amp;Tabel158[[#This Row],[Groen Aanval]]</f>
        <v>MatthijsKarel</v>
      </c>
      <c r="U215" s="147" t="str">
        <f>Tabel158[[#This Row],[Winnaar 1]]&amp;Tabel158[[#This Row],[Winnaar 2]]</f>
        <v>LouisStef D</v>
      </c>
      <c r="V215" s="147" t="str">
        <f>IF(Tabel158[[#This Row],[Team Rood]]=Tabel158[[#This Row],[Winnaars]],Tabel158[[#This Row],[Team Rood]])</f>
        <v>LouisStef D</v>
      </c>
      <c r="W215" s="147" t="b">
        <f>IF(Tabel158[[#This Row],[Team Groen]]=Tabel158[[#This Row],[Winnaars]],Tabel158[[#This Row],[Team Groen]])</f>
        <v>0</v>
      </c>
    </row>
    <row r="216" spans="1:23" x14ac:dyDescent="0.25">
      <c r="A216" s="125">
        <f ca="1">IF(Tabel158[[#This Row],[Rood Verdediging]]&lt;&gt;"",IF(A216="",NOW(),A216),"")</f>
        <v>0</v>
      </c>
      <c r="B216" s="128">
        <f ca="1">IF(Tabel158[[#This Row],[Rood Verdediging]]&lt;&gt;"",IF(B216="",NOW(),B216),"")</f>
        <v>43878.947694907409</v>
      </c>
      <c r="C216" s="126">
        <f ca="1">IF(Tabel158[[#This Row],[Score]]&lt;&gt;"",IF(C216="",NOW(),C216),"")</f>
        <v>43878.947694907409</v>
      </c>
      <c r="D216" s="182">
        <f ca="1">IF(OR(Tabel158[[#This Row],[Starttijd]]="",Tabel158[[#This Row],[Eindtijd]]=""),"",Tabel158[[#This Row],[Eindtijd]]-Tabel158[[#This Row],[Starttijd]])</f>
        <v>0</v>
      </c>
      <c r="E216" s="74">
        <v>120</v>
      </c>
      <c r="F216" s="205" t="s">
        <v>3</v>
      </c>
      <c r="G216" s="210">
        <v>2</v>
      </c>
      <c r="H216" s="205" t="s">
        <v>8</v>
      </c>
      <c r="I216" s="210">
        <v>9</v>
      </c>
      <c r="J216" s="206" t="s">
        <v>6</v>
      </c>
      <c r="K216" s="212">
        <v>3</v>
      </c>
      <c r="L216" s="206" t="s">
        <v>11</v>
      </c>
      <c r="M216" s="212">
        <v>6</v>
      </c>
      <c r="N216" s="81">
        <f t="shared" si="27"/>
        <v>11</v>
      </c>
      <c r="O216" s="82">
        <f t="shared" si="28"/>
        <v>9</v>
      </c>
      <c r="P216" s="70" t="str">
        <f t="shared" si="31"/>
        <v>ROOD</v>
      </c>
      <c r="Q216" s="86" t="str">
        <f t="shared" si="29"/>
        <v>Karel</v>
      </c>
      <c r="R216" s="87" t="str">
        <f t="shared" si="30"/>
        <v>Louis</v>
      </c>
      <c r="S216" s="147" t="str">
        <f>Tabel158[[#This Row],[Rood Verdediging]]&amp;Tabel158[[#This Row],[Rood Aanval]]</f>
        <v>KarelLouis</v>
      </c>
      <c r="T216" s="147" t="str">
        <f>Tabel158[[#This Row],[Groen Verdediging]]&amp;Tabel158[[#This Row],[Groen Aanval]]</f>
        <v>Stef DMatthijs</v>
      </c>
      <c r="U216" s="147" t="str">
        <f>Tabel158[[#This Row],[Winnaar 1]]&amp;Tabel158[[#This Row],[Winnaar 2]]</f>
        <v>KarelLouis</v>
      </c>
      <c r="V216" s="147" t="str">
        <f>IF(Tabel158[[#This Row],[Team Rood]]=Tabel158[[#This Row],[Winnaars]],Tabel158[[#This Row],[Team Rood]])</f>
        <v>KarelLouis</v>
      </c>
      <c r="W216" s="147" t="b">
        <f>IF(Tabel158[[#This Row],[Team Groen]]=Tabel158[[#This Row],[Winnaars]],Tabel158[[#This Row],[Team Groen]])</f>
        <v>0</v>
      </c>
    </row>
    <row r="217" spans="1:23" x14ac:dyDescent="0.25">
      <c r="A217" s="125">
        <f ca="1">IF(Tabel158[[#This Row],[Rood Verdediging]]&lt;&gt;"",IF(A217="",NOW(),A217),"")</f>
        <v>0</v>
      </c>
      <c r="B217" s="128">
        <f ca="1">IF(Tabel158[[#This Row],[Rood Verdediging]]&lt;&gt;"",IF(B217="",NOW(),B217),"")</f>
        <v>43878.947694907409</v>
      </c>
      <c r="C217" s="126">
        <f ca="1">IF(Tabel158[[#This Row],[Score]]&lt;&gt;"",IF(C217="",NOW(),C217),"")</f>
        <v>43878.947694907409</v>
      </c>
      <c r="D217" s="182">
        <f ca="1">IF(OR(Tabel158[[#This Row],[Starttijd]]="",Tabel158[[#This Row],[Eindtijd]]=""),"",Tabel158[[#This Row],[Eindtijd]]-Tabel158[[#This Row],[Starttijd]])</f>
        <v>0</v>
      </c>
      <c r="E217" s="74">
        <v>120</v>
      </c>
      <c r="F217" s="205" t="s">
        <v>6</v>
      </c>
      <c r="G217" s="210">
        <v>3</v>
      </c>
      <c r="H217" s="205" t="s">
        <v>3</v>
      </c>
      <c r="I217" s="210">
        <v>8</v>
      </c>
      <c r="J217" s="206" t="s">
        <v>8</v>
      </c>
      <c r="K217" s="212">
        <v>0</v>
      </c>
      <c r="L217" s="206" t="s">
        <v>11</v>
      </c>
      <c r="M217" s="212">
        <v>5</v>
      </c>
      <c r="N217" s="81">
        <f t="shared" si="27"/>
        <v>11</v>
      </c>
      <c r="O217" s="82">
        <f t="shared" si="28"/>
        <v>5</v>
      </c>
      <c r="P217" s="70" t="str">
        <f t="shared" si="31"/>
        <v>ROOD</v>
      </c>
      <c r="Q217" s="86" t="str">
        <f t="shared" si="29"/>
        <v>Stef D</v>
      </c>
      <c r="R217" s="87" t="str">
        <f t="shared" si="30"/>
        <v>Karel</v>
      </c>
      <c r="S217" s="147" t="str">
        <f>Tabel158[[#This Row],[Rood Verdediging]]&amp;Tabel158[[#This Row],[Rood Aanval]]</f>
        <v>Stef DKarel</v>
      </c>
      <c r="T217" s="147" t="str">
        <f>Tabel158[[#This Row],[Groen Verdediging]]&amp;Tabel158[[#This Row],[Groen Aanval]]</f>
        <v>LouisMatthijs</v>
      </c>
      <c r="U217" s="147" t="str">
        <f>Tabel158[[#This Row],[Winnaar 1]]&amp;Tabel158[[#This Row],[Winnaar 2]]</f>
        <v>Stef DKarel</v>
      </c>
      <c r="V217" s="147" t="str">
        <f>IF(Tabel158[[#This Row],[Team Rood]]=Tabel158[[#This Row],[Winnaars]],Tabel158[[#This Row],[Team Rood]])</f>
        <v>Stef DKarel</v>
      </c>
      <c r="W217" s="147" t="b">
        <f>IF(Tabel158[[#This Row],[Team Groen]]=Tabel158[[#This Row],[Winnaars]],Tabel158[[#This Row],[Team Groen]])</f>
        <v>0</v>
      </c>
    </row>
    <row r="218" spans="1:23" x14ac:dyDescent="0.25">
      <c r="A218" s="125">
        <f ca="1">IF(Tabel158[[#This Row],[Rood Verdediging]]&lt;&gt;"",IF(A218="",NOW(),A218),"")</f>
        <v>0</v>
      </c>
      <c r="B218" s="128">
        <f ca="1">IF(Tabel158[[#This Row],[Rood Verdediging]]&lt;&gt;"",IF(B218="",NOW(),B218),"")</f>
        <v>43878.947694907409</v>
      </c>
      <c r="C218" s="126">
        <f ca="1">IF(Tabel158[[#This Row],[Score]]&lt;&gt;"",IF(C218="",NOW(),C218),"")</f>
        <v>43878.947694907409</v>
      </c>
      <c r="D218" s="182">
        <f ca="1">IF(OR(Tabel158[[#This Row],[Starttijd]]="",Tabel158[[#This Row],[Eindtijd]]=""),"",Tabel158[[#This Row],[Eindtijd]]-Tabel158[[#This Row],[Starttijd]])</f>
        <v>0</v>
      </c>
      <c r="E218" s="74">
        <v>120</v>
      </c>
      <c r="F218" s="205" t="s">
        <v>19</v>
      </c>
      <c r="G218" s="210">
        <v>0</v>
      </c>
      <c r="H218" s="205" t="s">
        <v>6</v>
      </c>
      <c r="I218" s="210">
        <v>12</v>
      </c>
      <c r="J218" s="206" t="s">
        <v>8</v>
      </c>
      <c r="K218" s="212">
        <v>2</v>
      </c>
      <c r="L218" s="206" t="s">
        <v>3</v>
      </c>
      <c r="M218" s="212">
        <v>8</v>
      </c>
      <c r="N218" s="81">
        <f t="shared" si="27"/>
        <v>12</v>
      </c>
      <c r="O218" s="82">
        <f t="shared" si="28"/>
        <v>10</v>
      </c>
      <c r="P218" s="70" t="str">
        <f t="shared" si="31"/>
        <v>ROOD</v>
      </c>
      <c r="Q218" s="86" t="str">
        <f t="shared" si="29"/>
        <v>Nicolas</v>
      </c>
      <c r="R218" s="87" t="str">
        <f t="shared" si="30"/>
        <v>Stef D</v>
      </c>
      <c r="S218" s="147" t="str">
        <f>Tabel158[[#This Row],[Rood Verdediging]]&amp;Tabel158[[#This Row],[Rood Aanval]]</f>
        <v>NicolasStef D</v>
      </c>
      <c r="T218" s="147" t="str">
        <f>Tabel158[[#This Row],[Groen Verdediging]]&amp;Tabel158[[#This Row],[Groen Aanval]]</f>
        <v>LouisKarel</v>
      </c>
      <c r="U218" s="147" t="str">
        <f>Tabel158[[#This Row],[Winnaar 1]]&amp;Tabel158[[#This Row],[Winnaar 2]]</f>
        <v>NicolasStef D</v>
      </c>
      <c r="V218" s="147" t="str">
        <f>IF(Tabel158[[#This Row],[Team Rood]]=Tabel158[[#This Row],[Winnaars]],Tabel158[[#This Row],[Team Rood]])</f>
        <v>NicolasStef D</v>
      </c>
      <c r="W218" s="147" t="b">
        <f>IF(Tabel158[[#This Row],[Team Groen]]=Tabel158[[#This Row],[Winnaars]],Tabel158[[#This Row],[Team Groen]])</f>
        <v>0</v>
      </c>
    </row>
    <row r="219" spans="1:23" x14ac:dyDescent="0.25">
      <c r="A219" s="125">
        <f ca="1">IF(Tabel158[[#This Row],[Rood Verdediging]]&lt;&gt;"",IF(A219="",NOW(),A219),"")</f>
        <v>0</v>
      </c>
      <c r="B219" s="128">
        <f ca="1">IF(Tabel158[[#This Row],[Rood Verdediging]]&lt;&gt;"",IF(B219="",NOW(),B219),"")</f>
        <v>43878.947694907409</v>
      </c>
      <c r="C219" s="126">
        <f ca="1">IF(Tabel158[[#This Row],[Score]]&lt;&gt;"",IF(C219="",NOW(),C219),"")</f>
        <v>43878.947694907409</v>
      </c>
      <c r="D219" s="182">
        <f ca="1">IF(OR(Tabel158[[#This Row],[Starttijd]]="",Tabel158[[#This Row],[Eindtijd]]=""),"",Tabel158[[#This Row],[Eindtijd]]-Tabel158[[#This Row],[Starttijd]])</f>
        <v>0</v>
      </c>
      <c r="E219" s="74">
        <v>120</v>
      </c>
      <c r="F219" s="205" t="s">
        <v>11</v>
      </c>
      <c r="G219" s="210">
        <v>4</v>
      </c>
      <c r="H219" s="205" t="s">
        <v>6</v>
      </c>
      <c r="I219" s="210">
        <v>7</v>
      </c>
      <c r="J219" s="206" t="s">
        <v>3</v>
      </c>
      <c r="K219" s="212">
        <v>3</v>
      </c>
      <c r="L219" s="206" t="s">
        <v>19</v>
      </c>
      <c r="M219" s="212">
        <v>10</v>
      </c>
      <c r="N219" s="81">
        <f t="shared" si="27"/>
        <v>11</v>
      </c>
      <c r="O219" s="82">
        <f t="shared" si="28"/>
        <v>13</v>
      </c>
      <c r="P219" s="70" t="str">
        <f t="shared" si="31"/>
        <v>GROEN</v>
      </c>
      <c r="Q219" s="86" t="str">
        <f t="shared" si="29"/>
        <v>Karel</v>
      </c>
      <c r="R219" s="87" t="str">
        <f t="shared" si="30"/>
        <v>Nicolas</v>
      </c>
      <c r="S219" s="147" t="str">
        <f>Tabel158[[#This Row],[Rood Verdediging]]&amp;Tabel158[[#This Row],[Rood Aanval]]</f>
        <v>MatthijsStef D</v>
      </c>
      <c r="T219" s="147" t="str">
        <f>Tabel158[[#This Row],[Groen Verdediging]]&amp;Tabel158[[#This Row],[Groen Aanval]]</f>
        <v>KarelNicolas</v>
      </c>
      <c r="U219" s="147" t="str">
        <f>Tabel158[[#This Row],[Winnaar 1]]&amp;Tabel158[[#This Row],[Winnaar 2]]</f>
        <v>KarelNicolas</v>
      </c>
      <c r="V219" s="147" t="b">
        <f>IF(Tabel158[[#This Row],[Team Rood]]=Tabel158[[#This Row],[Winnaars]],Tabel158[[#This Row],[Team Rood]])</f>
        <v>0</v>
      </c>
      <c r="W219" s="147" t="str">
        <f>IF(Tabel158[[#This Row],[Team Groen]]=Tabel158[[#This Row],[Winnaars]],Tabel158[[#This Row],[Team Groen]])</f>
        <v>KarelNicolas</v>
      </c>
    </row>
    <row r="220" spans="1:23" x14ac:dyDescent="0.25">
      <c r="A220" s="125">
        <f ca="1">IF(Tabel158[[#This Row],[Rood Verdediging]]&lt;&gt;"",IF(A220="",NOW(),A220),"")</f>
        <v>0</v>
      </c>
      <c r="B220" s="128">
        <f ca="1">IF(Tabel158[[#This Row],[Rood Verdediging]]&lt;&gt;"",IF(B220="",NOW(),B220),"")</f>
        <v>43878.947694907409</v>
      </c>
      <c r="C220" s="126">
        <f ca="1">IF(Tabel158[[#This Row],[Score]]&lt;&gt;"",IF(C220="",NOW(),C220),"")</f>
        <v>43878.947694907409</v>
      </c>
      <c r="D220" s="182">
        <f ca="1">IF(OR(Tabel158[[#This Row],[Starttijd]]="",Tabel158[[#This Row],[Eindtijd]]=""),"",Tabel158[[#This Row],[Eindtijd]]-Tabel158[[#This Row],[Starttijd]])</f>
        <v>0</v>
      </c>
      <c r="E220" s="74">
        <v>120</v>
      </c>
      <c r="F220" s="205" t="s">
        <v>6</v>
      </c>
      <c r="G220" s="210">
        <v>6</v>
      </c>
      <c r="H220" s="205" t="s">
        <v>0</v>
      </c>
      <c r="I220" s="210">
        <v>5</v>
      </c>
      <c r="J220" s="206" t="s">
        <v>8</v>
      </c>
      <c r="K220" s="212">
        <v>4</v>
      </c>
      <c r="L220" s="206" t="s">
        <v>19</v>
      </c>
      <c r="M220" s="212">
        <v>5</v>
      </c>
      <c r="N220" s="81">
        <f t="shared" si="27"/>
        <v>11</v>
      </c>
      <c r="O220" s="82">
        <f t="shared" si="28"/>
        <v>9</v>
      </c>
      <c r="P220" s="70" t="str">
        <f t="shared" si="31"/>
        <v>ROOD</v>
      </c>
      <c r="Q220" s="86" t="str">
        <f t="shared" si="29"/>
        <v>Stef D</v>
      </c>
      <c r="R220" s="87" t="str">
        <f t="shared" si="30"/>
        <v>Jonas</v>
      </c>
      <c r="S220" s="147" t="str">
        <f>Tabel158[[#This Row],[Rood Verdediging]]&amp;Tabel158[[#This Row],[Rood Aanval]]</f>
        <v>Stef DJonas</v>
      </c>
      <c r="T220" s="147" t="str">
        <f>Tabel158[[#This Row],[Groen Verdediging]]&amp;Tabel158[[#This Row],[Groen Aanval]]</f>
        <v>LouisNicolas</v>
      </c>
      <c r="U220" s="147" t="str">
        <f>Tabel158[[#This Row],[Winnaar 1]]&amp;Tabel158[[#This Row],[Winnaar 2]]</f>
        <v>Stef DJonas</v>
      </c>
      <c r="V220" s="147" t="str">
        <f>IF(Tabel158[[#This Row],[Team Rood]]=Tabel158[[#This Row],[Winnaars]],Tabel158[[#This Row],[Team Rood]])</f>
        <v>Stef DJonas</v>
      </c>
      <c r="W220" s="147" t="b">
        <f>IF(Tabel158[[#This Row],[Team Groen]]=Tabel158[[#This Row],[Winnaars]],Tabel158[[#This Row],[Team Groen]])</f>
        <v>0</v>
      </c>
    </row>
    <row r="221" spans="1:23" x14ac:dyDescent="0.25">
      <c r="A221" s="125">
        <f ca="1">IF(Tabel158[[#This Row],[Rood Verdediging]]&lt;&gt;"",IF(A221="",NOW(),A221),"")</f>
        <v>0</v>
      </c>
      <c r="B221" s="128">
        <f ca="1">IF(Tabel158[[#This Row],[Rood Verdediging]]&lt;&gt;"",IF(B221="",NOW(),B221),"")</f>
        <v>43878.947694907409</v>
      </c>
      <c r="C221" s="126">
        <f ca="1">IF(Tabel158[[#This Row],[Score]]&lt;&gt;"",IF(C221="",NOW(),C221),"")</f>
        <v>43878.947694907409</v>
      </c>
      <c r="D221" s="182">
        <f ca="1">IF(OR(Tabel158[[#This Row],[Starttijd]]="",Tabel158[[#This Row],[Eindtijd]]=""),"",Tabel158[[#This Row],[Eindtijd]]-Tabel158[[#This Row],[Starttijd]])</f>
        <v>0</v>
      </c>
      <c r="E221" s="74">
        <v>120</v>
      </c>
      <c r="F221" s="205" t="s">
        <v>3</v>
      </c>
      <c r="G221" s="210">
        <v>4</v>
      </c>
      <c r="H221" s="205" t="s">
        <v>0</v>
      </c>
      <c r="I221" s="210">
        <v>7</v>
      </c>
      <c r="J221" s="206" t="s">
        <v>7</v>
      </c>
      <c r="K221" s="212">
        <v>2</v>
      </c>
      <c r="L221" s="206" t="s">
        <v>8</v>
      </c>
      <c r="M221" s="212">
        <v>7</v>
      </c>
      <c r="N221" s="81">
        <f t="shared" si="27"/>
        <v>11</v>
      </c>
      <c r="O221" s="82">
        <f t="shared" si="28"/>
        <v>9</v>
      </c>
      <c r="P221" s="70" t="str">
        <f t="shared" si="31"/>
        <v>ROOD</v>
      </c>
      <c r="Q221" s="86" t="str">
        <f t="shared" si="29"/>
        <v>Karel</v>
      </c>
      <c r="R221" s="87" t="str">
        <f t="shared" si="30"/>
        <v>Jonas</v>
      </c>
      <c r="S221" s="147" t="str">
        <f>Tabel158[[#This Row],[Rood Verdediging]]&amp;Tabel158[[#This Row],[Rood Aanval]]</f>
        <v>KarelJonas</v>
      </c>
      <c r="T221" s="147" t="str">
        <f>Tabel158[[#This Row],[Groen Verdediging]]&amp;Tabel158[[#This Row],[Groen Aanval]]</f>
        <v>TiemenLouis</v>
      </c>
      <c r="U221" s="147" t="str">
        <f>Tabel158[[#This Row],[Winnaar 1]]&amp;Tabel158[[#This Row],[Winnaar 2]]</f>
        <v>KarelJonas</v>
      </c>
      <c r="V221" s="147" t="str">
        <f>IF(Tabel158[[#This Row],[Team Rood]]=Tabel158[[#This Row],[Winnaars]],Tabel158[[#This Row],[Team Rood]])</f>
        <v>KarelJonas</v>
      </c>
      <c r="W221" s="147" t="b">
        <f>IF(Tabel158[[#This Row],[Team Groen]]=Tabel158[[#This Row],[Winnaars]],Tabel158[[#This Row],[Team Groen]])</f>
        <v>0</v>
      </c>
    </row>
    <row r="222" spans="1:23" x14ac:dyDescent="0.25">
      <c r="A222" s="125">
        <f ca="1">IF(Tabel158[[#This Row],[Rood Verdediging]]&lt;&gt;"",IF(A222="",NOW(),A222),"")</f>
        <v>0</v>
      </c>
      <c r="B222" s="128">
        <f ca="1">IF(Tabel158[[#This Row],[Rood Verdediging]]&lt;&gt;"",IF(B222="",NOW(),B222),"")</f>
        <v>43878.947694907409</v>
      </c>
      <c r="C222" s="126">
        <f ca="1">IF(Tabel158[[#This Row],[Score]]&lt;&gt;"",IF(C222="",NOW(),C222),"")</f>
        <v>43878.947694907409</v>
      </c>
      <c r="D222" s="182">
        <f ca="1">IF(OR(Tabel158[[#This Row],[Starttijd]]="",Tabel158[[#This Row],[Eindtijd]]=""),"",Tabel158[[#This Row],[Eindtijd]]-Tabel158[[#This Row],[Starttijd]])</f>
        <v>0</v>
      </c>
      <c r="E222" s="74">
        <v>120</v>
      </c>
      <c r="F222" s="205" t="s">
        <v>8</v>
      </c>
      <c r="G222" s="210">
        <v>4</v>
      </c>
      <c r="H222" s="205" t="s">
        <v>6</v>
      </c>
      <c r="I222" s="210">
        <v>7</v>
      </c>
      <c r="J222" s="206" t="s">
        <v>19</v>
      </c>
      <c r="K222" s="212">
        <v>3</v>
      </c>
      <c r="L222" s="206" t="s">
        <v>80</v>
      </c>
      <c r="M222" s="212">
        <v>6</v>
      </c>
      <c r="N222" s="81">
        <f t="shared" si="27"/>
        <v>11</v>
      </c>
      <c r="O222" s="82">
        <f t="shared" si="28"/>
        <v>9</v>
      </c>
      <c r="P222" s="70" t="str">
        <f t="shared" si="31"/>
        <v>ROOD</v>
      </c>
      <c r="Q222" s="86" t="str">
        <f t="shared" si="29"/>
        <v>Louis</v>
      </c>
      <c r="R222" s="87" t="str">
        <f t="shared" si="30"/>
        <v>Stef D</v>
      </c>
      <c r="S222" s="147" t="str">
        <f>Tabel158[[#This Row],[Rood Verdediging]]&amp;Tabel158[[#This Row],[Rood Aanval]]</f>
        <v>LouisStef D</v>
      </c>
      <c r="T222" s="147" t="str">
        <f>Tabel158[[#This Row],[Groen Verdediging]]&amp;Tabel158[[#This Row],[Groen Aanval]]</f>
        <v>NicolasTobi</v>
      </c>
      <c r="U222" s="147" t="str">
        <f>Tabel158[[#This Row],[Winnaar 1]]&amp;Tabel158[[#This Row],[Winnaar 2]]</f>
        <v>LouisStef D</v>
      </c>
      <c r="V222" s="147" t="str">
        <f>IF(Tabel158[[#This Row],[Team Rood]]=Tabel158[[#This Row],[Winnaars]],Tabel158[[#This Row],[Team Rood]])</f>
        <v>LouisStef D</v>
      </c>
      <c r="W222" s="147" t="b">
        <f>IF(Tabel158[[#This Row],[Team Groen]]=Tabel158[[#This Row],[Winnaars]],Tabel158[[#This Row],[Team Groen]])</f>
        <v>0</v>
      </c>
    </row>
    <row r="223" spans="1:23" x14ac:dyDescent="0.25">
      <c r="A223" s="125">
        <f ca="1">IF(Tabel158[[#This Row],[Rood Verdediging]]&lt;&gt;"",IF(A223="",NOW(),A223),"")</f>
        <v>0</v>
      </c>
      <c r="B223" s="128">
        <f ca="1">IF(Tabel158[[#This Row],[Rood Verdediging]]&lt;&gt;"",IF(B223="",NOW(),B223),"")</f>
        <v>43878.947694907409</v>
      </c>
      <c r="C223" s="126">
        <f ca="1">IF(Tabel158[[#This Row],[Score]]&lt;&gt;"",IF(C223="",NOW(),C223),"")</f>
        <v>43878.947694907409</v>
      </c>
      <c r="D223" s="182">
        <f ca="1">IF(OR(Tabel158[[#This Row],[Starttijd]]="",Tabel158[[#This Row],[Eindtijd]]=""),"",Tabel158[[#This Row],[Eindtijd]]-Tabel158[[#This Row],[Starttijd]])</f>
        <v>0</v>
      </c>
      <c r="E223" s="74">
        <v>120</v>
      </c>
      <c r="F223" s="205" t="s">
        <v>0</v>
      </c>
      <c r="G223" s="210">
        <v>5</v>
      </c>
      <c r="H223" s="205" t="s">
        <v>19</v>
      </c>
      <c r="I223" s="210">
        <v>1</v>
      </c>
      <c r="J223" s="206" t="s">
        <v>3</v>
      </c>
      <c r="K223" s="212">
        <v>7</v>
      </c>
      <c r="L223" s="206" t="s">
        <v>6</v>
      </c>
      <c r="M223" s="212">
        <v>4</v>
      </c>
      <c r="N223" s="81">
        <f t="shared" si="27"/>
        <v>6</v>
      </c>
      <c r="O223" s="82">
        <f t="shared" si="28"/>
        <v>11</v>
      </c>
      <c r="P223" s="70" t="str">
        <f t="shared" si="31"/>
        <v>GROEN</v>
      </c>
      <c r="Q223" s="86" t="str">
        <f t="shared" si="29"/>
        <v>Karel</v>
      </c>
      <c r="R223" s="87" t="str">
        <f t="shared" si="30"/>
        <v>Stef D</v>
      </c>
      <c r="S223" s="147" t="str">
        <f>Tabel158[[#This Row],[Rood Verdediging]]&amp;Tabel158[[#This Row],[Rood Aanval]]</f>
        <v>JonasNicolas</v>
      </c>
      <c r="T223" s="147" t="str">
        <f>Tabel158[[#This Row],[Groen Verdediging]]&amp;Tabel158[[#This Row],[Groen Aanval]]</f>
        <v>KarelStef D</v>
      </c>
      <c r="U223" s="147" t="str">
        <f>Tabel158[[#This Row],[Winnaar 1]]&amp;Tabel158[[#This Row],[Winnaar 2]]</f>
        <v>KarelStef D</v>
      </c>
      <c r="V223" s="147" t="b">
        <f>IF(Tabel158[[#This Row],[Team Rood]]=Tabel158[[#This Row],[Winnaars]],Tabel158[[#This Row],[Team Rood]])</f>
        <v>0</v>
      </c>
      <c r="W223" s="147" t="str">
        <f>IF(Tabel158[[#This Row],[Team Groen]]=Tabel158[[#This Row],[Winnaars]],Tabel158[[#This Row],[Team Groen]])</f>
        <v>KarelStef D</v>
      </c>
    </row>
    <row r="224" spans="1:23" x14ac:dyDescent="0.25">
      <c r="A224" s="125">
        <f ca="1">IF(Tabel158[[#This Row],[Rood Verdediging]]&lt;&gt;"",IF(A224="",NOW(),A224),"")</f>
        <v>0</v>
      </c>
      <c r="B224" s="128">
        <f ca="1">IF(Tabel158[[#This Row],[Rood Verdediging]]&lt;&gt;"",IF(B224="",NOW(),B224),"")</f>
        <v>43878.947694907409</v>
      </c>
      <c r="C224" s="126">
        <f ca="1">IF(Tabel158[[#This Row],[Score]]&lt;&gt;"",IF(C224="",NOW(),C224),"")</f>
        <v>43878.947694907409</v>
      </c>
      <c r="D224" s="182">
        <f ca="1">IF(OR(Tabel158[[#This Row],[Starttijd]]="",Tabel158[[#This Row],[Eindtijd]]=""),"",Tabel158[[#This Row],[Eindtijd]]-Tabel158[[#This Row],[Starttijd]])</f>
        <v>0</v>
      </c>
      <c r="E224" s="74">
        <v>120</v>
      </c>
      <c r="F224" s="205" t="s">
        <v>0</v>
      </c>
      <c r="G224" s="210">
        <v>9</v>
      </c>
      <c r="H224" s="205" t="s">
        <v>7</v>
      </c>
      <c r="I224" s="210">
        <v>2</v>
      </c>
      <c r="J224" s="206" t="s">
        <v>19</v>
      </c>
      <c r="K224" s="212">
        <v>3</v>
      </c>
      <c r="L224" s="206" t="s">
        <v>6</v>
      </c>
      <c r="M224" s="212">
        <v>2</v>
      </c>
      <c r="N224" s="81">
        <f t="shared" si="27"/>
        <v>11</v>
      </c>
      <c r="O224" s="82">
        <f t="shared" si="28"/>
        <v>5</v>
      </c>
      <c r="P224" s="70" t="str">
        <f t="shared" si="31"/>
        <v>ROOD</v>
      </c>
      <c r="Q224" s="86" t="str">
        <f t="shared" si="29"/>
        <v>Jonas</v>
      </c>
      <c r="R224" s="87" t="str">
        <f t="shared" si="30"/>
        <v>Tiemen</v>
      </c>
      <c r="S224" s="147" t="str">
        <f>Tabel158[[#This Row],[Rood Verdediging]]&amp;Tabel158[[#This Row],[Rood Aanval]]</f>
        <v>JonasTiemen</v>
      </c>
      <c r="T224" s="147" t="str">
        <f>Tabel158[[#This Row],[Groen Verdediging]]&amp;Tabel158[[#This Row],[Groen Aanval]]</f>
        <v>NicolasStef D</v>
      </c>
      <c r="U224" s="147" t="str">
        <f>Tabel158[[#This Row],[Winnaar 1]]&amp;Tabel158[[#This Row],[Winnaar 2]]</f>
        <v>JonasTiemen</v>
      </c>
      <c r="V224" s="147" t="str">
        <f>IF(Tabel158[[#This Row],[Team Rood]]=Tabel158[[#This Row],[Winnaars]],Tabel158[[#This Row],[Team Rood]])</f>
        <v>JonasTiemen</v>
      </c>
      <c r="W224" s="147" t="b">
        <f>IF(Tabel158[[#This Row],[Team Groen]]=Tabel158[[#This Row],[Winnaars]],Tabel158[[#This Row],[Team Groen]])</f>
        <v>0</v>
      </c>
    </row>
    <row r="225" spans="1:23" x14ac:dyDescent="0.25">
      <c r="A225" s="125">
        <f ca="1">IF(Tabel158[[#This Row],[Rood Verdediging]]&lt;&gt;"",IF(A225="",NOW(),A225),"")</f>
        <v>0</v>
      </c>
      <c r="B225" s="128">
        <f ca="1">IF(Tabel158[[#This Row],[Rood Verdediging]]&lt;&gt;"",IF(B225="",NOW(),B225),"")</f>
        <v>43878.947694907409</v>
      </c>
      <c r="C225" s="126">
        <f ca="1">IF(Tabel158[[#This Row],[Score]]&lt;&gt;"",IF(C225="",NOW(),C225),"")</f>
        <v>43878.947694907409</v>
      </c>
      <c r="D225" s="182">
        <f ca="1">IF(OR(Tabel158[[#This Row],[Starttijd]]="",Tabel158[[#This Row],[Eindtijd]]=""),"",Tabel158[[#This Row],[Eindtijd]]-Tabel158[[#This Row],[Starttijd]])</f>
        <v>0</v>
      </c>
      <c r="E225" s="74">
        <v>120</v>
      </c>
      <c r="F225" s="205" t="s">
        <v>19</v>
      </c>
      <c r="G225" s="210">
        <v>3</v>
      </c>
      <c r="H225" s="205" t="s">
        <v>6</v>
      </c>
      <c r="I225" s="210">
        <v>2</v>
      </c>
      <c r="J225" s="206" t="s">
        <v>8</v>
      </c>
      <c r="K225" s="212">
        <v>5</v>
      </c>
      <c r="L225" s="206" t="s">
        <v>0</v>
      </c>
      <c r="M225" s="212">
        <v>6</v>
      </c>
      <c r="N225" s="81">
        <f t="shared" si="27"/>
        <v>5</v>
      </c>
      <c r="O225" s="82">
        <f t="shared" si="28"/>
        <v>11</v>
      </c>
      <c r="P225" s="70" t="str">
        <f t="shared" si="31"/>
        <v>GROEN</v>
      </c>
      <c r="Q225" s="86" t="str">
        <f t="shared" si="29"/>
        <v>Louis</v>
      </c>
      <c r="R225" s="87" t="str">
        <f t="shared" si="30"/>
        <v>Jonas</v>
      </c>
      <c r="S225" s="147" t="str">
        <f>Tabel158[[#This Row],[Rood Verdediging]]&amp;Tabel158[[#This Row],[Rood Aanval]]</f>
        <v>NicolasStef D</v>
      </c>
      <c r="T225" s="147" t="str">
        <f>Tabel158[[#This Row],[Groen Verdediging]]&amp;Tabel158[[#This Row],[Groen Aanval]]</f>
        <v>LouisJonas</v>
      </c>
      <c r="U225" s="147" t="str">
        <f>Tabel158[[#This Row],[Winnaar 1]]&amp;Tabel158[[#This Row],[Winnaar 2]]</f>
        <v>LouisJonas</v>
      </c>
      <c r="V225" s="147" t="b">
        <f>IF(Tabel158[[#This Row],[Team Rood]]=Tabel158[[#This Row],[Winnaars]],Tabel158[[#This Row],[Team Rood]])</f>
        <v>0</v>
      </c>
      <c r="W225" s="147" t="str">
        <f>IF(Tabel158[[#This Row],[Team Groen]]=Tabel158[[#This Row],[Winnaars]],Tabel158[[#This Row],[Team Groen]])</f>
        <v>LouisJonas</v>
      </c>
    </row>
    <row r="226" spans="1:23" x14ac:dyDescent="0.25">
      <c r="A226" s="125">
        <f ca="1">IF(Tabel158[[#This Row],[Rood Verdediging]]&lt;&gt;"",IF(A226="",NOW(),A226),"")</f>
        <v>0</v>
      </c>
      <c r="B226" s="128">
        <f ca="1">IF(Tabel158[[#This Row],[Rood Verdediging]]&lt;&gt;"",IF(B226="",NOW(),B226),"")</f>
        <v>43878.947694907409</v>
      </c>
      <c r="C226" s="126">
        <f ca="1">IF(Tabel158[[#This Row],[Score]]&lt;&gt;"",IF(C226="",NOW(),C226),"")</f>
        <v>43878.947694907409</v>
      </c>
      <c r="D226" s="182">
        <f ca="1">IF(OR(Tabel158[[#This Row],[Starttijd]]="",Tabel158[[#This Row],[Eindtijd]]=""),"",Tabel158[[#This Row],[Eindtijd]]-Tabel158[[#This Row],[Starttijd]])</f>
        <v>0</v>
      </c>
      <c r="E226" s="74">
        <v>120</v>
      </c>
      <c r="F226" s="205" t="s">
        <v>8</v>
      </c>
      <c r="G226" s="210">
        <v>5</v>
      </c>
      <c r="H226" s="205" t="s">
        <v>6</v>
      </c>
      <c r="I226" s="210">
        <v>7</v>
      </c>
      <c r="J226" s="206" t="s">
        <v>19</v>
      </c>
      <c r="K226" s="212">
        <v>2</v>
      </c>
      <c r="L226" s="206" t="s">
        <v>0</v>
      </c>
      <c r="M226" s="212">
        <v>8</v>
      </c>
      <c r="N226" s="81">
        <f t="shared" si="27"/>
        <v>12</v>
      </c>
      <c r="O226" s="82">
        <f t="shared" si="28"/>
        <v>10</v>
      </c>
      <c r="P226" s="70" t="str">
        <f t="shared" si="31"/>
        <v>ROOD</v>
      </c>
      <c r="Q226" s="86" t="str">
        <f t="shared" si="29"/>
        <v>Louis</v>
      </c>
      <c r="R226" s="87" t="str">
        <f t="shared" si="30"/>
        <v>Stef D</v>
      </c>
      <c r="S226" s="147" t="str">
        <f>Tabel158[[#This Row],[Rood Verdediging]]&amp;Tabel158[[#This Row],[Rood Aanval]]</f>
        <v>LouisStef D</v>
      </c>
      <c r="T226" s="147" t="str">
        <f>Tabel158[[#This Row],[Groen Verdediging]]&amp;Tabel158[[#This Row],[Groen Aanval]]</f>
        <v>NicolasJonas</v>
      </c>
      <c r="U226" s="147" t="str">
        <f>Tabel158[[#This Row],[Winnaar 1]]&amp;Tabel158[[#This Row],[Winnaar 2]]</f>
        <v>LouisStef D</v>
      </c>
      <c r="V226" s="147" t="str">
        <f>IF(Tabel158[[#This Row],[Team Rood]]=Tabel158[[#This Row],[Winnaars]],Tabel158[[#This Row],[Team Rood]])</f>
        <v>LouisStef D</v>
      </c>
      <c r="W226" s="147" t="b">
        <f>IF(Tabel158[[#This Row],[Team Groen]]=Tabel158[[#This Row],[Winnaars]],Tabel158[[#This Row],[Team Groen]])</f>
        <v>0</v>
      </c>
    </row>
    <row r="227" spans="1:23" x14ac:dyDescent="0.25">
      <c r="A227" s="125">
        <f ca="1">IF(Tabel158[[#This Row],[Rood Verdediging]]&lt;&gt;"",IF(A227="",NOW(),A227),"")</f>
        <v>0</v>
      </c>
      <c r="B227" s="128">
        <f ca="1">IF(Tabel158[[#This Row],[Rood Verdediging]]&lt;&gt;"",IF(B227="",NOW(),B227),"")</f>
        <v>43878.947694907409</v>
      </c>
      <c r="C227" s="126">
        <f ca="1">IF(Tabel158[[#This Row],[Score]]&lt;&gt;"",IF(C227="",NOW(),C227),"")</f>
        <v>43878.947694907409</v>
      </c>
      <c r="D227" s="182">
        <f ca="1">IF(OR(Tabel158[[#This Row],[Starttijd]]="",Tabel158[[#This Row],[Eindtijd]]=""),"",Tabel158[[#This Row],[Eindtijd]]-Tabel158[[#This Row],[Starttijd]])</f>
        <v>0</v>
      </c>
      <c r="E227" s="74">
        <v>120</v>
      </c>
      <c r="F227" s="205" t="s">
        <v>8</v>
      </c>
      <c r="G227" s="210">
        <v>2</v>
      </c>
      <c r="H227" s="205" t="s">
        <v>13</v>
      </c>
      <c r="I227" s="210">
        <v>8</v>
      </c>
      <c r="J227" s="206" t="s">
        <v>0</v>
      </c>
      <c r="K227" s="212">
        <v>7</v>
      </c>
      <c r="L227" s="206" t="s">
        <v>6</v>
      </c>
      <c r="M227" s="212">
        <v>5</v>
      </c>
      <c r="N227" s="81">
        <f t="shared" si="27"/>
        <v>10</v>
      </c>
      <c r="O227" s="82">
        <f t="shared" si="28"/>
        <v>12</v>
      </c>
      <c r="P227" s="70" t="str">
        <f t="shared" si="31"/>
        <v>GROEN</v>
      </c>
      <c r="Q227" s="86" t="str">
        <f t="shared" si="29"/>
        <v>Jonas</v>
      </c>
      <c r="R227" s="87" t="str">
        <f t="shared" si="30"/>
        <v>Stef D</v>
      </c>
      <c r="S227" s="147" t="str">
        <f>Tabel158[[#This Row],[Rood Verdediging]]&amp;Tabel158[[#This Row],[Rood Aanval]]</f>
        <v>LouisBert</v>
      </c>
      <c r="T227" s="147" t="str">
        <f>Tabel158[[#This Row],[Groen Verdediging]]&amp;Tabel158[[#This Row],[Groen Aanval]]</f>
        <v>JonasStef D</v>
      </c>
      <c r="U227" s="147" t="str">
        <f>Tabel158[[#This Row],[Winnaar 1]]&amp;Tabel158[[#This Row],[Winnaar 2]]</f>
        <v>JonasStef D</v>
      </c>
      <c r="V227" s="147" t="b">
        <f>IF(Tabel158[[#This Row],[Team Rood]]=Tabel158[[#This Row],[Winnaars]],Tabel158[[#This Row],[Team Rood]])</f>
        <v>0</v>
      </c>
      <c r="W227" s="147" t="str">
        <f>IF(Tabel158[[#This Row],[Team Groen]]=Tabel158[[#This Row],[Winnaars]],Tabel158[[#This Row],[Team Groen]])</f>
        <v>JonasStef D</v>
      </c>
    </row>
    <row r="228" spans="1:23" x14ac:dyDescent="0.25">
      <c r="A228" s="125">
        <f ca="1">IF(Tabel158[[#This Row],[Rood Verdediging]]&lt;&gt;"",IF(A228="",NOW(),A228),"")</f>
        <v>0</v>
      </c>
      <c r="B228" s="128">
        <f ca="1">IF(Tabel158[[#This Row],[Rood Verdediging]]&lt;&gt;"",IF(B228="",NOW(),B228),"")</f>
        <v>43878.947694907409</v>
      </c>
      <c r="C228" s="126">
        <f ca="1">IF(Tabel158[[#This Row],[Score]]&lt;&gt;"",IF(C228="",NOW(),C228),"")</f>
        <v>43878.947694907409</v>
      </c>
      <c r="D228" s="182">
        <f ca="1">IF(OR(Tabel158[[#This Row],[Starttijd]]="",Tabel158[[#This Row],[Eindtijd]]=""),"",Tabel158[[#This Row],[Eindtijd]]-Tabel158[[#This Row],[Starttijd]])</f>
        <v>0</v>
      </c>
      <c r="E228" s="74">
        <v>120</v>
      </c>
      <c r="F228" s="205" t="s">
        <v>6</v>
      </c>
      <c r="G228" s="210">
        <v>4</v>
      </c>
      <c r="H228" s="205" t="s">
        <v>13</v>
      </c>
      <c r="I228" s="210">
        <v>4</v>
      </c>
      <c r="J228" s="206" t="s">
        <v>19</v>
      </c>
      <c r="K228" s="212">
        <v>3</v>
      </c>
      <c r="L228" s="206" t="s">
        <v>0</v>
      </c>
      <c r="M228" s="212">
        <v>8</v>
      </c>
      <c r="N228" s="81">
        <f t="shared" si="27"/>
        <v>8</v>
      </c>
      <c r="O228" s="82">
        <f t="shared" si="28"/>
        <v>11</v>
      </c>
      <c r="P228" s="70" t="str">
        <f t="shared" si="31"/>
        <v>GROEN</v>
      </c>
      <c r="Q228" s="86" t="str">
        <f t="shared" si="29"/>
        <v>Nicolas</v>
      </c>
      <c r="R228" s="87" t="str">
        <f t="shared" si="30"/>
        <v>Jonas</v>
      </c>
      <c r="S228" s="147" t="str">
        <f>Tabel158[[#This Row],[Rood Verdediging]]&amp;Tabel158[[#This Row],[Rood Aanval]]</f>
        <v>Stef DBert</v>
      </c>
      <c r="T228" s="147" t="str">
        <f>Tabel158[[#This Row],[Groen Verdediging]]&amp;Tabel158[[#This Row],[Groen Aanval]]</f>
        <v>NicolasJonas</v>
      </c>
      <c r="U228" s="147" t="str">
        <f>Tabel158[[#This Row],[Winnaar 1]]&amp;Tabel158[[#This Row],[Winnaar 2]]</f>
        <v>NicolasJonas</v>
      </c>
      <c r="V228" s="147" t="b">
        <f>IF(Tabel158[[#This Row],[Team Rood]]=Tabel158[[#This Row],[Winnaars]],Tabel158[[#This Row],[Team Rood]])</f>
        <v>0</v>
      </c>
      <c r="W228" s="147" t="str">
        <f>IF(Tabel158[[#This Row],[Team Groen]]=Tabel158[[#This Row],[Winnaars]],Tabel158[[#This Row],[Team Groen]])</f>
        <v>NicolasJonas</v>
      </c>
    </row>
    <row r="229" spans="1:23" x14ac:dyDescent="0.25">
      <c r="A229" s="125">
        <f ca="1">IF(Tabel158[[#This Row],[Rood Verdediging]]&lt;&gt;"",IF(A229="",NOW(),A229),"")</f>
        <v>0</v>
      </c>
      <c r="B229" s="128">
        <f ca="1">IF(Tabel158[[#This Row],[Rood Verdediging]]&lt;&gt;"",IF(B229="",NOW(),B229),"")</f>
        <v>43878.947694907409</v>
      </c>
      <c r="C229" s="126">
        <f ca="1">IF(Tabel158[[#This Row],[Score]]&lt;&gt;"",IF(C229="",NOW(),C229),"")</f>
        <v>43878.947694907409</v>
      </c>
      <c r="D229" s="182">
        <f ca="1">IF(OR(Tabel158[[#This Row],[Starttijd]]="",Tabel158[[#This Row],[Eindtijd]]=""),"",Tabel158[[#This Row],[Eindtijd]]-Tabel158[[#This Row],[Starttijd]])</f>
        <v>0</v>
      </c>
      <c r="E229" s="74">
        <v>120</v>
      </c>
      <c r="F229" s="205" t="s">
        <v>6</v>
      </c>
      <c r="G229" s="210">
        <v>4</v>
      </c>
      <c r="H229" s="205" t="s">
        <v>13</v>
      </c>
      <c r="I229" s="210">
        <v>8</v>
      </c>
      <c r="J229" s="206" t="s">
        <v>8</v>
      </c>
      <c r="K229" s="212">
        <v>6</v>
      </c>
      <c r="L229" s="206" t="s">
        <v>19</v>
      </c>
      <c r="M229" s="212">
        <v>4</v>
      </c>
      <c r="N229" s="81">
        <f t="shared" si="27"/>
        <v>12</v>
      </c>
      <c r="O229" s="82">
        <f t="shared" si="28"/>
        <v>10</v>
      </c>
      <c r="P229" s="70" t="str">
        <f t="shared" si="31"/>
        <v>ROOD</v>
      </c>
      <c r="Q229" s="86" t="str">
        <f t="shared" si="29"/>
        <v>Stef D</v>
      </c>
      <c r="R229" s="87" t="str">
        <f t="shared" si="30"/>
        <v>Bert</v>
      </c>
      <c r="S229" s="147" t="str">
        <f>Tabel158[[#This Row],[Rood Verdediging]]&amp;Tabel158[[#This Row],[Rood Aanval]]</f>
        <v>Stef DBert</v>
      </c>
      <c r="T229" s="147" t="str">
        <f>Tabel158[[#This Row],[Groen Verdediging]]&amp;Tabel158[[#This Row],[Groen Aanval]]</f>
        <v>LouisNicolas</v>
      </c>
      <c r="U229" s="147" t="str">
        <f>Tabel158[[#This Row],[Winnaar 1]]&amp;Tabel158[[#This Row],[Winnaar 2]]</f>
        <v>Stef DBert</v>
      </c>
      <c r="V229" s="147" t="str">
        <f>IF(Tabel158[[#This Row],[Team Rood]]=Tabel158[[#This Row],[Winnaars]],Tabel158[[#This Row],[Team Rood]])</f>
        <v>Stef DBert</v>
      </c>
      <c r="W229" s="147" t="b">
        <f>IF(Tabel158[[#This Row],[Team Groen]]=Tabel158[[#This Row],[Winnaars]],Tabel158[[#This Row],[Team Groen]])</f>
        <v>0</v>
      </c>
    </row>
    <row r="230" spans="1:23" x14ac:dyDescent="0.25">
      <c r="A230" s="125">
        <f ca="1">IF(Tabel158[[#This Row],[Rood Verdediging]]&lt;&gt;"",IF(A230="",NOW(),A230),"")</f>
        <v>0</v>
      </c>
      <c r="B230" s="128">
        <f ca="1">IF(Tabel158[[#This Row],[Rood Verdediging]]&lt;&gt;"",IF(B230="",NOW(),B230),"")</f>
        <v>43878.947694907409</v>
      </c>
      <c r="C230" s="126">
        <f ca="1">IF(Tabel158[[#This Row],[Score]]&lt;&gt;"",IF(C230="",NOW(),C230),"")</f>
        <v>43878.947694907409</v>
      </c>
      <c r="D230" s="182">
        <f ca="1">IF(OR(Tabel158[[#This Row],[Starttijd]]="",Tabel158[[#This Row],[Eindtijd]]=""),"",Tabel158[[#This Row],[Eindtijd]]-Tabel158[[#This Row],[Starttijd]])</f>
        <v>0</v>
      </c>
      <c r="E230" s="74">
        <v>120</v>
      </c>
      <c r="F230" s="205" t="s">
        <v>0</v>
      </c>
      <c r="G230" s="210">
        <v>3</v>
      </c>
      <c r="H230" s="205" t="s">
        <v>13</v>
      </c>
      <c r="I230" s="210">
        <v>8</v>
      </c>
      <c r="J230" s="206" t="s">
        <v>19</v>
      </c>
      <c r="K230" s="212">
        <v>1</v>
      </c>
      <c r="L230" s="206" t="s">
        <v>8</v>
      </c>
      <c r="M230" s="212">
        <v>3</v>
      </c>
      <c r="N230" s="81">
        <f t="shared" si="27"/>
        <v>11</v>
      </c>
      <c r="O230" s="82">
        <f t="shared" si="28"/>
        <v>4</v>
      </c>
      <c r="P230" s="70" t="str">
        <f t="shared" si="31"/>
        <v>ROOD</v>
      </c>
      <c r="Q230" s="86" t="str">
        <f t="shared" si="29"/>
        <v>Jonas</v>
      </c>
      <c r="R230" s="87" t="str">
        <f t="shared" si="30"/>
        <v>Bert</v>
      </c>
      <c r="S230" s="147" t="str">
        <f>Tabel158[[#This Row],[Rood Verdediging]]&amp;Tabel158[[#This Row],[Rood Aanval]]</f>
        <v>JonasBert</v>
      </c>
      <c r="T230" s="147" t="str">
        <f>Tabel158[[#This Row],[Groen Verdediging]]&amp;Tabel158[[#This Row],[Groen Aanval]]</f>
        <v>NicolasLouis</v>
      </c>
      <c r="U230" s="147" t="str">
        <f>Tabel158[[#This Row],[Winnaar 1]]&amp;Tabel158[[#This Row],[Winnaar 2]]</f>
        <v>JonasBert</v>
      </c>
      <c r="V230" s="147" t="str">
        <f>IF(Tabel158[[#This Row],[Team Rood]]=Tabel158[[#This Row],[Winnaars]],Tabel158[[#This Row],[Team Rood]])</f>
        <v>JonasBert</v>
      </c>
      <c r="W230" s="147" t="b">
        <f>IF(Tabel158[[#This Row],[Team Groen]]=Tabel158[[#This Row],[Winnaars]],Tabel158[[#This Row],[Team Groen]])</f>
        <v>0</v>
      </c>
    </row>
    <row r="231" spans="1:23" x14ac:dyDescent="0.25">
      <c r="A231" s="125">
        <f ca="1">IF(Tabel158[[#This Row],[Rood Verdediging]]&lt;&gt;"",IF(A231="",NOW(),A231),"")</f>
        <v>0</v>
      </c>
      <c r="B231" s="128">
        <f ca="1">IF(Tabel158[[#This Row],[Rood Verdediging]]&lt;&gt;"",IF(B231="",NOW(),B231),"")</f>
        <v>43878.947694907409</v>
      </c>
      <c r="C231" s="126">
        <f ca="1">IF(Tabel158[[#This Row],[Score]]&lt;&gt;"",IF(C231="",NOW(),C231),"")</f>
        <v>43878.947694907409</v>
      </c>
      <c r="D231" s="182">
        <f ca="1">IF(OR(Tabel158[[#This Row],[Starttijd]]="",Tabel158[[#This Row],[Eindtijd]]=""),"",Tabel158[[#This Row],[Eindtijd]]-Tabel158[[#This Row],[Starttijd]])</f>
        <v>0</v>
      </c>
      <c r="E231" s="74">
        <v>120</v>
      </c>
      <c r="F231" s="205" t="s">
        <v>0</v>
      </c>
      <c r="G231" s="210">
        <v>4</v>
      </c>
      <c r="H231" s="205" t="s">
        <v>6</v>
      </c>
      <c r="I231" s="210">
        <v>7</v>
      </c>
      <c r="J231" s="206" t="s">
        <v>8</v>
      </c>
      <c r="K231" s="212">
        <v>1</v>
      </c>
      <c r="L231" s="206" t="s">
        <v>13</v>
      </c>
      <c r="M231" s="212">
        <v>8</v>
      </c>
      <c r="N231" s="81">
        <f t="shared" si="27"/>
        <v>11</v>
      </c>
      <c r="O231" s="82">
        <f t="shared" si="28"/>
        <v>9</v>
      </c>
      <c r="P231" s="70" t="str">
        <f t="shared" si="31"/>
        <v>ROOD</v>
      </c>
      <c r="Q231" s="86" t="str">
        <f t="shared" si="29"/>
        <v>Jonas</v>
      </c>
      <c r="R231" s="87" t="str">
        <f t="shared" si="30"/>
        <v>Stef D</v>
      </c>
      <c r="S231" s="147" t="str">
        <f>Tabel158[[#This Row],[Rood Verdediging]]&amp;Tabel158[[#This Row],[Rood Aanval]]</f>
        <v>JonasStef D</v>
      </c>
      <c r="T231" s="147" t="str">
        <f>Tabel158[[#This Row],[Groen Verdediging]]&amp;Tabel158[[#This Row],[Groen Aanval]]</f>
        <v>LouisBert</v>
      </c>
      <c r="U231" s="147" t="str">
        <f>Tabel158[[#This Row],[Winnaar 1]]&amp;Tabel158[[#This Row],[Winnaar 2]]</f>
        <v>JonasStef D</v>
      </c>
      <c r="V231" s="147" t="str">
        <f>IF(Tabel158[[#This Row],[Team Rood]]=Tabel158[[#This Row],[Winnaars]],Tabel158[[#This Row],[Team Rood]])</f>
        <v>JonasStef D</v>
      </c>
      <c r="W231" s="147" t="b">
        <f>IF(Tabel158[[#This Row],[Team Groen]]=Tabel158[[#This Row],[Winnaars]],Tabel158[[#This Row],[Team Groen]])</f>
        <v>0</v>
      </c>
    </row>
    <row r="232" spans="1:23" x14ac:dyDescent="0.25">
      <c r="A232" s="125">
        <f ca="1">IF(Tabel158[[#This Row],[Rood Verdediging]]&lt;&gt;"",IF(A232="",NOW(),A232),"")</f>
        <v>0</v>
      </c>
      <c r="B232" s="128">
        <f ca="1">IF(Tabel158[[#This Row],[Rood Verdediging]]&lt;&gt;"",IF(B232="",NOW(),B232),"")</f>
        <v>43878.947694907409</v>
      </c>
      <c r="C232" s="126">
        <f ca="1">IF(Tabel158[[#This Row],[Score]]&lt;&gt;"",IF(C232="",NOW(),C232),"")</f>
        <v>43878.947694907409</v>
      </c>
      <c r="D232" s="182">
        <f ca="1">IF(OR(Tabel158[[#This Row],[Starttijd]]="",Tabel158[[#This Row],[Eindtijd]]=""),"",Tabel158[[#This Row],[Eindtijd]]-Tabel158[[#This Row],[Starttijd]])</f>
        <v>0</v>
      </c>
      <c r="E232" s="74">
        <v>120</v>
      </c>
      <c r="F232" s="205" t="s">
        <v>7</v>
      </c>
      <c r="G232" s="210">
        <v>3</v>
      </c>
      <c r="H232" s="205" t="s">
        <v>6</v>
      </c>
      <c r="I232" s="210">
        <v>5</v>
      </c>
      <c r="J232" s="206" t="s">
        <v>11</v>
      </c>
      <c r="K232" s="212">
        <v>2</v>
      </c>
      <c r="L232" s="206" t="s">
        <v>70</v>
      </c>
      <c r="M232" s="212">
        <v>9</v>
      </c>
      <c r="N232" s="81">
        <f t="shared" si="27"/>
        <v>8</v>
      </c>
      <c r="O232" s="82">
        <f t="shared" si="28"/>
        <v>11</v>
      </c>
      <c r="P232" s="70" t="str">
        <f t="shared" si="31"/>
        <v>GROEN</v>
      </c>
      <c r="Q232" s="86" t="str">
        <f t="shared" si="29"/>
        <v>Matthijs</v>
      </c>
      <c r="R232" s="87" t="str">
        <f t="shared" si="30"/>
        <v>Arno</v>
      </c>
      <c r="S232" s="147" t="str">
        <f>Tabel158[[#This Row],[Rood Verdediging]]&amp;Tabel158[[#This Row],[Rood Aanval]]</f>
        <v>TiemenStef D</v>
      </c>
      <c r="T232" s="147" t="str">
        <f>Tabel158[[#This Row],[Groen Verdediging]]&amp;Tabel158[[#This Row],[Groen Aanval]]</f>
        <v>MatthijsArno</v>
      </c>
      <c r="U232" s="147" t="str">
        <f>Tabel158[[#This Row],[Winnaar 1]]&amp;Tabel158[[#This Row],[Winnaar 2]]</f>
        <v>MatthijsArno</v>
      </c>
      <c r="V232" s="147" t="b">
        <f>IF(Tabel158[[#This Row],[Team Rood]]=Tabel158[[#This Row],[Winnaars]],Tabel158[[#This Row],[Team Rood]])</f>
        <v>0</v>
      </c>
      <c r="W232" s="147" t="str">
        <f>IF(Tabel158[[#This Row],[Team Groen]]=Tabel158[[#This Row],[Winnaars]],Tabel158[[#This Row],[Team Groen]])</f>
        <v>MatthijsArno</v>
      </c>
    </row>
    <row r="233" spans="1:23" x14ac:dyDescent="0.25">
      <c r="A233" s="125">
        <f ca="1">IF(Tabel158[[#This Row],[Rood Verdediging]]&lt;&gt;"",IF(A233="",NOW(),A233),"")</f>
        <v>0</v>
      </c>
      <c r="B233" s="128">
        <f ca="1">IF(Tabel158[[#This Row],[Rood Verdediging]]&lt;&gt;"",IF(B233="",NOW(),B233),"")</f>
        <v>43878.947694907409</v>
      </c>
      <c r="C233" s="126">
        <f ca="1">IF(Tabel158[[#This Row],[Score]]&lt;&gt;"",IF(C233="",NOW(),C233),"")</f>
        <v>43878.947694907409</v>
      </c>
      <c r="D233" s="182">
        <f ca="1">IF(OR(Tabel158[[#This Row],[Starttijd]]="",Tabel158[[#This Row],[Eindtijd]]=""),"",Tabel158[[#This Row],[Eindtijd]]-Tabel158[[#This Row],[Starttijd]])</f>
        <v>0</v>
      </c>
      <c r="E233" s="74">
        <v>120</v>
      </c>
      <c r="F233" s="205" t="s">
        <v>6</v>
      </c>
      <c r="G233" s="210">
        <v>6</v>
      </c>
      <c r="H233" s="205" t="s">
        <v>11</v>
      </c>
      <c r="I233" s="210">
        <v>2</v>
      </c>
      <c r="J233" s="206" t="s">
        <v>0</v>
      </c>
      <c r="K233" s="212">
        <v>5</v>
      </c>
      <c r="L233" s="206" t="s">
        <v>7</v>
      </c>
      <c r="M233" s="212">
        <v>6</v>
      </c>
      <c r="N233" s="81">
        <f t="shared" si="27"/>
        <v>8</v>
      </c>
      <c r="O233" s="82">
        <f t="shared" si="28"/>
        <v>11</v>
      </c>
      <c r="P233" s="70" t="str">
        <f t="shared" si="31"/>
        <v>GROEN</v>
      </c>
      <c r="Q233" s="86" t="str">
        <f t="shared" si="29"/>
        <v>Jonas</v>
      </c>
      <c r="R233" s="87" t="str">
        <f t="shared" si="30"/>
        <v>Tiemen</v>
      </c>
      <c r="S233" s="147" t="str">
        <f>Tabel158[[#This Row],[Rood Verdediging]]&amp;Tabel158[[#This Row],[Rood Aanval]]</f>
        <v>Stef DMatthijs</v>
      </c>
      <c r="T233" s="147" t="str">
        <f>Tabel158[[#This Row],[Groen Verdediging]]&amp;Tabel158[[#This Row],[Groen Aanval]]</f>
        <v>JonasTiemen</v>
      </c>
      <c r="U233" s="147" t="str">
        <f>Tabel158[[#This Row],[Winnaar 1]]&amp;Tabel158[[#This Row],[Winnaar 2]]</f>
        <v>JonasTiemen</v>
      </c>
      <c r="V233" s="147" t="b">
        <f>IF(Tabel158[[#This Row],[Team Rood]]=Tabel158[[#This Row],[Winnaars]],Tabel158[[#This Row],[Team Rood]])</f>
        <v>0</v>
      </c>
      <c r="W233" s="147" t="str">
        <f>IF(Tabel158[[#This Row],[Team Groen]]=Tabel158[[#This Row],[Winnaars]],Tabel158[[#This Row],[Team Groen]])</f>
        <v>JonasTiemen</v>
      </c>
    </row>
    <row r="234" spans="1:23" x14ac:dyDescent="0.25">
      <c r="A234" s="125">
        <f ca="1">IF(Tabel158[[#This Row],[Rood Verdediging]]&lt;&gt;"",IF(A234="",NOW(),A234),"")</f>
        <v>0</v>
      </c>
      <c r="B234" s="128">
        <f ca="1">IF(Tabel158[[#This Row],[Rood Verdediging]]&lt;&gt;"",IF(B234="",NOW(),B234),"")</f>
        <v>43878.947694907409</v>
      </c>
      <c r="C234" s="126">
        <f ca="1">IF(Tabel158[[#This Row],[Score]]&lt;&gt;"",IF(C234="",NOW(),C234),"")</f>
        <v>43878.947694907409</v>
      </c>
      <c r="D234" s="182">
        <f ca="1">IF(OR(Tabel158[[#This Row],[Starttijd]]="",Tabel158[[#This Row],[Eindtijd]]=""),"",Tabel158[[#This Row],[Eindtijd]]-Tabel158[[#This Row],[Starttijd]])</f>
        <v>0</v>
      </c>
      <c r="E234" s="74">
        <v>120</v>
      </c>
      <c r="F234" s="205" t="s">
        <v>70</v>
      </c>
      <c r="G234" s="210">
        <v>6</v>
      </c>
      <c r="H234" s="205" t="s">
        <v>11</v>
      </c>
      <c r="I234" s="210">
        <v>1</v>
      </c>
      <c r="J234" s="206" t="s">
        <v>0</v>
      </c>
      <c r="K234" s="212">
        <v>2</v>
      </c>
      <c r="L234" s="206" t="s">
        <v>6</v>
      </c>
      <c r="M234" s="212">
        <v>9</v>
      </c>
      <c r="N234" s="81">
        <f t="shared" si="27"/>
        <v>7</v>
      </c>
      <c r="O234" s="82">
        <f t="shared" si="28"/>
        <v>11</v>
      </c>
      <c r="P234" s="70" t="str">
        <f t="shared" si="31"/>
        <v>GROEN</v>
      </c>
      <c r="Q234" s="86" t="str">
        <f t="shared" si="29"/>
        <v>Jonas</v>
      </c>
      <c r="R234" s="87" t="str">
        <f t="shared" si="30"/>
        <v>Stef D</v>
      </c>
      <c r="S234" s="147" t="str">
        <f>Tabel158[[#This Row],[Rood Verdediging]]&amp;Tabel158[[#This Row],[Rood Aanval]]</f>
        <v>ArnoMatthijs</v>
      </c>
      <c r="T234" s="147" t="str">
        <f>Tabel158[[#This Row],[Groen Verdediging]]&amp;Tabel158[[#This Row],[Groen Aanval]]</f>
        <v>JonasStef D</v>
      </c>
      <c r="U234" s="147" t="str">
        <f>Tabel158[[#This Row],[Winnaar 1]]&amp;Tabel158[[#This Row],[Winnaar 2]]</f>
        <v>JonasStef D</v>
      </c>
      <c r="V234" s="147" t="b">
        <f>IF(Tabel158[[#This Row],[Team Rood]]=Tabel158[[#This Row],[Winnaars]],Tabel158[[#This Row],[Team Rood]])</f>
        <v>0</v>
      </c>
      <c r="W234" s="147" t="str">
        <f>IF(Tabel158[[#This Row],[Team Groen]]=Tabel158[[#This Row],[Winnaars]],Tabel158[[#This Row],[Team Groen]])</f>
        <v>JonasStef D</v>
      </c>
    </row>
    <row r="235" spans="1:23" x14ac:dyDescent="0.25">
      <c r="A235" s="125">
        <f ca="1">IF(Tabel158[[#This Row],[Rood Verdediging]]&lt;&gt;"",IF(A235="",NOW(),A235),"")</f>
        <v>0</v>
      </c>
      <c r="B235" s="128">
        <f ca="1">IF(Tabel158[[#This Row],[Rood Verdediging]]&lt;&gt;"",IF(B235="",NOW(),B235),"")</f>
        <v>43878.947694907409</v>
      </c>
      <c r="C235" s="126">
        <f ca="1">IF(Tabel158[[#This Row],[Score]]&lt;&gt;"",IF(C235="",NOW(),C235),"")</f>
        <v>43878.947694907409</v>
      </c>
      <c r="D235" s="182">
        <f ca="1">IF(OR(Tabel158[[#This Row],[Starttijd]]="",Tabel158[[#This Row],[Eindtijd]]=""),"",Tabel158[[#This Row],[Eindtijd]]-Tabel158[[#This Row],[Starttijd]])</f>
        <v>0</v>
      </c>
      <c r="E235" s="74">
        <v>120</v>
      </c>
      <c r="F235" s="205" t="s">
        <v>70</v>
      </c>
      <c r="G235" s="210">
        <v>7</v>
      </c>
      <c r="H235" s="205" t="s">
        <v>6</v>
      </c>
      <c r="I235" s="210">
        <v>4</v>
      </c>
      <c r="J235" s="206" t="s">
        <v>7</v>
      </c>
      <c r="K235" s="212">
        <v>1</v>
      </c>
      <c r="L235" s="206" t="s">
        <v>0</v>
      </c>
      <c r="M235" s="212">
        <v>1</v>
      </c>
      <c r="N235" s="81">
        <f t="shared" si="27"/>
        <v>11</v>
      </c>
      <c r="O235" s="82">
        <f t="shared" si="28"/>
        <v>2</v>
      </c>
      <c r="P235" s="70" t="str">
        <f t="shared" si="31"/>
        <v>ROOD</v>
      </c>
      <c r="Q235" s="86" t="str">
        <f t="shared" si="29"/>
        <v>Arno</v>
      </c>
      <c r="R235" s="87" t="str">
        <f t="shared" si="30"/>
        <v>Stef D</v>
      </c>
      <c r="S235" s="147" t="str">
        <f>Tabel158[[#This Row],[Rood Verdediging]]&amp;Tabel158[[#This Row],[Rood Aanval]]</f>
        <v>ArnoStef D</v>
      </c>
      <c r="T235" s="147" t="str">
        <f>Tabel158[[#This Row],[Groen Verdediging]]&amp;Tabel158[[#This Row],[Groen Aanval]]</f>
        <v>TiemenJonas</v>
      </c>
      <c r="U235" s="147" t="str">
        <f>Tabel158[[#This Row],[Winnaar 1]]&amp;Tabel158[[#This Row],[Winnaar 2]]</f>
        <v>ArnoStef D</v>
      </c>
      <c r="V235" s="147" t="str">
        <f>IF(Tabel158[[#This Row],[Team Rood]]=Tabel158[[#This Row],[Winnaars]],Tabel158[[#This Row],[Team Rood]])</f>
        <v>ArnoStef D</v>
      </c>
      <c r="W235" s="147" t="b">
        <f>IF(Tabel158[[#This Row],[Team Groen]]=Tabel158[[#This Row],[Winnaars]],Tabel158[[#This Row],[Team Groen]])</f>
        <v>0</v>
      </c>
    </row>
    <row r="236" spans="1:23" x14ac:dyDescent="0.25">
      <c r="A236" s="125">
        <f ca="1">IF(Tabel158[[#This Row],[Rood Verdediging]]&lt;&gt;"",IF(A236="",NOW(),A236),"")</f>
        <v>0</v>
      </c>
      <c r="B236" s="128">
        <f ca="1">IF(Tabel158[[#This Row],[Rood Verdediging]]&lt;&gt;"",IF(B236="",NOW(),B236),"")</f>
        <v>43878.947694907409</v>
      </c>
      <c r="C236" s="126">
        <f ca="1">IF(Tabel158[[#This Row],[Score]]&lt;&gt;"",IF(C236="",NOW(),C236),"")</f>
        <v>43878.947694907409</v>
      </c>
      <c r="D236" s="182">
        <f ca="1">IF(OR(Tabel158[[#This Row],[Starttijd]]="",Tabel158[[#This Row],[Eindtijd]]=""),"",Tabel158[[#This Row],[Eindtijd]]-Tabel158[[#This Row],[Starttijd]])</f>
        <v>0</v>
      </c>
      <c r="E236" s="74">
        <v>120</v>
      </c>
      <c r="F236" s="205" t="s">
        <v>7</v>
      </c>
      <c r="G236" s="210">
        <v>1</v>
      </c>
      <c r="H236" s="205" t="s">
        <v>70</v>
      </c>
      <c r="I236" s="210">
        <v>10</v>
      </c>
      <c r="J236" s="206" t="s">
        <v>0</v>
      </c>
      <c r="K236" s="212">
        <v>1</v>
      </c>
      <c r="L236" s="206" t="s">
        <v>11</v>
      </c>
      <c r="M236" s="212">
        <v>4</v>
      </c>
      <c r="N236" s="81">
        <f t="shared" si="27"/>
        <v>11</v>
      </c>
      <c r="O236" s="82">
        <f t="shared" si="28"/>
        <v>5</v>
      </c>
      <c r="P236" s="70" t="str">
        <f t="shared" si="31"/>
        <v>ROOD</v>
      </c>
      <c r="Q236" s="86" t="str">
        <f t="shared" si="29"/>
        <v>Tiemen</v>
      </c>
      <c r="R236" s="87" t="str">
        <f t="shared" si="30"/>
        <v>Arno</v>
      </c>
      <c r="S236" s="147" t="str">
        <f>Tabel158[[#This Row],[Rood Verdediging]]&amp;Tabel158[[#This Row],[Rood Aanval]]</f>
        <v>TiemenArno</v>
      </c>
      <c r="T236" s="147" t="str">
        <f>Tabel158[[#This Row],[Groen Verdediging]]&amp;Tabel158[[#This Row],[Groen Aanval]]</f>
        <v>JonasMatthijs</v>
      </c>
      <c r="U236" s="147" t="str">
        <f>Tabel158[[#This Row],[Winnaar 1]]&amp;Tabel158[[#This Row],[Winnaar 2]]</f>
        <v>TiemenArno</v>
      </c>
      <c r="V236" s="147" t="str">
        <f>IF(Tabel158[[#This Row],[Team Rood]]=Tabel158[[#This Row],[Winnaars]],Tabel158[[#This Row],[Team Rood]])</f>
        <v>TiemenArno</v>
      </c>
      <c r="W236" s="147" t="b">
        <f>IF(Tabel158[[#This Row],[Team Groen]]=Tabel158[[#This Row],[Winnaars]],Tabel158[[#This Row],[Team Groen]])</f>
        <v>0</v>
      </c>
    </row>
    <row r="237" spans="1:23" x14ac:dyDescent="0.25">
      <c r="A237" s="125">
        <f ca="1">IF(Tabel158[[#This Row],[Rood Verdediging]]&lt;&gt;"",IF(A237="",NOW(),A237),"")</f>
        <v>0</v>
      </c>
      <c r="B237" s="128">
        <f ca="1">IF(Tabel158[[#This Row],[Rood Verdediging]]&lt;&gt;"",IF(B237="",NOW(),B237),"")</f>
        <v>43878.947694907409</v>
      </c>
      <c r="C237" s="126">
        <f ca="1">IF(Tabel158[[#This Row],[Score]]&lt;&gt;"",IF(C237="",NOW(),C237),"")</f>
        <v>43878.947694907409</v>
      </c>
      <c r="D237" s="182">
        <f ca="1">IF(OR(Tabel158[[#This Row],[Starttijd]]="",Tabel158[[#This Row],[Eindtijd]]=""),"",Tabel158[[#This Row],[Eindtijd]]-Tabel158[[#This Row],[Starttijd]])</f>
        <v>0</v>
      </c>
      <c r="E237" s="74">
        <v>120</v>
      </c>
      <c r="F237" s="205" t="s">
        <v>11</v>
      </c>
      <c r="G237" s="210">
        <v>3</v>
      </c>
      <c r="H237" s="205" t="s">
        <v>7</v>
      </c>
      <c r="I237" s="210">
        <v>10</v>
      </c>
      <c r="J237" s="206" t="s">
        <v>6</v>
      </c>
      <c r="K237" s="212">
        <v>2</v>
      </c>
      <c r="L237" s="206" t="s">
        <v>70</v>
      </c>
      <c r="M237" s="212">
        <v>9</v>
      </c>
      <c r="N237" s="81">
        <f t="shared" si="27"/>
        <v>13</v>
      </c>
      <c r="O237" s="82">
        <f t="shared" si="28"/>
        <v>11</v>
      </c>
      <c r="P237" s="70" t="str">
        <f t="shared" si="31"/>
        <v>ROOD</v>
      </c>
      <c r="Q237" s="86" t="str">
        <f t="shared" si="29"/>
        <v>Matthijs</v>
      </c>
      <c r="R237" s="87" t="str">
        <f t="shared" si="30"/>
        <v>Tiemen</v>
      </c>
      <c r="S237" s="147" t="str">
        <f>Tabel158[[#This Row],[Rood Verdediging]]&amp;Tabel158[[#This Row],[Rood Aanval]]</f>
        <v>MatthijsTiemen</v>
      </c>
      <c r="T237" s="147" t="str">
        <f>Tabel158[[#This Row],[Groen Verdediging]]&amp;Tabel158[[#This Row],[Groen Aanval]]</f>
        <v>Stef DArno</v>
      </c>
      <c r="U237" s="147" t="str">
        <f>Tabel158[[#This Row],[Winnaar 1]]&amp;Tabel158[[#This Row],[Winnaar 2]]</f>
        <v>MatthijsTiemen</v>
      </c>
      <c r="V237" s="147" t="str">
        <f>IF(Tabel158[[#This Row],[Team Rood]]=Tabel158[[#This Row],[Winnaars]],Tabel158[[#This Row],[Team Rood]])</f>
        <v>MatthijsTiemen</v>
      </c>
      <c r="W237" s="147" t="b">
        <f>IF(Tabel158[[#This Row],[Team Groen]]=Tabel158[[#This Row],[Winnaars]],Tabel158[[#This Row],[Team Groen]])</f>
        <v>0</v>
      </c>
    </row>
    <row r="238" spans="1:23" x14ac:dyDescent="0.25">
      <c r="A238" s="125">
        <f ca="1">IF(Tabel158[[#This Row],[Rood Verdediging]]&lt;&gt;"",IF(A238="",NOW(),A238),"")</f>
        <v>0</v>
      </c>
      <c r="B238" s="128">
        <f ca="1">IF(Tabel158[[#This Row],[Rood Verdediging]]&lt;&gt;"",IF(B238="",NOW(),B238),"")</f>
        <v>43878.947694907409</v>
      </c>
      <c r="C238" s="126">
        <f ca="1">IF(Tabel158[[#This Row],[Score]]&lt;&gt;"",IF(C238="",NOW(),C238),"")</f>
        <v>43878.947694907409</v>
      </c>
      <c r="D238" s="182">
        <f ca="1">IF(OR(Tabel158[[#This Row],[Starttijd]]="",Tabel158[[#This Row],[Eindtijd]]=""),"",Tabel158[[#This Row],[Eindtijd]]-Tabel158[[#This Row],[Starttijd]])</f>
        <v>0</v>
      </c>
      <c r="E238" s="74">
        <v>120</v>
      </c>
      <c r="F238" s="205" t="s">
        <v>11</v>
      </c>
      <c r="G238" s="210">
        <v>2</v>
      </c>
      <c r="H238" s="205" t="s">
        <v>6</v>
      </c>
      <c r="I238" s="210">
        <v>10</v>
      </c>
      <c r="J238" s="206" t="s">
        <v>0</v>
      </c>
      <c r="K238" s="212">
        <v>5</v>
      </c>
      <c r="L238" s="206" t="s">
        <v>7</v>
      </c>
      <c r="M238" s="212">
        <v>9</v>
      </c>
      <c r="N238" s="81">
        <f t="shared" si="27"/>
        <v>12</v>
      </c>
      <c r="O238" s="82">
        <f t="shared" si="28"/>
        <v>14</v>
      </c>
      <c r="P238" s="70" t="str">
        <f t="shared" si="31"/>
        <v>GROEN</v>
      </c>
      <c r="Q238" s="86" t="str">
        <f t="shared" si="29"/>
        <v>Jonas</v>
      </c>
      <c r="R238" s="87" t="str">
        <f t="shared" si="30"/>
        <v>Tiemen</v>
      </c>
      <c r="S238" s="147" t="str">
        <f>Tabel158[[#This Row],[Rood Verdediging]]&amp;Tabel158[[#This Row],[Rood Aanval]]</f>
        <v>MatthijsStef D</v>
      </c>
      <c r="T238" s="147" t="str">
        <f>Tabel158[[#This Row],[Groen Verdediging]]&amp;Tabel158[[#This Row],[Groen Aanval]]</f>
        <v>JonasTiemen</v>
      </c>
      <c r="U238" s="147" t="str">
        <f>Tabel158[[#This Row],[Winnaar 1]]&amp;Tabel158[[#This Row],[Winnaar 2]]</f>
        <v>JonasTiemen</v>
      </c>
      <c r="V238" s="147" t="b">
        <f>IF(Tabel158[[#This Row],[Team Rood]]=Tabel158[[#This Row],[Winnaars]],Tabel158[[#This Row],[Team Rood]])</f>
        <v>0</v>
      </c>
      <c r="W238" s="147" t="str">
        <f>IF(Tabel158[[#This Row],[Team Groen]]=Tabel158[[#This Row],[Winnaars]],Tabel158[[#This Row],[Team Groen]])</f>
        <v>JonasTiemen</v>
      </c>
    </row>
    <row r="239" spans="1:23" x14ac:dyDescent="0.25">
      <c r="A239" s="125">
        <f ca="1">IF(Tabel158[[#This Row],[Rood Verdediging]]&lt;&gt;"",IF(A239="",NOW(),A239),"")</f>
        <v>0</v>
      </c>
      <c r="B239" s="128">
        <f ca="1">IF(Tabel158[[#This Row],[Rood Verdediging]]&lt;&gt;"",IF(B239="",NOW(),B239),"")</f>
        <v>43878.947694907409</v>
      </c>
      <c r="C239" s="126">
        <f ca="1">IF(Tabel158[[#This Row],[Score]]&lt;&gt;"",IF(C239="",NOW(),C239),"")</f>
        <v>43878.947694907409</v>
      </c>
      <c r="D239" s="182">
        <f ca="1">IF(OR(Tabel158[[#This Row],[Starttijd]]="",Tabel158[[#This Row],[Eindtijd]]=""),"",Tabel158[[#This Row],[Eindtijd]]-Tabel158[[#This Row],[Starttijd]])</f>
        <v>0</v>
      </c>
      <c r="E239" s="74">
        <v>120</v>
      </c>
      <c r="F239" s="205" t="s">
        <v>70</v>
      </c>
      <c r="G239" s="210">
        <v>6</v>
      </c>
      <c r="H239" s="205" t="s">
        <v>6</v>
      </c>
      <c r="I239" s="210">
        <v>5</v>
      </c>
      <c r="J239" s="206" t="s">
        <v>7</v>
      </c>
      <c r="K239" s="212">
        <v>0</v>
      </c>
      <c r="L239" s="206" t="s">
        <v>0</v>
      </c>
      <c r="M239" s="212">
        <v>4</v>
      </c>
      <c r="N239" s="81">
        <f t="shared" si="27"/>
        <v>11</v>
      </c>
      <c r="O239" s="82">
        <f t="shared" si="28"/>
        <v>4</v>
      </c>
      <c r="P239" s="70" t="str">
        <f t="shared" si="31"/>
        <v>ROOD</v>
      </c>
      <c r="Q239" s="86" t="str">
        <f t="shared" si="29"/>
        <v>Arno</v>
      </c>
      <c r="R239" s="87" t="str">
        <f t="shared" si="30"/>
        <v>Stef D</v>
      </c>
      <c r="S239" s="147" t="str">
        <f>Tabel158[[#This Row],[Rood Verdediging]]&amp;Tabel158[[#This Row],[Rood Aanval]]</f>
        <v>ArnoStef D</v>
      </c>
      <c r="T239" s="147" t="str">
        <f>Tabel158[[#This Row],[Groen Verdediging]]&amp;Tabel158[[#This Row],[Groen Aanval]]</f>
        <v>TiemenJonas</v>
      </c>
      <c r="U239" s="147" t="str">
        <f>Tabel158[[#This Row],[Winnaar 1]]&amp;Tabel158[[#This Row],[Winnaar 2]]</f>
        <v>ArnoStef D</v>
      </c>
      <c r="V239" s="147" t="str">
        <f>IF(Tabel158[[#This Row],[Team Rood]]=Tabel158[[#This Row],[Winnaars]],Tabel158[[#This Row],[Team Rood]])</f>
        <v>ArnoStef D</v>
      </c>
      <c r="W239" s="147" t="b">
        <f>IF(Tabel158[[#This Row],[Team Groen]]=Tabel158[[#This Row],[Winnaars]],Tabel158[[#This Row],[Team Groen]])</f>
        <v>0</v>
      </c>
    </row>
    <row r="240" spans="1:23" x14ac:dyDescent="0.25">
      <c r="A240" s="125">
        <f ca="1">IF(Tabel158[[#This Row],[Rood Verdediging]]&lt;&gt;"",IF(A240="",NOW(),A240),"")</f>
        <v>0</v>
      </c>
      <c r="B240" s="128">
        <f ca="1">IF(Tabel158[[#This Row],[Rood Verdediging]]&lt;&gt;"",IF(B240="",NOW(),B240),"")</f>
        <v>43878.947694907409</v>
      </c>
      <c r="C240" s="126">
        <f ca="1">IF(Tabel158[[#This Row],[Score]]&lt;&gt;"",IF(C240="",NOW(),C240),"")</f>
        <v>43878.947694907409</v>
      </c>
      <c r="D240" s="182">
        <f ca="1">IF(OR(Tabel158[[#This Row],[Starttijd]]="",Tabel158[[#This Row],[Eindtijd]]=""),"",Tabel158[[#This Row],[Eindtijd]]-Tabel158[[#This Row],[Starttijd]])</f>
        <v>0</v>
      </c>
      <c r="E240" s="74">
        <v>120</v>
      </c>
      <c r="F240" s="205" t="s">
        <v>3</v>
      </c>
      <c r="G240" s="210">
        <v>2</v>
      </c>
      <c r="H240" s="205" t="s">
        <v>6</v>
      </c>
      <c r="I240" s="210">
        <v>10</v>
      </c>
      <c r="J240" s="206" t="s">
        <v>0</v>
      </c>
      <c r="K240" s="212">
        <v>1</v>
      </c>
      <c r="L240" s="206" t="s">
        <v>8</v>
      </c>
      <c r="M240" s="212">
        <v>4</v>
      </c>
      <c r="N240" s="81">
        <f t="shared" si="27"/>
        <v>12</v>
      </c>
      <c r="O240" s="82">
        <f t="shared" si="28"/>
        <v>5</v>
      </c>
      <c r="P240" s="70" t="str">
        <f t="shared" si="31"/>
        <v>ROOD</v>
      </c>
      <c r="Q240" s="86" t="str">
        <f t="shared" si="29"/>
        <v>Karel</v>
      </c>
      <c r="R240" s="87" t="str">
        <f t="shared" si="30"/>
        <v>Stef D</v>
      </c>
      <c r="S240" s="147" t="str">
        <f>Tabel158[[#This Row],[Rood Verdediging]]&amp;Tabel158[[#This Row],[Rood Aanval]]</f>
        <v>KarelStef D</v>
      </c>
      <c r="T240" s="147" t="str">
        <f>Tabel158[[#This Row],[Groen Verdediging]]&amp;Tabel158[[#This Row],[Groen Aanval]]</f>
        <v>JonasLouis</v>
      </c>
      <c r="U240" s="147" t="str">
        <f>Tabel158[[#This Row],[Winnaar 1]]&amp;Tabel158[[#This Row],[Winnaar 2]]</f>
        <v>KarelStef D</v>
      </c>
      <c r="V240" s="147" t="str">
        <f>IF(Tabel158[[#This Row],[Team Rood]]=Tabel158[[#This Row],[Winnaars]],Tabel158[[#This Row],[Team Rood]])</f>
        <v>KarelStef D</v>
      </c>
      <c r="W240" s="147" t="b">
        <f>IF(Tabel158[[#This Row],[Team Groen]]=Tabel158[[#This Row],[Winnaars]],Tabel158[[#This Row],[Team Groen]])</f>
        <v>0</v>
      </c>
    </row>
    <row r="241" spans="1:23" x14ac:dyDescent="0.25">
      <c r="A241" s="125">
        <f ca="1">IF(Tabel158[[#This Row],[Rood Verdediging]]&lt;&gt;"",IF(A241="",NOW(),A241),"")</f>
        <v>0</v>
      </c>
      <c r="B241" s="128">
        <f ca="1">IF(Tabel158[[#This Row],[Rood Verdediging]]&lt;&gt;"",IF(B241="",NOW(),B241),"")</f>
        <v>43878.947694907409</v>
      </c>
      <c r="C241" s="126">
        <f ca="1">IF(Tabel158[[#This Row],[Score]]&lt;&gt;"",IF(C241="",NOW(),C241),"")</f>
        <v>43878.947694907409</v>
      </c>
      <c r="D241" s="182">
        <f ca="1">IF(OR(Tabel158[[#This Row],[Starttijd]]="",Tabel158[[#This Row],[Eindtijd]]=""),"",Tabel158[[#This Row],[Eindtijd]]-Tabel158[[#This Row],[Starttijd]])</f>
        <v>0</v>
      </c>
      <c r="E241" s="74">
        <v>120</v>
      </c>
      <c r="F241" s="205" t="s">
        <v>0</v>
      </c>
      <c r="G241" s="210">
        <v>1</v>
      </c>
      <c r="H241" s="205" t="s">
        <v>6</v>
      </c>
      <c r="I241" s="210">
        <v>6</v>
      </c>
      <c r="J241" s="206" t="s">
        <v>8</v>
      </c>
      <c r="K241" s="212">
        <v>6</v>
      </c>
      <c r="L241" s="206" t="s">
        <v>3</v>
      </c>
      <c r="M241" s="212">
        <v>5</v>
      </c>
      <c r="N241" s="81">
        <f t="shared" si="27"/>
        <v>7</v>
      </c>
      <c r="O241" s="82">
        <f t="shared" si="28"/>
        <v>11</v>
      </c>
      <c r="P241" s="70" t="str">
        <f t="shared" si="31"/>
        <v>GROEN</v>
      </c>
      <c r="Q241" s="86" t="str">
        <f t="shared" si="29"/>
        <v>Louis</v>
      </c>
      <c r="R241" s="87" t="str">
        <f t="shared" si="30"/>
        <v>Karel</v>
      </c>
      <c r="S241" s="147" t="str">
        <f>Tabel158[[#This Row],[Rood Verdediging]]&amp;Tabel158[[#This Row],[Rood Aanval]]</f>
        <v>JonasStef D</v>
      </c>
      <c r="T241" s="147" t="str">
        <f>Tabel158[[#This Row],[Groen Verdediging]]&amp;Tabel158[[#This Row],[Groen Aanval]]</f>
        <v>LouisKarel</v>
      </c>
      <c r="U241" s="147" t="str">
        <f>Tabel158[[#This Row],[Winnaar 1]]&amp;Tabel158[[#This Row],[Winnaar 2]]</f>
        <v>LouisKarel</v>
      </c>
      <c r="V241" s="147" t="b">
        <f>IF(Tabel158[[#This Row],[Team Rood]]=Tabel158[[#This Row],[Winnaars]],Tabel158[[#This Row],[Team Rood]])</f>
        <v>0</v>
      </c>
      <c r="W241" s="147" t="str">
        <f>IF(Tabel158[[#This Row],[Team Groen]]=Tabel158[[#This Row],[Winnaars]],Tabel158[[#This Row],[Team Groen]])</f>
        <v>LouisKarel</v>
      </c>
    </row>
    <row r="242" spans="1:23" x14ac:dyDescent="0.25">
      <c r="A242" s="125">
        <f ca="1">IF(Tabel158[[#This Row],[Rood Verdediging]]&lt;&gt;"",IF(A242="",NOW(),A242),"")</f>
        <v>0</v>
      </c>
      <c r="B242" s="128">
        <f ca="1">IF(Tabel158[[#This Row],[Rood Verdediging]]&lt;&gt;"",IF(B242="",NOW(),B242),"")</f>
        <v>43878.947694907409</v>
      </c>
      <c r="C242" s="126">
        <f ca="1">IF(Tabel158[[#This Row],[Score]]&lt;&gt;"",IF(C242="",NOW(),C242),"")</f>
        <v>43878.947694907409</v>
      </c>
      <c r="D242" s="182">
        <f ca="1">IF(OR(Tabel158[[#This Row],[Starttijd]]="",Tabel158[[#This Row],[Eindtijd]]=""),"",Tabel158[[#This Row],[Eindtijd]]-Tabel158[[#This Row],[Starttijd]])</f>
        <v>0</v>
      </c>
      <c r="E242" s="74">
        <v>120</v>
      </c>
      <c r="F242" s="205" t="s">
        <v>6</v>
      </c>
      <c r="G242" s="210">
        <v>3</v>
      </c>
      <c r="H242" s="205" t="s">
        <v>0</v>
      </c>
      <c r="I242" s="210">
        <v>5</v>
      </c>
      <c r="J242" s="206" t="s">
        <v>19</v>
      </c>
      <c r="K242" s="212">
        <v>2</v>
      </c>
      <c r="L242" s="206" t="s">
        <v>3</v>
      </c>
      <c r="M242" s="212">
        <v>9</v>
      </c>
      <c r="N242" s="81">
        <f t="shared" si="27"/>
        <v>8</v>
      </c>
      <c r="O242" s="82">
        <f t="shared" si="28"/>
        <v>11</v>
      </c>
      <c r="P242" s="70" t="str">
        <f t="shared" si="31"/>
        <v>GROEN</v>
      </c>
      <c r="Q242" s="86" t="str">
        <f t="shared" si="29"/>
        <v>Nicolas</v>
      </c>
      <c r="R242" s="87" t="str">
        <f t="shared" si="30"/>
        <v>Karel</v>
      </c>
      <c r="S242" s="147" t="str">
        <f>Tabel158[[#This Row],[Rood Verdediging]]&amp;Tabel158[[#This Row],[Rood Aanval]]</f>
        <v>Stef DJonas</v>
      </c>
      <c r="T242" s="147" t="str">
        <f>Tabel158[[#This Row],[Groen Verdediging]]&amp;Tabel158[[#This Row],[Groen Aanval]]</f>
        <v>NicolasKarel</v>
      </c>
      <c r="U242" s="147" t="str">
        <f>Tabel158[[#This Row],[Winnaar 1]]&amp;Tabel158[[#This Row],[Winnaar 2]]</f>
        <v>NicolasKarel</v>
      </c>
      <c r="V242" s="147" t="b">
        <f>IF(Tabel158[[#This Row],[Team Rood]]=Tabel158[[#This Row],[Winnaars]],Tabel158[[#This Row],[Team Rood]])</f>
        <v>0</v>
      </c>
      <c r="W242" s="147" t="str">
        <f>IF(Tabel158[[#This Row],[Team Groen]]=Tabel158[[#This Row],[Winnaars]],Tabel158[[#This Row],[Team Groen]])</f>
        <v>NicolasKarel</v>
      </c>
    </row>
    <row r="243" spans="1:23" x14ac:dyDescent="0.25">
      <c r="A243" s="125">
        <f ca="1">IF(Tabel158[[#This Row],[Rood Verdediging]]&lt;&gt;"",IF(A243="",NOW(),A243),"")</f>
        <v>0</v>
      </c>
      <c r="B243" s="128">
        <f ca="1">IF(Tabel158[[#This Row],[Rood Verdediging]]&lt;&gt;"",IF(B243="",NOW(),B243),"")</f>
        <v>43878.947694907409</v>
      </c>
      <c r="C243" s="126">
        <f ca="1">IF(Tabel158[[#This Row],[Score]]&lt;&gt;"",IF(C243="",NOW(),C243),"")</f>
        <v>43878.947694907409</v>
      </c>
      <c r="D243" s="182">
        <f ca="1">IF(OR(Tabel158[[#This Row],[Starttijd]]="",Tabel158[[#This Row],[Eindtijd]]=""),"",Tabel158[[#This Row],[Eindtijd]]-Tabel158[[#This Row],[Starttijd]])</f>
        <v>0</v>
      </c>
      <c r="E243" s="74">
        <v>120</v>
      </c>
      <c r="F243" s="205" t="s">
        <v>6</v>
      </c>
      <c r="G243" s="210">
        <v>10</v>
      </c>
      <c r="H243" s="205" t="s">
        <v>8</v>
      </c>
      <c r="I243" s="210">
        <v>1</v>
      </c>
      <c r="J243" s="206" t="s">
        <v>3</v>
      </c>
      <c r="K243" s="212">
        <v>3</v>
      </c>
      <c r="L243" s="206" t="s">
        <v>19</v>
      </c>
      <c r="M243" s="212">
        <v>5</v>
      </c>
      <c r="N243" s="81">
        <f t="shared" si="27"/>
        <v>11</v>
      </c>
      <c r="O243" s="82">
        <f t="shared" si="28"/>
        <v>8</v>
      </c>
      <c r="P243" s="70" t="str">
        <f t="shared" si="31"/>
        <v>ROOD</v>
      </c>
      <c r="Q243" s="86" t="str">
        <f t="shared" si="29"/>
        <v>Stef D</v>
      </c>
      <c r="R243" s="87" t="str">
        <f t="shared" si="30"/>
        <v>Louis</v>
      </c>
      <c r="S243" s="147" t="str">
        <f>Tabel158[[#This Row],[Rood Verdediging]]&amp;Tabel158[[#This Row],[Rood Aanval]]</f>
        <v>Stef DLouis</v>
      </c>
      <c r="T243" s="147" t="str">
        <f>Tabel158[[#This Row],[Groen Verdediging]]&amp;Tabel158[[#This Row],[Groen Aanval]]</f>
        <v>KarelNicolas</v>
      </c>
      <c r="U243" s="147" t="str">
        <f>Tabel158[[#This Row],[Winnaar 1]]&amp;Tabel158[[#This Row],[Winnaar 2]]</f>
        <v>Stef DLouis</v>
      </c>
      <c r="V243" s="147" t="str">
        <f>IF(Tabel158[[#This Row],[Team Rood]]=Tabel158[[#This Row],[Winnaars]],Tabel158[[#This Row],[Team Rood]])</f>
        <v>Stef DLouis</v>
      </c>
      <c r="W243" s="147" t="b">
        <f>IF(Tabel158[[#This Row],[Team Groen]]=Tabel158[[#This Row],[Winnaars]],Tabel158[[#This Row],[Team Groen]])</f>
        <v>0</v>
      </c>
    </row>
    <row r="244" spans="1:23" x14ac:dyDescent="0.25">
      <c r="A244" s="125">
        <f ca="1">IF(Tabel158[[#This Row],[Rood Verdediging]]&lt;&gt;"",IF(A244="",NOW(),A244),"")</f>
        <v>0</v>
      </c>
      <c r="B244" s="128">
        <f ca="1">IF(Tabel158[[#This Row],[Rood Verdediging]]&lt;&gt;"",IF(B244="",NOW(),B244),"")</f>
        <v>43878.947694907409</v>
      </c>
      <c r="C244" s="126">
        <f ca="1">IF(Tabel158[[#This Row],[Score]]&lt;&gt;"",IF(C244="",NOW(),C244),"")</f>
        <v>43878.947694907409</v>
      </c>
      <c r="D244" s="182">
        <f ca="1">IF(OR(Tabel158[[#This Row],[Starttijd]]="",Tabel158[[#This Row],[Eindtijd]]=""),"",Tabel158[[#This Row],[Eindtijd]]-Tabel158[[#This Row],[Starttijd]])</f>
        <v>0</v>
      </c>
      <c r="E244" s="74">
        <v>120</v>
      </c>
      <c r="F244" s="205" t="s">
        <v>8</v>
      </c>
      <c r="G244" s="210">
        <v>3</v>
      </c>
      <c r="H244" s="205" t="s">
        <v>3</v>
      </c>
      <c r="I244" s="210">
        <v>8</v>
      </c>
      <c r="J244" s="206" t="s">
        <v>0</v>
      </c>
      <c r="K244" s="212">
        <v>2</v>
      </c>
      <c r="L244" s="206" t="s">
        <v>19</v>
      </c>
      <c r="M244" s="212">
        <v>1</v>
      </c>
      <c r="N244" s="81">
        <f t="shared" si="27"/>
        <v>11</v>
      </c>
      <c r="O244" s="82">
        <f t="shared" si="28"/>
        <v>3</v>
      </c>
      <c r="P244" s="70" t="str">
        <f t="shared" si="31"/>
        <v>ROOD</v>
      </c>
      <c r="Q244" s="86" t="str">
        <f t="shared" si="29"/>
        <v>Louis</v>
      </c>
      <c r="R244" s="87" t="str">
        <f t="shared" si="30"/>
        <v>Karel</v>
      </c>
      <c r="S244" s="147" t="str">
        <f>Tabel158[[#This Row],[Rood Verdediging]]&amp;Tabel158[[#This Row],[Rood Aanval]]</f>
        <v>LouisKarel</v>
      </c>
      <c r="T244" s="147" t="str">
        <f>Tabel158[[#This Row],[Groen Verdediging]]&amp;Tabel158[[#This Row],[Groen Aanval]]</f>
        <v>JonasNicolas</v>
      </c>
      <c r="U244" s="147" t="str">
        <f>Tabel158[[#This Row],[Winnaar 1]]&amp;Tabel158[[#This Row],[Winnaar 2]]</f>
        <v>LouisKarel</v>
      </c>
      <c r="V244" s="147" t="str">
        <f>IF(Tabel158[[#This Row],[Team Rood]]=Tabel158[[#This Row],[Winnaars]],Tabel158[[#This Row],[Team Rood]])</f>
        <v>LouisKarel</v>
      </c>
      <c r="W244" s="147" t="b">
        <f>IF(Tabel158[[#This Row],[Team Groen]]=Tabel158[[#This Row],[Winnaars]],Tabel158[[#This Row],[Team Groen]])</f>
        <v>0</v>
      </c>
    </row>
    <row r="245" spans="1:23" x14ac:dyDescent="0.25">
      <c r="A245" s="125">
        <f ca="1">IF(Tabel158[[#This Row],[Rood Verdediging]]&lt;&gt;"",IF(A245="",NOW(),A245),"")</f>
        <v>0</v>
      </c>
      <c r="B245" s="128">
        <f ca="1">IF(Tabel158[[#This Row],[Rood Verdediging]]&lt;&gt;"",IF(B245="",NOW(),B245),"")</f>
        <v>43878.947694907409</v>
      </c>
      <c r="C245" s="126">
        <f ca="1">IF(Tabel158[[#This Row],[Score]]&lt;&gt;"",IF(C245="",NOW(),C245),"")</f>
        <v>43878.947694907409</v>
      </c>
      <c r="D245" s="182">
        <f ca="1">IF(OR(Tabel158[[#This Row],[Starttijd]]="",Tabel158[[#This Row],[Eindtijd]]=""),"",Tabel158[[#This Row],[Eindtijd]]-Tabel158[[#This Row],[Starttijd]])</f>
        <v>0</v>
      </c>
      <c r="E245" s="74">
        <v>120</v>
      </c>
      <c r="F245" s="205" t="s">
        <v>8</v>
      </c>
      <c r="G245" s="210">
        <v>3</v>
      </c>
      <c r="H245" s="205" t="s">
        <v>6</v>
      </c>
      <c r="I245" s="210">
        <v>8</v>
      </c>
      <c r="J245" s="206" t="s">
        <v>0</v>
      </c>
      <c r="K245" s="212">
        <v>2</v>
      </c>
      <c r="L245" s="206" t="s">
        <v>3</v>
      </c>
      <c r="M245" s="212">
        <v>4</v>
      </c>
      <c r="N245" s="81">
        <f t="shared" si="27"/>
        <v>11</v>
      </c>
      <c r="O245" s="82">
        <f t="shared" si="28"/>
        <v>6</v>
      </c>
      <c r="P245" s="70" t="str">
        <f t="shared" si="31"/>
        <v>ROOD</v>
      </c>
      <c r="Q245" s="86" t="str">
        <f t="shared" si="29"/>
        <v>Louis</v>
      </c>
      <c r="R245" s="87" t="str">
        <f t="shared" si="30"/>
        <v>Stef D</v>
      </c>
      <c r="S245" s="147" t="str">
        <f>Tabel158[[#This Row],[Rood Verdediging]]&amp;Tabel158[[#This Row],[Rood Aanval]]</f>
        <v>LouisStef D</v>
      </c>
      <c r="T245" s="147" t="str">
        <f>Tabel158[[#This Row],[Groen Verdediging]]&amp;Tabel158[[#This Row],[Groen Aanval]]</f>
        <v>JonasKarel</v>
      </c>
      <c r="U245" s="147" t="str">
        <f>Tabel158[[#This Row],[Winnaar 1]]&amp;Tabel158[[#This Row],[Winnaar 2]]</f>
        <v>LouisStef D</v>
      </c>
      <c r="V245" s="147" t="str">
        <f>IF(Tabel158[[#This Row],[Team Rood]]=Tabel158[[#This Row],[Winnaars]],Tabel158[[#This Row],[Team Rood]])</f>
        <v>LouisStef D</v>
      </c>
      <c r="W245" s="147" t="b">
        <f>IF(Tabel158[[#This Row],[Team Groen]]=Tabel158[[#This Row],[Winnaars]],Tabel158[[#This Row],[Team Groen]])</f>
        <v>0</v>
      </c>
    </row>
    <row r="246" spans="1:23" x14ac:dyDescent="0.25">
      <c r="A246" s="125">
        <f ca="1">IF(Tabel158[[#This Row],[Rood Verdediging]]&lt;&gt;"",IF(A246="",NOW(),A246),"")</f>
        <v>0</v>
      </c>
      <c r="B246" s="128">
        <f ca="1">IF(Tabel158[[#This Row],[Rood Verdediging]]&lt;&gt;"",IF(B246="",NOW(),B246),"")</f>
        <v>43878.947694907409</v>
      </c>
      <c r="C246" s="126">
        <f ca="1">IF(Tabel158[[#This Row],[Score]]&lt;&gt;"",IF(C246="",NOW(),C246),"")</f>
        <v>43878.947694907409</v>
      </c>
      <c r="D246" s="182">
        <f ca="1">IF(OR(Tabel158[[#This Row],[Starttijd]]="",Tabel158[[#This Row],[Eindtijd]]=""),"",Tabel158[[#This Row],[Eindtijd]]-Tabel158[[#This Row],[Starttijd]])</f>
        <v>0</v>
      </c>
      <c r="E246" s="74">
        <v>120</v>
      </c>
      <c r="F246" s="205" t="s">
        <v>19</v>
      </c>
      <c r="G246" s="210">
        <v>3</v>
      </c>
      <c r="H246" s="205" t="s">
        <v>6</v>
      </c>
      <c r="I246" s="210">
        <v>8</v>
      </c>
      <c r="J246" s="206" t="s">
        <v>8</v>
      </c>
      <c r="K246" s="212">
        <v>1</v>
      </c>
      <c r="L246" s="206" t="s">
        <v>0</v>
      </c>
      <c r="M246" s="212">
        <v>6</v>
      </c>
      <c r="N246" s="81">
        <f t="shared" si="27"/>
        <v>11</v>
      </c>
      <c r="O246" s="82">
        <f t="shared" si="28"/>
        <v>7</v>
      </c>
      <c r="P246" s="70" t="str">
        <f t="shared" si="31"/>
        <v>ROOD</v>
      </c>
      <c r="Q246" s="86" t="str">
        <f t="shared" si="29"/>
        <v>Nicolas</v>
      </c>
      <c r="R246" s="87" t="str">
        <f t="shared" si="30"/>
        <v>Stef D</v>
      </c>
      <c r="S246" s="147" t="str">
        <f>Tabel158[[#This Row],[Rood Verdediging]]&amp;Tabel158[[#This Row],[Rood Aanval]]</f>
        <v>NicolasStef D</v>
      </c>
      <c r="T246" s="147" t="str">
        <f>Tabel158[[#This Row],[Groen Verdediging]]&amp;Tabel158[[#This Row],[Groen Aanval]]</f>
        <v>LouisJonas</v>
      </c>
      <c r="U246" s="147" t="str">
        <f>Tabel158[[#This Row],[Winnaar 1]]&amp;Tabel158[[#This Row],[Winnaar 2]]</f>
        <v>NicolasStef D</v>
      </c>
      <c r="V246" s="147" t="str">
        <f>IF(Tabel158[[#This Row],[Team Rood]]=Tabel158[[#This Row],[Winnaars]],Tabel158[[#This Row],[Team Rood]])</f>
        <v>NicolasStef D</v>
      </c>
      <c r="W246" s="147" t="b">
        <f>IF(Tabel158[[#This Row],[Team Groen]]=Tabel158[[#This Row],[Winnaars]],Tabel158[[#This Row],[Team Groen]])</f>
        <v>0</v>
      </c>
    </row>
    <row r="247" spans="1:23" x14ac:dyDescent="0.25">
      <c r="A247" s="125">
        <f ca="1">IF(Tabel158[[#This Row],[Rood Verdediging]]&lt;&gt;"",IF(A247="",NOW(),A247),"")</f>
        <v>0</v>
      </c>
      <c r="B247" s="128">
        <f ca="1">IF(Tabel158[[#This Row],[Rood Verdediging]]&lt;&gt;"",IF(B247="",NOW(),B247),"")</f>
        <v>43878.947694907409</v>
      </c>
      <c r="C247" s="126">
        <f ca="1">IF(Tabel158[[#This Row],[Score]]&lt;&gt;"",IF(C247="",NOW(),C247),"")</f>
        <v>43878.947694907409</v>
      </c>
      <c r="D247" s="182">
        <f ca="1">IF(OR(Tabel158[[#This Row],[Starttijd]]="",Tabel158[[#This Row],[Eindtijd]]=""),"",Tabel158[[#This Row],[Eindtijd]]-Tabel158[[#This Row],[Starttijd]])</f>
        <v>0</v>
      </c>
      <c r="E247" s="74">
        <v>120</v>
      </c>
      <c r="F247" s="205" t="s">
        <v>3</v>
      </c>
      <c r="G247" s="210">
        <v>2</v>
      </c>
      <c r="H247" s="205" t="s">
        <v>6</v>
      </c>
      <c r="I247" s="210">
        <v>8</v>
      </c>
      <c r="J247" s="206" t="s">
        <v>0</v>
      </c>
      <c r="K247" s="212">
        <v>3</v>
      </c>
      <c r="L247" s="206" t="s">
        <v>70</v>
      </c>
      <c r="M247" s="212">
        <v>9</v>
      </c>
      <c r="N247" s="81">
        <f t="shared" si="27"/>
        <v>10</v>
      </c>
      <c r="O247" s="82">
        <f t="shared" si="28"/>
        <v>12</v>
      </c>
      <c r="P247" s="70" t="str">
        <f t="shared" si="31"/>
        <v>GROEN</v>
      </c>
      <c r="Q247" s="86" t="str">
        <f t="shared" si="29"/>
        <v>Jonas</v>
      </c>
      <c r="R247" s="87" t="str">
        <f t="shared" si="30"/>
        <v>Arno</v>
      </c>
      <c r="S247" s="147" t="str">
        <f>Tabel158[[#This Row],[Rood Verdediging]]&amp;Tabel158[[#This Row],[Rood Aanval]]</f>
        <v>KarelStef D</v>
      </c>
      <c r="T247" s="147" t="str">
        <f>Tabel158[[#This Row],[Groen Verdediging]]&amp;Tabel158[[#This Row],[Groen Aanval]]</f>
        <v>JonasArno</v>
      </c>
      <c r="U247" s="147" t="str">
        <f>Tabel158[[#This Row],[Winnaar 1]]&amp;Tabel158[[#This Row],[Winnaar 2]]</f>
        <v>JonasArno</v>
      </c>
      <c r="V247" s="147" t="b">
        <f>IF(Tabel158[[#This Row],[Team Rood]]=Tabel158[[#This Row],[Winnaars]],Tabel158[[#This Row],[Team Rood]])</f>
        <v>0</v>
      </c>
      <c r="W247" s="147" t="str">
        <f>IF(Tabel158[[#This Row],[Team Groen]]=Tabel158[[#This Row],[Winnaars]],Tabel158[[#This Row],[Team Groen]])</f>
        <v>JonasArno</v>
      </c>
    </row>
    <row r="248" spans="1:23" x14ac:dyDescent="0.25">
      <c r="A248" s="125">
        <f ca="1">IF(Tabel158[[#This Row],[Rood Verdediging]]&lt;&gt;"",IF(A248="",NOW(),A248),"")</f>
        <v>0</v>
      </c>
      <c r="B248" s="128">
        <f ca="1">IF(Tabel158[[#This Row],[Rood Verdediging]]&lt;&gt;"",IF(B248="",NOW(),B248),"")</f>
        <v>43878.947694907409</v>
      </c>
      <c r="C248" s="126">
        <f ca="1">IF(Tabel158[[#This Row],[Score]]&lt;&gt;"",IF(C248="",NOW(),C248),"")</f>
        <v>43878.947694907409</v>
      </c>
      <c r="D248" s="182">
        <f ca="1">IF(OR(Tabel158[[#This Row],[Starttijd]]="",Tabel158[[#This Row],[Eindtijd]]=""),"",Tabel158[[#This Row],[Eindtijd]]-Tabel158[[#This Row],[Starttijd]])</f>
        <v>0</v>
      </c>
      <c r="E248" s="74">
        <v>120</v>
      </c>
      <c r="F248" s="205" t="s">
        <v>7</v>
      </c>
      <c r="G248" s="210">
        <v>1</v>
      </c>
      <c r="H248" s="205" t="s">
        <v>3</v>
      </c>
      <c r="I248" s="210">
        <v>10</v>
      </c>
      <c r="J248" s="206" t="s">
        <v>6</v>
      </c>
      <c r="K248" s="212">
        <v>2</v>
      </c>
      <c r="L248" s="206" t="s">
        <v>70</v>
      </c>
      <c r="M248" s="212">
        <v>6</v>
      </c>
      <c r="N248" s="81">
        <f t="shared" si="27"/>
        <v>11</v>
      </c>
      <c r="O248" s="82">
        <f t="shared" si="28"/>
        <v>8</v>
      </c>
      <c r="P248" s="70" t="str">
        <f t="shared" si="31"/>
        <v>ROOD</v>
      </c>
      <c r="Q248" s="86" t="str">
        <f t="shared" si="29"/>
        <v>Tiemen</v>
      </c>
      <c r="R248" s="87" t="str">
        <f t="shared" si="30"/>
        <v>Karel</v>
      </c>
      <c r="S248" s="147" t="str">
        <f>Tabel158[[#This Row],[Rood Verdediging]]&amp;Tabel158[[#This Row],[Rood Aanval]]</f>
        <v>TiemenKarel</v>
      </c>
      <c r="T248" s="147" t="str">
        <f>Tabel158[[#This Row],[Groen Verdediging]]&amp;Tabel158[[#This Row],[Groen Aanval]]</f>
        <v>Stef DArno</v>
      </c>
      <c r="U248" s="147" t="str">
        <f>Tabel158[[#This Row],[Winnaar 1]]&amp;Tabel158[[#This Row],[Winnaar 2]]</f>
        <v>TiemenKarel</v>
      </c>
      <c r="V248" s="147" t="str">
        <f>IF(Tabel158[[#This Row],[Team Rood]]=Tabel158[[#This Row],[Winnaars]],Tabel158[[#This Row],[Team Rood]])</f>
        <v>TiemenKarel</v>
      </c>
      <c r="W248" s="147" t="b">
        <f>IF(Tabel158[[#This Row],[Team Groen]]=Tabel158[[#This Row],[Winnaars]],Tabel158[[#This Row],[Team Groen]])</f>
        <v>0</v>
      </c>
    </row>
    <row r="249" spans="1:23" x14ac:dyDescent="0.25">
      <c r="A249" s="125">
        <f ca="1">IF(Tabel158[[#This Row],[Rood Verdediging]]&lt;&gt;"",IF(A249="",NOW(),A249),"")</f>
        <v>0</v>
      </c>
      <c r="B249" s="128">
        <f ca="1">IF(Tabel158[[#This Row],[Rood Verdediging]]&lt;&gt;"",IF(B249="",NOW(),B249),"")</f>
        <v>43878.947694907409</v>
      </c>
      <c r="C249" s="126">
        <f ca="1">IF(Tabel158[[#This Row],[Score]]&lt;&gt;"",IF(C249="",NOW(),C249),"")</f>
        <v>43878.947694907409</v>
      </c>
      <c r="D249" s="182">
        <f ca="1">IF(OR(Tabel158[[#This Row],[Starttijd]]="",Tabel158[[#This Row],[Eindtijd]]=""),"",Tabel158[[#This Row],[Eindtijd]]-Tabel158[[#This Row],[Starttijd]])</f>
        <v>0</v>
      </c>
      <c r="E249" s="74">
        <v>120</v>
      </c>
      <c r="F249" s="205" t="s">
        <v>0</v>
      </c>
      <c r="G249" s="210">
        <v>6</v>
      </c>
      <c r="H249" s="205" t="s">
        <v>6</v>
      </c>
      <c r="I249" s="210">
        <v>5</v>
      </c>
      <c r="J249" s="206" t="s">
        <v>3</v>
      </c>
      <c r="K249" s="212">
        <v>1</v>
      </c>
      <c r="L249" s="206" t="s">
        <v>7</v>
      </c>
      <c r="M249" s="212">
        <v>4</v>
      </c>
      <c r="N249" s="81">
        <f t="shared" si="27"/>
        <v>11</v>
      </c>
      <c r="O249" s="82">
        <f t="shared" si="28"/>
        <v>5</v>
      </c>
      <c r="P249" s="70" t="str">
        <f t="shared" si="31"/>
        <v>ROOD</v>
      </c>
      <c r="Q249" s="86" t="str">
        <f t="shared" si="29"/>
        <v>Jonas</v>
      </c>
      <c r="R249" s="87" t="str">
        <f t="shared" si="30"/>
        <v>Stef D</v>
      </c>
      <c r="S249" s="147" t="str">
        <f>Tabel158[[#This Row],[Rood Verdediging]]&amp;Tabel158[[#This Row],[Rood Aanval]]</f>
        <v>JonasStef D</v>
      </c>
      <c r="T249" s="147" t="str">
        <f>Tabel158[[#This Row],[Groen Verdediging]]&amp;Tabel158[[#This Row],[Groen Aanval]]</f>
        <v>KarelTiemen</v>
      </c>
      <c r="U249" s="147" t="str">
        <f>Tabel158[[#This Row],[Winnaar 1]]&amp;Tabel158[[#This Row],[Winnaar 2]]</f>
        <v>JonasStef D</v>
      </c>
      <c r="V249" s="147" t="str">
        <f>IF(Tabel158[[#This Row],[Team Rood]]=Tabel158[[#This Row],[Winnaars]],Tabel158[[#This Row],[Team Rood]])</f>
        <v>JonasStef D</v>
      </c>
      <c r="W249" s="147" t="b">
        <f>IF(Tabel158[[#This Row],[Team Groen]]=Tabel158[[#This Row],[Winnaars]],Tabel158[[#This Row],[Team Groen]])</f>
        <v>0</v>
      </c>
    </row>
    <row r="250" spans="1:23" x14ac:dyDescent="0.25">
      <c r="A250" s="125">
        <f ca="1">IF(Tabel158[[#This Row],[Rood Verdediging]]&lt;&gt;"",IF(A250="",NOW(),A250),"")</f>
        <v>0</v>
      </c>
      <c r="B250" s="128">
        <f ca="1">IF(Tabel158[[#This Row],[Rood Verdediging]]&lt;&gt;"",IF(B250="",NOW(),B250),"")</f>
        <v>43878.947694907409</v>
      </c>
      <c r="C250" s="126">
        <f ca="1">IF(Tabel158[[#This Row],[Score]]&lt;&gt;"",IF(C250="",NOW(),C250),"")</f>
        <v>43878.947694907409</v>
      </c>
      <c r="D250" s="182">
        <f ca="1">IF(OR(Tabel158[[#This Row],[Starttijd]]="",Tabel158[[#This Row],[Eindtijd]]=""),"",Tabel158[[#This Row],[Eindtijd]]-Tabel158[[#This Row],[Starttijd]])</f>
        <v>0</v>
      </c>
      <c r="E250" s="74">
        <v>120</v>
      </c>
      <c r="F250" s="205" t="s">
        <v>7</v>
      </c>
      <c r="G250" s="210">
        <v>1</v>
      </c>
      <c r="H250" s="205" t="s">
        <v>70</v>
      </c>
      <c r="I250" s="210">
        <v>10</v>
      </c>
      <c r="J250" s="206" t="s">
        <v>0</v>
      </c>
      <c r="K250" s="212">
        <v>0</v>
      </c>
      <c r="L250" s="206" t="s">
        <v>6</v>
      </c>
      <c r="M250" s="212">
        <v>2</v>
      </c>
      <c r="N250" s="81">
        <f t="shared" si="27"/>
        <v>11</v>
      </c>
      <c r="O250" s="82">
        <f t="shared" si="28"/>
        <v>2</v>
      </c>
      <c r="P250" s="70" t="str">
        <f t="shared" si="31"/>
        <v>ROOD</v>
      </c>
      <c r="Q250" s="86" t="str">
        <f t="shared" si="29"/>
        <v>Tiemen</v>
      </c>
      <c r="R250" s="87" t="str">
        <f t="shared" si="30"/>
        <v>Arno</v>
      </c>
      <c r="S250" s="147" t="str">
        <f>Tabel158[[#This Row],[Rood Verdediging]]&amp;Tabel158[[#This Row],[Rood Aanval]]</f>
        <v>TiemenArno</v>
      </c>
      <c r="T250" s="147" t="str">
        <f>Tabel158[[#This Row],[Groen Verdediging]]&amp;Tabel158[[#This Row],[Groen Aanval]]</f>
        <v>JonasStef D</v>
      </c>
      <c r="U250" s="147" t="str">
        <f>Tabel158[[#This Row],[Winnaar 1]]&amp;Tabel158[[#This Row],[Winnaar 2]]</f>
        <v>TiemenArno</v>
      </c>
      <c r="V250" s="147" t="str">
        <f>IF(Tabel158[[#This Row],[Team Rood]]=Tabel158[[#This Row],[Winnaars]],Tabel158[[#This Row],[Team Rood]])</f>
        <v>TiemenArno</v>
      </c>
      <c r="W250" s="147" t="b">
        <f>IF(Tabel158[[#This Row],[Team Groen]]=Tabel158[[#This Row],[Winnaars]],Tabel158[[#This Row],[Team Groen]])</f>
        <v>0</v>
      </c>
    </row>
    <row r="251" spans="1:23" x14ac:dyDescent="0.25">
      <c r="A251" s="125">
        <f ca="1">IF(Tabel158[[#This Row],[Rood Verdediging]]&lt;&gt;"",IF(A251="",NOW(),A251),"")</f>
        <v>0</v>
      </c>
      <c r="B251" s="128">
        <f ca="1">IF(Tabel158[[#This Row],[Rood Verdediging]]&lt;&gt;"",IF(B251="",NOW(),B251),"")</f>
        <v>43878.947694907409</v>
      </c>
      <c r="C251" s="126">
        <f ca="1">IF(Tabel158[[#This Row],[Score]]&lt;&gt;"",IF(C251="",NOW(),C251),"")</f>
        <v>43878.947694907409</v>
      </c>
      <c r="D251" s="182">
        <f ca="1">IF(OR(Tabel158[[#This Row],[Starttijd]]="",Tabel158[[#This Row],[Eindtijd]]=""),"",Tabel158[[#This Row],[Eindtijd]]-Tabel158[[#This Row],[Starttijd]])</f>
        <v>0</v>
      </c>
      <c r="E251" s="74">
        <v>120</v>
      </c>
      <c r="F251" s="205" t="s">
        <v>70</v>
      </c>
      <c r="G251" s="210">
        <v>5</v>
      </c>
      <c r="H251" s="205" t="s">
        <v>7</v>
      </c>
      <c r="I251" s="210">
        <v>6</v>
      </c>
      <c r="J251" s="206" t="s">
        <v>3</v>
      </c>
      <c r="K251" s="212">
        <v>2</v>
      </c>
      <c r="L251" s="206" t="s">
        <v>0</v>
      </c>
      <c r="M251" s="212">
        <v>6</v>
      </c>
      <c r="N251" s="81">
        <f t="shared" si="27"/>
        <v>11</v>
      </c>
      <c r="O251" s="82">
        <f t="shared" si="28"/>
        <v>8</v>
      </c>
      <c r="P251" s="70" t="str">
        <f t="shared" si="31"/>
        <v>ROOD</v>
      </c>
      <c r="Q251" s="86" t="str">
        <f t="shared" si="29"/>
        <v>Arno</v>
      </c>
      <c r="R251" s="87" t="str">
        <f t="shared" si="30"/>
        <v>Tiemen</v>
      </c>
      <c r="S251" s="147" t="str">
        <f>Tabel158[[#This Row],[Rood Verdediging]]&amp;Tabel158[[#This Row],[Rood Aanval]]</f>
        <v>ArnoTiemen</v>
      </c>
      <c r="T251" s="147" t="str">
        <f>Tabel158[[#This Row],[Groen Verdediging]]&amp;Tabel158[[#This Row],[Groen Aanval]]</f>
        <v>KarelJonas</v>
      </c>
      <c r="U251" s="147" t="str">
        <f>Tabel158[[#This Row],[Winnaar 1]]&amp;Tabel158[[#This Row],[Winnaar 2]]</f>
        <v>ArnoTiemen</v>
      </c>
      <c r="V251" s="147" t="str">
        <f>IF(Tabel158[[#This Row],[Team Rood]]=Tabel158[[#This Row],[Winnaars]],Tabel158[[#This Row],[Team Rood]])</f>
        <v>ArnoTiemen</v>
      </c>
      <c r="W251" s="147" t="b">
        <f>IF(Tabel158[[#This Row],[Team Groen]]=Tabel158[[#This Row],[Winnaars]],Tabel158[[#This Row],[Team Groen]])</f>
        <v>0</v>
      </c>
    </row>
    <row r="252" spans="1:23" x14ac:dyDescent="0.25">
      <c r="A252" s="125">
        <f ca="1">IF(Tabel158[[#This Row],[Rood Verdediging]]&lt;&gt;"",IF(A252="",NOW(),A252),"")</f>
        <v>0</v>
      </c>
      <c r="B252" s="128">
        <f ca="1">IF(Tabel158[[#This Row],[Rood Verdediging]]&lt;&gt;"",IF(B252="",NOW(),B252),"")</f>
        <v>43878.947694907409</v>
      </c>
      <c r="C252" s="126">
        <f ca="1">IF(Tabel158[[#This Row],[Score]]&lt;&gt;"",IF(C252="",NOW(),C252),"")</f>
        <v>43878.947694907409</v>
      </c>
      <c r="D252" s="182">
        <f ca="1">IF(OR(Tabel158[[#This Row],[Starttijd]]="",Tabel158[[#This Row],[Eindtijd]]=""),"",Tabel158[[#This Row],[Eindtijd]]-Tabel158[[#This Row],[Starttijd]])</f>
        <v>0</v>
      </c>
      <c r="E252" s="74">
        <v>120</v>
      </c>
      <c r="F252" s="205" t="s">
        <v>70</v>
      </c>
      <c r="G252" s="210">
        <v>5</v>
      </c>
      <c r="H252" s="205" t="s">
        <v>6</v>
      </c>
      <c r="I252" s="210">
        <v>5</v>
      </c>
      <c r="J252" s="206" t="s">
        <v>0</v>
      </c>
      <c r="K252" s="212">
        <v>2</v>
      </c>
      <c r="L252" s="206" t="s">
        <v>3</v>
      </c>
      <c r="M252" s="212">
        <v>10</v>
      </c>
      <c r="N252" s="81">
        <f t="shared" si="27"/>
        <v>10</v>
      </c>
      <c r="O252" s="82">
        <f t="shared" si="28"/>
        <v>12</v>
      </c>
      <c r="P252" s="70" t="str">
        <f t="shared" si="31"/>
        <v>GROEN</v>
      </c>
      <c r="Q252" s="86" t="str">
        <f t="shared" si="29"/>
        <v>Jonas</v>
      </c>
      <c r="R252" s="87" t="str">
        <f t="shared" si="30"/>
        <v>Karel</v>
      </c>
      <c r="S252" s="147" t="str">
        <f>Tabel158[[#This Row],[Rood Verdediging]]&amp;Tabel158[[#This Row],[Rood Aanval]]</f>
        <v>ArnoStef D</v>
      </c>
      <c r="T252" s="147" t="str">
        <f>Tabel158[[#This Row],[Groen Verdediging]]&amp;Tabel158[[#This Row],[Groen Aanval]]</f>
        <v>JonasKarel</v>
      </c>
      <c r="U252" s="147" t="str">
        <f>Tabel158[[#This Row],[Winnaar 1]]&amp;Tabel158[[#This Row],[Winnaar 2]]</f>
        <v>JonasKarel</v>
      </c>
      <c r="V252" s="147" t="b">
        <f>IF(Tabel158[[#This Row],[Team Rood]]=Tabel158[[#This Row],[Winnaars]],Tabel158[[#This Row],[Team Rood]])</f>
        <v>0</v>
      </c>
      <c r="W252" s="147" t="str">
        <f>IF(Tabel158[[#This Row],[Team Groen]]=Tabel158[[#This Row],[Winnaars]],Tabel158[[#This Row],[Team Groen]])</f>
        <v>JonasKarel</v>
      </c>
    </row>
    <row r="253" spans="1:23" x14ac:dyDescent="0.25">
      <c r="A253" s="125">
        <f ca="1">IF(Tabel158[[#This Row],[Rood Verdediging]]&lt;&gt;"",IF(A253="",NOW(),A253),"")</f>
        <v>0</v>
      </c>
      <c r="B253" s="128">
        <f ca="1">IF(Tabel158[[#This Row],[Rood Verdediging]]&lt;&gt;"",IF(B253="",NOW(),B253),"")</f>
        <v>43878.947694907409</v>
      </c>
      <c r="C253" s="126">
        <f ca="1">IF(Tabel158[[#This Row],[Score]]&lt;&gt;"",IF(C253="",NOW(),C253),"")</f>
        <v>43878.947694907409</v>
      </c>
      <c r="D253" s="182">
        <f ca="1">IF(OR(Tabel158[[#This Row],[Starttijd]]="",Tabel158[[#This Row],[Eindtijd]]=""),"",Tabel158[[#This Row],[Eindtijd]]-Tabel158[[#This Row],[Starttijd]])</f>
        <v>0</v>
      </c>
      <c r="E253" s="74">
        <v>120</v>
      </c>
      <c r="F253" s="205" t="s">
        <v>6</v>
      </c>
      <c r="G253" s="210">
        <v>5</v>
      </c>
      <c r="H253" s="205" t="s">
        <v>3</v>
      </c>
      <c r="I253" s="210">
        <v>6</v>
      </c>
      <c r="J253" s="206" t="s">
        <v>7</v>
      </c>
      <c r="K253" s="212">
        <v>0</v>
      </c>
      <c r="L253" s="206" t="s">
        <v>0</v>
      </c>
      <c r="M253" s="212">
        <v>3</v>
      </c>
      <c r="N253" s="81">
        <f t="shared" si="27"/>
        <v>11</v>
      </c>
      <c r="O253" s="82">
        <f t="shared" si="28"/>
        <v>3</v>
      </c>
      <c r="P253" s="70" t="str">
        <f t="shared" si="31"/>
        <v>ROOD</v>
      </c>
      <c r="Q253" s="86" t="str">
        <f t="shared" si="29"/>
        <v>Stef D</v>
      </c>
      <c r="R253" s="87" t="str">
        <f t="shared" si="30"/>
        <v>Karel</v>
      </c>
      <c r="S253" s="147" t="str">
        <f>Tabel158[[#This Row],[Rood Verdediging]]&amp;Tabel158[[#This Row],[Rood Aanval]]</f>
        <v>Stef DKarel</v>
      </c>
      <c r="T253" s="147" t="str">
        <f>Tabel158[[#This Row],[Groen Verdediging]]&amp;Tabel158[[#This Row],[Groen Aanval]]</f>
        <v>TiemenJonas</v>
      </c>
      <c r="U253" s="147" t="str">
        <f>Tabel158[[#This Row],[Winnaar 1]]&amp;Tabel158[[#This Row],[Winnaar 2]]</f>
        <v>Stef DKarel</v>
      </c>
      <c r="V253" s="147" t="str">
        <f>IF(Tabel158[[#This Row],[Team Rood]]=Tabel158[[#This Row],[Winnaars]],Tabel158[[#This Row],[Team Rood]])</f>
        <v>Stef DKarel</v>
      </c>
      <c r="W253" s="147" t="b">
        <f>IF(Tabel158[[#This Row],[Team Groen]]=Tabel158[[#This Row],[Winnaars]],Tabel158[[#This Row],[Team Groen]])</f>
        <v>0</v>
      </c>
    </row>
    <row r="254" spans="1:23" x14ac:dyDescent="0.25">
      <c r="A254" s="125">
        <f ca="1">IF(Tabel158[[#This Row],[Rood Verdediging]]&lt;&gt;"",IF(A254="",NOW(),A254),"")</f>
        <v>0</v>
      </c>
      <c r="B254" s="128">
        <f ca="1">IF(Tabel158[[#This Row],[Rood Verdediging]]&lt;&gt;"",IF(B254="",NOW(),B254),"")</f>
        <v>43878.947694907409</v>
      </c>
      <c r="C254" s="126">
        <f ca="1">IF(Tabel158[[#This Row],[Score]]&lt;&gt;"",IF(C254="",NOW(),C254),"")</f>
        <v>43878.947694907409</v>
      </c>
      <c r="D254" s="182">
        <f ca="1">IF(OR(Tabel158[[#This Row],[Starttijd]]="",Tabel158[[#This Row],[Eindtijd]]=""),"",Tabel158[[#This Row],[Eindtijd]]-Tabel158[[#This Row],[Starttijd]])</f>
        <v>0</v>
      </c>
      <c r="E254" s="74">
        <v>120</v>
      </c>
      <c r="F254" s="205" t="s">
        <v>7</v>
      </c>
      <c r="G254" s="210">
        <v>1</v>
      </c>
      <c r="H254" s="205" t="s">
        <v>13</v>
      </c>
      <c r="I254" s="210">
        <v>2</v>
      </c>
      <c r="J254" s="206" t="s">
        <v>8</v>
      </c>
      <c r="K254" s="212">
        <v>3</v>
      </c>
      <c r="L254" s="206" t="s">
        <v>70</v>
      </c>
      <c r="M254" s="212">
        <v>8</v>
      </c>
      <c r="N254" s="81">
        <f t="shared" si="27"/>
        <v>3</v>
      </c>
      <c r="O254" s="82">
        <f t="shared" si="28"/>
        <v>11</v>
      </c>
      <c r="P254" s="70" t="str">
        <f t="shared" si="31"/>
        <v>GROEN</v>
      </c>
      <c r="Q254" s="86" t="str">
        <f t="shared" si="29"/>
        <v>Louis</v>
      </c>
      <c r="R254" s="87" t="str">
        <f t="shared" si="30"/>
        <v>Arno</v>
      </c>
      <c r="S254" s="147" t="str">
        <f>Tabel158[[#This Row],[Rood Verdediging]]&amp;Tabel158[[#This Row],[Rood Aanval]]</f>
        <v>TiemenBert</v>
      </c>
      <c r="T254" s="147" t="str">
        <f>Tabel158[[#This Row],[Groen Verdediging]]&amp;Tabel158[[#This Row],[Groen Aanval]]</f>
        <v>LouisArno</v>
      </c>
      <c r="U254" s="147" t="str">
        <f>Tabel158[[#This Row],[Winnaar 1]]&amp;Tabel158[[#This Row],[Winnaar 2]]</f>
        <v>LouisArno</v>
      </c>
      <c r="V254" s="147" t="b">
        <f>IF(Tabel158[[#This Row],[Team Rood]]=Tabel158[[#This Row],[Winnaars]],Tabel158[[#This Row],[Team Rood]])</f>
        <v>0</v>
      </c>
      <c r="W254" s="147" t="str">
        <f>IF(Tabel158[[#This Row],[Team Groen]]=Tabel158[[#This Row],[Winnaars]],Tabel158[[#This Row],[Team Groen]])</f>
        <v>LouisArno</v>
      </c>
    </row>
    <row r="255" spans="1:23" x14ac:dyDescent="0.25">
      <c r="A255" s="125">
        <f ca="1">IF(Tabel158[[#This Row],[Rood Verdediging]]&lt;&gt;"",IF(A255="",NOW(),A255),"")</f>
        <v>0</v>
      </c>
      <c r="B255" s="128">
        <f ca="1">IF(Tabel158[[#This Row],[Rood Verdediging]]&lt;&gt;"",IF(B255="",NOW(),B255),"")</f>
        <v>43878.947694907409</v>
      </c>
      <c r="C255" s="126">
        <f ca="1">IF(Tabel158[[#This Row],[Score]]&lt;&gt;"",IF(C255="",NOW(),C255),"")</f>
        <v>43878.947694907409</v>
      </c>
      <c r="D255" s="182">
        <f ca="1">IF(OR(Tabel158[[#This Row],[Starttijd]]="",Tabel158[[#This Row],[Eindtijd]]=""),"",Tabel158[[#This Row],[Eindtijd]]-Tabel158[[#This Row],[Starttijd]])</f>
        <v>0</v>
      </c>
      <c r="E255" s="74">
        <v>120</v>
      </c>
      <c r="F255" s="205" t="s">
        <v>6</v>
      </c>
      <c r="G255" s="210">
        <v>2</v>
      </c>
      <c r="H255" s="205" t="s">
        <v>13</v>
      </c>
      <c r="I255" s="210">
        <v>3</v>
      </c>
      <c r="J255" s="206" t="s">
        <v>3</v>
      </c>
      <c r="K255" s="212">
        <v>2</v>
      </c>
      <c r="L255" s="206" t="s">
        <v>0</v>
      </c>
      <c r="M255" s="212">
        <v>9</v>
      </c>
      <c r="N255" s="81">
        <f t="shared" si="27"/>
        <v>5</v>
      </c>
      <c r="O255" s="82">
        <f t="shared" si="28"/>
        <v>11</v>
      </c>
      <c r="P255" s="70" t="str">
        <f t="shared" si="31"/>
        <v>GROEN</v>
      </c>
      <c r="Q255" s="86" t="str">
        <f t="shared" si="29"/>
        <v>Karel</v>
      </c>
      <c r="R255" s="87" t="str">
        <f t="shared" si="30"/>
        <v>Jonas</v>
      </c>
      <c r="S255" s="147" t="str">
        <f>Tabel158[[#This Row],[Rood Verdediging]]&amp;Tabel158[[#This Row],[Rood Aanval]]</f>
        <v>Stef DBert</v>
      </c>
      <c r="T255" s="147" t="str">
        <f>Tabel158[[#This Row],[Groen Verdediging]]&amp;Tabel158[[#This Row],[Groen Aanval]]</f>
        <v>KarelJonas</v>
      </c>
      <c r="U255" s="147" t="str">
        <f>Tabel158[[#This Row],[Winnaar 1]]&amp;Tabel158[[#This Row],[Winnaar 2]]</f>
        <v>KarelJonas</v>
      </c>
      <c r="V255" s="147" t="b">
        <f>IF(Tabel158[[#This Row],[Team Rood]]=Tabel158[[#This Row],[Winnaars]],Tabel158[[#This Row],[Team Rood]])</f>
        <v>0</v>
      </c>
      <c r="W255" s="147" t="str">
        <f>IF(Tabel158[[#This Row],[Team Groen]]=Tabel158[[#This Row],[Winnaars]],Tabel158[[#This Row],[Team Groen]])</f>
        <v>KarelJonas</v>
      </c>
    </row>
    <row r="256" spans="1:23" x14ac:dyDescent="0.25">
      <c r="A256" s="125">
        <f ca="1">IF(Tabel158[[#This Row],[Rood Verdediging]]&lt;&gt;"",IF(A256="",NOW(),A256),"")</f>
        <v>0</v>
      </c>
      <c r="B256" s="128">
        <f ca="1">IF(Tabel158[[#This Row],[Rood Verdediging]]&lt;&gt;"",IF(B256="",NOW(),B256),"")</f>
        <v>43878.947694907409</v>
      </c>
      <c r="C256" s="126">
        <f ca="1">IF(Tabel158[[#This Row],[Score]]&lt;&gt;"",IF(C256="",NOW(),C256),"")</f>
        <v>43878.947694907409</v>
      </c>
      <c r="D256" s="182">
        <f ca="1">IF(OR(Tabel158[[#This Row],[Starttijd]]="",Tabel158[[#This Row],[Eindtijd]]=""),"",Tabel158[[#This Row],[Eindtijd]]-Tabel158[[#This Row],[Starttijd]])</f>
        <v>0</v>
      </c>
      <c r="E256" s="74">
        <v>120</v>
      </c>
      <c r="F256" s="205" t="s">
        <v>70</v>
      </c>
      <c r="G256" s="210">
        <v>8</v>
      </c>
      <c r="H256" s="205" t="s">
        <v>3</v>
      </c>
      <c r="I256" s="210">
        <v>2</v>
      </c>
      <c r="J256" s="206" t="s">
        <v>8</v>
      </c>
      <c r="K256" s="212">
        <v>5</v>
      </c>
      <c r="L256" s="206" t="s">
        <v>7</v>
      </c>
      <c r="M256" s="212">
        <v>7</v>
      </c>
      <c r="N256" s="81">
        <f t="shared" si="27"/>
        <v>10</v>
      </c>
      <c r="O256" s="82">
        <f t="shared" si="28"/>
        <v>12</v>
      </c>
      <c r="P256" s="70" t="str">
        <f t="shared" si="31"/>
        <v>GROEN</v>
      </c>
      <c r="Q256" s="86" t="str">
        <f t="shared" si="29"/>
        <v>Louis</v>
      </c>
      <c r="R256" s="87" t="str">
        <f t="shared" si="30"/>
        <v>Tiemen</v>
      </c>
      <c r="S256" s="147" t="str">
        <f>Tabel158[[#This Row],[Rood Verdediging]]&amp;Tabel158[[#This Row],[Rood Aanval]]</f>
        <v>ArnoKarel</v>
      </c>
      <c r="T256" s="147" t="str">
        <f>Tabel158[[#This Row],[Groen Verdediging]]&amp;Tabel158[[#This Row],[Groen Aanval]]</f>
        <v>LouisTiemen</v>
      </c>
      <c r="U256" s="147" t="str">
        <f>Tabel158[[#This Row],[Winnaar 1]]&amp;Tabel158[[#This Row],[Winnaar 2]]</f>
        <v>LouisTiemen</v>
      </c>
      <c r="V256" s="147" t="b">
        <f>IF(Tabel158[[#This Row],[Team Rood]]=Tabel158[[#This Row],[Winnaars]],Tabel158[[#This Row],[Team Rood]])</f>
        <v>0</v>
      </c>
      <c r="W256" s="147" t="str">
        <f>IF(Tabel158[[#This Row],[Team Groen]]=Tabel158[[#This Row],[Winnaars]],Tabel158[[#This Row],[Team Groen]])</f>
        <v>LouisTiemen</v>
      </c>
    </row>
    <row r="257" spans="1:23" x14ac:dyDescent="0.25">
      <c r="A257" s="125">
        <f ca="1">IF(Tabel158[[#This Row],[Rood Verdediging]]&lt;&gt;"",IF(A257="",NOW(),A257),"")</f>
        <v>0</v>
      </c>
      <c r="B257" s="128">
        <f ca="1">IF(Tabel158[[#This Row],[Rood Verdediging]]&lt;&gt;"",IF(B257="",NOW(),B257),"")</f>
        <v>43878.947694907409</v>
      </c>
      <c r="C257" s="126">
        <f ca="1">IF(Tabel158[[#This Row],[Score]]&lt;&gt;"",IF(C257="",NOW(),C257),"")</f>
        <v>43878.947694907409</v>
      </c>
      <c r="D257" s="182">
        <f ca="1">IF(OR(Tabel158[[#This Row],[Starttijd]]="",Tabel158[[#This Row],[Eindtijd]]=""),"",Tabel158[[#This Row],[Eindtijd]]-Tabel158[[#This Row],[Starttijd]])</f>
        <v>0</v>
      </c>
      <c r="E257" s="74">
        <v>120</v>
      </c>
      <c r="F257" s="205" t="s">
        <v>0</v>
      </c>
      <c r="G257" s="210">
        <v>3</v>
      </c>
      <c r="H257" s="205" t="s">
        <v>7</v>
      </c>
      <c r="I257" s="210">
        <v>1</v>
      </c>
      <c r="J257" s="206" t="s">
        <v>70</v>
      </c>
      <c r="K257" s="212">
        <v>6</v>
      </c>
      <c r="L257" s="206" t="s">
        <v>6</v>
      </c>
      <c r="M257" s="212">
        <v>5</v>
      </c>
      <c r="N257" s="81">
        <f t="shared" ref="N257:N304" si="32">IF(ISBLANK(F257),"",SUM(G257,I257))</f>
        <v>4</v>
      </c>
      <c r="O257" s="82">
        <f t="shared" ref="O257:O304" si="33">IF(ISBLANK(F257),"",SUM(K257,M257))</f>
        <v>11</v>
      </c>
      <c r="P257" s="70" t="str">
        <f t="shared" si="31"/>
        <v>GROEN</v>
      </c>
      <c r="Q257" s="86" t="str">
        <f t="shared" ref="Q257:Q304" si="34">IF(N257&gt;O257,F257,IF(N257="","",J257))</f>
        <v>Arno</v>
      </c>
      <c r="R257" s="87" t="str">
        <f t="shared" ref="R257:R304" si="35">IF(N257&gt;O257,H257,IF(N257="","",L257))</f>
        <v>Stef D</v>
      </c>
      <c r="S257" s="147" t="str">
        <f>Tabel158[[#This Row],[Rood Verdediging]]&amp;Tabel158[[#This Row],[Rood Aanval]]</f>
        <v>JonasTiemen</v>
      </c>
      <c r="T257" s="147" t="str">
        <f>Tabel158[[#This Row],[Groen Verdediging]]&amp;Tabel158[[#This Row],[Groen Aanval]]</f>
        <v>ArnoStef D</v>
      </c>
      <c r="U257" s="147" t="str">
        <f>Tabel158[[#This Row],[Winnaar 1]]&amp;Tabel158[[#This Row],[Winnaar 2]]</f>
        <v>ArnoStef D</v>
      </c>
      <c r="V257" s="147" t="b">
        <f>IF(Tabel158[[#This Row],[Team Rood]]=Tabel158[[#This Row],[Winnaars]],Tabel158[[#This Row],[Team Rood]])</f>
        <v>0</v>
      </c>
      <c r="W257" s="147" t="str">
        <f>IF(Tabel158[[#This Row],[Team Groen]]=Tabel158[[#This Row],[Winnaars]],Tabel158[[#This Row],[Team Groen]])</f>
        <v>ArnoStef D</v>
      </c>
    </row>
    <row r="258" spans="1:23" x14ac:dyDescent="0.25">
      <c r="A258" s="125">
        <f ca="1">IF(Tabel158[[#This Row],[Rood Verdediging]]&lt;&gt;"",IF(A258="",NOW(),A258),"")</f>
        <v>0</v>
      </c>
      <c r="B258" s="128">
        <f ca="1">IF(Tabel158[[#This Row],[Rood Verdediging]]&lt;&gt;"",IF(B258="",NOW(),B258),"")</f>
        <v>43878.947694907409</v>
      </c>
      <c r="C258" s="126">
        <f ca="1">IF(Tabel158[[#This Row],[Score]]&lt;&gt;"",IF(C258="",NOW(),C258),"")</f>
        <v>43878.947694907409</v>
      </c>
      <c r="D258" s="182">
        <f ca="1">IF(OR(Tabel158[[#This Row],[Starttijd]]="",Tabel158[[#This Row],[Eindtijd]]=""),"",Tabel158[[#This Row],[Eindtijd]]-Tabel158[[#This Row],[Starttijd]])</f>
        <v>0</v>
      </c>
      <c r="E258" s="74">
        <v>120</v>
      </c>
      <c r="F258" s="205" t="s">
        <v>0</v>
      </c>
      <c r="G258" s="210">
        <v>4</v>
      </c>
      <c r="H258" s="205" t="s">
        <v>6</v>
      </c>
      <c r="I258" s="210">
        <v>7</v>
      </c>
      <c r="J258" s="206" t="s">
        <v>8</v>
      </c>
      <c r="K258" s="212">
        <v>1</v>
      </c>
      <c r="L258" s="206" t="s">
        <v>3</v>
      </c>
      <c r="M258" s="212">
        <v>6</v>
      </c>
      <c r="N258" s="81">
        <f t="shared" si="32"/>
        <v>11</v>
      </c>
      <c r="O258" s="82">
        <f t="shared" si="33"/>
        <v>7</v>
      </c>
      <c r="P258" s="70" t="str">
        <f t="shared" ref="P258:P304" si="36">IF(N258&gt;O258,"ROOD",IF(N258=O258,"","GROEN"))</f>
        <v>ROOD</v>
      </c>
      <c r="Q258" s="86" t="str">
        <f t="shared" si="34"/>
        <v>Jonas</v>
      </c>
      <c r="R258" s="87" t="str">
        <f t="shared" si="35"/>
        <v>Stef D</v>
      </c>
      <c r="S258" s="147" t="str">
        <f>Tabel158[[#This Row],[Rood Verdediging]]&amp;Tabel158[[#This Row],[Rood Aanval]]</f>
        <v>JonasStef D</v>
      </c>
      <c r="T258" s="147" t="str">
        <f>Tabel158[[#This Row],[Groen Verdediging]]&amp;Tabel158[[#This Row],[Groen Aanval]]</f>
        <v>LouisKarel</v>
      </c>
      <c r="U258" s="147" t="str">
        <f>Tabel158[[#This Row],[Winnaar 1]]&amp;Tabel158[[#This Row],[Winnaar 2]]</f>
        <v>JonasStef D</v>
      </c>
      <c r="V258" s="147" t="str">
        <f>IF(Tabel158[[#This Row],[Team Rood]]=Tabel158[[#This Row],[Winnaars]],Tabel158[[#This Row],[Team Rood]])</f>
        <v>JonasStef D</v>
      </c>
      <c r="W258" s="147" t="b">
        <f>IF(Tabel158[[#This Row],[Team Groen]]=Tabel158[[#This Row],[Winnaars]],Tabel158[[#This Row],[Team Groen]])</f>
        <v>0</v>
      </c>
    </row>
    <row r="259" spans="1:23" x14ac:dyDescent="0.25">
      <c r="A259" s="125">
        <f ca="1">IF(Tabel158[[#This Row],[Rood Verdediging]]&lt;&gt;"",IF(A259="",NOW(),A259),"")</f>
        <v>0</v>
      </c>
      <c r="B259" s="128">
        <f ca="1">IF(Tabel158[[#This Row],[Rood Verdediging]]&lt;&gt;"",IF(B259="",NOW(),B259),"")</f>
        <v>43878.947694907409</v>
      </c>
      <c r="C259" s="126">
        <f ca="1">IF(Tabel158[[#This Row],[Score]]&lt;&gt;"",IF(C259="",NOW(),C259),"")</f>
        <v>43878.947694907409</v>
      </c>
      <c r="D259" s="182">
        <f ca="1">IF(OR(Tabel158[[#This Row],[Starttijd]]="",Tabel158[[#This Row],[Eindtijd]]=""),"",Tabel158[[#This Row],[Eindtijd]]-Tabel158[[#This Row],[Starttijd]])</f>
        <v>0</v>
      </c>
      <c r="E259" s="74">
        <v>120</v>
      </c>
      <c r="F259" s="205" t="s">
        <v>8</v>
      </c>
      <c r="G259" s="210">
        <v>2</v>
      </c>
      <c r="H259" s="205" t="s">
        <v>6</v>
      </c>
      <c r="I259" s="210">
        <v>9</v>
      </c>
      <c r="J259" s="206" t="s">
        <v>70</v>
      </c>
      <c r="K259" s="212">
        <v>0</v>
      </c>
      <c r="L259" s="206" t="s">
        <v>7</v>
      </c>
      <c r="M259" s="212">
        <v>9</v>
      </c>
      <c r="N259" s="81">
        <f t="shared" si="32"/>
        <v>11</v>
      </c>
      <c r="O259" s="82">
        <f t="shared" si="33"/>
        <v>9</v>
      </c>
      <c r="P259" s="70" t="str">
        <f t="shared" si="36"/>
        <v>ROOD</v>
      </c>
      <c r="Q259" s="86" t="str">
        <f t="shared" si="34"/>
        <v>Louis</v>
      </c>
      <c r="R259" s="87" t="str">
        <f t="shared" si="35"/>
        <v>Stef D</v>
      </c>
      <c r="S259" s="147" t="str">
        <f>Tabel158[[#This Row],[Rood Verdediging]]&amp;Tabel158[[#This Row],[Rood Aanval]]</f>
        <v>LouisStef D</v>
      </c>
      <c r="T259" s="147" t="str">
        <f>Tabel158[[#This Row],[Groen Verdediging]]&amp;Tabel158[[#This Row],[Groen Aanval]]</f>
        <v>ArnoTiemen</v>
      </c>
      <c r="U259" s="147" t="str">
        <f>Tabel158[[#This Row],[Winnaar 1]]&amp;Tabel158[[#This Row],[Winnaar 2]]</f>
        <v>LouisStef D</v>
      </c>
      <c r="V259" s="147" t="str">
        <f>IF(Tabel158[[#This Row],[Team Rood]]=Tabel158[[#This Row],[Winnaars]],Tabel158[[#This Row],[Team Rood]])</f>
        <v>LouisStef D</v>
      </c>
      <c r="W259" s="147" t="b">
        <f>IF(Tabel158[[#This Row],[Team Groen]]=Tabel158[[#This Row],[Winnaars]],Tabel158[[#This Row],[Team Groen]])</f>
        <v>0</v>
      </c>
    </row>
    <row r="260" spans="1:23" x14ac:dyDescent="0.25">
      <c r="A260" s="125">
        <f ca="1">IF(Tabel158[[#This Row],[Rood Verdediging]]&lt;&gt;"",IF(A260="",NOW(),A260),"")</f>
        <v>0</v>
      </c>
      <c r="B260" s="128">
        <f ca="1">IF(Tabel158[[#This Row],[Rood Verdediging]]&lt;&gt;"",IF(B260="",NOW(),B260),"")</f>
        <v>43878.947694907409</v>
      </c>
      <c r="C260" s="126">
        <f ca="1">IF(Tabel158[[#This Row],[Score]]&lt;&gt;"",IF(C260="",NOW(),C260),"")</f>
        <v>43878.947694907409</v>
      </c>
      <c r="D260" s="182">
        <f ca="1">IF(OR(Tabel158[[#This Row],[Starttijd]]="",Tabel158[[#This Row],[Eindtijd]]=""),"",Tabel158[[#This Row],[Eindtijd]]-Tabel158[[#This Row],[Starttijd]])</f>
        <v>0</v>
      </c>
      <c r="E260" s="74">
        <v>120</v>
      </c>
      <c r="F260" s="205" t="s">
        <v>19</v>
      </c>
      <c r="G260" s="210">
        <v>0</v>
      </c>
      <c r="H260" s="205" t="s">
        <v>8</v>
      </c>
      <c r="I260" s="210">
        <v>4</v>
      </c>
      <c r="J260" s="206" t="s">
        <v>7</v>
      </c>
      <c r="K260" s="212">
        <v>3</v>
      </c>
      <c r="L260" s="206" t="s">
        <v>6</v>
      </c>
      <c r="M260" s="212">
        <v>8</v>
      </c>
      <c r="N260" s="81">
        <f t="shared" si="32"/>
        <v>4</v>
      </c>
      <c r="O260" s="82">
        <f t="shared" si="33"/>
        <v>11</v>
      </c>
      <c r="P260" s="70" t="str">
        <f t="shared" si="36"/>
        <v>GROEN</v>
      </c>
      <c r="Q260" s="86" t="str">
        <f t="shared" si="34"/>
        <v>Tiemen</v>
      </c>
      <c r="R260" s="87" t="str">
        <f t="shared" si="35"/>
        <v>Stef D</v>
      </c>
      <c r="S260" s="147" t="str">
        <f>Tabel158[[#This Row],[Rood Verdediging]]&amp;Tabel158[[#This Row],[Rood Aanval]]</f>
        <v>NicolasLouis</v>
      </c>
      <c r="T260" s="147" t="str">
        <f>Tabel158[[#This Row],[Groen Verdediging]]&amp;Tabel158[[#This Row],[Groen Aanval]]</f>
        <v>TiemenStef D</v>
      </c>
      <c r="U260" s="147" t="str">
        <f>Tabel158[[#This Row],[Winnaar 1]]&amp;Tabel158[[#This Row],[Winnaar 2]]</f>
        <v>TiemenStef D</v>
      </c>
      <c r="V260" s="147" t="b">
        <f>IF(Tabel158[[#This Row],[Team Rood]]=Tabel158[[#This Row],[Winnaars]],Tabel158[[#This Row],[Team Rood]])</f>
        <v>0</v>
      </c>
      <c r="W260" s="147" t="str">
        <f>IF(Tabel158[[#This Row],[Team Groen]]=Tabel158[[#This Row],[Winnaars]],Tabel158[[#This Row],[Team Groen]])</f>
        <v>TiemenStef D</v>
      </c>
    </row>
    <row r="261" spans="1:23" x14ac:dyDescent="0.25">
      <c r="A261" s="125">
        <f ca="1">IF(Tabel158[[#This Row],[Rood Verdediging]]&lt;&gt;"",IF(A261="",NOW(),A261),"")</f>
        <v>0</v>
      </c>
      <c r="B261" s="128">
        <f ca="1">IF(Tabel158[[#This Row],[Rood Verdediging]]&lt;&gt;"",IF(B261="",NOW(),B261),"")</f>
        <v>43878.947694907409</v>
      </c>
      <c r="C261" s="126">
        <f ca="1">IF(Tabel158[[#This Row],[Score]]&lt;&gt;"",IF(C261="",NOW(),C261),"")</f>
        <v>43878.947694907409</v>
      </c>
      <c r="D261" s="182">
        <f ca="1">IF(OR(Tabel158[[#This Row],[Starttijd]]="",Tabel158[[#This Row],[Eindtijd]]=""),"",Tabel158[[#This Row],[Eindtijd]]-Tabel158[[#This Row],[Starttijd]])</f>
        <v>0</v>
      </c>
      <c r="E261" s="74">
        <v>120</v>
      </c>
      <c r="F261" s="205" t="s">
        <v>8</v>
      </c>
      <c r="G261" s="210">
        <v>2</v>
      </c>
      <c r="H261" s="205" t="s">
        <v>70</v>
      </c>
      <c r="I261" s="210">
        <v>9</v>
      </c>
      <c r="J261" s="206" t="s">
        <v>0</v>
      </c>
      <c r="K261" s="212">
        <v>2</v>
      </c>
      <c r="L261" s="206" t="s">
        <v>11</v>
      </c>
      <c r="M261" s="212">
        <v>3</v>
      </c>
      <c r="N261" s="81">
        <f t="shared" si="32"/>
        <v>11</v>
      </c>
      <c r="O261" s="82">
        <f t="shared" si="33"/>
        <v>5</v>
      </c>
      <c r="P261" s="70" t="str">
        <f t="shared" si="36"/>
        <v>ROOD</v>
      </c>
      <c r="Q261" s="86" t="str">
        <f t="shared" si="34"/>
        <v>Louis</v>
      </c>
      <c r="R261" s="87" t="str">
        <f t="shared" si="35"/>
        <v>Arno</v>
      </c>
      <c r="S261" s="147" t="str">
        <f>Tabel158[[#This Row],[Rood Verdediging]]&amp;Tabel158[[#This Row],[Rood Aanval]]</f>
        <v>LouisArno</v>
      </c>
      <c r="T261" s="147" t="str">
        <f>Tabel158[[#This Row],[Groen Verdediging]]&amp;Tabel158[[#This Row],[Groen Aanval]]</f>
        <v>JonasMatthijs</v>
      </c>
      <c r="U261" s="147" t="str">
        <f>Tabel158[[#This Row],[Winnaar 1]]&amp;Tabel158[[#This Row],[Winnaar 2]]</f>
        <v>LouisArno</v>
      </c>
      <c r="V261" s="147" t="str">
        <f>IF(Tabel158[[#This Row],[Team Rood]]=Tabel158[[#This Row],[Winnaars]],Tabel158[[#This Row],[Team Rood]])</f>
        <v>LouisArno</v>
      </c>
      <c r="W261" s="147" t="b">
        <f>IF(Tabel158[[#This Row],[Team Groen]]=Tabel158[[#This Row],[Winnaars]],Tabel158[[#This Row],[Team Groen]])</f>
        <v>0</v>
      </c>
    </row>
    <row r="262" spans="1:23" x14ac:dyDescent="0.25">
      <c r="A262" s="125">
        <f ca="1">IF(Tabel158[[#This Row],[Rood Verdediging]]&lt;&gt;"",IF(A262="",NOW(),A262),"")</f>
        <v>0</v>
      </c>
      <c r="B262" s="128">
        <f ca="1">IF(Tabel158[[#This Row],[Rood Verdediging]]&lt;&gt;"",IF(B262="",NOW(),B262),"")</f>
        <v>43878.947694907409</v>
      </c>
      <c r="C262" s="126">
        <f ca="1">IF(Tabel158[[#This Row],[Score]]&lt;&gt;"",IF(C262="",NOW(),C262),"")</f>
        <v>43878.947694907409</v>
      </c>
      <c r="D262" s="182">
        <f ca="1">IF(OR(Tabel158[[#This Row],[Starttijd]]="",Tabel158[[#This Row],[Eindtijd]]=""),"",Tabel158[[#This Row],[Eindtijd]]-Tabel158[[#This Row],[Starttijd]])</f>
        <v>0</v>
      </c>
      <c r="E262" s="74">
        <v>120</v>
      </c>
      <c r="F262" s="205" t="s">
        <v>6</v>
      </c>
      <c r="G262" s="210">
        <v>3</v>
      </c>
      <c r="H262" s="205" t="s">
        <v>70</v>
      </c>
      <c r="I262" s="210">
        <v>8</v>
      </c>
      <c r="J262" s="206" t="s">
        <v>19</v>
      </c>
      <c r="K262" s="212">
        <v>0</v>
      </c>
      <c r="L262" s="206" t="s">
        <v>7</v>
      </c>
      <c r="M262" s="212">
        <v>6</v>
      </c>
      <c r="N262" s="81">
        <f t="shared" si="32"/>
        <v>11</v>
      </c>
      <c r="O262" s="82">
        <f t="shared" si="33"/>
        <v>6</v>
      </c>
      <c r="P262" s="70" t="str">
        <f t="shared" si="36"/>
        <v>ROOD</v>
      </c>
      <c r="Q262" s="86" t="str">
        <f t="shared" si="34"/>
        <v>Stef D</v>
      </c>
      <c r="R262" s="87" t="str">
        <f t="shared" si="35"/>
        <v>Arno</v>
      </c>
      <c r="S262" s="147" t="str">
        <f>Tabel158[[#This Row],[Rood Verdediging]]&amp;Tabel158[[#This Row],[Rood Aanval]]</f>
        <v>Stef DArno</v>
      </c>
      <c r="T262" s="147" t="str">
        <f>Tabel158[[#This Row],[Groen Verdediging]]&amp;Tabel158[[#This Row],[Groen Aanval]]</f>
        <v>NicolasTiemen</v>
      </c>
      <c r="U262" s="147" t="str">
        <f>Tabel158[[#This Row],[Winnaar 1]]&amp;Tabel158[[#This Row],[Winnaar 2]]</f>
        <v>Stef DArno</v>
      </c>
      <c r="V262" s="147" t="str">
        <f>IF(Tabel158[[#This Row],[Team Rood]]=Tabel158[[#This Row],[Winnaars]],Tabel158[[#This Row],[Team Rood]])</f>
        <v>Stef DArno</v>
      </c>
      <c r="W262" s="147" t="b">
        <f>IF(Tabel158[[#This Row],[Team Groen]]=Tabel158[[#This Row],[Winnaars]],Tabel158[[#This Row],[Team Groen]])</f>
        <v>0</v>
      </c>
    </row>
    <row r="263" spans="1:23" x14ac:dyDescent="0.25">
      <c r="A263" s="125">
        <f ca="1">IF(Tabel158[[#This Row],[Rood Verdediging]]&lt;&gt;"",IF(A263="",NOW(),A263),"")</f>
        <v>0</v>
      </c>
      <c r="B263" s="128">
        <f ca="1">IF(Tabel158[[#This Row],[Rood Verdediging]]&lt;&gt;"",IF(B263="",NOW(),B263),"")</f>
        <v>43878.947694907409</v>
      </c>
      <c r="C263" s="126">
        <f ca="1">IF(Tabel158[[#This Row],[Score]]&lt;&gt;"",IF(C263="",NOW(),C263),"")</f>
        <v>43878.947694907409</v>
      </c>
      <c r="D263" s="182">
        <f ca="1">IF(OR(Tabel158[[#This Row],[Starttijd]]="",Tabel158[[#This Row],[Eindtijd]]=""),"",Tabel158[[#This Row],[Eindtijd]]-Tabel158[[#This Row],[Starttijd]])</f>
        <v>0</v>
      </c>
      <c r="E263" s="74">
        <v>120</v>
      </c>
      <c r="F263" s="205" t="s">
        <v>8</v>
      </c>
      <c r="G263" s="210">
        <v>2</v>
      </c>
      <c r="H263" s="205" t="s">
        <v>0</v>
      </c>
      <c r="I263" s="210">
        <v>11</v>
      </c>
      <c r="J263" s="206" t="s">
        <v>11</v>
      </c>
      <c r="K263" s="212">
        <v>5</v>
      </c>
      <c r="L263" s="206" t="s">
        <v>70</v>
      </c>
      <c r="M263" s="212">
        <v>6</v>
      </c>
      <c r="N263" s="81">
        <f t="shared" si="32"/>
        <v>13</v>
      </c>
      <c r="O263" s="82">
        <f t="shared" si="33"/>
        <v>11</v>
      </c>
      <c r="P263" s="70" t="str">
        <f t="shared" si="36"/>
        <v>ROOD</v>
      </c>
      <c r="Q263" s="86" t="str">
        <f t="shared" si="34"/>
        <v>Louis</v>
      </c>
      <c r="R263" s="87" t="str">
        <f t="shared" si="35"/>
        <v>Jonas</v>
      </c>
      <c r="S263" s="147" t="str">
        <f>Tabel158[[#This Row],[Rood Verdediging]]&amp;Tabel158[[#This Row],[Rood Aanval]]</f>
        <v>LouisJonas</v>
      </c>
      <c r="T263" s="147" t="str">
        <f>Tabel158[[#This Row],[Groen Verdediging]]&amp;Tabel158[[#This Row],[Groen Aanval]]</f>
        <v>MatthijsArno</v>
      </c>
      <c r="U263" s="147" t="str">
        <f>Tabel158[[#This Row],[Winnaar 1]]&amp;Tabel158[[#This Row],[Winnaar 2]]</f>
        <v>LouisJonas</v>
      </c>
      <c r="V263" s="147" t="str">
        <f>IF(Tabel158[[#This Row],[Team Rood]]=Tabel158[[#This Row],[Winnaars]],Tabel158[[#This Row],[Team Rood]])</f>
        <v>LouisJonas</v>
      </c>
      <c r="W263" s="147" t="b">
        <f>IF(Tabel158[[#This Row],[Team Groen]]=Tabel158[[#This Row],[Winnaars]],Tabel158[[#This Row],[Team Groen]])</f>
        <v>0</v>
      </c>
    </row>
    <row r="264" spans="1:23" x14ac:dyDescent="0.25">
      <c r="A264" s="125">
        <f ca="1">IF(Tabel158[[#This Row],[Rood Verdediging]]&lt;&gt;"",IF(A264="",NOW(),A264),"")</f>
        <v>0</v>
      </c>
      <c r="B264" s="128">
        <f ca="1">IF(Tabel158[[#This Row],[Rood Verdediging]]&lt;&gt;"",IF(B264="",NOW(),B264),"")</f>
        <v>43878.947694907409</v>
      </c>
      <c r="C264" s="126">
        <f ca="1">IF(Tabel158[[#This Row],[Score]]&lt;&gt;"",IF(C264="",NOW(),C264),"")</f>
        <v>43878.947694907409</v>
      </c>
      <c r="D264" s="182">
        <f ca="1">IF(OR(Tabel158[[#This Row],[Starttijd]]="",Tabel158[[#This Row],[Eindtijd]]=""),"",Tabel158[[#This Row],[Eindtijd]]-Tabel158[[#This Row],[Starttijd]])</f>
        <v>0</v>
      </c>
      <c r="E264" s="74">
        <v>120</v>
      </c>
      <c r="F264" s="205" t="s">
        <v>0</v>
      </c>
      <c r="G264" s="210">
        <v>7</v>
      </c>
      <c r="H264" s="205" t="s">
        <v>70</v>
      </c>
      <c r="I264" s="210">
        <v>2</v>
      </c>
      <c r="J264" s="206" t="s">
        <v>6</v>
      </c>
      <c r="K264" s="212">
        <v>3</v>
      </c>
      <c r="L264" s="206" t="s">
        <v>7</v>
      </c>
      <c r="M264" s="212">
        <v>8</v>
      </c>
      <c r="N264" s="81">
        <f t="shared" si="32"/>
        <v>9</v>
      </c>
      <c r="O264" s="82">
        <f t="shared" si="33"/>
        <v>11</v>
      </c>
      <c r="P264" s="70" t="str">
        <f t="shared" si="36"/>
        <v>GROEN</v>
      </c>
      <c r="Q264" s="86" t="str">
        <f t="shared" si="34"/>
        <v>Stef D</v>
      </c>
      <c r="R264" s="87" t="str">
        <f t="shared" si="35"/>
        <v>Tiemen</v>
      </c>
      <c r="S264" s="147" t="str">
        <f>Tabel158[[#This Row],[Rood Verdediging]]&amp;Tabel158[[#This Row],[Rood Aanval]]</f>
        <v>JonasArno</v>
      </c>
      <c r="T264" s="147" t="str">
        <f>Tabel158[[#This Row],[Groen Verdediging]]&amp;Tabel158[[#This Row],[Groen Aanval]]</f>
        <v>Stef DTiemen</v>
      </c>
      <c r="U264" s="147" t="str">
        <f>Tabel158[[#This Row],[Winnaar 1]]&amp;Tabel158[[#This Row],[Winnaar 2]]</f>
        <v>Stef DTiemen</v>
      </c>
      <c r="V264" s="147" t="b">
        <f>IF(Tabel158[[#This Row],[Team Rood]]=Tabel158[[#This Row],[Winnaars]],Tabel158[[#This Row],[Team Rood]])</f>
        <v>0</v>
      </c>
      <c r="W264" s="147" t="str">
        <f>IF(Tabel158[[#This Row],[Team Groen]]=Tabel158[[#This Row],[Winnaars]],Tabel158[[#This Row],[Team Groen]])</f>
        <v>Stef DTiemen</v>
      </c>
    </row>
    <row r="265" spans="1:23" x14ac:dyDescent="0.25">
      <c r="A265" s="125">
        <f ca="1">IF(Tabel158[[#This Row],[Rood Verdediging]]&lt;&gt;"",IF(A265="",NOW(),A265),"")</f>
        <v>0</v>
      </c>
      <c r="B265" s="128">
        <f ca="1">IF(Tabel158[[#This Row],[Rood Verdediging]]&lt;&gt;"",IF(B265="",NOW(),B265),"")</f>
        <v>43878.947694907409</v>
      </c>
      <c r="C265" s="126">
        <f ca="1">IF(Tabel158[[#This Row],[Score]]&lt;&gt;"",IF(C265="",NOW(),C265),"")</f>
        <v>43878.947694907409</v>
      </c>
      <c r="D265" s="182">
        <f ca="1">IF(OR(Tabel158[[#This Row],[Starttijd]]="",Tabel158[[#This Row],[Eindtijd]]=""),"",Tabel158[[#This Row],[Eindtijd]]-Tabel158[[#This Row],[Starttijd]])</f>
        <v>0</v>
      </c>
      <c r="E265" s="74">
        <v>120</v>
      </c>
      <c r="F265" s="205" t="s">
        <v>11</v>
      </c>
      <c r="G265" s="210">
        <v>4</v>
      </c>
      <c r="H265" s="205" t="s">
        <v>6</v>
      </c>
      <c r="I265" s="210">
        <v>7</v>
      </c>
      <c r="J265" s="206" t="s">
        <v>70</v>
      </c>
      <c r="K265" s="212">
        <v>3</v>
      </c>
      <c r="L265" s="206" t="s">
        <v>19</v>
      </c>
      <c r="M265" s="212">
        <v>1</v>
      </c>
      <c r="N265" s="81">
        <f t="shared" si="32"/>
        <v>11</v>
      </c>
      <c r="O265" s="82">
        <f t="shared" si="33"/>
        <v>4</v>
      </c>
      <c r="P265" s="70" t="str">
        <f t="shared" si="36"/>
        <v>ROOD</v>
      </c>
      <c r="Q265" s="86" t="str">
        <f t="shared" si="34"/>
        <v>Matthijs</v>
      </c>
      <c r="R265" s="87" t="str">
        <f t="shared" si="35"/>
        <v>Stef D</v>
      </c>
      <c r="S265" s="147" t="str">
        <f>Tabel158[[#This Row],[Rood Verdediging]]&amp;Tabel158[[#This Row],[Rood Aanval]]</f>
        <v>MatthijsStef D</v>
      </c>
      <c r="T265" s="147" t="str">
        <f>Tabel158[[#This Row],[Groen Verdediging]]&amp;Tabel158[[#This Row],[Groen Aanval]]</f>
        <v>ArnoNicolas</v>
      </c>
      <c r="U265" s="147" t="str">
        <f>Tabel158[[#This Row],[Winnaar 1]]&amp;Tabel158[[#This Row],[Winnaar 2]]</f>
        <v>MatthijsStef D</v>
      </c>
      <c r="V265" s="147" t="str">
        <f>IF(Tabel158[[#This Row],[Team Rood]]=Tabel158[[#This Row],[Winnaars]],Tabel158[[#This Row],[Team Rood]])</f>
        <v>MatthijsStef D</v>
      </c>
      <c r="W265" s="147" t="b">
        <f>IF(Tabel158[[#This Row],[Team Groen]]=Tabel158[[#This Row],[Winnaars]],Tabel158[[#This Row],[Team Groen]])</f>
        <v>0</v>
      </c>
    </row>
    <row r="266" spans="1:23" x14ac:dyDescent="0.25">
      <c r="A266" s="125">
        <f ca="1">IF(Tabel158[[#This Row],[Rood Verdediging]]&lt;&gt;"",IF(A266="",NOW(),A266),"")</f>
        <v>0</v>
      </c>
      <c r="B266" s="128">
        <f ca="1">IF(Tabel158[[#This Row],[Rood Verdediging]]&lt;&gt;"",IF(B266="",NOW(),B266),"")</f>
        <v>43878.947694907409</v>
      </c>
      <c r="C266" s="126">
        <f ca="1">IF(Tabel158[[#This Row],[Score]]&lt;&gt;"",IF(C266="",NOW(),C266),"")</f>
        <v>43878.947694907409</v>
      </c>
      <c r="D266" s="182">
        <f ca="1">IF(OR(Tabel158[[#This Row],[Starttijd]]="",Tabel158[[#This Row],[Eindtijd]]=""),"",Tabel158[[#This Row],[Eindtijd]]-Tabel158[[#This Row],[Starttijd]])</f>
        <v>0</v>
      </c>
      <c r="E266" s="74">
        <v>120</v>
      </c>
      <c r="F266" s="205" t="s">
        <v>19</v>
      </c>
      <c r="G266" s="210">
        <v>0</v>
      </c>
      <c r="H266" s="205" t="s">
        <v>6</v>
      </c>
      <c r="I266" s="210">
        <v>3</v>
      </c>
      <c r="J266" s="206" t="s">
        <v>11</v>
      </c>
      <c r="K266" s="212">
        <v>4</v>
      </c>
      <c r="L266" s="206" t="s">
        <v>70</v>
      </c>
      <c r="M266" s="212">
        <v>7</v>
      </c>
      <c r="N266" s="81">
        <f t="shared" si="32"/>
        <v>3</v>
      </c>
      <c r="O266" s="82">
        <f t="shared" si="33"/>
        <v>11</v>
      </c>
      <c r="P266" s="70" t="str">
        <f t="shared" si="36"/>
        <v>GROEN</v>
      </c>
      <c r="Q266" s="86" t="str">
        <f t="shared" si="34"/>
        <v>Matthijs</v>
      </c>
      <c r="R266" s="87" t="str">
        <f t="shared" si="35"/>
        <v>Arno</v>
      </c>
      <c r="S266" s="147" t="str">
        <f>Tabel158[[#This Row],[Rood Verdediging]]&amp;Tabel158[[#This Row],[Rood Aanval]]</f>
        <v>NicolasStef D</v>
      </c>
      <c r="T266" s="147" t="str">
        <f>Tabel158[[#This Row],[Groen Verdediging]]&amp;Tabel158[[#This Row],[Groen Aanval]]</f>
        <v>MatthijsArno</v>
      </c>
      <c r="U266" s="147" t="str">
        <f>Tabel158[[#This Row],[Winnaar 1]]&amp;Tabel158[[#This Row],[Winnaar 2]]</f>
        <v>MatthijsArno</v>
      </c>
      <c r="V266" s="147" t="b">
        <f>IF(Tabel158[[#This Row],[Team Rood]]=Tabel158[[#This Row],[Winnaars]],Tabel158[[#This Row],[Team Rood]])</f>
        <v>0</v>
      </c>
      <c r="W266" s="147" t="str">
        <f>IF(Tabel158[[#This Row],[Team Groen]]=Tabel158[[#This Row],[Winnaars]],Tabel158[[#This Row],[Team Groen]])</f>
        <v>MatthijsArno</v>
      </c>
    </row>
    <row r="267" spans="1:23" x14ac:dyDescent="0.25">
      <c r="A267" s="125">
        <f ca="1">IF(Tabel158[[#This Row],[Rood Verdediging]]&lt;&gt;"",IF(A267="",NOW(),A267),"")</f>
        <v>0</v>
      </c>
      <c r="B267" s="128">
        <f ca="1">IF(Tabel158[[#This Row],[Rood Verdediging]]&lt;&gt;"",IF(B267="",NOW(),B267),"")</f>
        <v>43878.947694907409</v>
      </c>
      <c r="C267" s="126">
        <f ca="1">IF(Tabel158[[#This Row],[Score]]&lt;&gt;"",IF(C267="",NOW(),C267),"")</f>
        <v>43878.947694907409</v>
      </c>
      <c r="D267" s="182">
        <f ca="1">IF(OR(Tabel158[[#This Row],[Starttijd]]="",Tabel158[[#This Row],[Eindtijd]]=""),"",Tabel158[[#This Row],[Eindtijd]]-Tabel158[[#This Row],[Starttijd]])</f>
        <v>0</v>
      </c>
      <c r="E267" s="74">
        <v>120</v>
      </c>
      <c r="F267" s="205" t="s">
        <v>19</v>
      </c>
      <c r="G267" s="210">
        <v>2</v>
      </c>
      <c r="H267" s="205" t="s">
        <v>11</v>
      </c>
      <c r="I267" s="210">
        <v>3</v>
      </c>
      <c r="J267" s="206" t="s">
        <v>70</v>
      </c>
      <c r="K267" s="212">
        <v>8</v>
      </c>
      <c r="L267" s="206" t="s">
        <v>6</v>
      </c>
      <c r="M267" s="212">
        <v>3</v>
      </c>
      <c r="N267" s="81">
        <f t="shared" si="32"/>
        <v>5</v>
      </c>
      <c r="O267" s="82">
        <f t="shared" si="33"/>
        <v>11</v>
      </c>
      <c r="P267" s="70" t="str">
        <f t="shared" si="36"/>
        <v>GROEN</v>
      </c>
      <c r="Q267" s="86" t="str">
        <f t="shared" si="34"/>
        <v>Arno</v>
      </c>
      <c r="R267" s="87" t="str">
        <f t="shared" si="35"/>
        <v>Stef D</v>
      </c>
      <c r="S267" s="147" t="str">
        <f>Tabel158[[#This Row],[Rood Verdediging]]&amp;Tabel158[[#This Row],[Rood Aanval]]</f>
        <v>NicolasMatthijs</v>
      </c>
      <c r="T267" s="147" t="str">
        <f>Tabel158[[#This Row],[Groen Verdediging]]&amp;Tabel158[[#This Row],[Groen Aanval]]</f>
        <v>ArnoStef D</v>
      </c>
      <c r="U267" s="147" t="str">
        <f>Tabel158[[#This Row],[Winnaar 1]]&amp;Tabel158[[#This Row],[Winnaar 2]]</f>
        <v>ArnoStef D</v>
      </c>
      <c r="V267" s="147" t="b">
        <f>IF(Tabel158[[#This Row],[Team Rood]]=Tabel158[[#This Row],[Winnaars]],Tabel158[[#This Row],[Team Rood]])</f>
        <v>0</v>
      </c>
      <c r="W267" s="147" t="str">
        <f>IF(Tabel158[[#This Row],[Team Groen]]=Tabel158[[#This Row],[Winnaars]],Tabel158[[#This Row],[Team Groen]])</f>
        <v>ArnoStef D</v>
      </c>
    </row>
    <row r="268" spans="1:23" x14ac:dyDescent="0.25">
      <c r="A268" s="125">
        <f ca="1">IF(Tabel158[[#This Row],[Rood Verdediging]]&lt;&gt;"",IF(A268="",NOW(),A268),"")</f>
        <v>0</v>
      </c>
      <c r="B268" s="128">
        <f ca="1">IF(Tabel158[[#This Row],[Rood Verdediging]]&lt;&gt;"",IF(B268="",NOW(),B268),"")</f>
        <v>43878.947694907409</v>
      </c>
      <c r="C268" s="126">
        <f ca="1">IF(Tabel158[[#This Row],[Score]]&lt;&gt;"",IF(C268="",NOW(),C268),"")</f>
        <v>43878.947694907409</v>
      </c>
      <c r="D268" s="182">
        <f ca="1">IF(OR(Tabel158[[#This Row],[Starttijd]]="",Tabel158[[#This Row],[Eindtijd]]=""),"",Tabel158[[#This Row],[Eindtijd]]-Tabel158[[#This Row],[Starttijd]])</f>
        <v>0</v>
      </c>
      <c r="E268" s="74">
        <v>120</v>
      </c>
      <c r="F268" s="205" t="s">
        <v>11</v>
      </c>
      <c r="G268" s="210">
        <v>2</v>
      </c>
      <c r="H268" s="205" t="s">
        <v>6</v>
      </c>
      <c r="I268" s="210">
        <v>9</v>
      </c>
      <c r="J268" s="206" t="s">
        <v>7</v>
      </c>
      <c r="K268" s="212">
        <v>6</v>
      </c>
      <c r="L268" s="206" t="s">
        <v>3</v>
      </c>
      <c r="M268" s="212">
        <v>2</v>
      </c>
      <c r="N268" s="81">
        <f t="shared" si="32"/>
        <v>11</v>
      </c>
      <c r="O268" s="82">
        <f t="shared" si="33"/>
        <v>8</v>
      </c>
      <c r="P268" s="70" t="str">
        <f t="shared" si="36"/>
        <v>ROOD</v>
      </c>
      <c r="Q268" s="86" t="str">
        <f t="shared" si="34"/>
        <v>Matthijs</v>
      </c>
      <c r="R268" s="87" t="str">
        <f t="shared" si="35"/>
        <v>Stef D</v>
      </c>
      <c r="S268" s="147" t="str">
        <f>Tabel158[[#This Row],[Rood Verdediging]]&amp;Tabel158[[#This Row],[Rood Aanval]]</f>
        <v>MatthijsStef D</v>
      </c>
      <c r="T268" s="147" t="str">
        <f>Tabel158[[#This Row],[Groen Verdediging]]&amp;Tabel158[[#This Row],[Groen Aanval]]</f>
        <v>TiemenKarel</v>
      </c>
      <c r="U268" s="147" t="str">
        <f>Tabel158[[#This Row],[Winnaar 1]]&amp;Tabel158[[#This Row],[Winnaar 2]]</f>
        <v>MatthijsStef D</v>
      </c>
      <c r="V268" s="147" t="str">
        <f>IF(Tabel158[[#This Row],[Team Rood]]=Tabel158[[#This Row],[Winnaars]],Tabel158[[#This Row],[Team Rood]])</f>
        <v>MatthijsStef D</v>
      </c>
      <c r="W268" s="147" t="b">
        <f>IF(Tabel158[[#This Row],[Team Groen]]=Tabel158[[#This Row],[Winnaars]],Tabel158[[#This Row],[Team Groen]])</f>
        <v>0</v>
      </c>
    </row>
    <row r="269" spans="1:23" x14ac:dyDescent="0.25">
      <c r="A269" s="125">
        <f ca="1">IF(Tabel158[[#This Row],[Rood Verdediging]]&lt;&gt;"",IF(A269="",NOW(),A269),"")</f>
        <v>0</v>
      </c>
      <c r="B269" s="128">
        <f ca="1">IF(Tabel158[[#This Row],[Rood Verdediging]]&lt;&gt;"",IF(B269="",NOW(),B269),"")</f>
        <v>43878.947694907409</v>
      </c>
      <c r="C269" s="126">
        <f ca="1">IF(Tabel158[[#This Row],[Score]]&lt;&gt;"",IF(C269="",NOW(),C269),"")</f>
        <v>43878.947694907409</v>
      </c>
      <c r="D269" s="182">
        <f ca="1">IF(OR(Tabel158[[#This Row],[Starttijd]]="",Tabel158[[#This Row],[Eindtijd]]=""),"",Tabel158[[#This Row],[Eindtijd]]-Tabel158[[#This Row],[Starttijd]])</f>
        <v>0</v>
      </c>
      <c r="E269" s="74">
        <v>120</v>
      </c>
      <c r="F269" s="205" t="s">
        <v>3</v>
      </c>
      <c r="G269" s="210">
        <v>5</v>
      </c>
      <c r="H269" s="205" t="s">
        <v>6</v>
      </c>
      <c r="I269" s="210">
        <v>9</v>
      </c>
      <c r="J269" s="206" t="s">
        <v>11</v>
      </c>
      <c r="K269" s="212">
        <v>2</v>
      </c>
      <c r="L269" s="206" t="s">
        <v>7</v>
      </c>
      <c r="M269" s="212">
        <v>10</v>
      </c>
      <c r="N269" s="81">
        <f t="shared" si="32"/>
        <v>14</v>
      </c>
      <c r="O269" s="82">
        <f t="shared" si="33"/>
        <v>12</v>
      </c>
      <c r="P269" s="70" t="str">
        <f t="shared" si="36"/>
        <v>ROOD</v>
      </c>
      <c r="Q269" s="86" t="str">
        <f t="shared" si="34"/>
        <v>Karel</v>
      </c>
      <c r="R269" s="87" t="str">
        <f t="shared" si="35"/>
        <v>Stef D</v>
      </c>
      <c r="S269" s="147" t="str">
        <f>Tabel158[[#This Row],[Rood Verdediging]]&amp;Tabel158[[#This Row],[Rood Aanval]]</f>
        <v>KarelStef D</v>
      </c>
      <c r="T269" s="147" t="str">
        <f>Tabel158[[#This Row],[Groen Verdediging]]&amp;Tabel158[[#This Row],[Groen Aanval]]</f>
        <v>MatthijsTiemen</v>
      </c>
      <c r="U269" s="147" t="str">
        <f>Tabel158[[#This Row],[Winnaar 1]]&amp;Tabel158[[#This Row],[Winnaar 2]]</f>
        <v>KarelStef D</v>
      </c>
      <c r="V269" s="147" t="str">
        <f>IF(Tabel158[[#This Row],[Team Rood]]=Tabel158[[#This Row],[Winnaars]],Tabel158[[#This Row],[Team Rood]])</f>
        <v>KarelStef D</v>
      </c>
      <c r="W269" s="147" t="b">
        <f>IF(Tabel158[[#This Row],[Team Groen]]=Tabel158[[#This Row],[Winnaars]],Tabel158[[#This Row],[Team Groen]])</f>
        <v>0</v>
      </c>
    </row>
    <row r="270" spans="1:23" x14ac:dyDescent="0.25">
      <c r="A270" s="125">
        <f ca="1">IF(Tabel158[[#This Row],[Rood Verdediging]]&lt;&gt;"",IF(A270="",NOW(),A270),"")</f>
        <v>0</v>
      </c>
      <c r="B270" s="128">
        <f ca="1">IF(Tabel158[[#This Row],[Rood Verdediging]]&lt;&gt;"",IF(B270="",NOW(),B270),"")</f>
        <v>43878.947694907409</v>
      </c>
      <c r="C270" s="126">
        <f ca="1">IF(Tabel158[[#This Row],[Score]]&lt;&gt;"",IF(C270="",NOW(),C270),"")</f>
        <v>43878.947694907409</v>
      </c>
      <c r="D270" s="182">
        <f ca="1">IF(OR(Tabel158[[#This Row],[Starttijd]]="",Tabel158[[#This Row],[Eindtijd]]=""),"",Tabel158[[#This Row],[Eindtijd]]-Tabel158[[#This Row],[Starttijd]])</f>
        <v>0</v>
      </c>
      <c r="E270" s="74">
        <v>120</v>
      </c>
      <c r="F270" s="205" t="s">
        <v>11</v>
      </c>
      <c r="G270" s="210">
        <v>4</v>
      </c>
      <c r="H270" s="205" t="s">
        <v>3</v>
      </c>
      <c r="I270" s="210">
        <v>7</v>
      </c>
      <c r="J270" s="206" t="s">
        <v>6</v>
      </c>
      <c r="K270" s="212">
        <v>3</v>
      </c>
      <c r="L270" s="206" t="s">
        <v>7</v>
      </c>
      <c r="M270" s="212">
        <v>3</v>
      </c>
      <c r="N270" s="81">
        <f t="shared" si="32"/>
        <v>11</v>
      </c>
      <c r="O270" s="82">
        <f t="shared" si="33"/>
        <v>6</v>
      </c>
      <c r="P270" s="70" t="str">
        <f t="shared" si="36"/>
        <v>ROOD</v>
      </c>
      <c r="Q270" s="86" t="str">
        <f t="shared" si="34"/>
        <v>Matthijs</v>
      </c>
      <c r="R270" s="87" t="str">
        <f t="shared" si="35"/>
        <v>Karel</v>
      </c>
      <c r="S270" s="147" t="str">
        <f>Tabel158[[#This Row],[Rood Verdediging]]&amp;Tabel158[[#This Row],[Rood Aanval]]</f>
        <v>MatthijsKarel</v>
      </c>
      <c r="T270" s="147" t="str">
        <f>Tabel158[[#This Row],[Groen Verdediging]]&amp;Tabel158[[#This Row],[Groen Aanval]]</f>
        <v>Stef DTiemen</v>
      </c>
      <c r="U270" s="147" t="str">
        <f>Tabel158[[#This Row],[Winnaar 1]]&amp;Tabel158[[#This Row],[Winnaar 2]]</f>
        <v>MatthijsKarel</v>
      </c>
      <c r="V270" s="147" t="str">
        <f>IF(Tabel158[[#This Row],[Team Rood]]=Tabel158[[#This Row],[Winnaars]],Tabel158[[#This Row],[Team Rood]])</f>
        <v>MatthijsKarel</v>
      </c>
      <c r="W270" s="147" t="b">
        <f>IF(Tabel158[[#This Row],[Team Groen]]=Tabel158[[#This Row],[Winnaars]],Tabel158[[#This Row],[Team Groen]])</f>
        <v>0</v>
      </c>
    </row>
    <row r="271" spans="1:23" x14ac:dyDescent="0.25">
      <c r="A271" s="125">
        <f ca="1">IF(Tabel158[[#This Row],[Rood Verdediging]]&lt;&gt;"",IF(A271="",NOW(),A271),"")</f>
        <v>0</v>
      </c>
      <c r="B271" s="128">
        <f ca="1">IF(Tabel158[[#This Row],[Rood Verdediging]]&lt;&gt;"",IF(B271="",NOW(),B271),"")</f>
        <v>43878.947694907409</v>
      </c>
      <c r="C271" s="126">
        <f ca="1">IF(Tabel158[[#This Row],[Score]]&lt;&gt;"",IF(C271="",NOW(),C271),"")</f>
        <v>43878.947694907409</v>
      </c>
      <c r="D271" s="182">
        <f ca="1">IF(OR(Tabel158[[#This Row],[Starttijd]]="",Tabel158[[#This Row],[Eindtijd]]=""),"",Tabel158[[#This Row],[Eindtijd]]-Tabel158[[#This Row],[Starttijd]])</f>
        <v>0</v>
      </c>
      <c r="E271" s="74">
        <v>120</v>
      </c>
      <c r="F271" s="205" t="s">
        <v>6</v>
      </c>
      <c r="G271" s="210">
        <v>3</v>
      </c>
      <c r="H271" s="205" t="s">
        <v>3</v>
      </c>
      <c r="I271" s="210">
        <v>8</v>
      </c>
      <c r="J271" s="206" t="s">
        <v>11</v>
      </c>
      <c r="K271" s="212">
        <v>2</v>
      </c>
      <c r="L271" s="206" t="s">
        <v>7</v>
      </c>
      <c r="M271" s="212">
        <v>5</v>
      </c>
      <c r="N271" s="81">
        <f t="shared" si="32"/>
        <v>11</v>
      </c>
      <c r="O271" s="82">
        <f t="shared" si="33"/>
        <v>7</v>
      </c>
      <c r="P271" s="70" t="str">
        <f t="shared" si="36"/>
        <v>ROOD</v>
      </c>
      <c r="Q271" s="86" t="str">
        <f t="shared" si="34"/>
        <v>Stef D</v>
      </c>
      <c r="R271" s="87" t="str">
        <f t="shared" si="35"/>
        <v>Karel</v>
      </c>
      <c r="S271" s="147" t="str">
        <f>Tabel158[[#This Row],[Rood Verdediging]]&amp;Tabel158[[#This Row],[Rood Aanval]]</f>
        <v>Stef DKarel</v>
      </c>
      <c r="T271" s="147" t="str">
        <f>Tabel158[[#This Row],[Groen Verdediging]]&amp;Tabel158[[#This Row],[Groen Aanval]]</f>
        <v>MatthijsTiemen</v>
      </c>
      <c r="U271" s="147" t="str">
        <f>Tabel158[[#This Row],[Winnaar 1]]&amp;Tabel158[[#This Row],[Winnaar 2]]</f>
        <v>Stef DKarel</v>
      </c>
      <c r="V271" s="147" t="str">
        <f>IF(Tabel158[[#This Row],[Team Rood]]=Tabel158[[#This Row],[Winnaars]],Tabel158[[#This Row],[Team Rood]])</f>
        <v>Stef DKarel</v>
      </c>
      <c r="W271" s="147" t="b">
        <f>IF(Tabel158[[#This Row],[Team Groen]]=Tabel158[[#This Row],[Winnaars]],Tabel158[[#This Row],[Team Groen]])</f>
        <v>0</v>
      </c>
    </row>
    <row r="272" spans="1:23" x14ac:dyDescent="0.25">
      <c r="A272" s="125">
        <f ca="1">IF(Tabel158[[#This Row],[Rood Verdediging]]&lt;&gt;"",IF(A272="",NOW(),A272),"")</f>
        <v>0</v>
      </c>
      <c r="B272" s="128">
        <f ca="1">IF(Tabel158[[#This Row],[Rood Verdediging]]&lt;&gt;"",IF(B272="",NOW(),B272),"")</f>
        <v>43878.947694907409</v>
      </c>
      <c r="C272" s="126">
        <f ca="1">IF(Tabel158[[#This Row],[Score]]&lt;&gt;"",IF(C272="",NOW(),C272),"")</f>
        <v>43878.947694907409</v>
      </c>
      <c r="D272" s="182">
        <f ca="1">IF(OR(Tabel158[[#This Row],[Starttijd]]="",Tabel158[[#This Row],[Eindtijd]]=""),"",Tabel158[[#This Row],[Eindtijd]]-Tabel158[[#This Row],[Starttijd]])</f>
        <v>0</v>
      </c>
      <c r="E272" s="74">
        <v>120</v>
      </c>
      <c r="F272" s="205" t="s">
        <v>70</v>
      </c>
      <c r="G272" s="210">
        <v>3</v>
      </c>
      <c r="H272" s="205" t="s">
        <v>6</v>
      </c>
      <c r="I272" s="210">
        <v>6</v>
      </c>
      <c r="J272" s="206" t="s">
        <v>0</v>
      </c>
      <c r="K272" s="212">
        <v>5</v>
      </c>
      <c r="L272" s="206" t="s">
        <v>3</v>
      </c>
      <c r="M272" s="212">
        <v>6</v>
      </c>
      <c r="N272" s="81">
        <f t="shared" si="32"/>
        <v>9</v>
      </c>
      <c r="O272" s="82">
        <f t="shared" si="33"/>
        <v>11</v>
      </c>
      <c r="P272" s="70" t="str">
        <f t="shared" si="36"/>
        <v>GROEN</v>
      </c>
      <c r="Q272" s="86" t="str">
        <f t="shared" si="34"/>
        <v>Jonas</v>
      </c>
      <c r="R272" s="87" t="str">
        <f t="shared" si="35"/>
        <v>Karel</v>
      </c>
      <c r="S272" s="147" t="str">
        <f>Tabel158[[#This Row],[Rood Verdediging]]&amp;Tabel158[[#This Row],[Rood Aanval]]</f>
        <v>ArnoStef D</v>
      </c>
      <c r="T272" s="147" t="str">
        <f>Tabel158[[#This Row],[Groen Verdediging]]&amp;Tabel158[[#This Row],[Groen Aanval]]</f>
        <v>JonasKarel</v>
      </c>
      <c r="U272" s="147" t="str">
        <f>Tabel158[[#This Row],[Winnaar 1]]&amp;Tabel158[[#This Row],[Winnaar 2]]</f>
        <v>JonasKarel</v>
      </c>
      <c r="V272" s="147" t="b">
        <f>IF(Tabel158[[#This Row],[Team Rood]]=Tabel158[[#This Row],[Winnaars]],Tabel158[[#This Row],[Team Rood]])</f>
        <v>0</v>
      </c>
      <c r="W272" s="147" t="str">
        <f>IF(Tabel158[[#This Row],[Team Groen]]=Tabel158[[#This Row],[Winnaars]],Tabel158[[#This Row],[Team Groen]])</f>
        <v>JonasKarel</v>
      </c>
    </row>
    <row r="273" spans="1:23" x14ac:dyDescent="0.25">
      <c r="A273" s="125">
        <f ca="1">IF(Tabel158[[#This Row],[Rood Verdediging]]&lt;&gt;"",IF(A273="",NOW(),A273),"")</f>
        <v>0</v>
      </c>
      <c r="B273" s="128">
        <f ca="1">IF(Tabel158[[#This Row],[Rood Verdediging]]&lt;&gt;"",IF(B273="",NOW(),B273),"")</f>
        <v>43878.947694907409</v>
      </c>
      <c r="C273" s="126">
        <f ca="1">IF(Tabel158[[#This Row],[Score]]&lt;&gt;"",IF(C273="",NOW(),C273),"")</f>
        <v>43878.947694907409</v>
      </c>
      <c r="D273" s="182">
        <f ca="1">IF(OR(Tabel158[[#This Row],[Starttijd]]="",Tabel158[[#This Row],[Eindtijd]]=""),"",Tabel158[[#This Row],[Eindtijd]]-Tabel158[[#This Row],[Starttijd]])</f>
        <v>0</v>
      </c>
      <c r="E273" s="74">
        <v>120</v>
      </c>
      <c r="F273" s="205" t="s">
        <v>3</v>
      </c>
      <c r="G273" s="210">
        <v>4</v>
      </c>
      <c r="H273" s="205" t="s">
        <v>70</v>
      </c>
      <c r="I273" s="210">
        <v>7</v>
      </c>
      <c r="J273" s="206" t="s">
        <v>0</v>
      </c>
      <c r="K273" s="212">
        <v>6</v>
      </c>
      <c r="L273" s="206" t="s">
        <v>19</v>
      </c>
      <c r="M273" s="212">
        <v>1</v>
      </c>
      <c r="N273" s="81">
        <f t="shared" si="32"/>
        <v>11</v>
      </c>
      <c r="O273" s="82">
        <f t="shared" si="33"/>
        <v>7</v>
      </c>
      <c r="P273" s="70" t="str">
        <f t="shared" si="36"/>
        <v>ROOD</v>
      </c>
      <c r="Q273" s="86" t="str">
        <f t="shared" si="34"/>
        <v>Karel</v>
      </c>
      <c r="R273" s="87" t="str">
        <f t="shared" si="35"/>
        <v>Arno</v>
      </c>
      <c r="S273" s="147" t="str">
        <f>Tabel158[[#This Row],[Rood Verdediging]]&amp;Tabel158[[#This Row],[Rood Aanval]]</f>
        <v>KarelArno</v>
      </c>
      <c r="T273" s="147" t="str">
        <f>Tabel158[[#This Row],[Groen Verdediging]]&amp;Tabel158[[#This Row],[Groen Aanval]]</f>
        <v>JonasNicolas</v>
      </c>
      <c r="U273" s="147" t="str">
        <f>Tabel158[[#This Row],[Winnaar 1]]&amp;Tabel158[[#This Row],[Winnaar 2]]</f>
        <v>KarelArno</v>
      </c>
      <c r="V273" s="147" t="str">
        <f>IF(Tabel158[[#This Row],[Team Rood]]=Tabel158[[#This Row],[Winnaars]],Tabel158[[#This Row],[Team Rood]])</f>
        <v>KarelArno</v>
      </c>
      <c r="W273" s="147" t="b">
        <f>IF(Tabel158[[#This Row],[Team Groen]]=Tabel158[[#This Row],[Winnaars]],Tabel158[[#This Row],[Team Groen]])</f>
        <v>0</v>
      </c>
    </row>
    <row r="274" spans="1:23" x14ac:dyDescent="0.25">
      <c r="A274" s="125">
        <f ca="1">IF(Tabel158[[#This Row],[Rood Verdediging]]&lt;&gt;"",IF(A274="",NOW(),A274),"")</f>
        <v>0</v>
      </c>
      <c r="B274" s="128">
        <f ca="1">IF(Tabel158[[#This Row],[Rood Verdediging]]&lt;&gt;"",IF(B274="",NOW(),B274),"")</f>
        <v>43878.947694907409</v>
      </c>
      <c r="C274" s="126">
        <f ca="1">IF(Tabel158[[#This Row],[Score]]&lt;&gt;"",IF(C274="",NOW(),C274),"")</f>
        <v>43878.947694907409</v>
      </c>
      <c r="D274" s="182">
        <f ca="1">IF(OR(Tabel158[[#This Row],[Starttijd]]="",Tabel158[[#This Row],[Eindtijd]]=""),"",Tabel158[[#This Row],[Eindtijd]]-Tabel158[[#This Row],[Starttijd]])</f>
        <v>0</v>
      </c>
      <c r="E274" s="74">
        <v>120</v>
      </c>
      <c r="F274" s="205" t="s">
        <v>6</v>
      </c>
      <c r="G274" s="210">
        <v>2</v>
      </c>
      <c r="H274" s="205" t="s">
        <v>3</v>
      </c>
      <c r="I274" s="210">
        <v>7</v>
      </c>
      <c r="J274" s="206" t="s">
        <v>19</v>
      </c>
      <c r="K274" s="212">
        <v>3</v>
      </c>
      <c r="L274" s="206" t="s">
        <v>0</v>
      </c>
      <c r="M274" s="212">
        <v>8</v>
      </c>
      <c r="N274" s="81">
        <f t="shared" si="32"/>
        <v>9</v>
      </c>
      <c r="O274" s="82">
        <f t="shared" si="33"/>
        <v>11</v>
      </c>
      <c r="P274" s="70" t="str">
        <f t="shared" si="36"/>
        <v>GROEN</v>
      </c>
      <c r="Q274" s="86" t="str">
        <f t="shared" si="34"/>
        <v>Nicolas</v>
      </c>
      <c r="R274" s="87" t="str">
        <f t="shared" si="35"/>
        <v>Jonas</v>
      </c>
      <c r="S274" s="147" t="str">
        <f>Tabel158[[#This Row],[Rood Verdediging]]&amp;Tabel158[[#This Row],[Rood Aanval]]</f>
        <v>Stef DKarel</v>
      </c>
      <c r="T274" s="147" t="str">
        <f>Tabel158[[#This Row],[Groen Verdediging]]&amp;Tabel158[[#This Row],[Groen Aanval]]</f>
        <v>NicolasJonas</v>
      </c>
      <c r="U274" s="147" t="str">
        <f>Tabel158[[#This Row],[Winnaar 1]]&amp;Tabel158[[#This Row],[Winnaar 2]]</f>
        <v>NicolasJonas</v>
      </c>
      <c r="V274" s="147" t="b">
        <f>IF(Tabel158[[#This Row],[Team Rood]]=Tabel158[[#This Row],[Winnaars]],Tabel158[[#This Row],[Team Rood]])</f>
        <v>0</v>
      </c>
      <c r="W274" s="147" t="str">
        <f>IF(Tabel158[[#This Row],[Team Groen]]=Tabel158[[#This Row],[Winnaars]],Tabel158[[#This Row],[Team Groen]])</f>
        <v>NicolasJonas</v>
      </c>
    </row>
    <row r="275" spans="1:23" x14ac:dyDescent="0.25">
      <c r="A275" s="125">
        <f ca="1">IF(Tabel158[[#This Row],[Rood Verdediging]]&lt;&gt;"",IF(A275="",NOW(),A275),"")</f>
        <v>0</v>
      </c>
      <c r="B275" s="128">
        <f ca="1">IF(Tabel158[[#This Row],[Rood Verdediging]]&lt;&gt;"",IF(B275="",NOW(),B275),"")</f>
        <v>43878.947694907409</v>
      </c>
      <c r="C275" s="126">
        <f ca="1">IF(Tabel158[[#This Row],[Score]]&lt;&gt;"",IF(C275="",NOW(),C275),"")</f>
        <v>43878.947694907409</v>
      </c>
      <c r="D275" s="182">
        <f ca="1">IF(OR(Tabel158[[#This Row],[Starttijd]]="",Tabel158[[#This Row],[Eindtijd]]=""),"",Tabel158[[#This Row],[Eindtijd]]-Tabel158[[#This Row],[Starttijd]])</f>
        <v>0</v>
      </c>
      <c r="E275" s="74">
        <v>120</v>
      </c>
      <c r="F275" s="205" t="s">
        <v>19</v>
      </c>
      <c r="G275" s="210">
        <v>4</v>
      </c>
      <c r="H275" s="205" t="s">
        <v>70</v>
      </c>
      <c r="I275" s="210">
        <v>8</v>
      </c>
      <c r="J275" s="206" t="s">
        <v>6</v>
      </c>
      <c r="K275" s="212">
        <v>3</v>
      </c>
      <c r="L275" s="206" t="s">
        <v>0</v>
      </c>
      <c r="M275" s="212">
        <v>7</v>
      </c>
      <c r="N275" s="81">
        <f t="shared" si="32"/>
        <v>12</v>
      </c>
      <c r="O275" s="82">
        <f t="shared" si="33"/>
        <v>10</v>
      </c>
      <c r="P275" s="70" t="str">
        <f t="shared" si="36"/>
        <v>ROOD</v>
      </c>
      <c r="Q275" s="86" t="str">
        <f t="shared" si="34"/>
        <v>Nicolas</v>
      </c>
      <c r="R275" s="87" t="str">
        <f t="shared" si="35"/>
        <v>Arno</v>
      </c>
      <c r="S275" s="147" t="str">
        <f>Tabel158[[#This Row],[Rood Verdediging]]&amp;Tabel158[[#This Row],[Rood Aanval]]</f>
        <v>NicolasArno</v>
      </c>
      <c r="T275" s="147" t="str">
        <f>Tabel158[[#This Row],[Groen Verdediging]]&amp;Tabel158[[#This Row],[Groen Aanval]]</f>
        <v>Stef DJonas</v>
      </c>
      <c r="U275" s="147" t="str">
        <f>Tabel158[[#This Row],[Winnaar 1]]&amp;Tabel158[[#This Row],[Winnaar 2]]</f>
        <v>NicolasArno</v>
      </c>
      <c r="V275" s="147" t="str">
        <f>IF(Tabel158[[#This Row],[Team Rood]]=Tabel158[[#This Row],[Winnaars]],Tabel158[[#This Row],[Team Rood]])</f>
        <v>NicolasArno</v>
      </c>
      <c r="W275" s="147" t="b">
        <f>IF(Tabel158[[#This Row],[Team Groen]]=Tabel158[[#This Row],[Winnaars]],Tabel158[[#This Row],[Team Groen]])</f>
        <v>0</v>
      </c>
    </row>
    <row r="276" spans="1:23" x14ac:dyDescent="0.25">
      <c r="A276" s="125">
        <f ca="1">IF(Tabel158[[#This Row],[Rood Verdediging]]&lt;&gt;"",IF(A276="",NOW(),A276),"")</f>
        <v>0</v>
      </c>
      <c r="B276" s="128">
        <f ca="1">IF(Tabel158[[#This Row],[Rood Verdediging]]&lt;&gt;"",IF(B276="",NOW(),B276),"")</f>
        <v>43878.947694907409</v>
      </c>
      <c r="C276" s="126">
        <f ca="1">IF(Tabel158[[#This Row],[Score]]&lt;&gt;"",IF(C276="",NOW(),C276),"")</f>
        <v>43878.947694907409</v>
      </c>
      <c r="D276" s="182">
        <f ca="1">IF(OR(Tabel158[[#This Row],[Starttijd]]="",Tabel158[[#This Row],[Eindtijd]]=""),"",Tabel158[[#This Row],[Eindtijd]]-Tabel158[[#This Row],[Starttijd]])</f>
        <v>0</v>
      </c>
      <c r="E276" s="74">
        <v>120</v>
      </c>
      <c r="F276" s="205" t="s">
        <v>0</v>
      </c>
      <c r="G276" s="210">
        <v>1</v>
      </c>
      <c r="H276" s="205" t="s">
        <v>70</v>
      </c>
      <c r="I276" s="210">
        <v>4</v>
      </c>
      <c r="J276" s="206" t="s">
        <v>3</v>
      </c>
      <c r="K276" s="212">
        <v>3</v>
      </c>
      <c r="L276" s="206" t="s">
        <v>6</v>
      </c>
      <c r="M276" s="212">
        <v>8</v>
      </c>
      <c r="N276" s="81">
        <f t="shared" si="32"/>
        <v>5</v>
      </c>
      <c r="O276" s="82">
        <f t="shared" si="33"/>
        <v>11</v>
      </c>
      <c r="P276" s="70" t="str">
        <f t="shared" si="36"/>
        <v>GROEN</v>
      </c>
      <c r="Q276" s="86" t="str">
        <f t="shared" si="34"/>
        <v>Karel</v>
      </c>
      <c r="R276" s="87" t="str">
        <f t="shared" si="35"/>
        <v>Stef D</v>
      </c>
      <c r="S276" s="147" t="str">
        <f>Tabel158[[#This Row],[Rood Verdediging]]&amp;Tabel158[[#This Row],[Rood Aanval]]</f>
        <v>JonasArno</v>
      </c>
      <c r="T276" s="147" t="str">
        <f>Tabel158[[#This Row],[Groen Verdediging]]&amp;Tabel158[[#This Row],[Groen Aanval]]</f>
        <v>KarelStef D</v>
      </c>
      <c r="U276" s="147" t="str">
        <f>Tabel158[[#This Row],[Winnaar 1]]&amp;Tabel158[[#This Row],[Winnaar 2]]</f>
        <v>KarelStef D</v>
      </c>
      <c r="V276" s="147" t="b">
        <f>IF(Tabel158[[#This Row],[Team Rood]]=Tabel158[[#This Row],[Winnaars]],Tabel158[[#This Row],[Team Rood]])</f>
        <v>0</v>
      </c>
      <c r="W276" s="147" t="str">
        <f>IF(Tabel158[[#This Row],[Team Groen]]=Tabel158[[#This Row],[Winnaars]],Tabel158[[#This Row],[Team Groen]])</f>
        <v>KarelStef D</v>
      </c>
    </row>
    <row r="277" spans="1:23" x14ac:dyDescent="0.25">
      <c r="A277" s="125">
        <f ca="1">IF(Tabel158[[#This Row],[Rood Verdediging]]&lt;&gt;"",IF(A277="",NOW(),A277),"")</f>
        <v>0</v>
      </c>
      <c r="B277" s="128">
        <f ca="1">IF(Tabel158[[#This Row],[Rood Verdediging]]&lt;&gt;"",IF(B277="",NOW(),B277),"")</f>
        <v>43878.947694907409</v>
      </c>
      <c r="C277" s="126">
        <f ca="1">IF(Tabel158[[#This Row],[Score]]&lt;&gt;"",IF(C277="",NOW(),C277),"")</f>
        <v>43878.947694907409</v>
      </c>
      <c r="D277" s="182">
        <f ca="1">IF(OR(Tabel158[[#This Row],[Starttijd]]="",Tabel158[[#This Row],[Eindtijd]]=""),"",Tabel158[[#This Row],[Eindtijd]]-Tabel158[[#This Row],[Starttijd]])</f>
        <v>0</v>
      </c>
      <c r="E277" s="74">
        <v>120</v>
      </c>
      <c r="F277" s="205" t="s">
        <v>70</v>
      </c>
      <c r="G277" s="210">
        <v>1</v>
      </c>
      <c r="H277" s="205" t="s">
        <v>6</v>
      </c>
      <c r="I277" s="210">
        <v>11</v>
      </c>
      <c r="J277" s="206" t="s">
        <v>19</v>
      </c>
      <c r="K277" s="212">
        <v>3</v>
      </c>
      <c r="L277" s="206" t="s">
        <v>3</v>
      </c>
      <c r="M277" s="212">
        <v>7</v>
      </c>
      <c r="N277" s="81">
        <f t="shared" si="32"/>
        <v>12</v>
      </c>
      <c r="O277" s="82">
        <f t="shared" si="33"/>
        <v>10</v>
      </c>
      <c r="P277" s="70" t="str">
        <f t="shared" si="36"/>
        <v>ROOD</v>
      </c>
      <c r="Q277" s="86" t="str">
        <f t="shared" si="34"/>
        <v>Arno</v>
      </c>
      <c r="R277" s="87" t="str">
        <f t="shared" si="35"/>
        <v>Stef D</v>
      </c>
      <c r="S277" s="147" t="str">
        <f>Tabel158[[#This Row],[Rood Verdediging]]&amp;Tabel158[[#This Row],[Rood Aanval]]</f>
        <v>ArnoStef D</v>
      </c>
      <c r="T277" s="147" t="str">
        <f>Tabel158[[#This Row],[Groen Verdediging]]&amp;Tabel158[[#This Row],[Groen Aanval]]</f>
        <v>NicolasKarel</v>
      </c>
      <c r="U277" s="147" t="str">
        <f>Tabel158[[#This Row],[Winnaar 1]]&amp;Tabel158[[#This Row],[Winnaar 2]]</f>
        <v>ArnoStef D</v>
      </c>
      <c r="V277" s="147" t="str">
        <f>IF(Tabel158[[#This Row],[Team Rood]]=Tabel158[[#This Row],[Winnaars]],Tabel158[[#This Row],[Team Rood]])</f>
        <v>ArnoStef D</v>
      </c>
      <c r="W277" s="147" t="b">
        <f>IF(Tabel158[[#This Row],[Team Groen]]=Tabel158[[#This Row],[Winnaars]],Tabel158[[#This Row],[Team Groen]])</f>
        <v>0</v>
      </c>
    </row>
    <row r="278" spans="1:23" x14ac:dyDescent="0.25">
      <c r="A278" s="125">
        <f ca="1">IF(Tabel158[[#This Row],[Rood Verdediging]]&lt;&gt;"",IF(A278="",NOW(),A278),"")</f>
        <v>0</v>
      </c>
      <c r="B278" s="128">
        <f ca="1">IF(Tabel158[[#This Row],[Rood Verdediging]]&lt;&gt;"",IF(B278="",NOW(),B278),"")</f>
        <v>43878.947694907409</v>
      </c>
      <c r="C278" s="126">
        <f ca="1">IF(Tabel158[[#This Row],[Score]]&lt;&gt;"",IF(C278="",NOW(),C278),"")</f>
        <v>43878.947694907409</v>
      </c>
      <c r="D278" s="182">
        <f ca="1">IF(OR(Tabel158[[#This Row],[Starttijd]]="",Tabel158[[#This Row],[Eindtijd]]=""),"",Tabel158[[#This Row],[Eindtijd]]-Tabel158[[#This Row],[Starttijd]])</f>
        <v>0</v>
      </c>
      <c r="E278" s="74">
        <v>120</v>
      </c>
      <c r="F278" s="205" t="s">
        <v>70</v>
      </c>
      <c r="G278" s="210">
        <v>8</v>
      </c>
      <c r="H278" s="205" t="s">
        <v>6</v>
      </c>
      <c r="I278" s="210">
        <v>3</v>
      </c>
      <c r="J278" s="206" t="s">
        <v>3</v>
      </c>
      <c r="K278" s="212">
        <v>5</v>
      </c>
      <c r="L278" s="206" t="s">
        <v>0</v>
      </c>
      <c r="M278" s="212">
        <v>3</v>
      </c>
      <c r="N278" s="81">
        <f t="shared" si="32"/>
        <v>11</v>
      </c>
      <c r="O278" s="82">
        <f t="shared" si="33"/>
        <v>8</v>
      </c>
      <c r="P278" s="70" t="str">
        <f t="shared" si="36"/>
        <v>ROOD</v>
      </c>
      <c r="Q278" s="86" t="str">
        <f t="shared" si="34"/>
        <v>Arno</v>
      </c>
      <c r="R278" s="87" t="str">
        <f t="shared" si="35"/>
        <v>Stef D</v>
      </c>
      <c r="S278" s="147" t="str">
        <f>Tabel158[[#This Row],[Rood Verdediging]]&amp;Tabel158[[#This Row],[Rood Aanval]]</f>
        <v>ArnoStef D</v>
      </c>
      <c r="T278" s="147" t="str">
        <f>Tabel158[[#This Row],[Groen Verdediging]]&amp;Tabel158[[#This Row],[Groen Aanval]]</f>
        <v>KarelJonas</v>
      </c>
      <c r="U278" s="147" t="str">
        <f>Tabel158[[#This Row],[Winnaar 1]]&amp;Tabel158[[#This Row],[Winnaar 2]]</f>
        <v>ArnoStef D</v>
      </c>
      <c r="V278" s="147" t="str">
        <f>IF(Tabel158[[#This Row],[Team Rood]]=Tabel158[[#This Row],[Winnaars]],Tabel158[[#This Row],[Team Rood]])</f>
        <v>ArnoStef D</v>
      </c>
      <c r="W278" s="147" t="b">
        <f>IF(Tabel158[[#This Row],[Team Groen]]=Tabel158[[#This Row],[Winnaars]],Tabel158[[#This Row],[Team Groen]])</f>
        <v>0</v>
      </c>
    </row>
    <row r="279" spans="1:23" x14ac:dyDescent="0.25">
      <c r="A279" s="125">
        <f ca="1">IF(Tabel158[[#This Row],[Rood Verdediging]]&lt;&gt;"",IF(A279="",NOW(),A279),"")</f>
        <v>0</v>
      </c>
      <c r="B279" s="128">
        <f ca="1">IF(Tabel158[[#This Row],[Rood Verdediging]]&lt;&gt;"",IF(B279="",NOW(),B279),"")</f>
        <v>43878.947694907409</v>
      </c>
      <c r="C279" s="126">
        <f ca="1">IF(Tabel158[[#This Row],[Score]]&lt;&gt;"",IF(C279="",NOW(),C279),"")</f>
        <v>43878.947694907409</v>
      </c>
      <c r="D279" s="182">
        <f ca="1">IF(OR(Tabel158[[#This Row],[Starttijd]]="",Tabel158[[#This Row],[Eindtijd]]=""),"",Tabel158[[#This Row],[Eindtijd]]-Tabel158[[#This Row],[Starttijd]])</f>
        <v>0</v>
      </c>
      <c r="E279" s="74">
        <v>120</v>
      </c>
      <c r="F279" s="205" t="s">
        <v>70</v>
      </c>
      <c r="G279" s="210">
        <v>8</v>
      </c>
      <c r="H279" s="205" t="s">
        <v>3</v>
      </c>
      <c r="I279" s="210">
        <v>3</v>
      </c>
      <c r="J279" s="206" t="s">
        <v>19</v>
      </c>
      <c r="K279" s="212">
        <v>2</v>
      </c>
      <c r="L279" s="206" t="s">
        <v>0</v>
      </c>
      <c r="M279" s="212">
        <v>7</v>
      </c>
      <c r="N279" s="81">
        <f t="shared" si="32"/>
        <v>11</v>
      </c>
      <c r="O279" s="82">
        <f t="shared" si="33"/>
        <v>9</v>
      </c>
      <c r="P279" s="70" t="str">
        <f t="shared" si="36"/>
        <v>ROOD</v>
      </c>
      <c r="Q279" s="86" t="str">
        <f t="shared" si="34"/>
        <v>Arno</v>
      </c>
      <c r="R279" s="87" t="str">
        <f t="shared" si="35"/>
        <v>Karel</v>
      </c>
      <c r="S279" s="147" t="str">
        <f>Tabel158[[#This Row],[Rood Verdediging]]&amp;Tabel158[[#This Row],[Rood Aanval]]</f>
        <v>ArnoKarel</v>
      </c>
      <c r="T279" s="147" t="str">
        <f>Tabel158[[#This Row],[Groen Verdediging]]&amp;Tabel158[[#This Row],[Groen Aanval]]</f>
        <v>NicolasJonas</v>
      </c>
      <c r="U279" s="147" t="str">
        <f>Tabel158[[#This Row],[Winnaar 1]]&amp;Tabel158[[#This Row],[Winnaar 2]]</f>
        <v>ArnoKarel</v>
      </c>
      <c r="V279" s="147" t="str">
        <f>IF(Tabel158[[#This Row],[Team Rood]]=Tabel158[[#This Row],[Winnaars]],Tabel158[[#This Row],[Team Rood]])</f>
        <v>ArnoKarel</v>
      </c>
      <c r="W279" s="147" t="b">
        <f>IF(Tabel158[[#This Row],[Team Groen]]=Tabel158[[#This Row],[Winnaars]],Tabel158[[#This Row],[Team Groen]])</f>
        <v>0</v>
      </c>
    </row>
    <row r="280" spans="1:23" x14ac:dyDescent="0.25">
      <c r="A280" s="125">
        <f ca="1">IF(Tabel158[[#This Row],[Rood Verdediging]]&lt;&gt;"",IF(A280="",NOW(),A280),"")</f>
        <v>0</v>
      </c>
      <c r="B280" s="128">
        <f ca="1">IF(Tabel158[[#This Row],[Rood Verdediging]]&lt;&gt;"",IF(B280="",NOW(),B280),"")</f>
        <v>43878.947694907409</v>
      </c>
      <c r="C280" s="126">
        <f ca="1">IF(Tabel158[[#This Row],[Score]]&lt;&gt;"",IF(C280="",NOW(),C280),"")</f>
        <v>43878.947694907409</v>
      </c>
      <c r="D280" s="182">
        <f ca="1">IF(OR(Tabel158[[#This Row],[Starttijd]]="",Tabel158[[#This Row],[Eindtijd]]=""),"",Tabel158[[#This Row],[Eindtijd]]-Tabel158[[#This Row],[Starttijd]])</f>
        <v>0</v>
      </c>
      <c r="E280" s="74">
        <v>120</v>
      </c>
      <c r="F280" s="205" t="s">
        <v>3</v>
      </c>
      <c r="G280" s="210">
        <v>4</v>
      </c>
      <c r="H280" s="205" t="s">
        <v>6</v>
      </c>
      <c r="I280" s="210">
        <v>5</v>
      </c>
      <c r="J280" s="206" t="s">
        <v>70</v>
      </c>
      <c r="K280" s="212">
        <v>6</v>
      </c>
      <c r="L280" s="206" t="s">
        <v>0</v>
      </c>
      <c r="M280" s="212">
        <v>5</v>
      </c>
      <c r="N280" s="81">
        <f t="shared" si="32"/>
        <v>9</v>
      </c>
      <c r="O280" s="82">
        <f t="shared" si="33"/>
        <v>11</v>
      </c>
      <c r="P280" s="70" t="str">
        <f t="shared" si="36"/>
        <v>GROEN</v>
      </c>
      <c r="Q280" s="86" t="str">
        <f t="shared" si="34"/>
        <v>Arno</v>
      </c>
      <c r="R280" s="87" t="str">
        <f t="shared" si="35"/>
        <v>Jonas</v>
      </c>
      <c r="S280" s="147" t="str">
        <f>Tabel158[[#This Row],[Rood Verdediging]]&amp;Tabel158[[#This Row],[Rood Aanval]]</f>
        <v>KarelStef D</v>
      </c>
      <c r="T280" s="147" t="str">
        <f>Tabel158[[#This Row],[Groen Verdediging]]&amp;Tabel158[[#This Row],[Groen Aanval]]</f>
        <v>ArnoJonas</v>
      </c>
      <c r="U280" s="147" t="str">
        <f>Tabel158[[#This Row],[Winnaar 1]]&amp;Tabel158[[#This Row],[Winnaar 2]]</f>
        <v>ArnoJonas</v>
      </c>
      <c r="V280" s="147" t="b">
        <f>IF(Tabel158[[#This Row],[Team Rood]]=Tabel158[[#This Row],[Winnaars]],Tabel158[[#This Row],[Team Rood]])</f>
        <v>0</v>
      </c>
      <c r="W280" s="147" t="str">
        <f>IF(Tabel158[[#This Row],[Team Groen]]=Tabel158[[#This Row],[Winnaars]],Tabel158[[#This Row],[Team Groen]])</f>
        <v>ArnoJonas</v>
      </c>
    </row>
    <row r="281" spans="1:23" x14ac:dyDescent="0.25">
      <c r="A281" s="125">
        <f ca="1">IF(Tabel158[[#This Row],[Rood Verdediging]]&lt;&gt;"",IF(A281="",NOW(),A281),"")</f>
        <v>0</v>
      </c>
      <c r="B281" s="128">
        <f ca="1">IF(Tabel158[[#This Row],[Rood Verdediging]]&lt;&gt;"",IF(B281="",NOW(),B281),"")</f>
        <v>43878.947694907409</v>
      </c>
      <c r="C281" s="126">
        <f ca="1">IF(Tabel158[[#This Row],[Score]]&lt;&gt;"",IF(C281="",NOW(),C281),"")</f>
        <v>43878.947694907409</v>
      </c>
      <c r="D281" s="182">
        <f ca="1">IF(OR(Tabel158[[#This Row],[Starttijd]]="",Tabel158[[#This Row],[Eindtijd]]=""),"",Tabel158[[#This Row],[Eindtijd]]-Tabel158[[#This Row],[Starttijd]])</f>
        <v>0</v>
      </c>
      <c r="E281" s="74">
        <v>120</v>
      </c>
      <c r="F281" s="205" t="s">
        <v>6</v>
      </c>
      <c r="G281" s="210">
        <v>3</v>
      </c>
      <c r="H281" s="205" t="s">
        <v>0</v>
      </c>
      <c r="I281" s="210">
        <v>8</v>
      </c>
      <c r="J281" s="206" t="s">
        <v>3</v>
      </c>
      <c r="K281" s="212">
        <v>4</v>
      </c>
      <c r="L281" s="206" t="s">
        <v>70</v>
      </c>
      <c r="M281" s="212">
        <v>5</v>
      </c>
      <c r="N281" s="81">
        <f t="shared" si="32"/>
        <v>11</v>
      </c>
      <c r="O281" s="82">
        <f t="shared" si="33"/>
        <v>9</v>
      </c>
      <c r="P281" s="70" t="str">
        <f t="shared" si="36"/>
        <v>ROOD</v>
      </c>
      <c r="Q281" s="86" t="str">
        <f t="shared" si="34"/>
        <v>Stef D</v>
      </c>
      <c r="R281" s="87" t="str">
        <f t="shared" si="35"/>
        <v>Jonas</v>
      </c>
      <c r="S281" s="147" t="str">
        <f>Tabel158[[#This Row],[Rood Verdediging]]&amp;Tabel158[[#This Row],[Rood Aanval]]</f>
        <v>Stef DJonas</v>
      </c>
      <c r="T281" s="147" t="str">
        <f>Tabel158[[#This Row],[Groen Verdediging]]&amp;Tabel158[[#This Row],[Groen Aanval]]</f>
        <v>KarelArno</v>
      </c>
      <c r="U281" s="147" t="str">
        <f>Tabel158[[#This Row],[Winnaar 1]]&amp;Tabel158[[#This Row],[Winnaar 2]]</f>
        <v>Stef DJonas</v>
      </c>
      <c r="V281" s="147" t="str">
        <f>IF(Tabel158[[#This Row],[Team Rood]]=Tabel158[[#This Row],[Winnaars]],Tabel158[[#This Row],[Team Rood]])</f>
        <v>Stef DJonas</v>
      </c>
      <c r="W281" s="147" t="b">
        <f>IF(Tabel158[[#This Row],[Team Groen]]=Tabel158[[#This Row],[Winnaars]],Tabel158[[#This Row],[Team Groen]])</f>
        <v>0</v>
      </c>
    </row>
    <row r="282" spans="1:23" x14ac:dyDescent="0.25">
      <c r="A282" s="125">
        <f ca="1">IF(Tabel158[[#This Row],[Rood Verdediging]]&lt;&gt;"",IF(A282="",NOW(),A282),"")</f>
        <v>0</v>
      </c>
      <c r="B282" s="128">
        <f ca="1">IF(Tabel158[[#This Row],[Rood Verdediging]]&lt;&gt;"",IF(B282="",NOW(),B282),"")</f>
        <v>43878.947694907409</v>
      </c>
      <c r="C282" s="126">
        <f ca="1">IF(Tabel158[[#This Row],[Score]]&lt;&gt;"",IF(C282="",NOW(),C282),"")</f>
        <v>43878.947694907409</v>
      </c>
      <c r="D282" s="182">
        <f ca="1">IF(OR(Tabel158[[#This Row],[Starttijd]]="",Tabel158[[#This Row],[Eindtijd]]=""),"",Tabel158[[#This Row],[Eindtijd]]-Tabel158[[#This Row],[Starttijd]])</f>
        <v>0</v>
      </c>
      <c r="E282" s="74">
        <v>120</v>
      </c>
      <c r="F282" s="205" t="s">
        <v>6</v>
      </c>
      <c r="G282" s="210">
        <v>3</v>
      </c>
      <c r="H282" s="205" t="s">
        <v>3</v>
      </c>
      <c r="I282" s="210">
        <v>8</v>
      </c>
      <c r="J282" s="206" t="s">
        <v>0</v>
      </c>
      <c r="K282" s="212">
        <v>3</v>
      </c>
      <c r="L282" s="206" t="s">
        <v>70</v>
      </c>
      <c r="M282" s="212">
        <v>5</v>
      </c>
      <c r="N282" s="81">
        <f t="shared" si="32"/>
        <v>11</v>
      </c>
      <c r="O282" s="82">
        <f t="shared" si="33"/>
        <v>8</v>
      </c>
      <c r="P282" s="70" t="str">
        <f t="shared" si="36"/>
        <v>ROOD</v>
      </c>
      <c r="Q282" s="86" t="str">
        <f t="shared" si="34"/>
        <v>Stef D</v>
      </c>
      <c r="R282" s="87" t="str">
        <f t="shared" si="35"/>
        <v>Karel</v>
      </c>
      <c r="S282" s="147" t="str">
        <f>Tabel158[[#This Row],[Rood Verdediging]]&amp;Tabel158[[#This Row],[Rood Aanval]]</f>
        <v>Stef DKarel</v>
      </c>
      <c r="T282" s="147" t="str">
        <f>Tabel158[[#This Row],[Groen Verdediging]]&amp;Tabel158[[#This Row],[Groen Aanval]]</f>
        <v>JonasArno</v>
      </c>
      <c r="U282" s="147" t="str">
        <f>Tabel158[[#This Row],[Winnaar 1]]&amp;Tabel158[[#This Row],[Winnaar 2]]</f>
        <v>Stef DKarel</v>
      </c>
      <c r="V282" s="147" t="str">
        <f>IF(Tabel158[[#This Row],[Team Rood]]=Tabel158[[#This Row],[Winnaars]],Tabel158[[#This Row],[Team Rood]])</f>
        <v>Stef DKarel</v>
      </c>
      <c r="W282" s="147" t="b">
        <f>IF(Tabel158[[#This Row],[Team Groen]]=Tabel158[[#This Row],[Winnaars]],Tabel158[[#This Row],[Team Groen]])</f>
        <v>0</v>
      </c>
    </row>
    <row r="283" spans="1:23" x14ac:dyDescent="0.25">
      <c r="A283" s="125">
        <f ca="1">IF(Tabel158[[#This Row],[Rood Verdediging]]&lt;&gt;"",IF(A283="",NOW(),A283),"")</f>
        <v>0</v>
      </c>
      <c r="B283" s="128">
        <f ca="1">IF(Tabel158[[#This Row],[Rood Verdediging]]&lt;&gt;"",IF(B283="",NOW(),B283),"")</f>
        <v>43878.947694907409</v>
      </c>
      <c r="C283" s="126">
        <f ca="1">IF(Tabel158[[#This Row],[Score]]&lt;&gt;"",IF(C283="",NOW(),C283),"")</f>
        <v>43878.947694907409</v>
      </c>
      <c r="D283" s="182">
        <f ca="1">IF(OR(Tabel158[[#This Row],[Starttijd]]="",Tabel158[[#This Row],[Eindtijd]]=""),"",Tabel158[[#This Row],[Eindtijd]]-Tabel158[[#This Row],[Starttijd]])</f>
        <v>0</v>
      </c>
      <c r="E283" s="74">
        <v>120</v>
      </c>
      <c r="F283" s="205" t="s">
        <v>0</v>
      </c>
      <c r="G283" s="210">
        <v>0</v>
      </c>
      <c r="H283" s="205" t="s">
        <v>3</v>
      </c>
      <c r="I283" s="210">
        <v>3</v>
      </c>
      <c r="J283" s="206" t="s">
        <v>6</v>
      </c>
      <c r="K283" s="212">
        <v>3</v>
      </c>
      <c r="L283" s="206" t="s">
        <v>70</v>
      </c>
      <c r="M283" s="212">
        <v>8</v>
      </c>
      <c r="N283" s="81">
        <f t="shared" si="32"/>
        <v>3</v>
      </c>
      <c r="O283" s="82">
        <f t="shared" si="33"/>
        <v>11</v>
      </c>
      <c r="P283" s="70" t="str">
        <f t="shared" si="36"/>
        <v>GROEN</v>
      </c>
      <c r="Q283" s="86" t="str">
        <f t="shared" si="34"/>
        <v>Stef D</v>
      </c>
      <c r="R283" s="87" t="str">
        <f t="shared" si="35"/>
        <v>Arno</v>
      </c>
      <c r="S283" s="147" t="str">
        <f>Tabel158[[#This Row],[Rood Verdediging]]&amp;Tabel158[[#This Row],[Rood Aanval]]</f>
        <v>JonasKarel</v>
      </c>
      <c r="T283" s="147" t="str">
        <f>Tabel158[[#This Row],[Groen Verdediging]]&amp;Tabel158[[#This Row],[Groen Aanval]]</f>
        <v>Stef DArno</v>
      </c>
      <c r="U283" s="147" t="str">
        <f>Tabel158[[#This Row],[Winnaar 1]]&amp;Tabel158[[#This Row],[Winnaar 2]]</f>
        <v>Stef DArno</v>
      </c>
      <c r="V283" s="147" t="b">
        <f>IF(Tabel158[[#This Row],[Team Rood]]=Tabel158[[#This Row],[Winnaars]],Tabel158[[#This Row],[Team Rood]])</f>
        <v>0</v>
      </c>
      <c r="W283" s="147" t="str">
        <f>IF(Tabel158[[#This Row],[Team Groen]]=Tabel158[[#This Row],[Winnaars]],Tabel158[[#This Row],[Team Groen]])</f>
        <v>Stef DArno</v>
      </c>
    </row>
    <row r="284" spans="1:23" x14ac:dyDescent="0.25">
      <c r="A284" s="125">
        <f ca="1">IF(Tabel158[[#This Row],[Rood Verdediging]]&lt;&gt;"",IF(A284="",NOW(),A284),"")</f>
        <v>0</v>
      </c>
      <c r="B284" s="128">
        <f ca="1">IF(Tabel158[[#This Row],[Rood Verdediging]]&lt;&gt;"",IF(B284="",NOW(),B284),"")</f>
        <v>43878.947694907409</v>
      </c>
      <c r="C284" s="126">
        <f ca="1">IF(Tabel158[[#This Row],[Score]]&lt;&gt;"",IF(C284="",NOW(),C284),"")</f>
        <v>43878.947694907409</v>
      </c>
      <c r="D284" s="182">
        <f ca="1">IF(OR(Tabel158[[#This Row],[Starttijd]]="",Tabel158[[#This Row],[Eindtijd]]=""),"",Tabel158[[#This Row],[Eindtijd]]-Tabel158[[#This Row],[Starttijd]])</f>
        <v>0</v>
      </c>
      <c r="E284" s="74">
        <v>120</v>
      </c>
      <c r="F284" s="205" t="s">
        <v>6</v>
      </c>
      <c r="G284" s="210">
        <v>8</v>
      </c>
      <c r="H284" s="205" t="s">
        <v>0</v>
      </c>
      <c r="I284" s="210">
        <v>4</v>
      </c>
      <c r="J284" s="206" t="s">
        <v>19</v>
      </c>
      <c r="K284" s="212">
        <v>3</v>
      </c>
      <c r="L284" s="206" t="s">
        <v>7</v>
      </c>
      <c r="M284" s="212">
        <v>7</v>
      </c>
      <c r="N284" s="81">
        <f t="shared" si="32"/>
        <v>12</v>
      </c>
      <c r="O284" s="82">
        <f t="shared" si="33"/>
        <v>10</v>
      </c>
      <c r="P284" s="70" t="str">
        <f t="shared" si="36"/>
        <v>ROOD</v>
      </c>
      <c r="Q284" s="86" t="str">
        <f t="shared" si="34"/>
        <v>Stef D</v>
      </c>
      <c r="R284" s="87" t="str">
        <f t="shared" si="35"/>
        <v>Jonas</v>
      </c>
      <c r="S284" s="147" t="str">
        <f>Tabel158[[#This Row],[Rood Verdediging]]&amp;Tabel158[[#This Row],[Rood Aanval]]</f>
        <v>Stef DJonas</v>
      </c>
      <c r="T284" s="147" t="str">
        <f>Tabel158[[#This Row],[Groen Verdediging]]&amp;Tabel158[[#This Row],[Groen Aanval]]</f>
        <v>NicolasTiemen</v>
      </c>
      <c r="U284" s="147" t="str">
        <f>Tabel158[[#This Row],[Winnaar 1]]&amp;Tabel158[[#This Row],[Winnaar 2]]</f>
        <v>Stef DJonas</v>
      </c>
      <c r="V284" s="147" t="str">
        <f>IF(Tabel158[[#This Row],[Team Rood]]=Tabel158[[#This Row],[Winnaars]],Tabel158[[#This Row],[Team Rood]])</f>
        <v>Stef DJonas</v>
      </c>
      <c r="W284" s="147" t="b">
        <f>IF(Tabel158[[#This Row],[Team Groen]]=Tabel158[[#This Row],[Winnaars]],Tabel158[[#This Row],[Team Groen]])</f>
        <v>0</v>
      </c>
    </row>
    <row r="285" spans="1:23" x14ac:dyDescent="0.25">
      <c r="A285" s="125">
        <f ca="1">IF(Tabel158[[#This Row],[Rood Verdediging]]&lt;&gt;"",IF(A285="",NOW(),A285),"")</f>
        <v>0</v>
      </c>
      <c r="B285" s="128">
        <f ca="1">IF(Tabel158[[#This Row],[Rood Verdediging]]&lt;&gt;"",IF(B285="",NOW(),B285),"")</f>
        <v>43878.947694907409</v>
      </c>
      <c r="C285" s="126">
        <f ca="1">IF(Tabel158[[#This Row],[Score]]&lt;&gt;"",IF(C285="",NOW(),C285),"")</f>
        <v>43878.947694907409</v>
      </c>
      <c r="D285" s="182">
        <f ca="1">IF(OR(Tabel158[[#This Row],[Starttijd]]="",Tabel158[[#This Row],[Eindtijd]]=""),"",Tabel158[[#This Row],[Eindtijd]]-Tabel158[[#This Row],[Starttijd]])</f>
        <v>0</v>
      </c>
      <c r="E285" s="74">
        <v>120</v>
      </c>
      <c r="F285" s="205" t="s">
        <v>0</v>
      </c>
      <c r="G285" s="210">
        <v>4</v>
      </c>
      <c r="H285" s="205" t="s">
        <v>6</v>
      </c>
      <c r="I285" s="210">
        <v>8</v>
      </c>
      <c r="J285" s="206" t="s">
        <v>7</v>
      </c>
      <c r="K285" s="212">
        <v>1</v>
      </c>
      <c r="L285" s="206" t="s">
        <v>19</v>
      </c>
      <c r="M285" s="212">
        <v>1</v>
      </c>
      <c r="N285" s="81">
        <f t="shared" si="32"/>
        <v>12</v>
      </c>
      <c r="O285" s="82">
        <f t="shared" si="33"/>
        <v>2</v>
      </c>
      <c r="P285" s="70" t="str">
        <f t="shared" si="36"/>
        <v>ROOD</v>
      </c>
      <c r="Q285" s="86" t="str">
        <f t="shared" si="34"/>
        <v>Jonas</v>
      </c>
      <c r="R285" s="87" t="str">
        <f t="shared" si="35"/>
        <v>Stef D</v>
      </c>
      <c r="S285" s="147" t="str">
        <f>Tabel158[[#This Row],[Rood Verdediging]]&amp;Tabel158[[#This Row],[Rood Aanval]]</f>
        <v>JonasStef D</v>
      </c>
      <c r="T285" s="147" t="str">
        <f>Tabel158[[#This Row],[Groen Verdediging]]&amp;Tabel158[[#This Row],[Groen Aanval]]</f>
        <v>TiemenNicolas</v>
      </c>
      <c r="U285" s="147" t="str">
        <f>Tabel158[[#This Row],[Winnaar 1]]&amp;Tabel158[[#This Row],[Winnaar 2]]</f>
        <v>JonasStef D</v>
      </c>
      <c r="V285" s="147" t="str">
        <f>IF(Tabel158[[#This Row],[Team Rood]]=Tabel158[[#This Row],[Winnaars]],Tabel158[[#This Row],[Team Rood]])</f>
        <v>JonasStef D</v>
      </c>
      <c r="W285" s="147" t="b">
        <f>IF(Tabel158[[#This Row],[Team Groen]]=Tabel158[[#This Row],[Winnaars]],Tabel158[[#This Row],[Team Groen]])</f>
        <v>0</v>
      </c>
    </row>
    <row r="286" spans="1:23" x14ac:dyDescent="0.25">
      <c r="A286" s="125">
        <f ca="1">IF(Tabel158[[#This Row],[Rood Verdediging]]&lt;&gt;"",IF(A286="",NOW(),A286),"")</f>
        <v>0</v>
      </c>
      <c r="B286" s="128">
        <f ca="1">IF(Tabel158[[#This Row],[Rood Verdediging]]&lt;&gt;"",IF(B286="",NOW(),B286),"")</f>
        <v>43878.947694907409</v>
      </c>
      <c r="C286" s="126">
        <f ca="1">IF(Tabel158[[#This Row],[Score]]&lt;&gt;"",IF(C286="",NOW(),C286),"")</f>
        <v>43878.947694907409</v>
      </c>
      <c r="D286" s="182">
        <f ca="1">IF(OR(Tabel158[[#This Row],[Starttijd]]="",Tabel158[[#This Row],[Eindtijd]]=""),"",Tabel158[[#This Row],[Eindtijd]]-Tabel158[[#This Row],[Starttijd]])</f>
        <v>0</v>
      </c>
      <c r="E286" s="74">
        <v>120</v>
      </c>
      <c r="F286" s="205" t="s">
        <v>0</v>
      </c>
      <c r="G286" s="210">
        <v>2</v>
      </c>
      <c r="H286" s="205" t="s">
        <v>19</v>
      </c>
      <c r="I286" s="210">
        <v>6</v>
      </c>
      <c r="J286" s="206" t="s">
        <v>6</v>
      </c>
      <c r="K286" s="212">
        <v>4</v>
      </c>
      <c r="L286" s="206" t="s">
        <v>7</v>
      </c>
      <c r="M286" s="212">
        <v>7</v>
      </c>
      <c r="N286" s="81">
        <f t="shared" si="32"/>
        <v>8</v>
      </c>
      <c r="O286" s="82">
        <f t="shared" si="33"/>
        <v>11</v>
      </c>
      <c r="P286" s="70" t="str">
        <f t="shared" si="36"/>
        <v>GROEN</v>
      </c>
      <c r="Q286" s="86" t="str">
        <f t="shared" si="34"/>
        <v>Stef D</v>
      </c>
      <c r="R286" s="87" t="str">
        <f t="shared" si="35"/>
        <v>Tiemen</v>
      </c>
      <c r="S286" s="147" t="str">
        <f>Tabel158[[#This Row],[Rood Verdediging]]&amp;Tabel158[[#This Row],[Rood Aanval]]</f>
        <v>JonasNicolas</v>
      </c>
      <c r="T286" s="147" t="str">
        <f>Tabel158[[#This Row],[Groen Verdediging]]&amp;Tabel158[[#This Row],[Groen Aanval]]</f>
        <v>Stef DTiemen</v>
      </c>
      <c r="U286" s="147" t="str">
        <f>Tabel158[[#This Row],[Winnaar 1]]&amp;Tabel158[[#This Row],[Winnaar 2]]</f>
        <v>Stef DTiemen</v>
      </c>
      <c r="V286" s="147" t="b">
        <f>IF(Tabel158[[#This Row],[Team Rood]]=Tabel158[[#This Row],[Winnaars]],Tabel158[[#This Row],[Team Rood]])</f>
        <v>0</v>
      </c>
      <c r="W286" s="147" t="str">
        <f>IF(Tabel158[[#This Row],[Team Groen]]=Tabel158[[#This Row],[Winnaars]],Tabel158[[#This Row],[Team Groen]])</f>
        <v>Stef DTiemen</v>
      </c>
    </row>
    <row r="287" spans="1:23" x14ac:dyDescent="0.25">
      <c r="A287" s="125">
        <f ca="1">IF(Tabel158[[#This Row],[Rood Verdediging]]&lt;&gt;"",IF(A287="",NOW(),A287),"")</f>
        <v>0</v>
      </c>
      <c r="B287" s="128">
        <f ca="1">IF(Tabel158[[#This Row],[Rood Verdediging]]&lt;&gt;"",IF(B287="",NOW(),B287),"")</f>
        <v>43878.947694907409</v>
      </c>
      <c r="C287" s="126">
        <f ca="1">IF(Tabel158[[#This Row],[Score]]&lt;&gt;"",IF(C287="",NOW(),C287),"")</f>
        <v>43878.947694907409</v>
      </c>
      <c r="D287" s="182">
        <f ca="1">IF(OR(Tabel158[[#This Row],[Starttijd]]="",Tabel158[[#This Row],[Eindtijd]]=""),"",Tabel158[[#This Row],[Eindtijd]]-Tabel158[[#This Row],[Starttijd]])</f>
        <v>0</v>
      </c>
      <c r="E287" s="74">
        <v>120</v>
      </c>
      <c r="F287" s="205" t="s">
        <v>7</v>
      </c>
      <c r="G287" s="210">
        <v>2</v>
      </c>
      <c r="H287" s="205" t="s">
        <v>6</v>
      </c>
      <c r="I287" s="210">
        <v>9</v>
      </c>
      <c r="J287" s="206" t="s">
        <v>19</v>
      </c>
      <c r="K287" s="212">
        <v>2</v>
      </c>
      <c r="L287" s="206" t="s">
        <v>0</v>
      </c>
      <c r="M287" s="212">
        <v>6</v>
      </c>
      <c r="N287" s="81">
        <f t="shared" si="32"/>
        <v>11</v>
      </c>
      <c r="O287" s="82">
        <f t="shared" si="33"/>
        <v>8</v>
      </c>
      <c r="P287" s="70" t="str">
        <f t="shared" si="36"/>
        <v>ROOD</v>
      </c>
      <c r="Q287" s="86" t="str">
        <f t="shared" si="34"/>
        <v>Tiemen</v>
      </c>
      <c r="R287" s="87" t="str">
        <f t="shared" si="35"/>
        <v>Stef D</v>
      </c>
      <c r="S287" s="147" t="str">
        <f>Tabel158[[#This Row],[Rood Verdediging]]&amp;Tabel158[[#This Row],[Rood Aanval]]</f>
        <v>TiemenStef D</v>
      </c>
      <c r="T287" s="147" t="str">
        <f>Tabel158[[#This Row],[Groen Verdediging]]&amp;Tabel158[[#This Row],[Groen Aanval]]</f>
        <v>NicolasJonas</v>
      </c>
      <c r="U287" s="147" t="str">
        <f>Tabel158[[#This Row],[Winnaar 1]]&amp;Tabel158[[#This Row],[Winnaar 2]]</f>
        <v>TiemenStef D</v>
      </c>
      <c r="V287" s="147" t="str">
        <f>IF(Tabel158[[#This Row],[Team Rood]]=Tabel158[[#This Row],[Winnaars]],Tabel158[[#This Row],[Team Rood]])</f>
        <v>TiemenStef D</v>
      </c>
      <c r="W287" s="147" t="b">
        <f>IF(Tabel158[[#This Row],[Team Groen]]=Tabel158[[#This Row],[Winnaars]],Tabel158[[#This Row],[Team Groen]])</f>
        <v>0</v>
      </c>
    </row>
    <row r="288" spans="1:23" x14ac:dyDescent="0.25">
      <c r="A288" s="125">
        <f ca="1">IF(Tabel158[[#This Row],[Rood Verdediging]]&lt;&gt;"",IF(A288="",NOW(),A288),"")</f>
        <v>0</v>
      </c>
      <c r="B288" s="128">
        <f ca="1">IF(Tabel158[[#This Row],[Rood Verdediging]]&lt;&gt;"",IF(B288="",NOW(),B288),"")</f>
        <v>43878.947694907409</v>
      </c>
      <c r="C288" s="126">
        <f ca="1">IF(Tabel158[[#This Row],[Score]]&lt;&gt;"",IF(C288="",NOW(),C288),"")</f>
        <v>43878.947694907409</v>
      </c>
      <c r="D288" s="182">
        <f ca="1">IF(OR(Tabel158[[#This Row],[Starttijd]]="",Tabel158[[#This Row],[Eindtijd]]=""),"",Tabel158[[#This Row],[Eindtijd]]-Tabel158[[#This Row],[Starttijd]])</f>
        <v>0</v>
      </c>
      <c r="E288" s="74">
        <v>120</v>
      </c>
      <c r="F288" s="205" t="s">
        <v>19</v>
      </c>
      <c r="G288" s="210">
        <v>0</v>
      </c>
      <c r="H288" s="205" t="s">
        <v>6</v>
      </c>
      <c r="I288" s="210">
        <v>5</v>
      </c>
      <c r="J288" s="206" t="s">
        <v>0</v>
      </c>
      <c r="K288" s="212">
        <v>3</v>
      </c>
      <c r="L288" s="206" t="s">
        <v>7</v>
      </c>
      <c r="M288" s="212">
        <v>8</v>
      </c>
      <c r="N288" s="81">
        <f t="shared" si="32"/>
        <v>5</v>
      </c>
      <c r="O288" s="82">
        <f t="shared" si="33"/>
        <v>11</v>
      </c>
      <c r="P288" s="70" t="str">
        <f t="shared" si="36"/>
        <v>GROEN</v>
      </c>
      <c r="Q288" s="86" t="str">
        <f t="shared" si="34"/>
        <v>Jonas</v>
      </c>
      <c r="R288" s="87" t="str">
        <f t="shared" si="35"/>
        <v>Tiemen</v>
      </c>
      <c r="S288" s="147" t="str">
        <f>Tabel158[[#This Row],[Rood Verdediging]]&amp;Tabel158[[#This Row],[Rood Aanval]]</f>
        <v>NicolasStef D</v>
      </c>
      <c r="T288" s="147" t="str">
        <f>Tabel158[[#This Row],[Groen Verdediging]]&amp;Tabel158[[#This Row],[Groen Aanval]]</f>
        <v>JonasTiemen</v>
      </c>
      <c r="U288" s="147" t="str">
        <f>Tabel158[[#This Row],[Winnaar 1]]&amp;Tabel158[[#This Row],[Winnaar 2]]</f>
        <v>JonasTiemen</v>
      </c>
      <c r="V288" s="147" t="b">
        <f>IF(Tabel158[[#This Row],[Team Rood]]=Tabel158[[#This Row],[Winnaars]],Tabel158[[#This Row],[Team Rood]])</f>
        <v>0</v>
      </c>
      <c r="W288" s="147" t="str">
        <f>IF(Tabel158[[#This Row],[Team Groen]]=Tabel158[[#This Row],[Winnaars]],Tabel158[[#This Row],[Team Groen]])</f>
        <v>JonasTiemen</v>
      </c>
    </row>
    <row r="289" spans="1:23" x14ac:dyDescent="0.25">
      <c r="A289" s="125">
        <f ca="1">IF(Tabel158[[#This Row],[Rood Verdediging]]&lt;&gt;"",IF(A289="",NOW(),A289),"")</f>
        <v>0</v>
      </c>
      <c r="B289" s="128">
        <f ca="1">IF(Tabel158[[#This Row],[Rood Verdediging]]&lt;&gt;"",IF(B289="",NOW(),B289),"")</f>
        <v>43878.947694907409</v>
      </c>
      <c r="C289" s="126">
        <f ca="1">IF(Tabel158[[#This Row],[Score]]&lt;&gt;"",IF(C289="",NOW(),C289),"")</f>
        <v>43878.947694907409</v>
      </c>
      <c r="D289" s="182">
        <f ca="1">IF(OR(Tabel158[[#This Row],[Starttijd]]="",Tabel158[[#This Row],[Eindtijd]]=""),"",Tabel158[[#This Row],[Eindtijd]]-Tabel158[[#This Row],[Starttijd]])</f>
        <v>0</v>
      </c>
      <c r="E289" s="74">
        <v>120</v>
      </c>
      <c r="F289" s="205" t="s">
        <v>6</v>
      </c>
      <c r="G289" s="210">
        <v>3</v>
      </c>
      <c r="H289" s="205" t="s">
        <v>19</v>
      </c>
      <c r="I289" s="210">
        <v>7</v>
      </c>
      <c r="J289" s="206" t="s">
        <v>7</v>
      </c>
      <c r="K289" s="212">
        <v>5</v>
      </c>
      <c r="L289" s="206" t="s">
        <v>0</v>
      </c>
      <c r="M289" s="212">
        <v>7</v>
      </c>
      <c r="N289" s="81">
        <f t="shared" si="32"/>
        <v>10</v>
      </c>
      <c r="O289" s="82">
        <f t="shared" si="33"/>
        <v>12</v>
      </c>
      <c r="P289" s="70" t="str">
        <f t="shared" si="36"/>
        <v>GROEN</v>
      </c>
      <c r="Q289" s="86" t="str">
        <f t="shared" si="34"/>
        <v>Tiemen</v>
      </c>
      <c r="R289" s="87" t="str">
        <f t="shared" si="35"/>
        <v>Jonas</v>
      </c>
      <c r="S289" s="147" t="str">
        <f>Tabel158[[#This Row],[Rood Verdediging]]&amp;Tabel158[[#This Row],[Rood Aanval]]</f>
        <v>Stef DNicolas</v>
      </c>
      <c r="T289" s="147" t="str">
        <f>Tabel158[[#This Row],[Groen Verdediging]]&amp;Tabel158[[#This Row],[Groen Aanval]]</f>
        <v>TiemenJonas</v>
      </c>
      <c r="U289" s="147" t="str">
        <f>Tabel158[[#This Row],[Winnaar 1]]&amp;Tabel158[[#This Row],[Winnaar 2]]</f>
        <v>TiemenJonas</v>
      </c>
      <c r="V289" s="147" t="b">
        <f>IF(Tabel158[[#This Row],[Team Rood]]=Tabel158[[#This Row],[Winnaars]],Tabel158[[#This Row],[Team Rood]])</f>
        <v>0</v>
      </c>
      <c r="W289" s="147" t="str">
        <f>IF(Tabel158[[#This Row],[Team Groen]]=Tabel158[[#This Row],[Winnaars]],Tabel158[[#This Row],[Team Groen]])</f>
        <v>TiemenJonas</v>
      </c>
    </row>
    <row r="290" spans="1:23" x14ac:dyDescent="0.25">
      <c r="A290" s="125">
        <f ca="1">IF(Tabel158[[#This Row],[Rood Verdediging]]&lt;&gt;"",IF(A290="",NOW(),A290),"")</f>
        <v>0</v>
      </c>
      <c r="B290" s="128">
        <f ca="1">IF(Tabel158[[#This Row],[Rood Verdediging]]&lt;&gt;"",IF(B290="",NOW(),B290),"")</f>
        <v>43878.947694907409</v>
      </c>
      <c r="C290" s="126">
        <f ca="1">IF(Tabel158[[#This Row],[Score]]&lt;&gt;"",IF(C290="",NOW(),C290),"")</f>
        <v>43878.947694907409</v>
      </c>
      <c r="D290" s="182">
        <f ca="1">IF(OR(Tabel158[[#This Row],[Starttijd]]="",Tabel158[[#This Row],[Eindtijd]]=""),"",Tabel158[[#This Row],[Eindtijd]]-Tabel158[[#This Row],[Starttijd]])</f>
        <v>0</v>
      </c>
      <c r="E290" s="74">
        <v>120</v>
      </c>
      <c r="F290" s="205" t="s">
        <v>11</v>
      </c>
      <c r="G290" s="210">
        <v>6</v>
      </c>
      <c r="H290" s="205" t="s">
        <v>6</v>
      </c>
      <c r="I290" s="210">
        <v>5</v>
      </c>
      <c r="J290" s="206" t="s">
        <v>0</v>
      </c>
      <c r="K290" s="212">
        <v>3</v>
      </c>
      <c r="L290" s="206" t="s">
        <v>3</v>
      </c>
      <c r="M290" s="212">
        <v>6</v>
      </c>
      <c r="N290" s="81">
        <f t="shared" si="32"/>
        <v>11</v>
      </c>
      <c r="O290" s="82">
        <f t="shared" si="33"/>
        <v>9</v>
      </c>
      <c r="P290" s="70" t="str">
        <f t="shared" si="36"/>
        <v>ROOD</v>
      </c>
      <c r="Q290" s="86" t="str">
        <f t="shared" si="34"/>
        <v>Matthijs</v>
      </c>
      <c r="R290" s="87" t="str">
        <f t="shared" si="35"/>
        <v>Stef D</v>
      </c>
      <c r="S290" s="147" t="str">
        <f>Tabel158[[#This Row],[Rood Verdediging]]&amp;Tabel158[[#This Row],[Rood Aanval]]</f>
        <v>MatthijsStef D</v>
      </c>
      <c r="T290" s="147" t="str">
        <f>Tabel158[[#This Row],[Groen Verdediging]]&amp;Tabel158[[#This Row],[Groen Aanval]]</f>
        <v>JonasKarel</v>
      </c>
      <c r="U290" s="147" t="str">
        <f>Tabel158[[#This Row],[Winnaar 1]]&amp;Tabel158[[#This Row],[Winnaar 2]]</f>
        <v>MatthijsStef D</v>
      </c>
      <c r="V290" s="147" t="str">
        <f>IF(Tabel158[[#This Row],[Team Rood]]=Tabel158[[#This Row],[Winnaars]],Tabel158[[#This Row],[Team Rood]])</f>
        <v>MatthijsStef D</v>
      </c>
      <c r="W290" s="147" t="b">
        <f>IF(Tabel158[[#This Row],[Team Groen]]=Tabel158[[#This Row],[Winnaars]],Tabel158[[#This Row],[Team Groen]])</f>
        <v>0</v>
      </c>
    </row>
    <row r="291" spans="1:23" x14ac:dyDescent="0.25">
      <c r="A291" s="125">
        <f ca="1">IF(Tabel158[[#This Row],[Rood Verdediging]]&lt;&gt;"",IF(A291="",NOW(),A291),"")</f>
        <v>0</v>
      </c>
      <c r="B291" s="128">
        <f ca="1">IF(Tabel158[[#This Row],[Rood Verdediging]]&lt;&gt;"",IF(B291="",NOW(),B291),"")</f>
        <v>43878.947694907409</v>
      </c>
      <c r="C291" s="126">
        <f ca="1">IF(Tabel158[[#This Row],[Score]]&lt;&gt;"",IF(C291="",NOW(),C291),"")</f>
        <v>43878.947694907409</v>
      </c>
      <c r="D291" s="182">
        <f ca="1">IF(OR(Tabel158[[#This Row],[Starttijd]]="",Tabel158[[#This Row],[Eindtijd]]=""),"",Tabel158[[#This Row],[Eindtijd]]-Tabel158[[#This Row],[Starttijd]])</f>
        <v>0</v>
      </c>
      <c r="E291" s="74">
        <v>120</v>
      </c>
      <c r="F291" s="205" t="s">
        <v>6</v>
      </c>
      <c r="G291" s="210">
        <v>5</v>
      </c>
      <c r="H291" s="205" t="s">
        <v>0</v>
      </c>
      <c r="I291" s="210">
        <v>6</v>
      </c>
      <c r="J291" s="206" t="s">
        <v>3</v>
      </c>
      <c r="K291" s="212">
        <v>5</v>
      </c>
      <c r="L291" s="206" t="s">
        <v>11</v>
      </c>
      <c r="M291" s="212">
        <v>3</v>
      </c>
      <c r="N291" s="81">
        <f t="shared" si="32"/>
        <v>11</v>
      </c>
      <c r="O291" s="82">
        <f t="shared" si="33"/>
        <v>8</v>
      </c>
      <c r="P291" s="70" t="str">
        <f t="shared" si="36"/>
        <v>ROOD</v>
      </c>
      <c r="Q291" s="86" t="str">
        <f t="shared" si="34"/>
        <v>Stef D</v>
      </c>
      <c r="R291" s="87" t="str">
        <f t="shared" si="35"/>
        <v>Jonas</v>
      </c>
      <c r="S291" s="147" t="str">
        <f>Tabel158[[#This Row],[Rood Verdediging]]&amp;Tabel158[[#This Row],[Rood Aanval]]</f>
        <v>Stef DJonas</v>
      </c>
      <c r="T291" s="147" t="str">
        <f>Tabel158[[#This Row],[Groen Verdediging]]&amp;Tabel158[[#This Row],[Groen Aanval]]</f>
        <v>KarelMatthijs</v>
      </c>
      <c r="U291" s="147" t="str">
        <f>Tabel158[[#This Row],[Winnaar 1]]&amp;Tabel158[[#This Row],[Winnaar 2]]</f>
        <v>Stef DJonas</v>
      </c>
      <c r="V291" s="147" t="str">
        <f>IF(Tabel158[[#This Row],[Team Rood]]=Tabel158[[#This Row],[Winnaars]],Tabel158[[#This Row],[Team Rood]])</f>
        <v>Stef DJonas</v>
      </c>
      <c r="W291" s="147" t="b">
        <f>IF(Tabel158[[#This Row],[Team Groen]]=Tabel158[[#This Row],[Winnaars]],Tabel158[[#This Row],[Team Groen]])</f>
        <v>0</v>
      </c>
    </row>
    <row r="292" spans="1:23" x14ac:dyDescent="0.25">
      <c r="A292" s="125">
        <f ca="1">IF(Tabel158[[#This Row],[Rood Verdediging]]&lt;&gt;"",IF(A292="",NOW(),A292),"")</f>
        <v>0</v>
      </c>
      <c r="B292" s="128">
        <f ca="1">IF(Tabel158[[#This Row],[Rood Verdediging]]&lt;&gt;"",IF(B292="",NOW(),B292),"")</f>
        <v>43878.947694907409</v>
      </c>
      <c r="C292" s="126">
        <f ca="1">IF(Tabel158[[#This Row],[Score]]&lt;&gt;"",IF(C292="",NOW(),C292),"")</f>
        <v>43878.947694907409</v>
      </c>
      <c r="D292" s="182">
        <f ca="1">IF(OR(Tabel158[[#This Row],[Starttijd]]="",Tabel158[[#This Row],[Eindtijd]]=""),"",Tabel158[[#This Row],[Eindtijd]]-Tabel158[[#This Row],[Starttijd]])</f>
        <v>0</v>
      </c>
      <c r="E292" s="74">
        <v>120</v>
      </c>
      <c r="F292" s="205" t="s">
        <v>6</v>
      </c>
      <c r="G292" s="210">
        <v>5</v>
      </c>
      <c r="H292" s="205" t="s">
        <v>3</v>
      </c>
      <c r="I292" s="210">
        <v>6</v>
      </c>
      <c r="J292" s="206" t="s">
        <v>11</v>
      </c>
      <c r="K292" s="212">
        <v>0</v>
      </c>
      <c r="L292" s="206" t="s">
        <v>0</v>
      </c>
      <c r="M292" s="212">
        <v>4</v>
      </c>
      <c r="N292" s="81">
        <f t="shared" si="32"/>
        <v>11</v>
      </c>
      <c r="O292" s="82">
        <f t="shared" si="33"/>
        <v>4</v>
      </c>
      <c r="P292" s="70" t="str">
        <f t="shared" si="36"/>
        <v>ROOD</v>
      </c>
      <c r="Q292" s="86" t="str">
        <f t="shared" si="34"/>
        <v>Stef D</v>
      </c>
      <c r="R292" s="87" t="str">
        <f t="shared" si="35"/>
        <v>Karel</v>
      </c>
      <c r="S292" s="147" t="str">
        <f>Tabel158[[#This Row],[Rood Verdediging]]&amp;Tabel158[[#This Row],[Rood Aanval]]</f>
        <v>Stef DKarel</v>
      </c>
      <c r="T292" s="147" t="str">
        <f>Tabel158[[#This Row],[Groen Verdediging]]&amp;Tabel158[[#This Row],[Groen Aanval]]</f>
        <v>MatthijsJonas</v>
      </c>
      <c r="U292" s="147" t="str">
        <f>Tabel158[[#This Row],[Winnaar 1]]&amp;Tabel158[[#This Row],[Winnaar 2]]</f>
        <v>Stef DKarel</v>
      </c>
      <c r="V292" s="147" t="str">
        <f>IF(Tabel158[[#This Row],[Team Rood]]=Tabel158[[#This Row],[Winnaars]],Tabel158[[#This Row],[Team Rood]])</f>
        <v>Stef DKarel</v>
      </c>
      <c r="W292" s="147" t="b">
        <f>IF(Tabel158[[#This Row],[Team Groen]]=Tabel158[[#This Row],[Winnaars]],Tabel158[[#This Row],[Team Groen]])</f>
        <v>0</v>
      </c>
    </row>
    <row r="293" spans="1:23" x14ac:dyDescent="0.25">
      <c r="A293" s="125">
        <f ca="1">IF(Tabel158[[#This Row],[Rood Verdediging]]&lt;&gt;"",IF(A293="",NOW(),A293),"")</f>
        <v>0</v>
      </c>
      <c r="B293" s="128">
        <f ca="1">IF(Tabel158[[#This Row],[Rood Verdediging]]&lt;&gt;"",IF(B293="",NOW(),B293),"")</f>
        <v>43878.947694907409</v>
      </c>
      <c r="C293" s="126">
        <f ca="1">IF(Tabel158[[#This Row],[Score]]&lt;&gt;"",IF(C293="",NOW(),C293),"")</f>
        <v>43878.947694907409</v>
      </c>
      <c r="D293" s="182">
        <f ca="1">IF(OR(Tabel158[[#This Row],[Starttijd]]="",Tabel158[[#This Row],[Eindtijd]]=""),"",Tabel158[[#This Row],[Eindtijd]]-Tabel158[[#This Row],[Starttijd]])</f>
        <v>0</v>
      </c>
      <c r="E293" s="74">
        <v>120</v>
      </c>
      <c r="F293" s="205" t="s">
        <v>3</v>
      </c>
      <c r="G293" s="210">
        <v>4</v>
      </c>
      <c r="H293" s="205" t="s">
        <v>13</v>
      </c>
      <c r="I293" s="210">
        <v>10</v>
      </c>
      <c r="J293" s="206" t="s">
        <v>8</v>
      </c>
      <c r="K293" s="212">
        <v>6</v>
      </c>
      <c r="L293" s="206" t="s">
        <v>6</v>
      </c>
      <c r="M293" s="212">
        <v>10</v>
      </c>
      <c r="N293" s="81">
        <f t="shared" si="32"/>
        <v>14</v>
      </c>
      <c r="O293" s="82">
        <f t="shared" si="33"/>
        <v>16</v>
      </c>
      <c r="P293" s="70" t="str">
        <f t="shared" si="36"/>
        <v>GROEN</v>
      </c>
      <c r="Q293" s="86" t="str">
        <f t="shared" si="34"/>
        <v>Louis</v>
      </c>
      <c r="R293" s="87" t="str">
        <f t="shared" si="35"/>
        <v>Stef D</v>
      </c>
      <c r="S293" s="147" t="str">
        <f>Tabel158[[#This Row],[Rood Verdediging]]&amp;Tabel158[[#This Row],[Rood Aanval]]</f>
        <v>KarelBert</v>
      </c>
      <c r="T293" s="147" t="str">
        <f>Tabel158[[#This Row],[Groen Verdediging]]&amp;Tabel158[[#This Row],[Groen Aanval]]</f>
        <v>LouisStef D</v>
      </c>
      <c r="U293" s="147" t="str">
        <f>Tabel158[[#This Row],[Winnaar 1]]&amp;Tabel158[[#This Row],[Winnaar 2]]</f>
        <v>LouisStef D</v>
      </c>
      <c r="V293" s="147" t="b">
        <f>IF(Tabel158[[#This Row],[Team Rood]]=Tabel158[[#This Row],[Winnaars]],Tabel158[[#This Row],[Team Rood]])</f>
        <v>0</v>
      </c>
      <c r="W293" s="147" t="str">
        <f>IF(Tabel158[[#This Row],[Team Groen]]=Tabel158[[#This Row],[Winnaars]],Tabel158[[#This Row],[Team Groen]])</f>
        <v>LouisStef D</v>
      </c>
    </row>
    <row r="294" spans="1:23" x14ac:dyDescent="0.25">
      <c r="A294" s="125">
        <f ca="1">IF(Tabel158[[#This Row],[Rood Verdediging]]&lt;&gt;"",IF(A294="",NOW(),A294),"")</f>
        <v>0</v>
      </c>
      <c r="B294" s="128">
        <f ca="1">IF(Tabel158[[#This Row],[Rood Verdediging]]&lt;&gt;"",IF(B294="",NOW(),B294),"")</f>
        <v>43878.947694907409</v>
      </c>
      <c r="C294" s="126">
        <f ca="1">IF(Tabel158[[#This Row],[Score]]&lt;&gt;"",IF(C294="",NOW(),C294),"")</f>
        <v>43878.947694907409</v>
      </c>
      <c r="D294" s="182">
        <f ca="1">IF(OR(Tabel158[[#This Row],[Starttijd]]="",Tabel158[[#This Row],[Eindtijd]]=""),"",Tabel158[[#This Row],[Eindtijd]]-Tabel158[[#This Row],[Starttijd]])</f>
        <v>0</v>
      </c>
      <c r="E294" s="74">
        <v>120</v>
      </c>
      <c r="F294" s="205" t="s">
        <v>11</v>
      </c>
      <c r="G294" s="210">
        <v>5</v>
      </c>
      <c r="H294" s="205" t="s">
        <v>13</v>
      </c>
      <c r="I294" s="210">
        <v>6</v>
      </c>
      <c r="J294" s="206" t="s">
        <v>0</v>
      </c>
      <c r="K294" s="212">
        <v>2</v>
      </c>
      <c r="L294" s="206" t="s">
        <v>8</v>
      </c>
      <c r="M294" s="212">
        <v>1</v>
      </c>
      <c r="N294" s="81">
        <f t="shared" si="32"/>
        <v>11</v>
      </c>
      <c r="O294" s="82">
        <f t="shared" si="33"/>
        <v>3</v>
      </c>
      <c r="P294" s="70" t="str">
        <f t="shared" si="36"/>
        <v>ROOD</v>
      </c>
      <c r="Q294" s="86" t="str">
        <f t="shared" si="34"/>
        <v>Matthijs</v>
      </c>
      <c r="R294" s="87" t="str">
        <f t="shared" si="35"/>
        <v>Bert</v>
      </c>
      <c r="S294" s="147" t="str">
        <f>Tabel158[[#This Row],[Rood Verdediging]]&amp;Tabel158[[#This Row],[Rood Aanval]]</f>
        <v>MatthijsBert</v>
      </c>
      <c r="T294" s="147" t="str">
        <f>Tabel158[[#This Row],[Groen Verdediging]]&amp;Tabel158[[#This Row],[Groen Aanval]]</f>
        <v>JonasLouis</v>
      </c>
      <c r="U294" s="147" t="str">
        <f>Tabel158[[#This Row],[Winnaar 1]]&amp;Tabel158[[#This Row],[Winnaar 2]]</f>
        <v>MatthijsBert</v>
      </c>
      <c r="V294" s="147" t="str">
        <f>IF(Tabel158[[#This Row],[Team Rood]]=Tabel158[[#This Row],[Winnaars]],Tabel158[[#This Row],[Team Rood]])</f>
        <v>MatthijsBert</v>
      </c>
      <c r="W294" s="147" t="b">
        <f>IF(Tabel158[[#This Row],[Team Groen]]=Tabel158[[#This Row],[Winnaars]],Tabel158[[#This Row],[Team Groen]])</f>
        <v>0</v>
      </c>
    </row>
    <row r="295" spans="1:23" x14ac:dyDescent="0.25">
      <c r="A295" s="125">
        <f ca="1">IF(Tabel158[[#This Row],[Rood Verdediging]]&lt;&gt;"",IF(A295="",NOW(),A295),"")</f>
        <v>0</v>
      </c>
      <c r="B295" s="128">
        <f ca="1">IF(Tabel158[[#This Row],[Rood Verdediging]]&lt;&gt;"",IF(B295="",NOW(),B295),"")</f>
        <v>43878.947694907409</v>
      </c>
      <c r="C295" s="126">
        <f ca="1">IF(Tabel158[[#This Row],[Score]]&lt;&gt;"",IF(C295="",NOW(),C295),"")</f>
        <v>43878.947694907409</v>
      </c>
      <c r="D295" s="182">
        <f ca="1">IF(OR(Tabel158[[#This Row],[Starttijd]]="",Tabel158[[#This Row],[Eindtijd]]=""),"",Tabel158[[#This Row],[Eindtijd]]-Tabel158[[#This Row],[Starttijd]])</f>
        <v>0</v>
      </c>
      <c r="E295" s="74">
        <v>120</v>
      </c>
      <c r="F295" s="205" t="s">
        <v>11</v>
      </c>
      <c r="G295" s="210">
        <v>3</v>
      </c>
      <c r="H295" s="205" t="s">
        <v>6</v>
      </c>
      <c r="I295" s="210">
        <v>13</v>
      </c>
      <c r="J295" s="206" t="s">
        <v>0</v>
      </c>
      <c r="K295" s="212">
        <v>4</v>
      </c>
      <c r="L295" s="206" t="s">
        <v>3</v>
      </c>
      <c r="M295" s="212">
        <v>10</v>
      </c>
      <c r="N295" s="81">
        <f t="shared" si="32"/>
        <v>16</v>
      </c>
      <c r="O295" s="82">
        <f t="shared" si="33"/>
        <v>14</v>
      </c>
      <c r="P295" s="70" t="str">
        <f t="shared" si="36"/>
        <v>ROOD</v>
      </c>
      <c r="Q295" s="86" t="str">
        <f t="shared" si="34"/>
        <v>Matthijs</v>
      </c>
      <c r="R295" s="87" t="str">
        <f t="shared" si="35"/>
        <v>Stef D</v>
      </c>
      <c r="S295" s="147" t="str">
        <f>Tabel158[[#This Row],[Rood Verdediging]]&amp;Tabel158[[#This Row],[Rood Aanval]]</f>
        <v>MatthijsStef D</v>
      </c>
      <c r="T295" s="147" t="str">
        <f>Tabel158[[#This Row],[Groen Verdediging]]&amp;Tabel158[[#This Row],[Groen Aanval]]</f>
        <v>JonasKarel</v>
      </c>
      <c r="U295" s="147" t="str">
        <f>Tabel158[[#This Row],[Winnaar 1]]&amp;Tabel158[[#This Row],[Winnaar 2]]</f>
        <v>MatthijsStef D</v>
      </c>
      <c r="V295" s="147" t="str">
        <f>IF(Tabel158[[#This Row],[Team Rood]]=Tabel158[[#This Row],[Winnaars]],Tabel158[[#This Row],[Team Rood]])</f>
        <v>MatthijsStef D</v>
      </c>
      <c r="W295" s="147" t="b">
        <f>IF(Tabel158[[#This Row],[Team Groen]]=Tabel158[[#This Row],[Winnaars]],Tabel158[[#This Row],[Team Groen]])</f>
        <v>0</v>
      </c>
    </row>
    <row r="296" spans="1:23" x14ac:dyDescent="0.25">
      <c r="A296" s="125">
        <f ca="1">IF(Tabel158[[#This Row],[Rood Verdediging]]&lt;&gt;"",IF(A296="",NOW(),A296),"")</f>
        <v>0</v>
      </c>
      <c r="B296" s="128">
        <f ca="1">IF(Tabel158[[#This Row],[Rood Verdediging]]&lt;&gt;"",IF(B296="",NOW(),B296),"")</f>
        <v>43878.947694907409</v>
      </c>
      <c r="C296" s="126">
        <f ca="1">IF(Tabel158[[#This Row],[Score]]&lt;&gt;"",IF(C296="",NOW(),C296),"")</f>
        <v>43878.947694907409</v>
      </c>
      <c r="D296" s="182">
        <f ca="1">IF(OR(Tabel158[[#This Row],[Starttijd]]="",Tabel158[[#This Row],[Eindtijd]]=""),"",Tabel158[[#This Row],[Eindtijd]]-Tabel158[[#This Row],[Starttijd]])</f>
        <v>0</v>
      </c>
      <c r="E296" s="74">
        <v>120</v>
      </c>
      <c r="F296" s="205" t="s">
        <v>8</v>
      </c>
      <c r="G296" s="210">
        <v>4</v>
      </c>
      <c r="H296" s="205" t="s">
        <v>0</v>
      </c>
      <c r="I296" s="210">
        <v>6</v>
      </c>
      <c r="J296" s="206" t="s">
        <v>6</v>
      </c>
      <c r="K296" s="212">
        <v>4</v>
      </c>
      <c r="L296" s="206" t="s">
        <v>13</v>
      </c>
      <c r="M296" s="212">
        <v>7</v>
      </c>
      <c r="N296" s="81">
        <f t="shared" si="32"/>
        <v>10</v>
      </c>
      <c r="O296" s="82">
        <f t="shared" si="33"/>
        <v>11</v>
      </c>
      <c r="P296" s="70" t="str">
        <f t="shared" si="36"/>
        <v>GROEN</v>
      </c>
      <c r="Q296" s="86" t="str">
        <f t="shared" si="34"/>
        <v>Stef D</v>
      </c>
      <c r="R296" s="87" t="str">
        <f t="shared" si="35"/>
        <v>Bert</v>
      </c>
      <c r="S296" s="147" t="str">
        <f>Tabel158[[#This Row],[Rood Verdediging]]&amp;Tabel158[[#This Row],[Rood Aanval]]</f>
        <v>LouisJonas</v>
      </c>
      <c r="T296" s="147" t="str">
        <f>Tabel158[[#This Row],[Groen Verdediging]]&amp;Tabel158[[#This Row],[Groen Aanval]]</f>
        <v>Stef DBert</v>
      </c>
      <c r="U296" s="147" t="str">
        <f>Tabel158[[#This Row],[Winnaar 1]]&amp;Tabel158[[#This Row],[Winnaar 2]]</f>
        <v>Stef DBert</v>
      </c>
      <c r="V296" s="147" t="b">
        <f>IF(Tabel158[[#This Row],[Team Rood]]=Tabel158[[#This Row],[Winnaars]],Tabel158[[#This Row],[Team Rood]])</f>
        <v>0</v>
      </c>
      <c r="W296" s="147" t="str">
        <f>IF(Tabel158[[#This Row],[Team Groen]]=Tabel158[[#This Row],[Winnaars]],Tabel158[[#This Row],[Team Groen]])</f>
        <v>Stef DBert</v>
      </c>
    </row>
    <row r="297" spans="1:23" x14ac:dyDescent="0.25">
      <c r="A297" s="125">
        <f ca="1">IF(Tabel158[[#This Row],[Rood Verdediging]]&lt;&gt;"",IF(A297="",NOW(),A297),"")</f>
        <v>0</v>
      </c>
      <c r="B297" s="128">
        <f ca="1">IF(Tabel158[[#This Row],[Rood Verdediging]]&lt;&gt;"",IF(B297="",NOW(),B297),"")</f>
        <v>43878.947694907409</v>
      </c>
      <c r="C297" s="126">
        <f ca="1">IF(Tabel158[[#This Row],[Score]]&lt;&gt;"",IF(C297="",NOW(),C297),"")</f>
        <v>43878.947694907409</v>
      </c>
      <c r="D297" s="182">
        <f ca="1">IF(OR(Tabel158[[#This Row],[Starttijd]]="",Tabel158[[#This Row],[Eindtijd]]=""),"",Tabel158[[#This Row],[Eindtijd]]-Tabel158[[#This Row],[Starttijd]])</f>
        <v>0</v>
      </c>
      <c r="E297" s="74">
        <v>120</v>
      </c>
      <c r="F297" s="205" t="s">
        <v>0</v>
      </c>
      <c r="G297" s="210">
        <v>3</v>
      </c>
      <c r="H297" s="205" t="s">
        <v>6</v>
      </c>
      <c r="I297" s="210">
        <v>9</v>
      </c>
      <c r="J297" s="206" t="s">
        <v>11</v>
      </c>
      <c r="K297" s="212">
        <v>0</v>
      </c>
      <c r="L297" s="206" t="s">
        <v>3</v>
      </c>
      <c r="M297" s="212">
        <v>10</v>
      </c>
      <c r="N297" s="81">
        <f t="shared" si="32"/>
        <v>12</v>
      </c>
      <c r="O297" s="82">
        <f t="shared" si="33"/>
        <v>10</v>
      </c>
      <c r="P297" s="70" t="str">
        <f t="shared" si="36"/>
        <v>ROOD</v>
      </c>
      <c r="Q297" s="86" t="str">
        <f t="shared" si="34"/>
        <v>Jonas</v>
      </c>
      <c r="R297" s="87" t="str">
        <f t="shared" si="35"/>
        <v>Stef D</v>
      </c>
      <c r="S297" s="147" t="str">
        <f>Tabel158[[#This Row],[Rood Verdediging]]&amp;Tabel158[[#This Row],[Rood Aanval]]</f>
        <v>JonasStef D</v>
      </c>
      <c r="T297" s="147" t="str">
        <f>Tabel158[[#This Row],[Groen Verdediging]]&amp;Tabel158[[#This Row],[Groen Aanval]]</f>
        <v>MatthijsKarel</v>
      </c>
      <c r="U297" s="147" t="str">
        <f>Tabel158[[#This Row],[Winnaar 1]]&amp;Tabel158[[#This Row],[Winnaar 2]]</f>
        <v>JonasStef D</v>
      </c>
      <c r="V297" s="147" t="str">
        <f>IF(Tabel158[[#This Row],[Team Rood]]=Tabel158[[#This Row],[Winnaars]],Tabel158[[#This Row],[Team Rood]])</f>
        <v>JonasStef D</v>
      </c>
      <c r="W297" s="147" t="b">
        <f>IF(Tabel158[[#This Row],[Team Groen]]=Tabel158[[#This Row],[Winnaars]],Tabel158[[#This Row],[Team Groen]])</f>
        <v>0</v>
      </c>
    </row>
    <row r="298" spans="1:23" x14ac:dyDescent="0.25">
      <c r="A298" s="125">
        <f ca="1">IF(Tabel158[[#This Row],[Rood Verdediging]]&lt;&gt;"",IF(A298="",NOW(),A298),"")</f>
        <v>0</v>
      </c>
      <c r="B298" s="128">
        <f ca="1">IF(Tabel158[[#This Row],[Rood Verdediging]]&lt;&gt;"",IF(B298="",NOW(),B298),"")</f>
        <v>43878.947694907409</v>
      </c>
      <c r="C298" s="126">
        <f ca="1">IF(Tabel158[[#This Row],[Score]]&lt;&gt;"",IF(C298="",NOW(),C298),"")</f>
        <v>43878.947694907409</v>
      </c>
      <c r="D298" s="182">
        <f ca="1">IF(OR(Tabel158[[#This Row],[Starttijd]]="",Tabel158[[#This Row],[Eindtijd]]=""),"",Tabel158[[#This Row],[Eindtijd]]-Tabel158[[#This Row],[Starttijd]])</f>
        <v>0</v>
      </c>
      <c r="E298" s="74">
        <v>120</v>
      </c>
      <c r="F298" s="205" t="s">
        <v>8</v>
      </c>
      <c r="G298" s="210">
        <v>5</v>
      </c>
      <c r="H298" s="205" t="s">
        <v>11</v>
      </c>
      <c r="I298" s="210">
        <v>6</v>
      </c>
      <c r="J298" s="206" t="s">
        <v>6</v>
      </c>
      <c r="K298" s="212">
        <v>2</v>
      </c>
      <c r="L298" s="206" t="s">
        <v>3</v>
      </c>
      <c r="M298" s="212">
        <v>4</v>
      </c>
      <c r="N298" s="81">
        <f t="shared" si="32"/>
        <v>11</v>
      </c>
      <c r="O298" s="82">
        <f t="shared" si="33"/>
        <v>6</v>
      </c>
      <c r="P298" s="70" t="str">
        <f t="shared" si="36"/>
        <v>ROOD</v>
      </c>
      <c r="Q298" s="86" t="str">
        <f t="shared" si="34"/>
        <v>Louis</v>
      </c>
      <c r="R298" s="87" t="str">
        <f t="shared" si="35"/>
        <v>Matthijs</v>
      </c>
      <c r="S298" s="147" t="str">
        <f>Tabel158[[#This Row],[Rood Verdediging]]&amp;Tabel158[[#This Row],[Rood Aanval]]</f>
        <v>LouisMatthijs</v>
      </c>
      <c r="T298" s="147" t="str">
        <f>Tabel158[[#This Row],[Groen Verdediging]]&amp;Tabel158[[#This Row],[Groen Aanval]]</f>
        <v>Stef DKarel</v>
      </c>
      <c r="U298" s="147" t="str">
        <f>Tabel158[[#This Row],[Winnaar 1]]&amp;Tabel158[[#This Row],[Winnaar 2]]</f>
        <v>LouisMatthijs</v>
      </c>
      <c r="V298" s="147" t="str">
        <f>IF(Tabel158[[#This Row],[Team Rood]]=Tabel158[[#This Row],[Winnaars]],Tabel158[[#This Row],[Team Rood]])</f>
        <v>LouisMatthijs</v>
      </c>
      <c r="W298" s="147" t="b">
        <f>IF(Tabel158[[#This Row],[Team Groen]]=Tabel158[[#This Row],[Winnaars]],Tabel158[[#This Row],[Team Groen]])</f>
        <v>0</v>
      </c>
    </row>
    <row r="299" spans="1:23" x14ac:dyDescent="0.25">
      <c r="A299" s="125">
        <f ca="1">IF(Tabel158[[#This Row],[Rood Verdediging]]&lt;&gt;"",IF(A299="",NOW(),A299),"")</f>
        <v>0</v>
      </c>
      <c r="B299" s="128">
        <f ca="1">IF(Tabel158[[#This Row],[Rood Verdediging]]&lt;&gt;"",IF(B299="",NOW(),B299),"")</f>
        <v>43878.947694907409</v>
      </c>
      <c r="C299" s="126">
        <f ca="1">IF(Tabel158[[#This Row],[Score]]&lt;&gt;"",IF(C299="",NOW(),C299),"")</f>
        <v>43878.947694907409</v>
      </c>
      <c r="D299" s="182">
        <f ca="1">IF(OR(Tabel158[[#This Row],[Starttijd]]="",Tabel158[[#This Row],[Eindtijd]]=""),"",Tabel158[[#This Row],[Eindtijd]]-Tabel158[[#This Row],[Starttijd]])</f>
        <v>0</v>
      </c>
      <c r="E299" s="74">
        <v>120</v>
      </c>
      <c r="F299" s="205" t="s">
        <v>0</v>
      </c>
      <c r="G299" s="210">
        <v>3</v>
      </c>
      <c r="H299" s="205" t="s">
        <v>6</v>
      </c>
      <c r="I299" s="210">
        <v>8</v>
      </c>
      <c r="J299" s="206" t="s">
        <v>19</v>
      </c>
      <c r="K299" s="212">
        <v>0</v>
      </c>
      <c r="L299" s="206" t="s">
        <v>8</v>
      </c>
      <c r="M299" s="212">
        <v>5</v>
      </c>
      <c r="N299" s="81">
        <f t="shared" si="32"/>
        <v>11</v>
      </c>
      <c r="O299" s="82">
        <f t="shared" si="33"/>
        <v>5</v>
      </c>
      <c r="P299" s="70" t="str">
        <f t="shared" si="36"/>
        <v>ROOD</v>
      </c>
      <c r="Q299" s="86" t="str">
        <f t="shared" si="34"/>
        <v>Jonas</v>
      </c>
      <c r="R299" s="87" t="str">
        <f t="shared" si="35"/>
        <v>Stef D</v>
      </c>
      <c r="S299" s="147" t="str">
        <f>Tabel158[[#This Row],[Rood Verdediging]]&amp;Tabel158[[#This Row],[Rood Aanval]]</f>
        <v>JonasStef D</v>
      </c>
      <c r="T299" s="147" t="str">
        <f>Tabel158[[#This Row],[Groen Verdediging]]&amp;Tabel158[[#This Row],[Groen Aanval]]</f>
        <v>NicolasLouis</v>
      </c>
      <c r="U299" s="147" t="str">
        <f>Tabel158[[#This Row],[Winnaar 1]]&amp;Tabel158[[#This Row],[Winnaar 2]]</f>
        <v>JonasStef D</v>
      </c>
      <c r="V299" s="147" t="str">
        <f>IF(Tabel158[[#This Row],[Team Rood]]=Tabel158[[#This Row],[Winnaars]],Tabel158[[#This Row],[Team Rood]])</f>
        <v>JonasStef D</v>
      </c>
      <c r="W299" s="147" t="b">
        <f>IF(Tabel158[[#This Row],[Team Groen]]=Tabel158[[#This Row],[Winnaars]],Tabel158[[#This Row],[Team Groen]])</f>
        <v>0</v>
      </c>
    </row>
    <row r="300" spans="1:23" x14ac:dyDescent="0.25">
      <c r="A300" s="125">
        <f ca="1">IF(Tabel158[[#This Row],[Rood Verdediging]]&lt;&gt;"",IF(A300="",NOW(),A300),"")</f>
        <v>0</v>
      </c>
      <c r="B300" s="128">
        <f ca="1">IF(Tabel158[[#This Row],[Rood Verdediging]]&lt;&gt;"",IF(B300="",NOW(),B300),"")</f>
        <v>43878.947694907409</v>
      </c>
      <c r="C300" s="126">
        <f ca="1">IF(Tabel158[[#This Row],[Score]]&lt;&gt;"",IF(C300="",NOW(),C300),"")</f>
        <v>43878.947694907409</v>
      </c>
      <c r="D300" s="182">
        <f ca="1">IF(OR(Tabel158[[#This Row],[Starttijd]]="",Tabel158[[#This Row],[Eindtijd]]=""),"",Tabel158[[#This Row],[Eindtijd]]-Tabel158[[#This Row],[Starttijd]])</f>
        <v>0</v>
      </c>
      <c r="E300" s="74">
        <v>120</v>
      </c>
      <c r="F300" s="205" t="s">
        <v>19</v>
      </c>
      <c r="G300" s="210">
        <v>0</v>
      </c>
      <c r="H300" s="205" t="s">
        <v>0</v>
      </c>
      <c r="I300" s="210">
        <v>5</v>
      </c>
      <c r="J300" s="206" t="s">
        <v>6</v>
      </c>
      <c r="K300" s="212">
        <v>7</v>
      </c>
      <c r="L300" s="206" t="s">
        <v>8</v>
      </c>
      <c r="M300" s="212">
        <v>4</v>
      </c>
      <c r="N300" s="81">
        <f t="shared" si="32"/>
        <v>5</v>
      </c>
      <c r="O300" s="82">
        <f t="shared" si="33"/>
        <v>11</v>
      </c>
      <c r="P300" s="70" t="str">
        <f t="shared" si="36"/>
        <v>GROEN</v>
      </c>
      <c r="Q300" s="86" t="str">
        <f t="shared" si="34"/>
        <v>Stef D</v>
      </c>
      <c r="R300" s="87" t="str">
        <f t="shared" si="35"/>
        <v>Louis</v>
      </c>
      <c r="S300" s="147" t="str">
        <f>Tabel158[[#This Row],[Rood Verdediging]]&amp;Tabel158[[#This Row],[Rood Aanval]]</f>
        <v>NicolasJonas</v>
      </c>
      <c r="T300" s="147" t="str">
        <f>Tabel158[[#This Row],[Groen Verdediging]]&amp;Tabel158[[#This Row],[Groen Aanval]]</f>
        <v>Stef DLouis</v>
      </c>
      <c r="U300" s="147" t="str">
        <f>Tabel158[[#This Row],[Winnaar 1]]&amp;Tabel158[[#This Row],[Winnaar 2]]</f>
        <v>Stef DLouis</v>
      </c>
      <c r="V300" s="147" t="b">
        <f>IF(Tabel158[[#This Row],[Team Rood]]=Tabel158[[#This Row],[Winnaars]],Tabel158[[#This Row],[Team Rood]])</f>
        <v>0</v>
      </c>
      <c r="W300" s="147" t="str">
        <f>IF(Tabel158[[#This Row],[Team Groen]]=Tabel158[[#This Row],[Winnaars]],Tabel158[[#This Row],[Team Groen]])</f>
        <v>Stef DLouis</v>
      </c>
    </row>
    <row r="301" spans="1:23" x14ac:dyDescent="0.25">
      <c r="A301" s="125">
        <f ca="1">IF(Tabel158[[#This Row],[Rood Verdediging]]&lt;&gt;"",IF(A301="",NOW(),A301),"")</f>
        <v>0</v>
      </c>
      <c r="B301" s="128">
        <f ca="1">IF(Tabel158[[#This Row],[Rood Verdediging]]&lt;&gt;"",IF(B301="",NOW(),B301),"")</f>
        <v>43878.947694907409</v>
      </c>
      <c r="C301" s="126">
        <f ca="1">IF(Tabel158[[#This Row],[Score]]&lt;&gt;"",IF(C301="",NOW(),C301),"")</f>
        <v>43878.947694907409</v>
      </c>
      <c r="D301" s="182">
        <f ca="1">IF(OR(Tabel158[[#This Row],[Starttijd]]="",Tabel158[[#This Row],[Eindtijd]]=""),"",Tabel158[[#This Row],[Eindtijd]]-Tabel158[[#This Row],[Starttijd]])</f>
        <v>0</v>
      </c>
      <c r="E301" s="74">
        <v>120</v>
      </c>
      <c r="F301" s="205" t="s">
        <v>19</v>
      </c>
      <c r="G301" s="210">
        <v>2</v>
      </c>
      <c r="H301" s="205" t="s">
        <v>6</v>
      </c>
      <c r="I301" s="210">
        <v>9</v>
      </c>
      <c r="J301" s="206" t="s">
        <v>8</v>
      </c>
      <c r="K301" s="212">
        <v>2</v>
      </c>
      <c r="L301" s="206" t="s">
        <v>0</v>
      </c>
      <c r="M301" s="212">
        <v>7</v>
      </c>
      <c r="N301" s="81">
        <f t="shared" si="32"/>
        <v>11</v>
      </c>
      <c r="O301" s="82">
        <f t="shared" si="33"/>
        <v>9</v>
      </c>
      <c r="P301" s="70" t="str">
        <f t="shared" si="36"/>
        <v>ROOD</v>
      </c>
      <c r="Q301" s="86" t="str">
        <f t="shared" si="34"/>
        <v>Nicolas</v>
      </c>
      <c r="R301" s="87" t="str">
        <f t="shared" si="35"/>
        <v>Stef D</v>
      </c>
      <c r="S301" s="147" t="str">
        <f>Tabel158[[#This Row],[Rood Verdediging]]&amp;Tabel158[[#This Row],[Rood Aanval]]</f>
        <v>NicolasStef D</v>
      </c>
      <c r="T301" s="147" t="str">
        <f>Tabel158[[#This Row],[Groen Verdediging]]&amp;Tabel158[[#This Row],[Groen Aanval]]</f>
        <v>LouisJonas</v>
      </c>
      <c r="U301" s="147" t="str">
        <f>Tabel158[[#This Row],[Winnaar 1]]&amp;Tabel158[[#This Row],[Winnaar 2]]</f>
        <v>NicolasStef D</v>
      </c>
      <c r="V301" s="147" t="str">
        <f>IF(Tabel158[[#This Row],[Team Rood]]=Tabel158[[#This Row],[Winnaars]],Tabel158[[#This Row],[Team Rood]])</f>
        <v>NicolasStef D</v>
      </c>
      <c r="W301" s="147" t="b">
        <f>IF(Tabel158[[#This Row],[Team Groen]]=Tabel158[[#This Row],[Winnaars]],Tabel158[[#This Row],[Team Groen]])</f>
        <v>0</v>
      </c>
    </row>
    <row r="302" spans="1:23" x14ac:dyDescent="0.25">
      <c r="A302" s="125">
        <f ca="1">IF(Tabel158[[#This Row],[Rood Verdediging]]&lt;&gt;"",IF(A302="",NOW(),A302),"")</f>
        <v>0</v>
      </c>
      <c r="B302" s="128">
        <f ca="1">IF(Tabel158[[#This Row],[Rood Verdediging]]&lt;&gt;"",IF(B302="",NOW(),B302),"")</f>
        <v>43878.947694907409</v>
      </c>
      <c r="C302" s="126">
        <f ca="1">IF(Tabel158[[#This Row],[Score]]&lt;&gt;"",IF(C302="",NOW(),C302),"")</f>
        <v>43878.947694907409</v>
      </c>
      <c r="D302" s="182">
        <f ca="1">IF(OR(Tabel158[[#This Row],[Starttijd]]="",Tabel158[[#This Row],[Eindtijd]]=""),"",Tabel158[[#This Row],[Eindtijd]]-Tabel158[[#This Row],[Starttijd]])</f>
        <v>0</v>
      </c>
      <c r="E302" s="74">
        <v>120</v>
      </c>
      <c r="F302" s="205" t="s">
        <v>8</v>
      </c>
      <c r="G302" s="210">
        <v>3</v>
      </c>
      <c r="H302" s="205" t="s">
        <v>19</v>
      </c>
      <c r="I302" s="210">
        <v>8</v>
      </c>
      <c r="J302" s="206" t="s">
        <v>6</v>
      </c>
      <c r="K302" s="212">
        <v>2</v>
      </c>
      <c r="L302" s="206" t="s">
        <v>0</v>
      </c>
      <c r="M302" s="212">
        <v>2</v>
      </c>
      <c r="N302" s="81">
        <f t="shared" si="32"/>
        <v>11</v>
      </c>
      <c r="O302" s="82">
        <f t="shared" si="33"/>
        <v>4</v>
      </c>
      <c r="P302" s="70" t="str">
        <f t="shared" si="36"/>
        <v>ROOD</v>
      </c>
      <c r="Q302" s="86" t="str">
        <f t="shared" si="34"/>
        <v>Louis</v>
      </c>
      <c r="R302" s="87" t="str">
        <f t="shared" si="35"/>
        <v>Nicolas</v>
      </c>
      <c r="S302" s="147" t="str">
        <f>Tabel158[[#This Row],[Rood Verdediging]]&amp;Tabel158[[#This Row],[Rood Aanval]]</f>
        <v>LouisNicolas</v>
      </c>
      <c r="T302" s="147" t="str">
        <f>Tabel158[[#This Row],[Groen Verdediging]]&amp;Tabel158[[#This Row],[Groen Aanval]]</f>
        <v>Stef DJonas</v>
      </c>
      <c r="U302" s="147" t="str">
        <f>Tabel158[[#This Row],[Winnaar 1]]&amp;Tabel158[[#This Row],[Winnaar 2]]</f>
        <v>LouisNicolas</v>
      </c>
      <c r="V302" s="147" t="str">
        <f>IF(Tabel158[[#This Row],[Team Rood]]=Tabel158[[#This Row],[Winnaars]],Tabel158[[#This Row],[Team Rood]])</f>
        <v>LouisNicolas</v>
      </c>
      <c r="W302" s="147" t="b">
        <f>IF(Tabel158[[#This Row],[Team Groen]]=Tabel158[[#This Row],[Winnaars]],Tabel158[[#This Row],[Team Groen]])</f>
        <v>0</v>
      </c>
    </row>
    <row r="303" spans="1:23" x14ac:dyDescent="0.25">
      <c r="A303" s="125">
        <f ca="1">IF(Tabel158[[#This Row],[Rood Verdediging]]&lt;&gt;"",IF(A303="",NOW(),A303),"")</f>
        <v>0</v>
      </c>
      <c r="B303" s="128">
        <f ca="1">IF(Tabel158[[#This Row],[Rood Verdediging]]&lt;&gt;"",IF(B303="",NOW(),B303),"")</f>
        <v>43878.947694907409</v>
      </c>
      <c r="C303" s="126">
        <f ca="1">IF(Tabel158[[#This Row],[Score]]&lt;&gt;"",IF(C303="",NOW(),C303),"")</f>
        <v>43878.947694907409</v>
      </c>
      <c r="D303" s="182">
        <f ca="1">IF(OR(Tabel158[[#This Row],[Starttijd]]="",Tabel158[[#This Row],[Eindtijd]]=""),"",Tabel158[[#This Row],[Eindtijd]]-Tabel158[[#This Row],[Starttijd]])</f>
        <v>0</v>
      </c>
      <c r="E303" s="74">
        <v>120</v>
      </c>
      <c r="F303" s="205" t="s">
        <v>0</v>
      </c>
      <c r="G303" s="210">
        <v>2</v>
      </c>
      <c r="H303" s="205" t="s">
        <v>19</v>
      </c>
      <c r="I303" s="210">
        <v>7</v>
      </c>
      <c r="J303" s="206" t="s">
        <v>8</v>
      </c>
      <c r="K303" s="212">
        <v>4</v>
      </c>
      <c r="L303" s="206" t="s">
        <v>6</v>
      </c>
      <c r="M303" s="212">
        <v>7</v>
      </c>
      <c r="N303" s="81">
        <f t="shared" si="32"/>
        <v>9</v>
      </c>
      <c r="O303" s="82">
        <f t="shared" si="33"/>
        <v>11</v>
      </c>
      <c r="P303" s="70" t="str">
        <f t="shared" si="36"/>
        <v>GROEN</v>
      </c>
      <c r="Q303" s="86" t="str">
        <f t="shared" si="34"/>
        <v>Louis</v>
      </c>
      <c r="R303" s="87" t="str">
        <f t="shared" si="35"/>
        <v>Stef D</v>
      </c>
      <c r="S303" s="147" t="str">
        <f>Tabel158[[#This Row],[Rood Verdediging]]&amp;Tabel158[[#This Row],[Rood Aanval]]</f>
        <v>JonasNicolas</v>
      </c>
      <c r="T303" s="147" t="str">
        <f>Tabel158[[#This Row],[Groen Verdediging]]&amp;Tabel158[[#This Row],[Groen Aanval]]</f>
        <v>LouisStef D</v>
      </c>
      <c r="U303" s="147" t="str">
        <f>Tabel158[[#This Row],[Winnaar 1]]&amp;Tabel158[[#This Row],[Winnaar 2]]</f>
        <v>LouisStef D</v>
      </c>
      <c r="V303" s="147" t="b">
        <f>IF(Tabel158[[#This Row],[Team Rood]]=Tabel158[[#This Row],[Winnaars]],Tabel158[[#This Row],[Team Rood]])</f>
        <v>0</v>
      </c>
      <c r="W303" s="147" t="str">
        <f>IF(Tabel158[[#This Row],[Team Groen]]=Tabel158[[#This Row],[Winnaars]],Tabel158[[#This Row],[Team Groen]])</f>
        <v>LouisStef D</v>
      </c>
    </row>
    <row r="304" spans="1:23" x14ac:dyDescent="0.25">
      <c r="A304" s="125">
        <f ca="1">IF(Tabel158[[#This Row],[Rood Verdediging]]&lt;&gt;"",IF(A304="",NOW(),A304),"")</f>
        <v>0</v>
      </c>
      <c r="B304" s="128">
        <f ca="1">IF(Tabel158[[#This Row],[Rood Verdediging]]&lt;&gt;"",IF(B304="",NOW(),B304),"")</f>
        <v>43878.947694907409</v>
      </c>
      <c r="C304" s="126">
        <f ca="1">IF(Tabel158[[#This Row],[Score]]&lt;&gt;"",IF(C304="",NOW(),C304),"")</f>
        <v>43878.947694907409</v>
      </c>
      <c r="D304" s="182">
        <f ca="1">IF(OR(Tabel158[[#This Row],[Starttijd]]="",Tabel158[[#This Row],[Eindtijd]]=""),"",Tabel158[[#This Row],[Eindtijd]]-Tabel158[[#This Row],[Starttijd]])</f>
        <v>0</v>
      </c>
      <c r="E304" s="74">
        <v>120</v>
      </c>
      <c r="F304" s="205" t="s">
        <v>0</v>
      </c>
      <c r="G304" s="210">
        <v>5</v>
      </c>
      <c r="H304" s="205" t="s">
        <v>8</v>
      </c>
      <c r="I304" s="210">
        <v>6</v>
      </c>
      <c r="J304" s="206" t="s">
        <v>6</v>
      </c>
      <c r="K304" s="212">
        <v>4</v>
      </c>
      <c r="L304" s="206" t="s">
        <v>19</v>
      </c>
      <c r="M304" s="212">
        <v>3</v>
      </c>
      <c r="N304" s="81">
        <f t="shared" si="32"/>
        <v>11</v>
      </c>
      <c r="O304" s="82">
        <f t="shared" si="33"/>
        <v>7</v>
      </c>
      <c r="P304" s="70" t="str">
        <f t="shared" si="36"/>
        <v>ROOD</v>
      </c>
      <c r="Q304" s="86" t="str">
        <f t="shared" si="34"/>
        <v>Jonas</v>
      </c>
      <c r="R304" s="87" t="str">
        <f t="shared" si="35"/>
        <v>Louis</v>
      </c>
      <c r="S304" s="147" t="str">
        <f>Tabel158[[#This Row],[Rood Verdediging]]&amp;Tabel158[[#This Row],[Rood Aanval]]</f>
        <v>JonasLouis</v>
      </c>
      <c r="T304" s="147" t="str">
        <f>Tabel158[[#This Row],[Groen Verdediging]]&amp;Tabel158[[#This Row],[Groen Aanval]]</f>
        <v>Stef DNicolas</v>
      </c>
      <c r="U304" s="147" t="str">
        <f>Tabel158[[#This Row],[Winnaar 1]]&amp;Tabel158[[#This Row],[Winnaar 2]]</f>
        <v>JonasLouis</v>
      </c>
      <c r="V304" s="147" t="str">
        <f>IF(Tabel158[[#This Row],[Team Rood]]=Tabel158[[#This Row],[Winnaars]],Tabel158[[#This Row],[Team Rood]])</f>
        <v>JonasLouis</v>
      </c>
      <c r="W304" s="147" t="b">
        <f>IF(Tabel158[[#This Row],[Team Groen]]=Tabel158[[#This Row],[Winnaars]],Tabel158[[#This Row],[Team Groen]])</f>
        <v>0</v>
      </c>
    </row>
  </sheetData>
  <conditionalFormatting sqref="P2:P304">
    <cfRule type="containsText" dxfId="329" priority="46" operator="containsText" text="ROOD">
      <formula>NOT(ISERROR(SEARCH("ROOD",P2)))</formula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328" priority="48" operator="containsText" text="GROEN">
      <formula>NOT(ISERROR(SEARCH("GROEN",P2)))</formula>
    </cfRule>
    <cfRule type="cellIs" dxfId="327" priority="49" operator="equal">
      <formula>"""GROEN"""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3F08-4A0A-467C-8A8A-826B15A7D0CB}">
  <sheetPr codeName="Blad6" filterMode="1"/>
  <dimension ref="A1:U18"/>
  <sheetViews>
    <sheetView workbookViewId="0">
      <selection activeCell="K4" sqref="K4"/>
    </sheetView>
  </sheetViews>
  <sheetFormatPr defaultRowHeight="15" x14ac:dyDescent="0.25"/>
  <cols>
    <col min="1" max="1" width="11.5703125" bestFit="1" customWidth="1"/>
    <col min="2" max="2" width="18.7109375" bestFit="1" customWidth="1"/>
    <col min="3" max="3" width="17" bestFit="1" customWidth="1"/>
    <col min="4" max="4" width="19" bestFit="1" customWidth="1"/>
    <col min="5" max="5" width="17.28515625" bestFit="1" customWidth="1"/>
    <col min="6" max="6" width="14.5703125" bestFit="1" customWidth="1"/>
    <col min="7" max="7" width="11.5703125" bestFit="1" customWidth="1"/>
    <col min="8" max="8" width="12.7109375" bestFit="1" customWidth="1"/>
    <col min="9" max="9" width="16" customWidth="1"/>
    <col min="10" max="10" width="17.7109375" customWidth="1"/>
    <col min="11" max="11" width="10.140625" customWidth="1"/>
    <col min="12" max="15" width="7.7109375" customWidth="1"/>
    <col min="16" max="18" width="11.7109375" customWidth="1"/>
    <col min="19" max="19" width="8.7109375" customWidth="1"/>
    <col min="20" max="20" width="8.85546875" customWidth="1"/>
  </cols>
  <sheetData>
    <row r="1" spans="1:21" ht="48.75" customHeight="1" x14ac:dyDescent="0.25">
      <c r="A1" s="61" t="s">
        <v>33</v>
      </c>
      <c r="B1" s="66" t="s">
        <v>63</v>
      </c>
      <c r="C1" s="66" t="s">
        <v>62</v>
      </c>
      <c r="D1" s="68" t="s">
        <v>61</v>
      </c>
      <c r="E1" s="68" t="s">
        <v>60</v>
      </c>
      <c r="F1" s="69" t="s">
        <v>49</v>
      </c>
      <c r="G1" s="69" t="s">
        <v>50</v>
      </c>
      <c r="H1" s="69" t="s">
        <v>51</v>
      </c>
      <c r="I1" s="131" t="s">
        <v>52</v>
      </c>
      <c r="J1" s="103" t="s">
        <v>33</v>
      </c>
      <c r="K1" s="131" t="s">
        <v>53</v>
      </c>
      <c r="L1" s="409" t="s">
        <v>54</v>
      </c>
      <c r="M1" s="409"/>
      <c r="N1" s="409" t="s">
        <v>55</v>
      </c>
      <c r="O1" s="409"/>
      <c r="P1" s="90" t="s">
        <v>64</v>
      </c>
      <c r="Q1" s="90" t="s">
        <v>65</v>
      </c>
      <c r="R1" s="90" t="s">
        <v>66</v>
      </c>
      <c r="S1" s="90" t="s">
        <v>68</v>
      </c>
      <c r="T1" s="96" t="s">
        <v>69</v>
      </c>
      <c r="U1" s="96" t="s">
        <v>79</v>
      </c>
    </row>
    <row r="2" spans="1:21" ht="18" hidden="1" customHeight="1" x14ac:dyDescent="0.25">
      <c r="A2" s="65" t="s">
        <v>12</v>
      </c>
      <c r="B2" s="63" t="e">
        <f>COUNTIF(#REF!,A2)</f>
        <v>#REF!</v>
      </c>
      <c r="C2" s="59" t="e">
        <f>COUNTIF(#REF!,A2)</f>
        <v>#REF!</v>
      </c>
      <c r="D2" s="59" t="e">
        <f>COUNTIF(#REF!,A2)</f>
        <v>#REF!</v>
      </c>
      <c r="E2" s="59" t="e">
        <f>COUNTIF(#REF!,A2)</f>
        <v>#REF!</v>
      </c>
      <c r="F2" s="60" t="e">
        <f>SUM(B2:E2)</f>
        <v>#REF!</v>
      </c>
      <c r="G2" s="60" t="e">
        <f>COUNTIF(#REF!,A2)</f>
        <v>#REF!</v>
      </c>
      <c r="H2" s="60" t="e">
        <f t="shared" ref="H2:H14" si="0">F2-G2</f>
        <v>#REF!</v>
      </c>
      <c r="I2" s="101" t="e">
        <f t="shared" ref="I2:I14" si="1">IF(F2=0,"",G2/F2)</f>
        <v>#REF!</v>
      </c>
      <c r="J2" s="1"/>
      <c r="K2" s="4"/>
      <c r="L2" s="4"/>
      <c r="M2" s="4"/>
      <c r="N2" s="4"/>
      <c r="O2" s="4"/>
      <c r="P2" s="4"/>
      <c r="Q2" s="4"/>
      <c r="R2" s="4"/>
      <c r="S2" s="99"/>
      <c r="T2" s="99"/>
    </row>
    <row r="3" spans="1:21" ht="22.15" hidden="1" customHeight="1" x14ac:dyDescent="0.25">
      <c r="A3" s="64" t="s">
        <v>14</v>
      </c>
      <c r="B3" s="26" t="e">
        <f>COUNTIF(#REF!,A3)</f>
        <v>#REF!</v>
      </c>
      <c r="C3" s="27" t="e">
        <f>COUNTIF(#REF!,A3)</f>
        <v>#REF!</v>
      </c>
      <c r="D3" s="27" t="e">
        <f>COUNTIF(#REF!,A3)</f>
        <v>#REF!</v>
      </c>
      <c r="E3" s="27" t="e">
        <f>COUNTIF(#REF!,A3)</f>
        <v>#REF!</v>
      </c>
      <c r="F3" s="42" t="e">
        <f>SUM(B3:E3)</f>
        <v>#REF!</v>
      </c>
      <c r="G3" s="43" t="e">
        <f>COUNTIF(#REF!,A3)</f>
        <v>#REF!</v>
      </c>
      <c r="H3" s="42" t="e">
        <f t="shared" si="0"/>
        <v>#REF!</v>
      </c>
      <c r="I3" s="94" t="e">
        <f t="shared" si="1"/>
        <v>#REF!</v>
      </c>
      <c r="J3" s="102" t="s">
        <v>15</v>
      </c>
      <c r="K3" s="110"/>
      <c r="L3" s="112"/>
      <c r="M3" s="112"/>
      <c r="N3" s="112"/>
      <c r="O3" s="112"/>
      <c r="P3" s="112"/>
      <c r="Q3" s="112"/>
      <c r="R3" s="112"/>
      <c r="S3" s="4"/>
      <c r="T3" s="4"/>
    </row>
    <row r="4" spans="1:21" ht="20.100000000000001" customHeight="1" x14ac:dyDescent="0.25">
      <c r="A4" s="67" t="s">
        <v>169</v>
      </c>
      <c r="B4" s="178">
        <f>COUNTIF('Season 2'!$F$2:$F$304,A4)</f>
        <v>51</v>
      </c>
      <c r="C4" s="177">
        <f>COUNTIF('Season 2'!$H$2:$H$304,A4)</f>
        <v>114</v>
      </c>
      <c r="D4" s="177">
        <f>COUNTIF('Season 2'!$J$2:$J$304,A4)</f>
        <v>42</v>
      </c>
      <c r="E4" s="177">
        <f>COUNTIF('Season 2'!$L$2:$L$304,A4)</f>
        <v>57</v>
      </c>
      <c r="F4" s="43">
        <f>SUM(B4:E4)</f>
        <v>264</v>
      </c>
      <c r="G4" s="181">
        <f>COUNTIF('Season 2'!$Q$2:$R$304,A4)</f>
        <v>171</v>
      </c>
      <c r="H4" s="43">
        <f t="shared" si="0"/>
        <v>93</v>
      </c>
      <c r="I4" s="94">
        <f t="shared" si="1"/>
        <v>0.64772727272727271</v>
      </c>
      <c r="J4" s="102" t="str">
        <f t="shared" ref="J4:J10" si="2">A4</f>
        <v>Stef*</v>
      </c>
      <c r="K4" s="97">
        <f ca="1">SUMIF('Season 2'!$Y$2:$AF$14,'Player Stats S2'!J4,'Season 2'!$AF$2:$AF$14)</f>
        <v>1598</v>
      </c>
      <c r="L4" s="27">
        <f ca="1">SUM('Season 2'!Z4,'Season 2'!AB4)</f>
        <v>347</v>
      </c>
      <c r="M4" s="98">
        <f t="shared" ref="M4:M10" ca="1" si="3">L4/K4</f>
        <v>0.21714643304130163</v>
      </c>
      <c r="N4" s="27">
        <f t="shared" ref="N4:N10" ca="1" si="4">K4-L4</f>
        <v>1251</v>
      </c>
      <c r="O4" s="98">
        <f t="shared" ref="O4:O10" ca="1" si="5">N4/K4</f>
        <v>0.78285356695869834</v>
      </c>
      <c r="P4" s="99">
        <f t="shared" ref="P4:P10" ca="1" si="6">K4/F4</f>
        <v>6.0530303030303028</v>
      </c>
      <c r="Q4" s="99">
        <f t="shared" ref="Q4:Q10" ca="1" si="7">L4/SUM(B4+D4)</f>
        <v>3.7311827956989245</v>
      </c>
      <c r="R4" s="99">
        <f t="shared" ref="R4:R10" ca="1" si="8">N4/SUM(C4,E4)</f>
        <v>7.3157894736842106</v>
      </c>
      <c r="S4" s="100">
        <f>(B4+D4)/F4</f>
        <v>0.35227272727272729</v>
      </c>
      <c r="T4" s="100">
        <f>(C4+E4)/F4</f>
        <v>0.64772727272727271</v>
      </c>
    </row>
    <row r="5" spans="1:21" ht="20.100000000000001" customHeight="1" x14ac:dyDescent="0.25">
      <c r="A5" s="62" t="s">
        <v>158</v>
      </c>
      <c r="B5" s="178">
        <f>COUNTIF('Season 2'!$F$2:$F$304,A5)</f>
        <v>11</v>
      </c>
      <c r="C5" s="177">
        <f>COUNTIF('Season 2'!$H$2:$H$304,A5)</f>
        <v>9</v>
      </c>
      <c r="D5" s="177">
        <f>COUNTIF('Season 2'!$J$2:$J$304,A5)</f>
        <v>5</v>
      </c>
      <c r="E5" s="177">
        <f>COUNTIF('Season 2'!$L$2:$L$304,A5)</f>
        <v>10</v>
      </c>
      <c r="F5" s="42">
        <f t="shared" ref="F5:F14" si="9">SUM(B5:E5)</f>
        <v>35</v>
      </c>
      <c r="G5" s="302">
        <f>COUNTIF('Season 2'!$Q$2:$R$304,A5)</f>
        <v>22</v>
      </c>
      <c r="H5" s="42">
        <f t="shared" si="0"/>
        <v>13</v>
      </c>
      <c r="I5" s="94">
        <f t="shared" si="1"/>
        <v>0.62857142857142856</v>
      </c>
      <c r="J5" s="306" t="str">
        <f t="shared" si="2"/>
        <v>Arno*</v>
      </c>
      <c r="K5" s="298">
        <f ca="1">SUMIF('Season 2'!$Y$2:$AF$14,'Player Stats S2'!J5,'Season 2'!$AF$2:$AF$14)</f>
        <v>224</v>
      </c>
      <c r="L5" s="27">
        <f ca="1">SUM('Season 2'!Z5,'Season 2'!AB5)</f>
        <v>371</v>
      </c>
      <c r="M5" s="98">
        <f t="shared" ca="1" si="3"/>
        <v>1.65625</v>
      </c>
      <c r="N5" s="27">
        <f t="shared" ca="1" si="4"/>
        <v>-147</v>
      </c>
      <c r="O5" s="98">
        <f t="shared" ca="1" si="5"/>
        <v>-0.65625</v>
      </c>
      <c r="P5" s="99">
        <f t="shared" ca="1" si="6"/>
        <v>6.4</v>
      </c>
      <c r="Q5" s="99">
        <f t="shared" ca="1" si="7"/>
        <v>23.1875</v>
      </c>
      <c r="R5" s="99">
        <f t="shared" ca="1" si="8"/>
        <v>-7.7368421052631575</v>
      </c>
      <c r="S5" s="100">
        <f>(B5+D5)/F5</f>
        <v>0.45714285714285713</v>
      </c>
      <c r="T5" s="100">
        <f>(C5+E5)/F5</f>
        <v>0.54285714285714282</v>
      </c>
    </row>
    <row r="6" spans="1:21" ht="20.100000000000001" customHeight="1" x14ac:dyDescent="0.25">
      <c r="A6" s="62" t="s">
        <v>160</v>
      </c>
      <c r="B6" s="178">
        <f>COUNTIF('Season 2'!$F$2:$F$304,A6)</f>
        <v>35</v>
      </c>
      <c r="C6" s="177">
        <f>COUNTIF('Season 2'!$H$2:$H$304,A6)</f>
        <v>31</v>
      </c>
      <c r="D6" s="177">
        <f>COUNTIF('Season 2'!$J$2:$J$304,A6)</f>
        <v>30</v>
      </c>
      <c r="E6" s="177">
        <f>COUNTIF('Season 2'!$L$2:$L$304,A6)</f>
        <v>33</v>
      </c>
      <c r="F6" s="43">
        <f t="shared" si="9"/>
        <v>129</v>
      </c>
      <c r="G6" s="302">
        <f>COUNTIF('Season 2'!$Q$2:$R$304,A6)</f>
        <v>76</v>
      </c>
      <c r="H6" s="43">
        <f t="shared" si="0"/>
        <v>53</v>
      </c>
      <c r="I6" s="94">
        <f t="shared" si="1"/>
        <v>0.58914728682170547</v>
      </c>
      <c r="J6" s="104" t="str">
        <f t="shared" si="2"/>
        <v>Tiemen*</v>
      </c>
      <c r="K6" s="298">
        <f ca="1">SUMIF('Season 2'!$Y$2:$AF$14,'Player Stats S2'!J6,'Season 2'!$AF$2:$AF$14)</f>
        <v>607</v>
      </c>
      <c r="L6" s="27">
        <f ca="1">SUM('Season 2'!Z7,'Season 2'!AB7)</f>
        <v>182</v>
      </c>
      <c r="M6" s="98">
        <f t="shared" ca="1" si="3"/>
        <v>0.29983525535420097</v>
      </c>
      <c r="N6" s="27">
        <f t="shared" ca="1" si="4"/>
        <v>425</v>
      </c>
      <c r="O6" s="98">
        <f t="shared" ca="1" si="5"/>
        <v>0.70016474464579903</v>
      </c>
      <c r="P6" s="99">
        <f t="shared" ca="1" si="6"/>
        <v>4.7054263565891477</v>
      </c>
      <c r="Q6" s="99">
        <f t="shared" ca="1" si="7"/>
        <v>2.8</v>
      </c>
      <c r="R6" s="99">
        <f t="shared" ca="1" si="8"/>
        <v>6.640625</v>
      </c>
      <c r="S6" s="100">
        <f t="shared" ref="S6:S13" si="10">(B6+D6)/F6</f>
        <v>0.50387596899224807</v>
      </c>
      <c r="T6" s="100">
        <f t="shared" ref="T6:T13" si="11">(C6+E6)/F6</f>
        <v>0.49612403100775193</v>
      </c>
    </row>
    <row r="7" spans="1:21" ht="20.100000000000001" customHeight="1" x14ac:dyDescent="0.25">
      <c r="A7" s="62" t="s">
        <v>164</v>
      </c>
      <c r="B7" s="178">
        <f>COUNTIF('Season 2'!$F$2:$F$304,A7)</f>
        <v>35</v>
      </c>
      <c r="C7" s="177">
        <f>COUNTIF('Season 2'!$H$2:$H$304,A7)</f>
        <v>37</v>
      </c>
      <c r="D7" s="177">
        <f>COUNTIF('Season 2'!$J$2:$J$304,A7)</f>
        <v>40</v>
      </c>
      <c r="E7" s="177">
        <f>COUNTIF('Season 2'!$L$2:$L$304,A7)</f>
        <v>49</v>
      </c>
      <c r="F7" s="42">
        <f t="shared" si="9"/>
        <v>161</v>
      </c>
      <c r="G7" s="302">
        <f>COUNTIF('Season 2'!$Q$2:$R$304,A7)</f>
        <v>88</v>
      </c>
      <c r="H7" s="42">
        <f t="shared" si="0"/>
        <v>73</v>
      </c>
      <c r="I7" s="94">
        <f t="shared" si="1"/>
        <v>0.54658385093167705</v>
      </c>
      <c r="J7" s="104" t="str">
        <f t="shared" si="2"/>
        <v>Karel*</v>
      </c>
      <c r="K7" s="298">
        <f ca="1">SUMIF('Season 2'!$Y$2:$AF$14,'Player Stats S2'!J7,'Season 2'!$AF$2:$AF$14)</f>
        <v>861</v>
      </c>
      <c r="L7" s="27">
        <f ca="1">SUM('Season 2'!Z6,'Season 2'!AB6)</f>
        <v>246</v>
      </c>
      <c r="M7" s="98">
        <f t="shared" ca="1" si="3"/>
        <v>0.2857142857142857</v>
      </c>
      <c r="N7" s="27">
        <f t="shared" ca="1" si="4"/>
        <v>615</v>
      </c>
      <c r="O7" s="98">
        <f t="shared" ca="1" si="5"/>
        <v>0.7142857142857143</v>
      </c>
      <c r="P7" s="99">
        <f t="shared" ca="1" si="6"/>
        <v>5.3478260869565215</v>
      </c>
      <c r="Q7" s="99">
        <f t="shared" ca="1" si="7"/>
        <v>3.28</v>
      </c>
      <c r="R7" s="99">
        <f t="shared" ca="1" si="8"/>
        <v>7.1511627906976747</v>
      </c>
      <c r="S7" s="100">
        <f t="shared" si="10"/>
        <v>0.46583850931677018</v>
      </c>
      <c r="T7" s="100">
        <f t="shared" si="11"/>
        <v>0.53416149068322982</v>
      </c>
    </row>
    <row r="8" spans="1:21" ht="20.100000000000001" customHeight="1" x14ac:dyDescent="0.25">
      <c r="A8" s="62" t="s">
        <v>159</v>
      </c>
      <c r="B8" s="178">
        <f>COUNTIF('Season 2'!$F$2:$F$304,A8)</f>
        <v>50</v>
      </c>
      <c r="C8" s="177">
        <f>COUNTIF('Season 2'!$H$2:$H$304,A8)</f>
        <v>22</v>
      </c>
      <c r="D8" s="177">
        <f>COUNTIF('Season 2'!$J$2:$J$304,A8)</f>
        <v>57</v>
      </c>
      <c r="E8" s="177">
        <f>COUNTIF('Season 2'!$L$2:$L$304,A8)</f>
        <v>39</v>
      </c>
      <c r="F8" s="42">
        <f t="shared" si="9"/>
        <v>168</v>
      </c>
      <c r="G8" s="302">
        <f>COUNTIF('Season 2'!$Q$2:$R$304,A8)</f>
        <v>84</v>
      </c>
      <c r="H8" s="42">
        <f t="shared" si="0"/>
        <v>84</v>
      </c>
      <c r="I8" s="94">
        <f t="shared" si="1"/>
        <v>0.5</v>
      </c>
      <c r="J8" s="104" t="str">
        <f t="shared" si="2"/>
        <v>Jonas*</v>
      </c>
      <c r="K8" s="298">
        <f ca="1">SUMIF('Season 2'!$Y$2:$AF$14,'Player Stats S2'!J8,'Season 2'!$AF$2:$AF$14)</f>
        <v>738</v>
      </c>
      <c r="L8" s="27">
        <f ca="1">SUM('Season 2'!Z5,'Season 2'!AB5)</f>
        <v>371</v>
      </c>
      <c r="M8" s="98">
        <f t="shared" ca="1" si="3"/>
        <v>0.50271002710027102</v>
      </c>
      <c r="N8" s="27">
        <f t="shared" ca="1" si="4"/>
        <v>367</v>
      </c>
      <c r="O8" s="98">
        <f t="shared" ca="1" si="5"/>
        <v>0.49728997289972898</v>
      </c>
      <c r="P8" s="99">
        <f t="shared" ca="1" si="6"/>
        <v>4.3928571428571432</v>
      </c>
      <c r="Q8" s="99">
        <f t="shared" ca="1" si="7"/>
        <v>3.4672897196261681</v>
      </c>
      <c r="R8" s="99">
        <f t="shared" ca="1" si="8"/>
        <v>6.0163934426229506</v>
      </c>
      <c r="S8" s="100">
        <f t="shared" si="10"/>
        <v>0.63690476190476186</v>
      </c>
      <c r="T8" s="100">
        <f t="shared" si="11"/>
        <v>0.36309523809523808</v>
      </c>
    </row>
    <row r="9" spans="1:21" ht="20.100000000000001" customHeight="1" x14ac:dyDescent="0.25">
      <c r="A9" s="62" t="s">
        <v>163</v>
      </c>
      <c r="B9" s="178">
        <f>COUNTIF('Season 2'!$F$2:$F$304,A9)</f>
        <v>5</v>
      </c>
      <c r="C9" s="177">
        <f>COUNTIF('Season 2'!$H$2:$H$304,A9)</f>
        <v>20</v>
      </c>
      <c r="D9" s="177">
        <f>COUNTIF('Season 2'!$J$2:$J$304,A9)</f>
        <v>4</v>
      </c>
      <c r="E9" s="177">
        <f>COUNTIF('Season 2'!$L$2:$L$304,A9)</f>
        <v>26</v>
      </c>
      <c r="F9" s="43">
        <f t="shared" si="9"/>
        <v>55</v>
      </c>
      <c r="G9" s="302">
        <f>COUNTIF('Season 2'!$Q$2:$R$304,A9)</f>
        <v>30</v>
      </c>
      <c r="H9" s="43">
        <f t="shared" si="0"/>
        <v>25</v>
      </c>
      <c r="I9" s="94">
        <f t="shared" si="1"/>
        <v>0.54545454545454541</v>
      </c>
      <c r="J9" s="104" t="str">
        <f t="shared" si="2"/>
        <v>Bert*</v>
      </c>
      <c r="K9" s="298">
        <f ca="1">SUMIF('Season 2'!$Y$2:$AF$14,'Player Stats S2'!J9,'Season 2'!$AF$2:$AF$14)</f>
        <v>320</v>
      </c>
      <c r="L9" s="27">
        <f ca="1">SUM('Season 2'!AB9,'Season 2'!Z9)</f>
        <v>26</v>
      </c>
      <c r="M9" s="98">
        <f t="shared" ca="1" si="3"/>
        <v>8.1250000000000003E-2</v>
      </c>
      <c r="N9" s="27">
        <f t="shared" ca="1" si="4"/>
        <v>294</v>
      </c>
      <c r="O9" s="98">
        <f t="shared" ca="1" si="5"/>
        <v>0.91874999999999996</v>
      </c>
      <c r="P9" s="99">
        <f t="shared" ca="1" si="6"/>
        <v>5.8181818181818183</v>
      </c>
      <c r="Q9" s="99">
        <f t="shared" ca="1" si="7"/>
        <v>2.8888888888888888</v>
      </c>
      <c r="R9" s="99">
        <f t="shared" ca="1" si="8"/>
        <v>6.3913043478260869</v>
      </c>
      <c r="S9" s="100">
        <f t="shared" si="10"/>
        <v>0.16363636363636364</v>
      </c>
      <c r="T9" s="100">
        <f t="shared" si="11"/>
        <v>0.83636363636363631</v>
      </c>
    </row>
    <row r="10" spans="1:21" ht="20.100000000000001" customHeight="1" x14ac:dyDescent="0.25">
      <c r="A10" s="62" t="s">
        <v>161</v>
      </c>
      <c r="B10" s="178">
        <f>COUNTIF('Season 2'!$F$2:$F$304,A10)</f>
        <v>38</v>
      </c>
      <c r="C10" s="177">
        <f>COUNTIF('Season 2'!$H$2:$H$304,A10)</f>
        <v>13</v>
      </c>
      <c r="D10" s="177">
        <f>COUNTIF('Season 2'!$J$2:$J$304,A10)</f>
        <v>45</v>
      </c>
      <c r="E10" s="177">
        <f>COUNTIF('Season 2'!$L$2:$L$304,A10)</f>
        <v>24</v>
      </c>
      <c r="F10" s="42">
        <f t="shared" si="9"/>
        <v>120</v>
      </c>
      <c r="G10" s="302">
        <f>COUNTIF('Season 2'!$Q$2:$R$304,A10)</f>
        <v>56</v>
      </c>
      <c r="H10" s="42">
        <f t="shared" si="0"/>
        <v>64</v>
      </c>
      <c r="I10" s="94">
        <f t="shared" si="1"/>
        <v>0.46666666666666667</v>
      </c>
      <c r="J10" s="104" t="str">
        <f t="shared" si="2"/>
        <v>Louis*</v>
      </c>
      <c r="K10" s="298">
        <f ca="1">SUMIF('Season 2'!$Y$2:$AF$14,'Player Stats S2'!J10,'Season 2'!$AF$2:$AF$14)</f>
        <v>447</v>
      </c>
      <c r="L10" s="27">
        <f ca="1">SUM('Season 2'!Z8,'Season 2'!AB8)</f>
        <v>275</v>
      </c>
      <c r="M10" s="98">
        <f t="shared" ca="1" si="3"/>
        <v>0.61521252796420578</v>
      </c>
      <c r="N10" s="27">
        <f t="shared" ca="1" si="4"/>
        <v>172</v>
      </c>
      <c r="O10" s="98">
        <f t="shared" ca="1" si="5"/>
        <v>0.38478747203579416</v>
      </c>
      <c r="P10" s="99">
        <f t="shared" ca="1" si="6"/>
        <v>3.7250000000000001</v>
      </c>
      <c r="Q10" s="99">
        <f t="shared" ca="1" si="7"/>
        <v>3.3132530120481927</v>
      </c>
      <c r="R10" s="99">
        <f t="shared" ca="1" si="8"/>
        <v>4.6486486486486482</v>
      </c>
      <c r="S10" s="100">
        <f t="shared" si="10"/>
        <v>0.69166666666666665</v>
      </c>
      <c r="T10" s="100">
        <f t="shared" si="11"/>
        <v>0.30833333333333335</v>
      </c>
    </row>
    <row r="11" spans="1:21" ht="20.100000000000001" customHeight="1" x14ac:dyDescent="0.25">
      <c r="A11" s="62" t="s">
        <v>171</v>
      </c>
      <c r="B11" s="178">
        <f>COUNTIF('Season 2'!$F$2:$F$304,A11)</f>
        <v>1</v>
      </c>
      <c r="C11" s="177">
        <f>COUNTIF('Season 2'!$H$2:$H$304,A11)</f>
        <v>1</v>
      </c>
      <c r="D11" s="177">
        <f>COUNTIF('Season 2'!$J$2:$J$304,A11)</f>
        <v>1</v>
      </c>
      <c r="E11" s="177">
        <f>COUNTIF('Season 2'!$L$2:$L$304,A11)</f>
        <v>6</v>
      </c>
      <c r="F11" s="42">
        <f t="shared" si="9"/>
        <v>9</v>
      </c>
      <c r="G11" s="302">
        <f>COUNTIF('Season 2'!$Q$2:$R$304,A11)</f>
        <v>4</v>
      </c>
      <c r="H11" s="42">
        <f t="shared" si="0"/>
        <v>5</v>
      </c>
      <c r="I11" s="95">
        <f t="shared" si="1"/>
        <v>0.44444444444444442</v>
      </c>
      <c r="J11" s="104" t="str">
        <f>A11</f>
        <v>Lawrence*</v>
      </c>
      <c r="K11" s="298">
        <f ca="1">SUMIF('Season 2'!$Y$2:$AF$14,'Player Stats S2'!J11,'Season 2'!$AF$2:$AF$14)</f>
        <v>45</v>
      </c>
      <c r="L11" s="4"/>
      <c r="M11" s="4"/>
      <c r="N11" s="4"/>
      <c r="O11" s="4"/>
      <c r="P11" s="4"/>
      <c r="Q11" s="4"/>
      <c r="R11" s="4"/>
      <c r="S11" s="100">
        <f t="shared" si="10"/>
        <v>0.22222222222222221</v>
      </c>
      <c r="T11" s="100">
        <f t="shared" si="11"/>
        <v>0.77777777777777779</v>
      </c>
    </row>
    <row r="12" spans="1:21" ht="20.100000000000001" customHeight="1" x14ac:dyDescent="0.25">
      <c r="A12" s="62" t="s">
        <v>162</v>
      </c>
      <c r="B12" s="178">
        <f>COUNTIF('Season 2'!$F$2:$F$304,A12)</f>
        <v>39</v>
      </c>
      <c r="C12" s="177">
        <f>COUNTIF('Season 2'!$H$2:$H$304,A12)</f>
        <v>26</v>
      </c>
      <c r="D12" s="177">
        <f>COUNTIF('Season 2'!$J$2:$J$304,A12)</f>
        <v>32</v>
      </c>
      <c r="E12" s="177">
        <f>COUNTIF('Season 2'!$L$2:$L$304,A12)</f>
        <v>21</v>
      </c>
      <c r="F12" s="43">
        <f t="shared" si="9"/>
        <v>118</v>
      </c>
      <c r="G12" s="302">
        <f>COUNTIF('Season 2'!$Q$2:$R$304,A12)</f>
        <v>47</v>
      </c>
      <c r="H12" s="43">
        <f t="shared" si="0"/>
        <v>71</v>
      </c>
      <c r="I12" s="94">
        <f t="shared" si="1"/>
        <v>0.39830508474576271</v>
      </c>
      <c r="J12" s="104" t="str">
        <f>A12</f>
        <v>Matthijs*</v>
      </c>
      <c r="K12" s="298">
        <f ca="1">SUMIF('Season 2'!$Y$2:$AF$14,'Player Stats S2'!J12,'Season 2'!$AF$2:$AF$14)</f>
        <v>431</v>
      </c>
      <c r="L12" s="27">
        <f ca="1">SUM('Season 2'!Z2,'Season 2'!AB2)</f>
        <v>181</v>
      </c>
      <c r="M12" s="98">
        <f ca="1">L12/K12</f>
        <v>0.41995359628770301</v>
      </c>
      <c r="N12" s="27">
        <f ca="1">K12-L12</f>
        <v>250</v>
      </c>
      <c r="O12" s="98">
        <f ca="1">N12/K12</f>
        <v>0.58004640371229699</v>
      </c>
      <c r="P12" s="99">
        <f ca="1">K12/F12</f>
        <v>3.652542372881356</v>
      </c>
      <c r="Q12" s="99">
        <f ca="1">L12/SUM(B12+D12)</f>
        <v>2.5492957746478875</v>
      </c>
      <c r="R12" s="99">
        <f ca="1">N12/SUM(C12,E12)</f>
        <v>5.3191489361702127</v>
      </c>
      <c r="S12" s="100">
        <f t="shared" si="10"/>
        <v>0.60169491525423724</v>
      </c>
      <c r="T12" s="100">
        <f t="shared" si="11"/>
        <v>0.39830508474576271</v>
      </c>
    </row>
    <row r="13" spans="1:21" ht="20.100000000000001" customHeight="1" x14ac:dyDescent="0.25">
      <c r="A13" s="62" t="s">
        <v>170</v>
      </c>
      <c r="B13" s="178">
        <f>COUNTIF('Season 2'!$F$2:$F$304,A13)</f>
        <v>37</v>
      </c>
      <c r="C13" s="177">
        <f>COUNTIF('Season 2'!$H$2:$H$304,A13)</f>
        <v>25</v>
      </c>
      <c r="D13" s="177">
        <f>COUNTIF('Season 2'!$J$2:$J$304,A13)</f>
        <v>33</v>
      </c>
      <c r="E13" s="177">
        <f>COUNTIF('Season 2'!$L$2:$L$304,A13)</f>
        <v>31</v>
      </c>
      <c r="F13" s="42">
        <f t="shared" si="9"/>
        <v>126</v>
      </c>
      <c r="G13" s="302">
        <f>COUNTIF('Season 2'!$Q$2:$R$304,A13)</f>
        <v>24</v>
      </c>
      <c r="H13" s="42">
        <f t="shared" si="0"/>
        <v>102</v>
      </c>
      <c r="I13" s="94">
        <f t="shared" si="1"/>
        <v>0.19047619047619047</v>
      </c>
      <c r="J13" s="89" t="str">
        <f>A13</f>
        <v>Nico*</v>
      </c>
      <c r="K13" s="298">
        <f ca="1">SUMIF('Season 2'!$Y$2:$AF$14,'Player Stats S2'!J13,'Season 2'!$AF$2:$AF$14)</f>
        <v>348</v>
      </c>
      <c r="L13" s="27">
        <f ca="1">SUM('Season 2'!Z3,'Season 2'!AB3)</f>
        <v>117</v>
      </c>
      <c r="M13" s="98">
        <f ca="1">L13/K13</f>
        <v>0.33620689655172414</v>
      </c>
      <c r="N13" s="27">
        <f ca="1">K13-L13</f>
        <v>231</v>
      </c>
      <c r="O13" s="98">
        <f ca="1">N13/K13</f>
        <v>0.66379310344827591</v>
      </c>
      <c r="P13" s="99">
        <f ca="1">K13/F13</f>
        <v>2.7619047619047619</v>
      </c>
      <c r="Q13" s="99">
        <f ca="1">L13/SUM(B13+D13)</f>
        <v>1.6714285714285715</v>
      </c>
      <c r="R13" s="99">
        <f ca="1">N13/SUM(C13,E13)</f>
        <v>4.125</v>
      </c>
      <c r="S13" s="100">
        <f t="shared" si="10"/>
        <v>0.55555555555555558</v>
      </c>
      <c r="T13" s="100">
        <f t="shared" si="11"/>
        <v>0.44444444444444442</v>
      </c>
    </row>
    <row r="14" spans="1:21" ht="20.100000000000001" customHeight="1" x14ac:dyDescent="0.25">
      <c r="A14" s="62" t="s">
        <v>166</v>
      </c>
      <c r="B14" s="178">
        <f>COUNTIF('Season 2'!$F$2:$F$304,A14)</f>
        <v>0</v>
      </c>
      <c r="C14" s="177">
        <f>COUNTIF('Season 2'!$H$2:$H$304,A14)</f>
        <v>5</v>
      </c>
      <c r="D14" s="177">
        <f>COUNTIF('Season 2'!$J$2:$J$304,A14)</f>
        <v>13</v>
      </c>
      <c r="E14" s="177">
        <f>COUNTIF('Season 2'!$L$2:$L$304,A14)</f>
        <v>6</v>
      </c>
      <c r="F14" s="42">
        <f t="shared" si="9"/>
        <v>24</v>
      </c>
      <c r="G14" s="302">
        <f>COUNTIF('Season 2'!$Q$2:$R$304,A14)</f>
        <v>2</v>
      </c>
      <c r="H14" s="42">
        <f t="shared" si="0"/>
        <v>22</v>
      </c>
      <c r="I14" s="94">
        <f t="shared" si="1"/>
        <v>8.3333333333333329E-2</v>
      </c>
      <c r="J14" s="89" t="s">
        <v>166</v>
      </c>
      <c r="K14" s="298">
        <f ca="1">SUMIF('Season 2'!$Y$2:$AF$14,'Player Stats S2'!J14,'Season 2'!$AF$2:$AF$14)</f>
        <v>57</v>
      </c>
      <c r="L14" s="4"/>
      <c r="M14" s="4"/>
      <c r="N14" s="4"/>
      <c r="O14" s="4"/>
      <c r="P14" s="4"/>
      <c r="Q14" s="4"/>
      <c r="R14" s="4"/>
      <c r="S14" s="4"/>
      <c r="T14" s="4"/>
    </row>
    <row r="15" spans="1:21" hidden="1" x14ac:dyDescent="0.25">
      <c r="A15" s="109" t="s">
        <v>70</v>
      </c>
    </row>
    <row r="16" spans="1:21" ht="18" hidden="1" customHeight="1" x14ac:dyDescent="0.25">
      <c r="A16" s="62" t="s">
        <v>2</v>
      </c>
      <c r="B16" s="26" t="e">
        <f>COUNTIF(#REF!,A16)</f>
        <v>#REF!</v>
      </c>
      <c r="C16" s="27" t="e">
        <f>COUNTIF(#REF!,A16)</f>
        <v>#REF!</v>
      </c>
      <c r="D16" s="27" t="e">
        <f>COUNTIF(#REF!,A16)</f>
        <v>#REF!</v>
      </c>
      <c r="E16" s="27" t="e">
        <f>COUNTIF(#REF!,A16)</f>
        <v>#REF!</v>
      </c>
      <c r="F16" s="43" t="e">
        <f>SUM(B16:E16)</f>
        <v>#REF!</v>
      </c>
      <c r="G16" s="43" t="e">
        <f>COUNTIF(#REF!,A16)</f>
        <v>#REF!</v>
      </c>
      <c r="H16" s="43" t="e">
        <f>F16-G16</f>
        <v>#REF!</v>
      </c>
      <c r="I16" s="44" t="e">
        <f>IF(F16=0,"",G16/F16)</f>
        <v>#REF!</v>
      </c>
      <c r="J16" s="112"/>
      <c r="K16" s="112"/>
      <c r="L16" s="112"/>
      <c r="M16" s="112"/>
      <c r="N16" s="112"/>
      <c r="O16" s="112"/>
      <c r="P16" s="112"/>
      <c r="Q16" s="112"/>
      <c r="R16" s="112"/>
      <c r="S16" s="111"/>
      <c r="T16" s="111"/>
    </row>
    <row r="17" spans="1:9" x14ac:dyDescent="0.25">
      <c r="A17" s="109" t="s">
        <v>157</v>
      </c>
      <c r="B17" s="178">
        <f>COUNTIF('Season 2'!$F$2:$F$304,A17)</f>
        <v>0</v>
      </c>
      <c r="C17" s="177">
        <f>COUNTIF('Season 2'!$H$2:$H$304,A17)</f>
        <v>0</v>
      </c>
      <c r="D17" s="177">
        <f>COUNTIF('Season 2'!$J$2:$J$304,A17)</f>
        <v>0</v>
      </c>
      <c r="E17" s="177">
        <f>COUNTIF('Season 2'!$L$2:$L$304,A17)</f>
        <v>1</v>
      </c>
      <c r="F17" s="294">
        <f>SUM(B17:E17)</f>
        <v>1</v>
      </c>
      <c r="G17" s="302">
        <f>COUNTIF('Season 2'!$Q$2:$R$304,A17)</f>
        <v>0</v>
      </c>
      <c r="H17" s="294">
        <f>F17-G17</f>
        <v>1</v>
      </c>
      <c r="I17" s="297">
        <f>IF(F17=0,"",G17/F17)</f>
        <v>0</v>
      </c>
    </row>
    <row r="18" spans="1:9" x14ac:dyDescent="0.25">
      <c r="C18" s="72"/>
    </row>
  </sheetData>
  <autoFilter ref="A1:T16" xr:uid="{00000000-0009-0000-0000-000004000000}">
    <filterColumn colId="0">
      <filters>
        <filter val="Bert"/>
        <filter val="Jonas"/>
        <filter val="Karel"/>
        <filter val="Lawrence"/>
        <filter val="Louis"/>
        <filter val="Matthijs"/>
        <filter val="Nicolas"/>
        <filter val="Stef D"/>
        <filter val="Stijn"/>
        <filter val="Tiemen"/>
        <filter val="Tobias"/>
      </filters>
    </filterColumn>
    <filterColumn colId="1">
      <colorFilter dxfId="270"/>
    </filterColumn>
    <filterColumn colId="8">
      <filters>
        <filter val="18,3%"/>
        <filter val="39,6%"/>
        <filter val="44,4%"/>
        <filter val="44,6%"/>
        <filter val="52,8%"/>
        <filter val="54,0%"/>
        <filter val="57,3%"/>
        <filter val="62,0%"/>
        <filter val="66,0%"/>
        <filter val="75,0%"/>
        <filter val="8,7%"/>
      </filters>
    </filterColumn>
    <filterColumn colId="11" showButton="0"/>
    <filterColumn colId="13" showButton="0"/>
    <sortState xmlns:xlrd2="http://schemas.microsoft.com/office/spreadsheetml/2017/richdata2" ref="A4:T14">
      <sortCondition descending="1" ref="I1:I16"/>
    </sortState>
  </autoFilter>
  <mergeCells count="2">
    <mergeCell ref="L1:M1"/>
    <mergeCell ref="N1:O1"/>
  </mergeCells>
  <conditionalFormatting sqref="I2:I12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{89672785-DBA0-4652-A3F6-2BBF13AE9523}</x14:id>
        </ext>
      </extLst>
    </cfRule>
  </conditionalFormatting>
  <conditionalFormatting sqref="I13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{2C63246B-821D-4559-9AD6-C4002C473975}</x14:id>
        </ext>
      </extLst>
    </cfRule>
  </conditionalFormatting>
  <conditionalFormatting sqref="I2:I13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{46557A52-033E-49C7-9407-77F44CF36654}</x14:id>
        </ext>
      </extLst>
    </cfRule>
  </conditionalFormatting>
  <conditionalFormatting sqref="I1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{E0FD7139-DDA2-44A7-B3F7-D7ABE921E111}</x14:id>
        </ext>
      </extLst>
    </cfRule>
  </conditionalFormatting>
  <conditionalFormatting sqref="I1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{1C15B491-9F8C-4C0F-99A5-C7E50D4DACB2}</x14:id>
        </ext>
      </extLst>
    </cfRule>
  </conditionalFormatting>
  <conditionalFormatting sqref="I1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{33025CD4-740F-498F-A226-96B312F45EF4}</x14:id>
        </ext>
      </extLst>
    </cfRule>
  </conditionalFormatting>
  <conditionalFormatting sqref="I17 I14">
    <cfRule type="dataBar" priority="5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{44690F80-EFBA-4A82-8F3C-E977F643666E}</x14:id>
        </ext>
      </extLst>
    </cfRule>
  </conditionalFormatting>
  <conditionalFormatting sqref="I4:I14 I17">
    <cfRule type="dataBar" priority="5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{55928456-828F-4FE2-B5B5-63473CBED91B}</x14:id>
        </ext>
      </extLst>
    </cfRule>
  </conditionalFormatting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672785-DBA0-4652-A3F6-2BBF13AE952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I2:I12</xm:sqref>
        </x14:conditionalFormatting>
        <x14:conditionalFormatting xmlns:xm="http://schemas.microsoft.com/office/excel/2006/main">
          <x14:cfRule type="dataBar" id="{2C63246B-821D-4559-9AD6-C4002C47397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I13</xm:sqref>
        </x14:conditionalFormatting>
        <x14:conditionalFormatting xmlns:xm="http://schemas.microsoft.com/office/excel/2006/main">
          <x14:cfRule type="dataBar" id="{46557A52-033E-49C7-9407-77F44CF3665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I2:I13</xm:sqref>
        </x14:conditionalFormatting>
        <x14:conditionalFormatting xmlns:xm="http://schemas.microsoft.com/office/excel/2006/main">
          <x14:cfRule type="dataBar" id="{E0FD7139-DDA2-44A7-B3F7-D7ABE921E11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I16</xm:sqref>
        </x14:conditionalFormatting>
        <x14:conditionalFormatting xmlns:xm="http://schemas.microsoft.com/office/excel/2006/main">
          <x14:cfRule type="dataBar" id="{1C15B491-9F8C-4C0F-99A5-C7E50D4DACB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I16</xm:sqref>
        </x14:conditionalFormatting>
        <x14:conditionalFormatting xmlns:xm="http://schemas.microsoft.com/office/excel/2006/main">
          <x14:cfRule type="dataBar" id="{33025CD4-740F-498F-A226-96B312F45EF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I16</xm:sqref>
        </x14:conditionalFormatting>
        <x14:conditionalFormatting xmlns:xm="http://schemas.microsoft.com/office/excel/2006/main">
          <x14:cfRule type="dataBar" id="{44690F80-EFBA-4A82-8F3C-E977F643666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I17 I14</xm:sqref>
        </x14:conditionalFormatting>
        <x14:conditionalFormatting xmlns:xm="http://schemas.microsoft.com/office/excel/2006/main">
          <x14:cfRule type="dataBar" id="{55928456-828F-4FE2-B5B5-63473CBED91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I4:I14 I17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BED1-E4C8-4FF2-9A3E-6EF4452A2F1F}">
  <sheetPr codeName="Blad7"/>
  <dimension ref="A1:BN305"/>
  <sheetViews>
    <sheetView topLeftCell="A53" zoomScale="70" zoomScaleNormal="70" workbookViewId="0">
      <selection activeCell="F2" sqref="F2:O119"/>
    </sheetView>
  </sheetViews>
  <sheetFormatPr defaultRowHeight="15" x14ac:dyDescent="0.25"/>
  <cols>
    <col min="1" max="1" width="15.42578125" style="125" bestFit="1" customWidth="1"/>
    <col min="2" max="2" width="12.7109375" style="129" hidden="1" customWidth="1"/>
    <col min="3" max="3" width="15.85546875" style="129" hidden="1" customWidth="1"/>
    <col min="4" max="4" width="11.140625" style="75" customWidth="1"/>
    <col min="5" max="5" width="10.140625" style="75" customWidth="1"/>
    <col min="6" max="6" width="11.28515625" customWidth="1"/>
    <col min="7" max="7" width="10.42578125" bestFit="1" customWidth="1"/>
    <col min="8" max="8" width="9" style="77" customWidth="1"/>
    <col min="9" max="9" width="11.42578125" bestFit="1" customWidth="1"/>
    <col min="10" max="10" width="12.85546875" style="77" customWidth="1"/>
    <col min="11" max="11" width="11.42578125" bestFit="1" customWidth="1"/>
    <col min="12" max="12" width="9" style="77" customWidth="1"/>
    <col min="13" max="13" width="11.42578125" style="83" bestFit="1" customWidth="1"/>
    <col min="14" max="14" width="13.28515625" style="83" customWidth="1"/>
    <col min="15" max="15" width="12.28515625" style="70" customWidth="1"/>
    <col min="16" max="16" width="15.7109375" style="88" customWidth="1"/>
    <col min="17" max="17" width="14.5703125" style="88" bestFit="1" customWidth="1"/>
    <col min="18" max="18" width="14.5703125" bestFit="1" customWidth="1"/>
    <col min="19" max="19" width="14.85546875" hidden="1" customWidth="1"/>
    <col min="20" max="20" width="15.140625" hidden="1" customWidth="1"/>
    <col min="21" max="21" width="13.7109375" hidden="1" customWidth="1"/>
    <col min="22" max="22" width="14.28515625" hidden="1" customWidth="1"/>
    <col min="23" max="23" width="17" hidden="1" customWidth="1"/>
    <col min="24" max="24" width="16.85546875" style="213" customWidth="1"/>
    <col min="25" max="25" width="16.5703125" style="213" customWidth="1"/>
    <col min="26" max="26" width="19" style="213" customWidth="1"/>
    <col min="27" max="27" width="23.42578125" bestFit="1" customWidth="1"/>
    <col min="28" max="28" width="13.85546875" hidden="1" customWidth="1"/>
    <col min="29" max="30" width="5" hidden="1" customWidth="1"/>
    <col min="31" max="31" width="4.42578125" hidden="1" customWidth="1"/>
    <col min="32" max="32" width="5" hidden="1" customWidth="1"/>
    <col min="33" max="35" width="5" style="293" hidden="1" customWidth="1"/>
    <col min="36" max="36" width="15.85546875" bestFit="1" customWidth="1"/>
    <col min="37" max="37" width="13.140625" customWidth="1"/>
    <col min="38" max="38" width="11.5703125" customWidth="1"/>
    <col min="39" max="39" width="11.7109375" bestFit="1" customWidth="1"/>
    <col min="40" max="40" width="18" bestFit="1" customWidth="1"/>
    <col min="41" max="41" width="16.85546875" bestFit="1" customWidth="1"/>
    <col min="42" max="42" width="14.140625" bestFit="1" customWidth="1"/>
    <col min="43" max="43" width="15.140625" bestFit="1" customWidth="1"/>
    <col min="44" max="44" width="16.140625" bestFit="1" customWidth="1"/>
    <col min="45" max="45" width="13.42578125" bestFit="1" customWidth="1"/>
    <col min="46" max="46" width="17.28515625" bestFit="1" customWidth="1"/>
    <col min="47" max="47" width="18.42578125" bestFit="1" customWidth="1"/>
    <col min="48" max="48" width="14.5703125" bestFit="1" customWidth="1"/>
    <col min="49" max="49" width="23.140625" bestFit="1" customWidth="1"/>
    <col min="50" max="50" width="24.140625" bestFit="1" customWidth="1"/>
    <col min="51" max="51" width="20.85546875" bestFit="1" customWidth="1"/>
    <col min="52" max="52" width="21.140625" bestFit="1" customWidth="1"/>
    <col min="53" max="53" width="19.5703125" bestFit="1" customWidth="1"/>
    <col min="54" max="54" width="15.5703125" bestFit="1" customWidth="1"/>
    <col min="55" max="55" width="15.28515625" bestFit="1" customWidth="1"/>
    <col min="56" max="56" width="15.42578125" bestFit="1" customWidth="1"/>
    <col min="57" max="57" width="19.85546875" bestFit="1" customWidth="1"/>
    <col min="58" max="58" width="15.140625" bestFit="1" customWidth="1"/>
    <col min="59" max="59" width="20.85546875" bestFit="1" customWidth="1"/>
    <col min="60" max="60" width="13.85546875" bestFit="1" customWidth="1"/>
    <col min="61" max="61" width="15.28515625" bestFit="1" customWidth="1"/>
  </cols>
  <sheetData>
    <row r="1" spans="1:66" ht="30" customHeight="1" thickBot="1" x14ac:dyDescent="0.3">
      <c r="A1" s="130" t="s">
        <v>75</v>
      </c>
      <c r="B1" s="123" t="s">
        <v>77</v>
      </c>
      <c r="C1" s="123" t="s">
        <v>76</v>
      </c>
      <c r="D1" s="123" t="s">
        <v>78</v>
      </c>
      <c r="E1" s="114" t="s">
        <v>24</v>
      </c>
      <c r="F1" s="115" t="s">
        <v>25</v>
      </c>
      <c r="G1" s="116" t="s">
        <v>47</v>
      </c>
      <c r="H1" s="116" t="s">
        <v>26</v>
      </c>
      <c r="I1" s="116" t="s">
        <v>72</v>
      </c>
      <c r="J1" s="117" t="s">
        <v>27</v>
      </c>
      <c r="K1" s="117" t="s">
        <v>73</v>
      </c>
      <c r="L1" s="117" t="s">
        <v>1</v>
      </c>
      <c r="M1" s="117" t="s">
        <v>74</v>
      </c>
      <c r="N1" s="118" t="s">
        <v>28</v>
      </c>
      <c r="O1" s="119" t="s">
        <v>29</v>
      </c>
      <c r="P1" s="120" t="s">
        <v>30</v>
      </c>
      <c r="Q1" s="121" t="s">
        <v>31</v>
      </c>
      <c r="R1" s="122" t="s">
        <v>32</v>
      </c>
      <c r="S1" s="141" t="s">
        <v>84</v>
      </c>
      <c r="T1" s="141" t="s">
        <v>85</v>
      </c>
      <c r="U1" s="141" t="s">
        <v>86</v>
      </c>
      <c r="V1" s="141" t="s">
        <v>87</v>
      </c>
      <c r="W1" s="141" t="s">
        <v>88</v>
      </c>
      <c r="X1" s="275" t="s">
        <v>143</v>
      </c>
      <c r="Y1" s="275" t="s">
        <v>144</v>
      </c>
      <c r="Z1" s="274" t="s">
        <v>145</v>
      </c>
      <c r="AA1" s="274" t="s">
        <v>146</v>
      </c>
      <c r="AC1" s="92" t="s">
        <v>56</v>
      </c>
      <c r="AD1" s="92" t="s">
        <v>57</v>
      </c>
      <c r="AE1" s="93" t="s">
        <v>58</v>
      </c>
      <c r="AF1" s="93" t="s">
        <v>59</v>
      </c>
      <c r="AG1" s="307"/>
      <c r="AH1" s="307"/>
      <c r="AI1" s="307"/>
      <c r="AL1" s="143" t="s">
        <v>81</v>
      </c>
      <c r="AM1" s="144" t="s">
        <v>82</v>
      </c>
      <c r="AN1" s="145" t="s">
        <v>83</v>
      </c>
      <c r="AO1" s="80" t="s">
        <v>95</v>
      </c>
      <c r="AP1" s="146" t="s">
        <v>96</v>
      </c>
      <c r="AQ1" s="79" t="s">
        <v>97</v>
      </c>
      <c r="AR1" s="80" t="s">
        <v>89</v>
      </c>
      <c r="AS1" s="146" t="s">
        <v>90</v>
      </c>
      <c r="AT1" s="79" t="s">
        <v>91</v>
      </c>
      <c r="AU1" s="80" t="s">
        <v>113</v>
      </c>
      <c r="AV1" s="146" t="s">
        <v>92</v>
      </c>
      <c r="AW1" s="79" t="s">
        <v>93</v>
      </c>
      <c r="AX1" s="80" t="s">
        <v>98</v>
      </c>
      <c r="AY1" s="146" t="s">
        <v>99</v>
      </c>
      <c r="AZ1" s="79" t="s">
        <v>100</v>
      </c>
      <c r="BA1" s="161" t="s">
        <v>105</v>
      </c>
      <c r="BB1" s="81" t="s">
        <v>106</v>
      </c>
      <c r="BC1" s="82" t="s">
        <v>108</v>
      </c>
      <c r="BD1" s="81" t="s">
        <v>107</v>
      </c>
      <c r="BE1" s="81" t="s">
        <v>109</v>
      </c>
      <c r="BF1" s="81" t="s">
        <v>112</v>
      </c>
      <c r="BG1" s="81" t="s">
        <v>110</v>
      </c>
      <c r="BH1" s="81" t="s">
        <v>114</v>
      </c>
      <c r="BI1" s="158" t="s">
        <v>94</v>
      </c>
      <c r="BJ1" s="146" t="s">
        <v>111</v>
      </c>
      <c r="BK1" s="146" t="s">
        <v>101</v>
      </c>
      <c r="BL1" s="146" t="s">
        <v>102</v>
      </c>
      <c r="BM1" s="146" t="s">
        <v>103</v>
      </c>
      <c r="BN1" s="151" t="s">
        <v>104</v>
      </c>
    </row>
    <row r="2" spans="1:66" x14ac:dyDescent="0.25">
      <c r="A2" s="215"/>
      <c r="B2" s="128"/>
      <c r="C2" s="126"/>
      <c r="D2" s="217"/>
      <c r="E2" s="73">
        <v>1</v>
      </c>
      <c r="F2" s="207" t="s">
        <v>8</v>
      </c>
      <c r="G2" s="209">
        <v>6</v>
      </c>
      <c r="H2" s="207" t="s">
        <v>0</v>
      </c>
      <c r="I2" s="209">
        <v>5</v>
      </c>
      <c r="J2" s="203" t="s">
        <v>11</v>
      </c>
      <c r="K2" s="211">
        <v>1</v>
      </c>
      <c r="L2" s="203" t="s">
        <v>7</v>
      </c>
      <c r="M2" s="211">
        <v>8</v>
      </c>
      <c r="N2" s="79">
        <v>11</v>
      </c>
      <c r="O2" s="80">
        <v>9</v>
      </c>
      <c r="P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Row],[Score4]]&lt;&gt;""),IF(AND(N2&gt;O2,N2&gt;=11),"ROOD",IF(AND(O2&gt;=11,N2&lt;&gt;O2),"GROEN","")),"")</f>
        <v>ROOD</v>
      </c>
      <c r="Q2" s="84" t="str">
        <f t="shared" ref="Q2:Q65" si="0">IF(N2&gt;O2,F2,IF(N2="","",J2))</f>
        <v>Louis</v>
      </c>
      <c r="R2" s="85" t="str">
        <f t="shared" ref="R2:R65" si="1">IF(N2&gt;O2,H2,IF(N2="","",L2))</f>
        <v>Jonas</v>
      </c>
      <c r="S2" t="str">
        <f>Tabel15[[#This Row],[Rood Verdediging]]&amp;Tabel15[[#This Row],[Rood Aanval]]</f>
        <v>LouisJonas</v>
      </c>
      <c r="T2" t="str">
        <f>Tabel15[[#This Row],[Groen Verdediging]]&amp;Tabel15[[#This Row],[Groen Aanval]]</f>
        <v>MatthijsTiemen</v>
      </c>
      <c r="U2" t="str">
        <f>Tabel15[[#This Row],[Winnaar 1]]&amp;Tabel15[[#This Row],[Winnaar 2]]</f>
        <v>LouisJonas</v>
      </c>
      <c r="V2" s="147" t="str">
        <f>IF(Tabel15[[#This Row],[Team Rood]]=Tabel15[[#This Row],[Winnaars]],Tabel15[[#This Row],[Team Rood]])</f>
        <v>LouisJonas</v>
      </c>
      <c r="W2" s="147" t="b">
        <f>IF(Tabel15[[#This Row],[Team Groen]]=Tabel15[[#This Row],[Winnaars]],Tabel15[[#This Row],[Team Groen]])</f>
        <v>0</v>
      </c>
      <c r="X2" s="283">
        <v>24.754207565820291</v>
      </c>
      <c r="Y2" s="283">
        <v>27.640849708652006</v>
      </c>
      <c r="Z2" s="283">
        <v>-3.8398377053716382</v>
      </c>
      <c r="AA2" s="283">
        <v>-3.9428650309749034</v>
      </c>
      <c r="AB2" s="91" t="s">
        <v>162</v>
      </c>
      <c r="AC2" s="180">
        <f t="shared" ref="AC2:AC14" ca="1" si="2">SUMIF($F$2:$G$304,AB2,$G$2:$G$304)</f>
        <v>49</v>
      </c>
      <c r="AD2" s="180">
        <f t="shared" ref="AD2:AD14" ca="1" si="3">SUMIF($H$2:$I$304,AB2,$I$2:$I$304)</f>
        <v>28</v>
      </c>
      <c r="AE2" s="179">
        <f t="shared" ref="AE2:AE14" ca="1" si="4">SUMIF($J$2:$K$304,AB2,$K$2:$K$304)</f>
        <v>40</v>
      </c>
      <c r="AF2" s="179">
        <f t="shared" ref="AF2:AF14" ca="1" si="5">SUMIF($L$2:$M$304,AB2,$M$2:$M$304)</f>
        <v>72</v>
      </c>
      <c r="AG2" s="308">
        <f ca="1">SUM(AC2:AD2)</f>
        <v>77</v>
      </c>
      <c r="AH2" s="308">
        <f ca="1">SUM(AE2:AF2)</f>
        <v>112</v>
      </c>
      <c r="AI2" s="308">
        <f ca="1">SUM(AC2:AF2)</f>
        <v>189</v>
      </c>
      <c r="AL2" s="251" t="s">
        <v>158</v>
      </c>
      <c r="AM2" s="233" t="s">
        <v>163</v>
      </c>
      <c r="AN2" s="140" t="str">
        <f t="shared" ref="AN2:AN33" si="6">AL2&amp;AM2</f>
        <v>Arno*Bert*</v>
      </c>
      <c r="AO2" s="160">
        <f>IF(Tabel5[[#This Row],[Aantal Games Rood]]=0,0,(Tabel5[[#This Row],[Wins Rood]])/Tabel5[[#This Row],[Aantal Games Rood]])</f>
        <v>0</v>
      </c>
      <c r="AP2" s="159">
        <f>IF(Tabel5[[#This Row],[Aantal Games Groen]]=0,0,(Tabel5[[#This Row],[Wins Groen]])/Tabel5[[#This Row],[Aantal Games Groen]])</f>
        <v>0</v>
      </c>
      <c r="AQ2" s="156">
        <f>IF(Tabel5[[#This Row],[Aantal games Alg]]=0,0,(Tabel5[[#This Row],[Wins Alg]])/Tabel5[[#This Row],[Aantal games Alg]])</f>
        <v>0</v>
      </c>
      <c r="AR2" s="133">
        <f>COUNTIF(Tabel15[Winaar rood],Tabel5[[#This Row],[Team]])</f>
        <v>0</v>
      </c>
      <c r="AS2" s="134">
        <f>COUNTIF(Tabel15[Winnaar Groen],Tabel5[[#This Row],[Team]])</f>
        <v>0</v>
      </c>
      <c r="AT2">
        <f>COUNTIF(Tabel15[Winnaars],Tabel5[[#This Row],[Team]])</f>
        <v>0</v>
      </c>
      <c r="AU2" s="135">
        <f>Tabel5[[#This Row],[Aantal Games Rood]]-Tabel5[[#This Row],[Wins Rood]]</f>
        <v>0</v>
      </c>
      <c r="AV2" s="136">
        <f>Tabel5[[#This Row],[Aantal Games Groen]]-Tabel5[[#This Row],[Wins Groen]]</f>
        <v>0</v>
      </c>
      <c r="AW2" s="137">
        <f>Tabel5[[#This Row],[Aantal games Alg]]-Tabel5[[#This Row],[Wins Alg]]</f>
        <v>0</v>
      </c>
      <c r="AX2" s="138">
        <f>COUNTIF(Tabel15[Team Rood],Tabel5[[#This Row],[Team]])</f>
        <v>0</v>
      </c>
      <c r="AY2" s="136">
        <f>COUNTIF(Tabel15[Team Groen],Tabel5[[#This Row],[Team]])</f>
        <v>0</v>
      </c>
      <c r="AZ2" s="112">
        <f>Tabel5[[#This Row],[Aantal Games Rood]]+Tabel5[[#This Row],[Aantal Games Groen]]</f>
        <v>0</v>
      </c>
      <c r="BA2" s="138">
        <f>SUMIF(Tabel15[Team Rood],Tabel5[[#This Row],[Team]],Tabel15[Score])</f>
        <v>0</v>
      </c>
      <c r="BB2" s="157">
        <f>SUMIF(Tabel15[Team Rood],Tabel5[[#This Row],[Team]],Tabel15[Score2])</f>
        <v>0</v>
      </c>
      <c r="BC2" s="134">
        <f>SUMIF(Tabel15[Team Groen],Tabel5[[#This Row],[Team]],Tabel15[Score3])</f>
        <v>0</v>
      </c>
      <c r="BD2" s="139">
        <f>SUMIF(Tabel15[Team Groen],Tabel5[[#This Row],[Team]],Tabel15[Score4])</f>
        <v>0</v>
      </c>
      <c r="BE2">
        <f>SUM(Tabel5[[#This Row],[Goals Verdediger]]+Tabel5[[#This Row],[Goals DefG]])</f>
        <v>0</v>
      </c>
      <c r="BF2">
        <f>IF(Tabel5[[#This Row],[Aantal games Alg]]=0,0,Tabel5[[#This Row],[Goals DefA]]/Tabel5[[#This Row],[Aantal games Alg]])</f>
        <v>0</v>
      </c>
      <c r="BG2">
        <f>SUM(Tabel5[[#This Row],[Goals Aanvaller]]+Tabel5[[#This Row],[Goals OffG]])</f>
        <v>0</v>
      </c>
      <c r="BH2">
        <f>IF(Tabel5[[#This Row],[Aantal games Alg]]=0,0,Tabel5[[#This Row],[Goals OffA]]/Tabel5[[#This Row],[Aantal games Alg]])</f>
        <v>0</v>
      </c>
      <c r="BI2" s="142">
        <f>Tabel5[[#This Row],[Goals DefA]]+Tabel5[[#This Row],[Goals OffA]]</f>
        <v>0</v>
      </c>
      <c r="BJ2" s="112">
        <f>IF(Tabel5[[#This Row],[Aantal games Alg]]=0,0,Tabel5[[#This Row],[Goals Alg]]/Tabel5[[#This Row],[Aantal games Alg]])</f>
        <v>0</v>
      </c>
      <c r="BK2" s="148">
        <f>SUMIF(Tabel15[Team Rood],Tabel5[[#This Row],[Team]],Tabel15[ET])</f>
        <v>0</v>
      </c>
      <c r="BL2" s="149">
        <f>SUMIF(Tabel15[Team Groen],Tabel5[[#This Row],[Team]],Tabel15[ET])</f>
        <v>0</v>
      </c>
      <c r="BM2" s="152">
        <f>SUM(Tabel5[[#This Row],[ET Groen tot]],Tabel5[[#This Row],[ET Rood tot]])</f>
        <v>0</v>
      </c>
      <c r="BN2" s="154">
        <f>IF(Tabel5[[#This Row],[Aantal games Alg]]=0,0,Tabel5[[#This Row],[ET tot]]/Tabel5[[#This Row],[Aantal games Alg]])</f>
        <v>0</v>
      </c>
    </row>
    <row r="3" spans="1:66" x14ac:dyDescent="0.25">
      <c r="A3" s="215"/>
      <c r="B3" s="128"/>
      <c r="C3" s="126"/>
      <c r="D3" s="217"/>
      <c r="E3" s="74">
        <v>2</v>
      </c>
      <c r="F3" s="207" t="s">
        <v>6</v>
      </c>
      <c r="G3" s="201">
        <v>7</v>
      </c>
      <c r="H3" s="207" t="s">
        <v>3</v>
      </c>
      <c r="I3" s="201">
        <v>4</v>
      </c>
      <c r="J3" s="203" t="s">
        <v>7</v>
      </c>
      <c r="K3" s="202">
        <v>1</v>
      </c>
      <c r="L3" s="203" t="s">
        <v>0</v>
      </c>
      <c r="M3" s="202">
        <v>4</v>
      </c>
      <c r="N3" s="81">
        <v>11</v>
      </c>
      <c r="O3" s="82">
        <v>5</v>
      </c>
      <c r="P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Row],[Score4]]&lt;&gt;""),IF(AND(N3&gt;O3,N3&gt;=11),"ROOD",IF(AND(O3&gt;=11,N3&lt;&gt;O3),"GROEN","")),"")</f>
        <v>ROOD</v>
      </c>
      <c r="Q3" s="86" t="str">
        <f t="shared" si="0"/>
        <v>Stef D</v>
      </c>
      <c r="R3" s="87" t="str">
        <f t="shared" si="1"/>
        <v>Karel</v>
      </c>
      <c r="S3" t="str">
        <f>Tabel15[[#This Row],[Rood Verdediging]]&amp;Tabel15[[#This Row],[Rood Aanval]]</f>
        <v>Stef DKarel</v>
      </c>
      <c r="T3" t="str">
        <f>Tabel15[[#This Row],[Groen Verdediging]]&amp;Tabel15[[#This Row],[Groen Aanval]]</f>
        <v>TiemenJonas</v>
      </c>
      <c r="U3" t="str">
        <f>Tabel15[[#This Row],[Winnaar 1]]&amp;Tabel15[[#This Row],[Winnaar 2]]</f>
        <v>Stef DKarel</v>
      </c>
      <c r="V3" s="147" t="str">
        <f>IF(Tabel15[[#This Row],[Team Rood]]=Tabel15[[#This Row],[Winnaars]],Tabel15[[#This Row],[Team Rood]])</f>
        <v>Stef DKarel</v>
      </c>
      <c r="W3" s="147" t="b">
        <f>IF(Tabel15[[#This Row],[Team Groen]]=Tabel15[[#This Row],[Winnaars]],Tabel15[[#This Row],[Team Groen]])</f>
        <v>0</v>
      </c>
      <c r="X3" s="283">
        <v>13.946489985484217</v>
      </c>
      <c r="Y3" s="283">
        <v>14.138935475876492</v>
      </c>
      <c r="Z3" s="283">
        <v>0.96167423439402355</v>
      </c>
      <c r="AA3" s="283">
        <v>1.1414824823324408</v>
      </c>
      <c r="AB3" s="91" t="s">
        <v>170</v>
      </c>
      <c r="AC3" s="180">
        <f t="shared" ca="1" si="2"/>
        <v>9</v>
      </c>
      <c r="AD3" s="180">
        <f t="shared" ca="1" si="3"/>
        <v>9</v>
      </c>
      <c r="AE3" s="179">
        <f t="shared" ca="1" si="4"/>
        <v>4</v>
      </c>
      <c r="AF3" s="179">
        <f t="shared" ca="1" si="5"/>
        <v>3</v>
      </c>
      <c r="AG3" s="308">
        <f t="shared" ref="AG3:AG14" ca="1" si="7">SUM(AC3:AD3)</f>
        <v>18</v>
      </c>
      <c r="AH3" s="308">
        <f t="shared" ref="AH3:AH14" ca="1" si="8">SUM(AE3:AF3)</f>
        <v>7</v>
      </c>
      <c r="AI3" s="308">
        <f t="shared" ref="AI3:AI14" ca="1" si="9">SUM(AC3:AF3)</f>
        <v>25</v>
      </c>
      <c r="AL3" s="251" t="s">
        <v>158</v>
      </c>
      <c r="AM3" s="233" t="s">
        <v>168</v>
      </c>
      <c r="AN3" s="140" t="str">
        <f t="shared" si="6"/>
        <v>Arno*Coghe*</v>
      </c>
      <c r="AO3" s="160">
        <f>IF(Tabel5[[#This Row],[Aantal Games Rood]]=0,0,(Tabel5[[#This Row],[Wins Rood]])/Tabel5[[#This Row],[Aantal Games Rood]])</f>
        <v>0</v>
      </c>
      <c r="AP3" s="159">
        <f>IF(Tabel5[[#This Row],[Aantal Games Groen]]=0,0,(Tabel5[[#This Row],[Wins Groen]])/Tabel5[[#This Row],[Aantal Games Groen]])</f>
        <v>0</v>
      </c>
      <c r="AQ3" s="156">
        <f>IF(Tabel5[[#This Row],[Aantal games Alg]]=0,0,(Tabel5[[#This Row],[Wins Alg]])/Tabel5[[#This Row],[Aantal games Alg]])</f>
        <v>0</v>
      </c>
      <c r="AR3" s="138">
        <f>COUNTIF(Tabel15[Winaar rood],Tabel5[[#This Row],[Team]])</f>
        <v>0</v>
      </c>
      <c r="AS3" s="134">
        <f>COUNTIF(Tabel15[Winnaar Groen],Tabel5[[#This Row],[Team]])</f>
        <v>0</v>
      </c>
      <c r="AT3">
        <f>COUNTIF(Tabel15[Winnaars],Tabel5[[#This Row],[Team]])</f>
        <v>0</v>
      </c>
      <c r="AU3" s="135">
        <f>Tabel5[[#This Row],[Aantal Games Rood]]-Tabel5[[#This Row],[Wins Rood]]</f>
        <v>0</v>
      </c>
      <c r="AV3" s="136">
        <f>Tabel5[[#This Row],[Aantal Games Groen]]-Tabel5[[#This Row],[Wins Groen]]</f>
        <v>0</v>
      </c>
      <c r="AW3" s="137">
        <f>Tabel5[[#This Row],[Aantal games Alg]]-Tabel5[[#This Row],[Wins Alg]]</f>
        <v>0</v>
      </c>
      <c r="AX3" s="138">
        <f>COUNTIF(Tabel15[Team Rood],Tabel5[[#This Row],[Team]])</f>
        <v>0</v>
      </c>
      <c r="AY3" s="136">
        <f>COUNTIF(Tabel15[Team Groen],Tabel5[[#This Row],[Team]])</f>
        <v>0</v>
      </c>
      <c r="AZ3" s="112">
        <f>Tabel5[[#This Row],[Aantal Games Rood]]+Tabel5[[#This Row],[Aantal Games Groen]]</f>
        <v>0</v>
      </c>
      <c r="BA3" s="138">
        <f>SUMIF(Tabel15[Team Rood],Tabel5[[#This Row],[Team]],Tabel15[Score])</f>
        <v>0</v>
      </c>
      <c r="BB3" s="138">
        <f>SUMIF(Tabel15[Team Rood],Tabel5[[#This Row],[Team]],Tabel15[Score2])</f>
        <v>0</v>
      </c>
      <c r="BC3" s="134">
        <f>SUMIF(Tabel15[Team Groen],Tabel5[[#This Row],[Team]],Tabel15[Score3])</f>
        <v>0</v>
      </c>
      <c r="BD3" s="136">
        <f>SUMIF(Tabel15[Team Groen],Tabel5[[#This Row],[Team]],Tabel15[Score4])</f>
        <v>0</v>
      </c>
      <c r="BE3">
        <f>SUM(Tabel5[[#This Row],[Goals Verdediger]]+Tabel5[[#This Row],[Goals DefG]])</f>
        <v>0</v>
      </c>
      <c r="BF3">
        <f>IF(Tabel5[[#This Row],[Aantal games Alg]]=0,0,Tabel5[[#This Row],[Goals DefA]]/Tabel5[[#This Row],[Aantal games Alg]])</f>
        <v>0</v>
      </c>
      <c r="BG3">
        <f>SUM(Tabel5[[#This Row],[Goals Aanvaller]]+Tabel5[[#This Row],[Goals OffG]])</f>
        <v>0</v>
      </c>
      <c r="BH3">
        <f>IF(Tabel5[[#This Row],[Aantal games Alg]]=0,0,Tabel5[[#This Row],[Goals OffA]]/Tabel5[[#This Row],[Aantal games Alg]])</f>
        <v>0</v>
      </c>
      <c r="BI3" s="112">
        <f>Tabel5[[#This Row],[Goals DefA]]+Tabel5[[#This Row],[Goals OffA]]</f>
        <v>0</v>
      </c>
      <c r="BJ3" s="112">
        <f>IF(Tabel5[[#This Row],[Aantal games Alg]]=0,0,Tabel5[[#This Row],[Goals Alg]]/Tabel5[[#This Row],[Aantal games Alg]])</f>
        <v>0</v>
      </c>
      <c r="BK3" s="148">
        <f>SUMIF(Tabel15[Team Rood],Tabel5[[#This Row],[Team]],Tabel15[ET])</f>
        <v>0</v>
      </c>
      <c r="BL3" s="150">
        <f>SUMIF(Tabel15[Team Groen],Tabel5[[#This Row],[Team]],Tabel15[ET])</f>
        <v>0</v>
      </c>
      <c r="BM3" s="153">
        <f>SUM(Tabel5[[#This Row],[ET Groen tot]],Tabel5[[#This Row],[ET Rood tot]])</f>
        <v>0</v>
      </c>
      <c r="BN3" s="155">
        <f>IF(Tabel5[[#This Row],[Aantal games Alg]]=0,0,Tabel5[[#This Row],[ET tot]]/Tabel5[[#This Row],[Aantal games Alg]])</f>
        <v>0</v>
      </c>
    </row>
    <row r="4" spans="1:66" x14ac:dyDescent="0.25">
      <c r="A4" s="215"/>
      <c r="B4" s="128"/>
      <c r="C4" s="126"/>
      <c r="D4" s="217"/>
      <c r="E4" s="74">
        <v>3</v>
      </c>
      <c r="F4" s="207" t="s">
        <v>11</v>
      </c>
      <c r="G4" s="201">
        <v>2</v>
      </c>
      <c r="H4" s="207" t="s">
        <v>6</v>
      </c>
      <c r="I4" s="201">
        <v>7</v>
      </c>
      <c r="J4" s="203" t="s">
        <v>8</v>
      </c>
      <c r="K4" s="202">
        <v>2</v>
      </c>
      <c r="L4" s="203" t="s">
        <v>3</v>
      </c>
      <c r="M4" s="202">
        <v>9</v>
      </c>
      <c r="N4" s="81">
        <v>9</v>
      </c>
      <c r="O4" s="82">
        <v>11</v>
      </c>
      <c r="P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Row],[Score4]]&lt;&gt;""),IF(AND(N4&gt;O4,N4&gt;=11),"ROOD",IF(AND(O4&gt;=11,N4&lt;&gt;O4),"GROEN","")),"")</f>
        <v>GROEN</v>
      </c>
      <c r="Q4" s="86" t="str">
        <f t="shared" si="0"/>
        <v>Louis</v>
      </c>
      <c r="R4" s="87" t="str">
        <f t="shared" si="1"/>
        <v>Karel</v>
      </c>
      <c r="S4" t="str">
        <f>Tabel15[[#This Row],[Rood Verdediging]]&amp;Tabel15[[#This Row],[Rood Aanval]]</f>
        <v>MatthijsStef D</v>
      </c>
      <c r="T4" t="str">
        <f>Tabel15[[#This Row],[Groen Verdediging]]&amp;Tabel15[[#This Row],[Groen Aanval]]</f>
        <v>LouisKarel</v>
      </c>
      <c r="U4" t="str">
        <f>Tabel15[[#This Row],[Winnaar 1]]&amp;Tabel15[[#This Row],[Winnaar 2]]</f>
        <v>LouisKarel</v>
      </c>
      <c r="V4" s="147" t="b">
        <f>IF(Tabel15[[#This Row],[Team Rood]]=Tabel15[[#This Row],[Winnaars]],Tabel15[[#This Row],[Team Rood]])</f>
        <v>0</v>
      </c>
      <c r="W4" s="147" t="str">
        <f>IF(Tabel15[[#This Row],[Team Groen]]=Tabel15[[#This Row],[Winnaars]],Tabel15[[#This Row],[Team Groen]])</f>
        <v>LouisKarel</v>
      </c>
      <c r="X4" s="283">
        <v>-6.9096001023575369</v>
      </c>
      <c r="Y4" s="283">
        <v>-9.2172968039269794</v>
      </c>
      <c r="Z4" s="283">
        <v>36.948435059936848</v>
      </c>
      <c r="AA4" s="283">
        <v>32.24284049100276</v>
      </c>
      <c r="AB4" s="91" t="s">
        <v>169</v>
      </c>
      <c r="AC4" s="180">
        <f t="shared" ca="1" si="2"/>
        <v>110</v>
      </c>
      <c r="AD4" s="180">
        <f t="shared" ca="1" si="3"/>
        <v>310</v>
      </c>
      <c r="AE4" s="179">
        <f t="shared" ca="1" si="4"/>
        <v>39</v>
      </c>
      <c r="AF4" s="179">
        <f t="shared" ca="1" si="5"/>
        <v>122</v>
      </c>
      <c r="AG4" s="308">
        <f t="shared" ca="1" si="7"/>
        <v>420</v>
      </c>
      <c r="AH4" s="308">
        <f t="shared" ca="1" si="8"/>
        <v>161</v>
      </c>
      <c r="AI4" s="308">
        <f t="shared" ca="1" si="9"/>
        <v>581</v>
      </c>
      <c r="AJ4" s="221"/>
      <c r="AL4" s="251" t="s">
        <v>158</v>
      </c>
      <c r="AM4" s="233" t="s">
        <v>159</v>
      </c>
      <c r="AN4" s="140" t="str">
        <f t="shared" si="6"/>
        <v>Arno*Jonas*</v>
      </c>
      <c r="AO4" s="160">
        <f>IF(Tabel5[[#This Row],[Aantal Games Rood]]=0,0,(Tabel5[[#This Row],[Wins Rood]])/Tabel5[[#This Row],[Aantal Games Rood]])</f>
        <v>1</v>
      </c>
      <c r="AP4" s="159">
        <f>IF(Tabel5[[#This Row],[Aantal Games Groen]]=0,0,(Tabel5[[#This Row],[Wins Groen]])/Tabel5[[#This Row],[Aantal Games Groen]])</f>
        <v>0</v>
      </c>
      <c r="AQ4" s="156">
        <f>IF(Tabel5[[#This Row],[Aantal games Alg]]=0,0,(Tabel5[[#This Row],[Wins Alg]])/Tabel5[[#This Row],[Aantal games Alg]])</f>
        <v>1</v>
      </c>
      <c r="AR4" s="138">
        <f>COUNTIF(Tabel15[Winaar rood],Tabel5[[#This Row],[Team]])</f>
        <v>1</v>
      </c>
      <c r="AS4" s="134">
        <f>COUNTIF(Tabel15[Winnaar Groen],Tabel5[[#This Row],[Team]])</f>
        <v>0</v>
      </c>
      <c r="AT4">
        <f>COUNTIF(Tabel15[Winnaars],Tabel5[[#This Row],[Team]])</f>
        <v>1</v>
      </c>
      <c r="AU4" s="135">
        <f>Tabel5[[#This Row],[Aantal Games Rood]]-Tabel5[[#This Row],[Wins Rood]]</f>
        <v>0</v>
      </c>
      <c r="AV4" s="136">
        <f>Tabel5[[#This Row],[Aantal Games Groen]]-Tabel5[[#This Row],[Wins Groen]]</f>
        <v>0</v>
      </c>
      <c r="AW4" s="137">
        <f>Tabel5[[#This Row],[Aantal games Alg]]-Tabel5[[#This Row],[Wins Alg]]</f>
        <v>0</v>
      </c>
      <c r="AX4" s="138">
        <f>COUNTIF(Tabel15[Team Rood],Tabel5[[#This Row],[Team]])</f>
        <v>1</v>
      </c>
      <c r="AY4" s="136">
        <f>COUNTIF(Tabel15[Team Groen],Tabel5[[#This Row],[Team]])</f>
        <v>0</v>
      </c>
      <c r="AZ4" s="112">
        <f>Tabel5[[#This Row],[Aantal Games Rood]]+Tabel5[[#This Row],[Aantal Games Groen]]</f>
        <v>1</v>
      </c>
      <c r="BA4" s="138">
        <f>SUMIF(Tabel15[Team Rood],Tabel5[[#This Row],[Team]],Tabel15[Score])</f>
        <v>4</v>
      </c>
      <c r="BB4" s="138">
        <f>SUMIF(Tabel15[Team Rood],Tabel5[[#This Row],[Team]],Tabel15[Score2])</f>
        <v>9</v>
      </c>
      <c r="BC4" s="134">
        <f>SUMIF(Tabel15[Team Groen],Tabel5[[#This Row],[Team]],Tabel15[Score3])</f>
        <v>0</v>
      </c>
      <c r="BD4" s="136">
        <f>SUMIF(Tabel15[Team Groen],Tabel5[[#This Row],[Team]],Tabel15[Score4])</f>
        <v>0</v>
      </c>
      <c r="BE4">
        <f>SUM(Tabel5[[#This Row],[Goals Verdediger]]+Tabel5[[#This Row],[Goals DefG]])</f>
        <v>4</v>
      </c>
      <c r="BF4">
        <f>IF(Tabel5[[#This Row],[Aantal games Alg]]=0,0,Tabel5[[#This Row],[Goals DefA]]/Tabel5[[#This Row],[Aantal games Alg]])</f>
        <v>4</v>
      </c>
      <c r="BG4">
        <f>SUM(Tabel5[[#This Row],[Goals Aanvaller]]+Tabel5[[#This Row],[Goals OffG]])</f>
        <v>9</v>
      </c>
      <c r="BH4">
        <f>IF(Tabel5[[#This Row],[Aantal games Alg]]=0,0,Tabel5[[#This Row],[Goals OffA]]/Tabel5[[#This Row],[Aantal games Alg]])</f>
        <v>9</v>
      </c>
      <c r="BI4" s="214">
        <f>Tabel5[[#This Row],[Goals DefA]]+Tabel5[[#This Row],[Goals OffA]]</f>
        <v>13</v>
      </c>
      <c r="BJ4" s="112">
        <f>IF(Tabel5[[#This Row],[Aantal games Alg]]=0,0,Tabel5[[#This Row],[Goals Alg]]/Tabel5[[#This Row],[Aantal games Alg]])</f>
        <v>13</v>
      </c>
      <c r="BK4" s="148">
        <f>SUMIF(Tabel15[Team Rood],Tabel5[[#This Row],[Team]],Tabel15[ET])</f>
        <v>1.3206712967075873E-2</v>
      </c>
      <c r="BL4" s="150">
        <f>SUMIF(Tabel15[Team Groen],Tabel5[[#This Row],[Team]],Tabel15[ET])</f>
        <v>0</v>
      </c>
      <c r="BM4" s="153">
        <f>SUM(Tabel5[[#This Row],[ET Groen tot]],Tabel5[[#This Row],[ET Rood tot]])</f>
        <v>1.3206712967075873E-2</v>
      </c>
      <c r="BN4" s="155">
        <f>IF(Tabel5[[#This Row],[Aantal games Alg]]=0,0,Tabel5[[#This Row],[ET tot]]/Tabel5[[#This Row],[Aantal games Alg]])</f>
        <v>1.3206712967075873E-2</v>
      </c>
    </row>
    <row r="5" spans="1:66" x14ac:dyDescent="0.25">
      <c r="A5" s="215"/>
      <c r="B5" s="128"/>
      <c r="C5" s="126"/>
      <c r="D5" s="217"/>
      <c r="E5" s="74">
        <v>4</v>
      </c>
      <c r="F5" s="207" t="s">
        <v>6</v>
      </c>
      <c r="G5" s="201">
        <v>8</v>
      </c>
      <c r="H5" s="207" t="s">
        <v>7</v>
      </c>
      <c r="I5" s="201">
        <v>3</v>
      </c>
      <c r="J5" s="203" t="s">
        <v>0</v>
      </c>
      <c r="K5" s="202">
        <v>1</v>
      </c>
      <c r="L5" s="204" t="s">
        <v>11</v>
      </c>
      <c r="M5" s="202">
        <v>7</v>
      </c>
      <c r="N5" s="81">
        <v>11</v>
      </c>
      <c r="O5" s="82">
        <v>8</v>
      </c>
      <c r="P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Row],[Score4]]&lt;&gt;""),IF(AND(N5&gt;O5,N5&gt;=11),"ROOD",IF(AND(O5&gt;=11,N5&lt;&gt;O5),"GROEN","")),"")</f>
        <v>ROOD</v>
      </c>
      <c r="Q5" s="86" t="str">
        <f t="shared" si="0"/>
        <v>Stef D</v>
      </c>
      <c r="R5" s="87" t="str">
        <f t="shared" si="1"/>
        <v>Tiemen</v>
      </c>
      <c r="S5" t="str">
        <f>Tabel15[[#This Row],[Rood Verdediging]]&amp;Tabel15[[#This Row],[Rood Aanval]]</f>
        <v>Stef DTiemen</v>
      </c>
      <c r="T5" t="str">
        <f>Tabel15[[#This Row],[Groen Verdediging]]&amp;Tabel15[[#This Row],[Groen Aanval]]</f>
        <v>JonasMatthijs</v>
      </c>
      <c r="U5" t="str">
        <f>Tabel15[[#This Row],[Winnaar 1]]&amp;Tabel15[[#This Row],[Winnaar 2]]</f>
        <v>Stef DTiemen</v>
      </c>
      <c r="V5" s="147" t="str">
        <f>IF(Tabel15[[#This Row],[Team Rood]]=Tabel15[[#This Row],[Winnaars]],Tabel15[[#This Row],[Team Rood]])</f>
        <v>Stef DTiemen</v>
      </c>
      <c r="W5" s="147" t="b">
        <f>IF(Tabel15[[#This Row],[Team Groen]]=Tabel15[[#This Row],[Winnaars]],Tabel15[[#This Row],[Team Groen]])</f>
        <v>0</v>
      </c>
      <c r="X5" s="283">
        <v>12.525743053706446</v>
      </c>
      <c r="Y5" s="283">
        <v>14.714688817672641</v>
      </c>
      <c r="Z5" s="283">
        <v>0.79633195183529659</v>
      </c>
      <c r="AA5" s="283">
        <v>1.1149122183286926</v>
      </c>
      <c r="AB5" s="91" t="s">
        <v>159</v>
      </c>
      <c r="AC5" s="180">
        <f t="shared" ca="1" si="2"/>
        <v>65</v>
      </c>
      <c r="AD5" s="180">
        <f t="shared" ca="1" si="3"/>
        <v>102</v>
      </c>
      <c r="AE5" s="179">
        <f t="shared" ca="1" si="4"/>
        <v>71</v>
      </c>
      <c r="AF5" s="179">
        <f t="shared" ca="1" si="5"/>
        <v>132</v>
      </c>
      <c r="AG5" s="308">
        <f t="shared" ca="1" si="7"/>
        <v>167</v>
      </c>
      <c r="AH5" s="308">
        <f t="shared" ca="1" si="8"/>
        <v>203</v>
      </c>
      <c r="AI5" s="308">
        <f t="shared" ca="1" si="9"/>
        <v>370</v>
      </c>
      <c r="AL5" s="251" t="s">
        <v>158</v>
      </c>
      <c r="AM5" s="233" t="s">
        <v>164</v>
      </c>
      <c r="AN5" s="140" t="str">
        <f t="shared" si="6"/>
        <v>Arno*Karel*</v>
      </c>
      <c r="AO5" s="160">
        <f>IF(Tabel5[[#This Row],[Aantal Games Rood]]=0,0,(Tabel5[[#This Row],[Wins Rood]])/Tabel5[[#This Row],[Aantal Games Rood]])</f>
        <v>0</v>
      </c>
      <c r="AP5" s="159">
        <f>IF(Tabel5[[#This Row],[Aantal Games Groen]]=0,0,(Tabel5[[#This Row],[Wins Groen]])/Tabel5[[#This Row],[Aantal Games Groen]])</f>
        <v>0</v>
      </c>
      <c r="AQ5" s="156">
        <f>IF(Tabel5[[#This Row],[Aantal games Alg]]=0,0,(Tabel5[[#This Row],[Wins Alg]])/Tabel5[[#This Row],[Aantal games Alg]])</f>
        <v>0</v>
      </c>
      <c r="AR5" s="133">
        <f>COUNTIF(Tabel15[Winaar rood],Tabel5[[#This Row],[Team]])</f>
        <v>0</v>
      </c>
      <c r="AS5" s="134">
        <f>COUNTIF(Tabel15[Winnaar Groen],Tabel5[[#This Row],[Team]])</f>
        <v>0</v>
      </c>
      <c r="AT5" s="213">
        <f>COUNTIF(Tabel15[Winnaars],Tabel5[[#This Row],[Team]])</f>
        <v>0</v>
      </c>
      <c r="AU5" s="135">
        <f>Tabel5[[#This Row],[Aantal Games Rood]]-Tabel5[[#This Row],[Wins Rood]]</f>
        <v>0</v>
      </c>
      <c r="AV5" s="136">
        <f>Tabel5[[#This Row],[Aantal Games Groen]]-Tabel5[[#This Row],[Wins Groen]]</f>
        <v>0</v>
      </c>
      <c r="AW5" s="137">
        <f>Tabel5[[#This Row],[Aantal games Alg]]-Tabel5[[#This Row],[Wins Alg]]</f>
        <v>0</v>
      </c>
      <c r="AX5" s="138">
        <f>COUNTIF(Tabel15[Team Rood],Tabel5[[#This Row],[Team]])</f>
        <v>0</v>
      </c>
      <c r="AY5" s="136">
        <f>COUNTIF(Tabel15[Team Groen],Tabel5[[#This Row],[Team]])</f>
        <v>0</v>
      </c>
      <c r="AZ5" s="112">
        <f>Tabel5[[#This Row],[Aantal Games Rood]]+Tabel5[[#This Row],[Aantal Games Groen]]</f>
        <v>0</v>
      </c>
      <c r="BA5" s="138">
        <f>SUMIF(Tabel15[Team Rood],Tabel5[[#This Row],[Team]],Tabel15[Score])</f>
        <v>0</v>
      </c>
      <c r="BB5" s="138">
        <f>SUMIF(Tabel15[Team Rood],Tabel5[[#This Row],[Team]],Tabel15[Score2])</f>
        <v>0</v>
      </c>
      <c r="BC5" s="134">
        <f>SUMIF(Tabel15[Team Groen],Tabel5[[#This Row],[Team]],Tabel15[Score3])</f>
        <v>0</v>
      </c>
      <c r="BD5" s="136">
        <f>SUMIF(Tabel15[Team Groen],Tabel5[[#This Row],[Team]],Tabel15[Score4])</f>
        <v>0</v>
      </c>
      <c r="BE5">
        <f>SUM(Tabel5[[#This Row],[Goals Verdediger]]+Tabel5[[#This Row],[Goals DefG]])</f>
        <v>0</v>
      </c>
      <c r="BF5">
        <f>IF(Tabel5[[#This Row],[Aantal games Alg]]=0,0,Tabel5[[#This Row],[Goals DefA]]/Tabel5[[#This Row],[Aantal games Alg]])</f>
        <v>0</v>
      </c>
      <c r="BG5">
        <f>SUM(Tabel5[[#This Row],[Goals Aanvaller]]+Tabel5[[#This Row],[Goals OffG]])</f>
        <v>0</v>
      </c>
      <c r="BH5">
        <f>IF(Tabel5[[#This Row],[Aantal games Alg]]=0,0,Tabel5[[#This Row],[Goals OffA]]/Tabel5[[#This Row],[Aantal games Alg]])</f>
        <v>0</v>
      </c>
      <c r="BI5" s="214">
        <f>Tabel5[[#This Row],[Goals DefA]]+Tabel5[[#This Row],[Goals OffA]]</f>
        <v>0</v>
      </c>
      <c r="BJ5" s="112">
        <f>IF(Tabel5[[#This Row],[Aantal games Alg]]=0,0,Tabel5[[#This Row],[Goals Alg]]/Tabel5[[#This Row],[Aantal games Alg]])</f>
        <v>0</v>
      </c>
      <c r="BK5" s="148">
        <f>SUMIF(Tabel15[Team Rood],Tabel5[[#This Row],[Team]],Tabel15[ET])</f>
        <v>0</v>
      </c>
      <c r="BL5" s="150">
        <f>SUMIF(Tabel15[Team Groen],Tabel5[[#This Row],[Team]],Tabel15[ET])</f>
        <v>0</v>
      </c>
      <c r="BM5" s="153">
        <f>SUM(Tabel5[[#This Row],[ET Groen tot]],Tabel5[[#This Row],[ET Rood tot]])</f>
        <v>0</v>
      </c>
      <c r="BN5" s="155">
        <f>IF(Tabel5[[#This Row],[Aantal games Alg]]=0,0,Tabel5[[#This Row],[ET tot]]/Tabel5[[#This Row],[Aantal games Alg]])</f>
        <v>0</v>
      </c>
    </row>
    <row r="6" spans="1:66" x14ac:dyDescent="0.25">
      <c r="A6" s="215"/>
      <c r="B6" s="128"/>
      <c r="C6" s="126"/>
      <c r="D6" s="217"/>
      <c r="E6" s="74">
        <v>5</v>
      </c>
      <c r="F6" s="207" t="s">
        <v>3</v>
      </c>
      <c r="G6" s="201">
        <v>5</v>
      </c>
      <c r="H6" s="207" t="s">
        <v>8</v>
      </c>
      <c r="I6" s="201">
        <v>5</v>
      </c>
      <c r="J6" s="204" t="s">
        <v>0</v>
      </c>
      <c r="K6" s="202">
        <v>4</v>
      </c>
      <c r="L6" s="204" t="s">
        <v>7</v>
      </c>
      <c r="M6" s="202">
        <v>7</v>
      </c>
      <c r="N6" s="81">
        <v>10</v>
      </c>
      <c r="O6" s="82">
        <v>11</v>
      </c>
      <c r="P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Row],[Score4]]&lt;&gt;""),IF(AND(N6&gt;O6,N6&gt;=11),"ROOD",IF(AND(O6&gt;=11,N6&lt;&gt;O6),"GROEN","")),"")</f>
        <v>GROEN</v>
      </c>
      <c r="Q6" s="86" t="str">
        <f t="shared" si="0"/>
        <v>Jonas</v>
      </c>
      <c r="R6" s="87" t="str">
        <f t="shared" si="1"/>
        <v>Tiemen</v>
      </c>
      <c r="S6" t="str">
        <f>Tabel15[[#This Row],[Rood Verdediging]]&amp;Tabel15[[#This Row],[Rood Aanval]]</f>
        <v>KarelLouis</v>
      </c>
      <c r="T6" t="str">
        <f>Tabel15[[#This Row],[Groen Verdediging]]&amp;Tabel15[[#This Row],[Groen Aanval]]</f>
        <v>JonasTiemen</v>
      </c>
      <c r="U6" t="str">
        <f>Tabel15[[#This Row],[Winnaar 1]]&amp;Tabel15[[#This Row],[Winnaar 2]]</f>
        <v>JonasTiemen</v>
      </c>
      <c r="V6" s="147" t="b">
        <f>IF(Tabel15[[#This Row],[Team Rood]]=Tabel15[[#This Row],[Winnaars]],Tabel15[[#This Row],[Team Rood]])</f>
        <v>0</v>
      </c>
      <c r="W6" s="147" t="str">
        <f>IF(Tabel15[[#This Row],[Team Groen]]=Tabel15[[#This Row],[Winnaars]],Tabel15[[#This Row],[Team Groen]])</f>
        <v>JonasTiemen</v>
      </c>
      <c r="X6" s="283">
        <v>1.9292638543906556E-2</v>
      </c>
      <c r="Y6" s="283">
        <v>2.4917234050743257E-2</v>
      </c>
      <c r="Z6" s="283">
        <v>14.236235179345403</v>
      </c>
      <c r="AA6" s="283">
        <v>15.32951621817749</v>
      </c>
      <c r="AB6" s="91" t="s">
        <v>164</v>
      </c>
      <c r="AC6" s="180">
        <f t="shared" ca="1" si="2"/>
        <v>47</v>
      </c>
      <c r="AD6" s="180">
        <f t="shared" ca="1" si="3"/>
        <v>149</v>
      </c>
      <c r="AE6" s="179">
        <f t="shared" ca="1" si="4"/>
        <v>28</v>
      </c>
      <c r="AF6" s="179">
        <f t="shared" ca="1" si="5"/>
        <v>168</v>
      </c>
      <c r="AG6" s="308">
        <f t="shared" ca="1" si="7"/>
        <v>196</v>
      </c>
      <c r="AH6" s="308">
        <f t="shared" ca="1" si="8"/>
        <v>196</v>
      </c>
      <c r="AI6" s="308">
        <f t="shared" ca="1" si="9"/>
        <v>392</v>
      </c>
      <c r="AL6" s="251" t="s">
        <v>158</v>
      </c>
      <c r="AM6" s="233" t="s">
        <v>67</v>
      </c>
      <c r="AN6" s="140" t="str">
        <f t="shared" si="6"/>
        <v>Arno*Lawrence</v>
      </c>
      <c r="AO6" s="160">
        <f>IF(Tabel5[[#This Row],[Aantal Games Rood]]=0,0,(Tabel5[[#This Row],[Wins Rood]])/Tabel5[[#This Row],[Aantal Games Rood]])</f>
        <v>0</v>
      </c>
      <c r="AP6" s="159">
        <f>IF(Tabel5[[#This Row],[Aantal Games Groen]]=0,0,(Tabel5[[#This Row],[Wins Groen]])/Tabel5[[#This Row],[Aantal Games Groen]])</f>
        <v>0</v>
      </c>
      <c r="AQ6" s="156">
        <f>IF(Tabel5[[#This Row],[Aantal games Alg]]=0,0,(Tabel5[[#This Row],[Wins Alg]])/Tabel5[[#This Row],[Aantal games Alg]])</f>
        <v>0</v>
      </c>
      <c r="AR6" s="133">
        <f>COUNTIF(Tabel15[Winaar rood],Tabel5[[#This Row],[Team]])</f>
        <v>0</v>
      </c>
      <c r="AS6" s="134">
        <f>COUNTIF(Tabel15[Winnaar Groen],Tabel5[[#This Row],[Team]])</f>
        <v>0</v>
      </c>
      <c r="AT6">
        <f>COUNTIF(Tabel15[Winnaars],Tabel5[[#This Row],[Team]])</f>
        <v>0</v>
      </c>
      <c r="AU6" s="135">
        <f>Tabel5[[#This Row],[Aantal Games Rood]]-Tabel5[[#This Row],[Wins Rood]]</f>
        <v>0</v>
      </c>
      <c r="AV6" s="136">
        <f>Tabel5[[#This Row],[Aantal Games Groen]]-Tabel5[[#This Row],[Wins Groen]]</f>
        <v>0</v>
      </c>
      <c r="AW6" s="137">
        <f>Tabel5[[#This Row],[Aantal games Alg]]-Tabel5[[#This Row],[Wins Alg]]</f>
        <v>0</v>
      </c>
      <c r="AX6" s="138">
        <f>COUNTIF(Tabel15[Team Rood],Tabel5[[#This Row],[Team]])</f>
        <v>0</v>
      </c>
      <c r="AY6" s="136">
        <f>COUNTIF(Tabel15[Team Groen],Tabel5[[#This Row],[Team]])</f>
        <v>0</v>
      </c>
      <c r="AZ6" s="112">
        <f>Tabel5[[#This Row],[Aantal Games Rood]]+Tabel5[[#This Row],[Aantal Games Groen]]</f>
        <v>0</v>
      </c>
      <c r="BA6" s="138">
        <f>SUMIF(Tabel15[Team Rood],Tabel5[[#This Row],[Team]],Tabel15[Score])</f>
        <v>0</v>
      </c>
      <c r="BB6" s="138">
        <f>SUMIF(Tabel15[Team Rood],Tabel5[[#This Row],[Team]],Tabel15[Score2])</f>
        <v>0</v>
      </c>
      <c r="BC6" s="134">
        <f>SUMIF(Tabel15[Team Groen],Tabel5[[#This Row],[Team]],Tabel15[Score3])</f>
        <v>0</v>
      </c>
      <c r="BD6" s="136">
        <f>SUMIF(Tabel15[Team Groen],Tabel5[[#This Row],[Team]],Tabel15[Score4])</f>
        <v>0</v>
      </c>
      <c r="BE6">
        <f>SUM(Tabel5[[#This Row],[Goals Verdediger]]+Tabel5[[#This Row],[Goals DefG]])</f>
        <v>0</v>
      </c>
      <c r="BF6">
        <f>IF(Tabel5[[#This Row],[Aantal games Alg]]=0,0,Tabel5[[#This Row],[Goals DefA]]/Tabel5[[#This Row],[Aantal games Alg]])</f>
        <v>0</v>
      </c>
      <c r="BG6">
        <f>SUM(Tabel5[[#This Row],[Goals Aanvaller]]+Tabel5[[#This Row],[Goals OffG]])</f>
        <v>0</v>
      </c>
      <c r="BH6">
        <f>IF(Tabel5[[#This Row],[Aantal games Alg]]=0,0,Tabel5[[#This Row],[Goals OffA]]/Tabel5[[#This Row],[Aantal games Alg]])</f>
        <v>0</v>
      </c>
      <c r="BI6" s="112">
        <f>Tabel5[[#This Row],[Goals DefA]]+Tabel5[[#This Row],[Goals OffA]]</f>
        <v>0</v>
      </c>
      <c r="BJ6" s="112">
        <f>IF(Tabel5[[#This Row],[Aantal games Alg]]=0,0,Tabel5[[#This Row],[Goals Alg]]/Tabel5[[#This Row],[Aantal games Alg]])</f>
        <v>0</v>
      </c>
      <c r="BK6" s="148">
        <f>SUMIF(Tabel15[Team Rood],Tabel5[[#This Row],[Team]],Tabel15[ET])</f>
        <v>0</v>
      </c>
      <c r="BL6" s="150">
        <f>SUMIF(Tabel15[Team Groen],Tabel5[[#This Row],[Team]],Tabel15[ET])</f>
        <v>0</v>
      </c>
      <c r="BM6" s="153">
        <f>SUM(Tabel5[[#This Row],[ET Groen tot]],Tabel5[[#This Row],[ET Rood tot]])</f>
        <v>0</v>
      </c>
      <c r="BN6" s="155">
        <f>IF(Tabel5[[#This Row],[Aantal games Alg]]=0,0,Tabel5[[#This Row],[ET tot]]/Tabel5[[#This Row],[Aantal games Alg]])</f>
        <v>0</v>
      </c>
    </row>
    <row r="7" spans="1:66" x14ac:dyDescent="0.25">
      <c r="A7" s="215"/>
      <c r="B7" s="128"/>
      <c r="C7" s="126"/>
      <c r="D7" s="217"/>
      <c r="E7" s="74">
        <v>6</v>
      </c>
      <c r="F7" s="207" t="s">
        <v>11</v>
      </c>
      <c r="G7" s="201">
        <v>3</v>
      </c>
      <c r="H7" s="207" t="s">
        <v>3</v>
      </c>
      <c r="I7" s="201">
        <v>4</v>
      </c>
      <c r="J7" s="204" t="s">
        <v>8</v>
      </c>
      <c r="K7" s="202">
        <v>7</v>
      </c>
      <c r="L7" s="204" t="s">
        <v>6</v>
      </c>
      <c r="M7" s="202">
        <v>4</v>
      </c>
      <c r="N7" s="81">
        <v>7</v>
      </c>
      <c r="O7" s="82">
        <v>11</v>
      </c>
      <c r="P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Row],[Score4]]&lt;&gt;""),IF(AND(N7&gt;O7,N7&gt;=11),"ROOD",IF(AND(O7&gt;=11,N7&lt;&gt;O7),"GROEN","")),"")</f>
        <v>GROEN</v>
      </c>
      <c r="Q7" s="86" t="str">
        <f t="shared" si="0"/>
        <v>Louis</v>
      </c>
      <c r="R7" s="87" t="str">
        <f t="shared" si="1"/>
        <v>Stef D</v>
      </c>
      <c r="S7" t="str">
        <f>Tabel15[[#This Row],[Rood Verdediging]]&amp;Tabel15[[#This Row],[Rood Aanval]]</f>
        <v>MatthijsKarel</v>
      </c>
      <c r="T7" t="str">
        <f>Tabel15[[#This Row],[Groen Verdediging]]&amp;Tabel15[[#This Row],[Groen Aanval]]</f>
        <v>LouisStef D</v>
      </c>
      <c r="U7" t="str">
        <f>Tabel15[[#This Row],[Winnaar 1]]&amp;Tabel15[[#This Row],[Winnaar 2]]</f>
        <v>LouisStef D</v>
      </c>
      <c r="V7" s="147" t="b">
        <f>IF(Tabel15[[#This Row],[Team Rood]]=Tabel15[[#This Row],[Winnaars]],Tabel15[[#This Row],[Team Rood]])</f>
        <v>0</v>
      </c>
      <c r="W7" s="147" t="str">
        <f>IF(Tabel15[[#This Row],[Team Groen]]=Tabel15[[#This Row],[Winnaars]],Tabel15[[#This Row],[Team Groen]])</f>
        <v>LouisStef D</v>
      </c>
      <c r="X7" s="283">
        <v>-1.101635333982433E-3</v>
      </c>
      <c r="Y7" s="283">
        <v>-1.3058593961800095E-3</v>
      </c>
      <c r="Z7" s="283">
        <v>19.050869191429186</v>
      </c>
      <c r="AA7" s="283">
        <v>13.9833104537935</v>
      </c>
      <c r="AB7" s="91" t="s">
        <v>160</v>
      </c>
      <c r="AC7" s="180">
        <f t="shared" ca="1" si="2"/>
        <v>8</v>
      </c>
      <c r="AD7" s="180">
        <f t="shared" ca="1" si="3"/>
        <v>14</v>
      </c>
      <c r="AE7" s="179">
        <f t="shared" ca="1" si="4"/>
        <v>39</v>
      </c>
      <c r="AF7" s="179">
        <f t="shared" ca="1" si="5"/>
        <v>95</v>
      </c>
      <c r="AG7" s="308">
        <f t="shared" ca="1" si="7"/>
        <v>22</v>
      </c>
      <c r="AH7" s="308">
        <f t="shared" ca="1" si="8"/>
        <v>134</v>
      </c>
      <c r="AI7" s="308">
        <f t="shared" ca="1" si="9"/>
        <v>156</v>
      </c>
      <c r="AL7" s="251" t="s">
        <v>158</v>
      </c>
      <c r="AM7" s="233" t="s">
        <v>161</v>
      </c>
      <c r="AN7" s="140" t="str">
        <f t="shared" si="6"/>
        <v>Arno*Louis*</v>
      </c>
      <c r="AO7" s="160">
        <f>IF(Tabel5[[#This Row],[Aantal Games Rood]]=0,0,(Tabel5[[#This Row],[Wins Rood]])/Tabel5[[#This Row],[Aantal Games Rood]])</f>
        <v>0</v>
      </c>
      <c r="AP7" s="159">
        <f>IF(Tabel5[[#This Row],[Aantal Games Groen]]=0,0,(Tabel5[[#This Row],[Wins Groen]])/Tabel5[[#This Row],[Aantal Games Groen]])</f>
        <v>0</v>
      </c>
      <c r="AQ7" s="156">
        <f>IF(Tabel5[[#This Row],[Aantal games Alg]]=0,0,(Tabel5[[#This Row],[Wins Alg]])/Tabel5[[#This Row],[Aantal games Alg]])</f>
        <v>0</v>
      </c>
      <c r="AR7" s="138">
        <f>COUNTIF(Tabel15[Winaar rood],Tabel5[[#This Row],[Team]])</f>
        <v>0</v>
      </c>
      <c r="AS7" s="134">
        <f>COUNTIF(Tabel15[Winnaar Groen],Tabel5[[#This Row],[Team]])</f>
        <v>0</v>
      </c>
      <c r="AT7" s="293">
        <f>COUNTIF(Tabel15[Winnaars],Tabel5[[#This Row],[Team]])</f>
        <v>0</v>
      </c>
      <c r="AU7" s="135">
        <f>Tabel5[[#This Row],[Aantal Games Rood]]-Tabel5[[#This Row],[Wins Rood]]</f>
        <v>0</v>
      </c>
      <c r="AV7" s="136">
        <f>Tabel5[[#This Row],[Aantal Games Groen]]-Tabel5[[#This Row],[Wins Groen]]</f>
        <v>0</v>
      </c>
      <c r="AW7" s="137">
        <f>Tabel5[[#This Row],[Aantal games Alg]]-Tabel5[[#This Row],[Wins Alg]]</f>
        <v>0</v>
      </c>
      <c r="AX7" s="138">
        <f>COUNTIF(Tabel15[Team Rood],Tabel5[[#This Row],[Team]])</f>
        <v>0</v>
      </c>
      <c r="AY7" s="136">
        <f>COUNTIF(Tabel15[Team Groen],Tabel5[[#This Row],[Team]])</f>
        <v>0</v>
      </c>
      <c r="AZ7" s="214">
        <f>Tabel5[[#This Row],[Aantal Games Rood]]+Tabel5[[#This Row],[Aantal Games Groen]]</f>
        <v>0</v>
      </c>
      <c r="BA7" s="138">
        <f>SUMIF(Tabel15[Team Rood],Tabel5[[#This Row],[Team]],Tabel15[Score])</f>
        <v>0</v>
      </c>
      <c r="BB7" s="138">
        <f>SUMIF(Tabel15[Team Rood],Tabel5[[#This Row],[Team]],Tabel15[Score2])</f>
        <v>0</v>
      </c>
      <c r="BC7" s="134">
        <f>SUMIF(Tabel15[Team Groen],Tabel5[[#This Row],[Team]],Tabel15[Score3])</f>
        <v>0</v>
      </c>
      <c r="BD7" s="136">
        <f>SUMIF(Tabel15[Team Groen],Tabel5[[#This Row],[Team]],Tabel15[Score4])</f>
        <v>0</v>
      </c>
      <c r="BE7" s="213">
        <f>SUM(Tabel5[[#This Row],[Goals Verdediger]]+Tabel5[[#This Row],[Goals DefG]])</f>
        <v>0</v>
      </c>
      <c r="BF7" s="213">
        <f>IF(Tabel5[[#This Row],[Aantal games Alg]]=0,0,Tabel5[[#This Row],[Goals DefA]]/Tabel5[[#This Row],[Aantal games Alg]])</f>
        <v>0</v>
      </c>
      <c r="BG7" s="213">
        <f>SUM(Tabel5[[#This Row],[Goals Aanvaller]]+Tabel5[[#This Row],[Goals OffG]])</f>
        <v>0</v>
      </c>
      <c r="BH7" s="213">
        <f>IF(Tabel5[[#This Row],[Aantal games Alg]]=0,0,Tabel5[[#This Row],[Goals OffA]]/Tabel5[[#This Row],[Aantal games Alg]])</f>
        <v>0</v>
      </c>
      <c r="BI7" s="214">
        <f>Tabel5[[#This Row],[Goals DefA]]+Tabel5[[#This Row],[Goals OffA]]</f>
        <v>0</v>
      </c>
      <c r="BJ7" s="214">
        <f>IF(Tabel5[[#This Row],[Aantal games Alg]]=0,0,Tabel5[[#This Row],[Goals Alg]]/Tabel5[[#This Row],[Aantal games Alg]])</f>
        <v>0</v>
      </c>
      <c r="BK7" s="148">
        <f>SUMIF(Tabel15[Team Rood],Tabel5[[#This Row],[Team]],Tabel15[ET])</f>
        <v>0</v>
      </c>
      <c r="BL7" s="150">
        <f>SUMIF(Tabel15[Team Groen],Tabel5[[#This Row],[Team]],Tabel15[ET])</f>
        <v>0</v>
      </c>
      <c r="BM7" s="153">
        <f>SUM(Tabel5[[#This Row],[ET Groen tot]],Tabel5[[#This Row],[ET Rood tot]])</f>
        <v>0</v>
      </c>
      <c r="BN7" s="155">
        <f>IF(Tabel5[[#This Row],[Aantal games Alg]]=0,0,Tabel5[[#This Row],[ET tot]]/Tabel5[[#This Row],[Aantal games Alg]])</f>
        <v>0</v>
      </c>
    </row>
    <row r="8" spans="1:66" x14ac:dyDescent="0.25">
      <c r="A8" s="215"/>
      <c r="B8" s="128"/>
      <c r="C8" s="126"/>
      <c r="D8" s="217"/>
      <c r="E8" s="74">
        <v>7</v>
      </c>
      <c r="F8" s="207" t="s">
        <v>0</v>
      </c>
      <c r="G8" s="201">
        <v>6</v>
      </c>
      <c r="H8" s="207" t="s">
        <v>6</v>
      </c>
      <c r="I8" s="201">
        <v>5</v>
      </c>
      <c r="J8" s="204" t="s">
        <v>7</v>
      </c>
      <c r="K8" s="202">
        <v>3</v>
      </c>
      <c r="L8" s="204" t="s">
        <v>3</v>
      </c>
      <c r="M8" s="202">
        <v>5</v>
      </c>
      <c r="N8" s="81">
        <v>11</v>
      </c>
      <c r="O8" s="82">
        <v>8</v>
      </c>
      <c r="P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Row],[Score4]]&lt;&gt;""),IF(AND(N8&gt;O8,N8&gt;=11),"ROOD",IF(AND(O8&gt;=11,N8&lt;&gt;O8),"GROEN","")),"")</f>
        <v>ROOD</v>
      </c>
      <c r="Q8" s="86" t="str">
        <f t="shared" si="0"/>
        <v>Jonas</v>
      </c>
      <c r="R8" s="87" t="str">
        <f t="shared" si="1"/>
        <v>Stef D</v>
      </c>
      <c r="S8" t="str">
        <f>Tabel15[[#This Row],[Rood Verdediging]]&amp;Tabel15[[#This Row],[Rood Aanval]]</f>
        <v>JonasStef D</v>
      </c>
      <c r="T8" t="str">
        <f>Tabel15[[#This Row],[Groen Verdediging]]&amp;Tabel15[[#This Row],[Groen Aanval]]</f>
        <v>TiemenKarel</v>
      </c>
      <c r="U8" t="str">
        <f>Tabel15[[#This Row],[Winnaar 1]]&amp;Tabel15[[#This Row],[Winnaar 2]]</f>
        <v>JonasStef D</v>
      </c>
      <c r="V8" s="147" t="str">
        <f>IF(Tabel15[[#This Row],[Team Rood]]=Tabel15[[#This Row],[Winnaars]],Tabel15[[#This Row],[Team Rood]])</f>
        <v>JonasStef D</v>
      </c>
      <c r="W8" s="147" t="b">
        <f>IF(Tabel15[[#This Row],[Team Groen]]=Tabel15[[#This Row],[Winnaars]],Tabel15[[#This Row],[Team Groen]])</f>
        <v>0</v>
      </c>
      <c r="X8" s="283">
        <v>19.871830083751483</v>
      </c>
      <c r="Y8" s="283">
        <v>15.960517276429865</v>
      </c>
      <c r="Z8" s="283">
        <v>-0.66169496287034768</v>
      </c>
      <c r="AA8" s="283">
        <v>-0.70951562659008105</v>
      </c>
      <c r="AB8" s="91" t="s">
        <v>161</v>
      </c>
      <c r="AC8" s="180">
        <f t="shared" ca="1" si="2"/>
        <v>44</v>
      </c>
      <c r="AD8" s="180">
        <f t="shared" ca="1" si="3"/>
        <v>37</v>
      </c>
      <c r="AE8" s="179">
        <f t="shared" ca="1" si="4"/>
        <v>65</v>
      </c>
      <c r="AF8" s="179">
        <f t="shared" ca="1" si="5"/>
        <v>27</v>
      </c>
      <c r="AG8" s="308">
        <f t="shared" ca="1" si="7"/>
        <v>81</v>
      </c>
      <c r="AH8" s="308">
        <f t="shared" ca="1" si="8"/>
        <v>92</v>
      </c>
      <c r="AI8" s="308">
        <f t="shared" ca="1" si="9"/>
        <v>173</v>
      </c>
      <c r="AL8" s="251" t="s">
        <v>158</v>
      </c>
      <c r="AM8" s="233" t="s">
        <v>162</v>
      </c>
      <c r="AN8" s="140" t="str">
        <f t="shared" si="6"/>
        <v>Arno*Matthijs*</v>
      </c>
      <c r="AO8" s="160">
        <f>IF(Tabel5[[#This Row],[Aantal Games Rood]]=0,0,(Tabel5[[#This Row],[Wins Rood]])/Tabel5[[#This Row],[Aantal Games Rood]])</f>
        <v>0</v>
      </c>
      <c r="AP8" s="159">
        <f>IF(Tabel5[[#This Row],[Aantal Games Groen]]=0,0,(Tabel5[[#This Row],[Wins Groen]])/Tabel5[[#This Row],[Aantal Games Groen]])</f>
        <v>0</v>
      </c>
      <c r="AQ8" s="156">
        <f>IF(Tabel5[[#This Row],[Aantal games Alg]]=0,0,(Tabel5[[#This Row],[Wins Alg]])/Tabel5[[#This Row],[Aantal games Alg]])</f>
        <v>0</v>
      </c>
      <c r="AR8" s="138">
        <f>COUNTIF(Tabel15[Winaar rood],Tabel5[[#This Row],[Team]])</f>
        <v>0</v>
      </c>
      <c r="AS8" s="134">
        <f>COUNTIF(Tabel15[Winnaar Groen],Tabel5[[#This Row],[Team]])</f>
        <v>0</v>
      </c>
      <c r="AT8">
        <f>COUNTIF(Tabel15[Winnaars],Tabel5[[#This Row],[Team]])</f>
        <v>0</v>
      </c>
      <c r="AU8" s="135">
        <f>Tabel5[[#This Row],[Aantal Games Rood]]-Tabel5[[#This Row],[Wins Rood]]</f>
        <v>0</v>
      </c>
      <c r="AV8" s="136">
        <f>Tabel5[[#This Row],[Aantal Games Groen]]-Tabel5[[#This Row],[Wins Groen]]</f>
        <v>1</v>
      </c>
      <c r="AW8" s="137">
        <f>Tabel5[[#This Row],[Aantal games Alg]]-Tabel5[[#This Row],[Wins Alg]]</f>
        <v>1</v>
      </c>
      <c r="AX8" s="138">
        <f>COUNTIF(Tabel15[Team Rood],Tabel5[[#This Row],[Team]])</f>
        <v>0</v>
      </c>
      <c r="AY8" s="136">
        <f>COUNTIF(Tabel15[Team Groen],Tabel5[[#This Row],[Team]])</f>
        <v>1</v>
      </c>
      <c r="AZ8" s="214">
        <f>Tabel5[[#This Row],[Aantal Games Rood]]+Tabel5[[#This Row],[Aantal Games Groen]]</f>
        <v>1</v>
      </c>
      <c r="BA8" s="138">
        <f>SUMIF(Tabel15[Team Rood],Tabel5[[#This Row],[Team]],Tabel15[Score])</f>
        <v>0</v>
      </c>
      <c r="BB8" s="138">
        <f>SUMIF(Tabel15[Team Rood],Tabel5[[#This Row],[Team]],Tabel15[Score2])</f>
        <v>0</v>
      </c>
      <c r="BC8" s="134">
        <f>SUMIF(Tabel15[Team Groen],Tabel5[[#This Row],[Team]],Tabel15[Score3])</f>
        <v>5</v>
      </c>
      <c r="BD8" s="136">
        <f>SUMIF(Tabel15[Team Groen],Tabel5[[#This Row],[Team]],Tabel15[Score4])</f>
        <v>4</v>
      </c>
      <c r="BE8">
        <f>SUM(Tabel5[[#This Row],[Goals Verdediger]]+Tabel5[[#This Row],[Goals DefG]])</f>
        <v>5</v>
      </c>
      <c r="BF8">
        <f>IF(Tabel5[[#This Row],[Aantal games Alg]]=0,0,Tabel5[[#This Row],[Goals DefA]]/Tabel5[[#This Row],[Aantal games Alg]])</f>
        <v>5</v>
      </c>
      <c r="BG8">
        <f>SUM(Tabel5[[#This Row],[Goals Aanvaller]]+Tabel5[[#This Row],[Goals OffG]])</f>
        <v>4</v>
      </c>
      <c r="BH8">
        <f>IF(Tabel5[[#This Row],[Aantal games Alg]]=0,0,Tabel5[[#This Row],[Goals OffA]]/Tabel5[[#This Row],[Aantal games Alg]])</f>
        <v>4</v>
      </c>
      <c r="BI8" s="112">
        <f>Tabel5[[#This Row],[Goals DefA]]+Tabel5[[#This Row],[Goals OffA]]</f>
        <v>9</v>
      </c>
      <c r="BJ8" s="112">
        <f>IF(Tabel5[[#This Row],[Aantal games Alg]]=0,0,Tabel5[[#This Row],[Goals Alg]]/Tabel5[[#This Row],[Aantal games Alg]])</f>
        <v>9</v>
      </c>
      <c r="BK8" s="148">
        <f>SUMIF(Tabel15[Team Rood],Tabel5[[#This Row],[Team]],Tabel15[ET])</f>
        <v>0</v>
      </c>
      <c r="BL8" s="150">
        <f>SUMIF(Tabel15[Team Groen],Tabel5[[#This Row],[Team]],Tabel15[ET])</f>
        <v>1.3216898143582512E-2</v>
      </c>
      <c r="BM8" s="153">
        <f>SUM(Tabel5[[#This Row],[ET Groen tot]],Tabel5[[#This Row],[ET Rood tot]])</f>
        <v>1.3216898143582512E-2</v>
      </c>
      <c r="BN8" s="155">
        <f>IF(Tabel5[[#This Row],[Aantal games Alg]]=0,0,Tabel5[[#This Row],[ET tot]]/Tabel5[[#This Row],[Aantal games Alg]])</f>
        <v>1.3216898143582512E-2</v>
      </c>
    </row>
    <row r="9" spans="1:66" x14ac:dyDescent="0.25">
      <c r="A9" s="215"/>
      <c r="B9" s="128"/>
      <c r="C9" s="126"/>
      <c r="D9" s="217"/>
      <c r="E9" s="74">
        <v>8</v>
      </c>
      <c r="F9" s="207" t="s">
        <v>3</v>
      </c>
      <c r="G9" s="201">
        <v>0</v>
      </c>
      <c r="H9" s="207" t="s">
        <v>6</v>
      </c>
      <c r="I9" s="201">
        <v>7</v>
      </c>
      <c r="J9" s="204" t="s">
        <v>11</v>
      </c>
      <c r="K9" s="202">
        <v>3</v>
      </c>
      <c r="L9" s="204" t="s">
        <v>8</v>
      </c>
      <c r="M9" s="202">
        <v>8</v>
      </c>
      <c r="N9" s="81">
        <v>7</v>
      </c>
      <c r="O9" s="82">
        <v>11</v>
      </c>
      <c r="P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Row],[Score4]]&lt;&gt;""),IF(AND(N9&gt;O9,N9&gt;=11),"ROOD",IF(AND(O9&gt;=11,N9&lt;&gt;O9),"GROEN","")),"")</f>
        <v>GROEN</v>
      </c>
      <c r="Q9" s="86" t="str">
        <f t="shared" si="0"/>
        <v>Matthijs</v>
      </c>
      <c r="R9" s="87" t="str">
        <f t="shared" si="1"/>
        <v>Louis</v>
      </c>
      <c r="S9" t="str">
        <f>Tabel15[[#This Row],[Rood Verdediging]]&amp;Tabel15[[#This Row],[Rood Aanval]]</f>
        <v>KarelStef D</v>
      </c>
      <c r="T9" t="str">
        <f>Tabel15[[#This Row],[Groen Verdediging]]&amp;Tabel15[[#This Row],[Groen Aanval]]</f>
        <v>MatthijsLouis</v>
      </c>
      <c r="U9" t="str">
        <f>Tabel15[[#This Row],[Winnaar 1]]&amp;Tabel15[[#This Row],[Winnaar 2]]</f>
        <v>MatthijsLouis</v>
      </c>
      <c r="V9" s="147" t="b">
        <f>IF(Tabel15[[#This Row],[Team Rood]]=Tabel15[[#This Row],[Winnaars]],Tabel15[[#This Row],[Team Rood]])</f>
        <v>0</v>
      </c>
      <c r="W9" s="147" t="str">
        <f>IF(Tabel15[[#This Row],[Team Groen]]=Tabel15[[#This Row],[Winnaars]],Tabel15[[#This Row],[Team Groen]])</f>
        <v>MatthijsLouis</v>
      </c>
      <c r="X9" s="283">
        <v>-15.309931046588716</v>
      </c>
      <c r="Y9" s="283">
        <v>-17.831531579480675</v>
      </c>
      <c r="Z9" s="283">
        <v>50.703547314800687</v>
      </c>
      <c r="AA9" s="283">
        <v>57.150454860550653</v>
      </c>
      <c r="AB9" s="91" t="s">
        <v>163</v>
      </c>
      <c r="AC9" s="180">
        <f t="shared" ca="1" si="2"/>
        <v>12</v>
      </c>
      <c r="AD9" s="180">
        <f t="shared" ca="1" si="3"/>
        <v>118</v>
      </c>
      <c r="AE9" s="179">
        <f t="shared" ca="1" si="4"/>
        <v>17</v>
      </c>
      <c r="AF9" s="179">
        <f t="shared" ca="1" si="5"/>
        <v>98</v>
      </c>
      <c r="AG9" s="308">
        <f t="shared" ca="1" si="7"/>
        <v>130</v>
      </c>
      <c r="AH9" s="308">
        <f t="shared" ca="1" si="8"/>
        <v>115</v>
      </c>
      <c r="AI9" s="308">
        <f t="shared" ca="1" si="9"/>
        <v>245</v>
      </c>
      <c r="AL9" s="251" t="s">
        <v>158</v>
      </c>
      <c r="AM9" s="233" t="s">
        <v>170</v>
      </c>
      <c r="AN9" s="140" t="str">
        <f t="shared" si="6"/>
        <v>Arno*Nico*</v>
      </c>
      <c r="AO9" s="160">
        <f>IF(Tabel5[[#This Row],[Aantal Games Rood]]=0,0,(Tabel5[[#This Row],[Wins Rood]])/Tabel5[[#This Row],[Aantal Games Rood]])</f>
        <v>0</v>
      </c>
      <c r="AP9" s="159">
        <f>IF(Tabel5[[#This Row],[Aantal Games Groen]]=0,0,(Tabel5[[#This Row],[Wins Groen]])/Tabel5[[#This Row],[Aantal Games Groen]])</f>
        <v>0</v>
      </c>
      <c r="AQ9" s="156">
        <f>IF(Tabel5[[#This Row],[Aantal games Alg]]=0,0,(Tabel5[[#This Row],[Wins Alg]])/Tabel5[[#This Row],[Aantal games Alg]])</f>
        <v>0</v>
      </c>
      <c r="AR9" s="171">
        <f>COUNTIF(Tabel15[Winaar rood],Tabel5[[#This Row],[Team]])</f>
        <v>0</v>
      </c>
      <c r="AS9" s="169">
        <f>COUNTIF(Tabel15[Winnaar Groen],Tabel5[[#This Row],[Team]])</f>
        <v>0</v>
      </c>
      <c r="AT9" s="170">
        <f>COUNTIF(Tabel15[Winnaars],Tabel5[[#This Row],[Team]])</f>
        <v>0</v>
      </c>
      <c r="AU9" s="163">
        <f>Tabel5[[#This Row],[Aantal Games Rood]]-Tabel5[[#This Row],[Wins Rood]]</f>
        <v>0</v>
      </c>
      <c r="AV9" s="169">
        <f>Tabel5[[#This Row],[Aantal Games Groen]]-Tabel5[[#This Row],[Wins Groen]]</f>
        <v>0</v>
      </c>
      <c r="AW9" s="165">
        <f>Tabel5[[#This Row],[Aantal games Alg]]-Tabel5[[#This Row],[Wins Alg]]</f>
        <v>0</v>
      </c>
      <c r="AX9" s="171">
        <f>COUNTIF(Tabel15[Team Rood],Tabel5[[#This Row],[Team]])</f>
        <v>0</v>
      </c>
      <c r="AY9" s="169">
        <f>COUNTIF(Tabel15[Team Groen],Tabel5[[#This Row],[Team]])</f>
        <v>0</v>
      </c>
      <c r="AZ9" s="170">
        <f>Tabel5[[#This Row],[Aantal Games Rood]]+Tabel5[[#This Row],[Aantal Games Groen]]</f>
        <v>0</v>
      </c>
      <c r="BA9" s="171">
        <f>SUMIF(Tabel15[Team Rood],Tabel5[[#This Row],[Team]],Tabel15[Score])</f>
        <v>0</v>
      </c>
      <c r="BB9" s="171">
        <f>SUMIF(Tabel15[Team Rood],Tabel5[[#This Row],[Team]],Tabel15[Score2])</f>
        <v>0</v>
      </c>
      <c r="BC9" s="136">
        <f>SUMIF(Tabel15[Team Groen],Tabel5[[#This Row],[Team]],Tabel15[Score3])</f>
        <v>0</v>
      </c>
      <c r="BD9" s="169">
        <f>SUMIF(Tabel15[Team Groen],Tabel5[[#This Row],[Team]],Tabel15[Score4])</f>
        <v>0</v>
      </c>
      <c r="BE9" s="172">
        <f>SUM(Tabel5[[#This Row],[Goals Verdediger]]+Tabel5[[#This Row],[Goals DefG]])</f>
        <v>0</v>
      </c>
      <c r="BF9" s="170">
        <f>IF(Tabel5[[#This Row],[Aantal games Alg]]=0,0,Tabel5[[#This Row],[Goals DefA]]/Tabel5[[#This Row],[Aantal games Alg]])</f>
        <v>0</v>
      </c>
      <c r="BG9" s="172">
        <f>SUM(Tabel5[[#This Row],[Goals Aanvaller]]+Tabel5[[#This Row],[Goals OffG]])</f>
        <v>0</v>
      </c>
      <c r="BH9" s="170">
        <f>IF(Tabel5[[#This Row],[Aantal games Alg]]=0,0,Tabel5[[#This Row],[Goals OffA]]/Tabel5[[#This Row],[Aantal games Alg]])</f>
        <v>0</v>
      </c>
      <c r="BI9" s="170">
        <f>Tabel5[[#This Row],[Goals DefA]]+Tabel5[[#This Row],[Goals OffA]]</f>
        <v>0</v>
      </c>
      <c r="BJ9" s="170">
        <f>IF(Tabel5[[#This Row],[Aantal games Alg]]=0,0,Tabel5[[#This Row],[Goals Alg]]/Tabel5[[#This Row],[Aantal games Alg]])</f>
        <v>0</v>
      </c>
      <c r="BK9" s="148">
        <f>SUMIF(Tabel15[Team Rood],Tabel5[[#This Row],[Team]],Tabel15[ET])</f>
        <v>0</v>
      </c>
      <c r="BL9" s="150">
        <f>SUMIF(Tabel15[Team Groen],Tabel5[[#This Row],[Team]],Tabel15[ET])</f>
        <v>0</v>
      </c>
      <c r="BM9" s="153">
        <f>SUM(Tabel5[[#This Row],[ET Groen tot]],Tabel5[[#This Row],[ET Rood tot]])</f>
        <v>0</v>
      </c>
      <c r="BN9" s="155">
        <f>IF(Tabel5[[#This Row],[Aantal games Alg]]=0,0,Tabel5[[#This Row],[ET tot]]/Tabel5[[#This Row],[Aantal games Alg]])</f>
        <v>0</v>
      </c>
    </row>
    <row r="10" spans="1:66" x14ac:dyDescent="0.25">
      <c r="A10" s="215"/>
      <c r="B10" s="128"/>
      <c r="C10" s="126"/>
      <c r="D10" s="217"/>
      <c r="E10" s="74">
        <v>9</v>
      </c>
      <c r="F10" s="207" t="s">
        <v>7</v>
      </c>
      <c r="G10" s="201">
        <v>3</v>
      </c>
      <c r="H10" s="207" t="s">
        <v>3</v>
      </c>
      <c r="I10" s="201">
        <v>6</v>
      </c>
      <c r="J10" s="204" t="s">
        <v>0</v>
      </c>
      <c r="K10" s="202">
        <v>2</v>
      </c>
      <c r="L10" s="204" t="s">
        <v>6</v>
      </c>
      <c r="M10" s="202">
        <v>9</v>
      </c>
      <c r="N10" s="81">
        <v>9</v>
      </c>
      <c r="O10" s="82">
        <v>11</v>
      </c>
      <c r="P1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Row],[Score4]]&lt;&gt;""),IF(AND(N10&gt;O10,N10&gt;=11),"ROOD",IF(AND(O10&gt;=11,N10&lt;&gt;O10),"GROEN","")),"")</f>
        <v>GROEN</v>
      </c>
      <c r="Q10" s="86" t="str">
        <f t="shared" si="0"/>
        <v>Jonas</v>
      </c>
      <c r="R10" s="87" t="str">
        <f t="shared" si="1"/>
        <v>Stef D</v>
      </c>
      <c r="S10" t="str">
        <f>Tabel15[[#This Row],[Rood Verdediging]]&amp;Tabel15[[#This Row],[Rood Aanval]]</f>
        <v>TiemenKarel</v>
      </c>
      <c r="T10" t="str">
        <f>Tabel15[[#This Row],[Groen Verdediging]]&amp;Tabel15[[#This Row],[Groen Aanval]]</f>
        <v>JonasStef D</v>
      </c>
      <c r="U10" t="str">
        <f>Tabel15[[#This Row],[Winnaar 1]]&amp;Tabel15[[#This Row],[Winnaar 2]]</f>
        <v>JonasStef D</v>
      </c>
      <c r="V10" s="147" t="b">
        <f>IF(Tabel15[[#This Row],[Team Rood]]=Tabel15[[#This Row],[Winnaars]],Tabel15[[#This Row],[Team Rood]])</f>
        <v>0</v>
      </c>
      <c r="W10" s="147" t="str">
        <f>IF(Tabel15[[#This Row],[Team Groen]]=Tabel15[[#This Row],[Winnaars]],Tabel15[[#This Row],[Team Groen]])</f>
        <v>JonasStef D</v>
      </c>
      <c r="X10" s="283">
        <v>-0.66169496287034768</v>
      </c>
      <c r="Y10" s="283">
        <v>-0.70951562659008105</v>
      </c>
      <c r="Z10" s="283">
        <v>19.871830083751483</v>
      </c>
      <c r="AA10" s="283">
        <v>15.960517276429865</v>
      </c>
      <c r="AB10" s="91" t="s">
        <v>166</v>
      </c>
      <c r="AC10" s="180">
        <f t="shared" ca="1" si="2"/>
        <v>0</v>
      </c>
      <c r="AD10" s="180">
        <f t="shared" ca="1" si="3"/>
        <v>0</v>
      </c>
      <c r="AE10" s="179">
        <f t="shared" ca="1" si="4"/>
        <v>0</v>
      </c>
      <c r="AF10" s="179">
        <f t="shared" ca="1" si="5"/>
        <v>0</v>
      </c>
      <c r="AG10" s="308">
        <f t="shared" ca="1" si="7"/>
        <v>0</v>
      </c>
      <c r="AH10" s="308">
        <f t="shared" ca="1" si="8"/>
        <v>0</v>
      </c>
      <c r="AI10" s="308">
        <f t="shared" ca="1" si="9"/>
        <v>0</v>
      </c>
      <c r="AL10" s="251" t="s">
        <v>158</v>
      </c>
      <c r="AM10" s="233" t="s">
        <v>169</v>
      </c>
      <c r="AN10" s="140" t="str">
        <f t="shared" si="6"/>
        <v>Arno*Stef*</v>
      </c>
      <c r="AO10" s="160">
        <f>IF(Tabel5[[#This Row],[Aantal Games Rood]]=0,0,(Tabel5[[#This Row],[Wins Rood]])/Tabel5[[#This Row],[Aantal Games Rood]])</f>
        <v>1</v>
      </c>
      <c r="AP10" s="159">
        <f>IF(Tabel5[[#This Row],[Aantal Games Groen]]=0,0,(Tabel5[[#This Row],[Wins Groen]])/Tabel5[[#This Row],[Aantal Games Groen]])</f>
        <v>0</v>
      </c>
      <c r="AQ10" s="156">
        <f>IF(Tabel5[[#This Row],[Aantal games Alg]]=0,0,(Tabel5[[#This Row],[Wins Alg]])/Tabel5[[#This Row],[Aantal games Alg]])</f>
        <v>1</v>
      </c>
      <c r="AR10" s="138">
        <f>COUNTIF(Tabel15[Winaar rood],Tabel5[[#This Row],[Team]])</f>
        <v>1</v>
      </c>
      <c r="AS10" s="134">
        <f>COUNTIF(Tabel15[Winnaar Groen],Tabel5[[#This Row],[Team]])</f>
        <v>0</v>
      </c>
      <c r="AT10">
        <f>COUNTIF(Tabel15[Winnaars],Tabel5[[#This Row],[Team]])</f>
        <v>1</v>
      </c>
      <c r="AU10" s="135">
        <f>Tabel5[[#This Row],[Aantal Games Rood]]-Tabel5[[#This Row],[Wins Rood]]</f>
        <v>0</v>
      </c>
      <c r="AV10" s="136">
        <f>Tabel5[[#This Row],[Aantal Games Groen]]-Tabel5[[#This Row],[Wins Groen]]</f>
        <v>0</v>
      </c>
      <c r="AW10" s="137">
        <f>Tabel5[[#This Row],[Aantal games Alg]]-Tabel5[[#This Row],[Wins Alg]]</f>
        <v>0</v>
      </c>
      <c r="AX10" s="138">
        <f>COUNTIF(Tabel15[Team Rood],Tabel5[[#This Row],[Team]])</f>
        <v>1</v>
      </c>
      <c r="AY10" s="136">
        <f>COUNTIF(Tabel15[Team Groen],Tabel5[[#This Row],[Team]])</f>
        <v>0</v>
      </c>
      <c r="AZ10" s="112">
        <f>Tabel5[[#This Row],[Aantal Games Rood]]+Tabel5[[#This Row],[Aantal Games Groen]]</f>
        <v>1</v>
      </c>
      <c r="BA10" s="138">
        <f>SUMIF(Tabel15[Team Rood],Tabel5[[#This Row],[Team]],Tabel15[Score])</f>
        <v>5</v>
      </c>
      <c r="BB10" s="138">
        <f>SUMIF(Tabel15[Team Rood],Tabel5[[#This Row],[Team]],Tabel15[Score2])</f>
        <v>6</v>
      </c>
      <c r="BC10" s="134">
        <f>SUMIF(Tabel15[Team Groen],Tabel5[[#This Row],[Team]],Tabel15[Score3])</f>
        <v>0</v>
      </c>
      <c r="BD10" s="136">
        <f>SUMIF(Tabel15[Team Groen],Tabel5[[#This Row],[Team]],Tabel15[Score4])</f>
        <v>0</v>
      </c>
      <c r="BE10">
        <f>SUM(Tabel5[[#This Row],[Goals Verdediger]]+Tabel5[[#This Row],[Goals DefG]])</f>
        <v>5</v>
      </c>
      <c r="BF10">
        <f>IF(Tabel5[[#This Row],[Aantal games Alg]]=0,0,Tabel5[[#This Row],[Goals DefA]]/Tabel5[[#This Row],[Aantal games Alg]])</f>
        <v>5</v>
      </c>
      <c r="BG10">
        <f>SUM(Tabel5[[#This Row],[Goals Aanvaller]]+Tabel5[[#This Row],[Goals OffG]])</f>
        <v>6</v>
      </c>
      <c r="BH10">
        <f>IF(Tabel5[[#This Row],[Aantal games Alg]]=0,0,Tabel5[[#This Row],[Goals OffA]]/Tabel5[[#This Row],[Aantal games Alg]])</f>
        <v>6</v>
      </c>
      <c r="BI10" s="112">
        <f>Tabel5[[#This Row],[Goals DefA]]+Tabel5[[#This Row],[Goals OffA]]</f>
        <v>11</v>
      </c>
      <c r="BJ10" s="112">
        <f>IF(Tabel5[[#This Row],[Aantal games Alg]]=0,0,Tabel5[[#This Row],[Goals Alg]]/Tabel5[[#This Row],[Aantal games Alg]])</f>
        <v>11</v>
      </c>
      <c r="BK10" s="148">
        <f>SUMIF(Tabel15[Team Rood],Tabel5[[#This Row],[Team]],Tabel15[ET])</f>
        <v>0</v>
      </c>
      <c r="BL10" s="150">
        <f>SUMIF(Tabel15[Team Groen],Tabel5[[#This Row],[Team]],Tabel15[ET])</f>
        <v>0</v>
      </c>
      <c r="BM10" s="153">
        <f>SUM(Tabel5[[#This Row],[ET Groen tot]],Tabel5[[#This Row],[ET Rood tot]])</f>
        <v>0</v>
      </c>
      <c r="BN10" s="155">
        <f>IF(Tabel5[[#This Row],[Aantal games Alg]]=0,0,Tabel5[[#This Row],[ET tot]]/Tabel5[[#This Row],[Aantal games Alg]])</f>
        <v>0</v>
      </c>
    </row>
    <row r="11" spans="1:66" x14ac:dyDescent="0.25">
      <c r="A11" s="215"/>
      <c r="B11" s="128"/>
      <c r="C11" s="126"/>
      <c r="D11" s="217"/>
      <c r="E11" s="74">
        <v>10</v>
      </c>
      <c r="F11" s="207" t="s">
        <v>3</v>
      </c>
      <c r="G11" s="201">
        <v>5</v>
      </c>
      <c r="H11" s="207" t="s">
        <v>6</v>
      </c>
      <c r="I11" s="201">
        <v>6</v>
      </c>
      <c r="J11" s="204" t="s">
        <v>11</v>
      </c>
      <c r="K11" s="202">
        <v>2</v>
      </c>
      <c r="L11" s="204" t="s">
        <v>19</v>
      </c>
      <c r="M11" s="202">
        <v>2</v>
      </c>
      <c r="N11" s="81">
        <v>11</v>
      </c>
      <c r="O11" s="82">
        <v>4</v>
      </c>
      <c r="P1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Row],[Score4]]&lt;&gt;""),IF(AND(N11&gt;O11,N11&gt;=11),"ROOD",IF(AND(O11&gt;=11,N11&lt;&gt;O11),"GROEN","")),"")</f>
        <v>ROOD</v>
      </c>
      <c r="Q11" s="86" t="str">
        <f t="shared" si="0"/>
        <v>Karel</v>
      </c>
      <c r="R11" s="87" t="str">
        <f t="shared" si="1"/>
        <v>Stef D</v>
      </c>
      <c r="S11" t="str">
        <f>Tabel15[[#This Row],[Rood Verdediging]]&amp;Tabel15[[#This Row],[Rood Aanval]]</f>
        <v>KarelStef D</v>
      </c>
      <c r="T11" t="str">
        <f>Tabel15[[#This Row],[Groen Verdediging]]&amp;Tabel15[[#This Row],[Groen Aanval]]</f>
        <v>MatthijsNicolas</v>
      </c>
      <c r="U11" t="str">
        <f>Tabel15[[#This Row],[Winnaar 1]]&amp;Tabel15[[#This Row],[Winnaar 2]]</f>
        <v>KarelStef D</v>
      </c>
      <c r="V11" s="147" t="str">
        <f>IF(Tabel15[[#This Row],[Team Rood]]=Tabel15[[#This Row],[Winnaars]],Tabel15[[#This Row],[Team Rood]])</f>
        <v>KarelStef D</v>
      </c>
      <c r="W11" s="147" t="b">
        <f>IF(Tabel15[[#This Row],[Team Groen]]=Tabel15[[#This Row],[Winnaars]],Tabel15[[#This Row],[Team Groen]])</f>
        <v>0</v>
      </c>
      <c r="X11" s="283">
        <v>5.0827363589400569</v>
      </c>
      <c r="Y11" s="283">
        <v>4.1748357253837831</v>
      </c>
      <c r="Z11" s="283">
        <v>7.3550447256227258</v>
      </c>
      <c r="AA11" s="283">
        <v>8.8131286317898372</v>
      </c>
      <c r="AB11" s="91" t="s">
        <v>171</v>
      </c>
      <c r="AC11" s="180">
        <f t="shared" ca="1" si="2"/>
        <v>0</v>
      </c>
      <c r="AD11" s="180">
        <f t="shared" ca="1" si="3"/>
        <v>0</v>
      </c>
      <c r="AE11" s="179">
        <f t="shared" ca="1" si="4"/>
        <v>0</v>
      </c>
      <c r="AF11" s="179">
        <f t="shared" ca="1" si="5"/>
        <v>0</v>
      </c>
      <c r="AG11" s="308">
        <f t="shared" ca="1" si="7"/>
        <v>0</v>
      </c>
      <c r="AH11" s="308">
        <f t="shared" ca="1" si="8"/>
        <v>0</v>
      </c>
      <c r="AI11" s="308">
        <f t="shared" ca="1" si="9"/>
        <v>0</v>
      </c>
      <c r="AL11" s="251" t="s">
        <v>158</v>
      </c>
      <c r="AM11" s="233" t="s">
        <v>166</v>
      </c>
      <c r="AN11" s="140" t="str">
        <f t="shared" si="6"/>
        <v>Arno*Stijn*</v>
      </c>
      <c r="AO11" s="160">
        <f>IF(Tabel5[[#This Row],[Aantal Games Rood]]=0,0,(Tabel5[[#This Row],[Wins Rood]])/Tabel5[[#This Row],[Aantal Games Rood]])</f>
        <v>0</v>
      </c>
      <c r="AP11" s="159">
        <f>IF(Tabel5[[#This Row],[Aantal Games Groen]]=0,0,(Tabel5[[#This Row],[Wins Groen]])/Tabel5[[#This Row],[Aantal Games Groen]])</f>
        <v>0</v>
      </c>
      <c r="AQ11" s="156">
        <f>IF(Tabel5[[#This Row],[Aantal games Alg]]=0,0,(Tabel5[[#This Row],[Wins Alg]])/Tabel5[[#This Row],[Aantal games Alg]])</f>
        <v>0</v>
      </c>
      <c r="AR11" s="133">
        <f>COUNTIF(Tabel15[Winaar rood],Tabel5[[#This Row],[Team]])</f>
        <v>0</v>
      </c>
      <c r="AS11" s="134">
        <f>COUNTIF(Tabel15[Winnaar Groen],Tabel5[[#This Row],[Team]])</f>
        <v>0</v>
      </c>
      <c r="AT11">
        <f>COUNTIF(Tabel15[Winnaars],Tabel5[[#This Row],[Team]])</f>
        <v>0</v>
      </c>
      <c r="AU11" s="135">
        <f>Tabel5[[#This Row],[Aantal Games Rood]]-Tabel5[[#This Row],[Wins Rood]]</f>
        <v>0</v>
      </c>
      <c r="AV11" s="136">
        <f>Tabel5[[#This Row],[Aantal Games Groen]]-Tabel5[[#This Row],[Wins Groen]]</f>
        <v>0</v>
      </c>
      <c r="AW11" s="137">
        <f>Tabel5[[#This Row],[Aantal games Alg]]-Tabel5[[#This Row],[Wins Alg]]</f>
        <v>0</v>
      </c>
      <c r="AX11" s="138">
        <f>COUNTIF(Tabel15[Team Rood],Tabel5[[#This Row],[Team]])</f>
        <v>0</v>
      </c>
      <c r="AY11" s="136">
        <f>COUNTIF(Tabel15[Team Groen],Tabel5[[#This Row],[Team]])</f>
        <v>0</v>
      </c>
      <c r="AZ11" s="112">
        <f>Tabel5[[#This Row],[Aantal Games Rood]]+Tabel5[[#This Row],[Aantal Games Groen]]</f>
        <v>0</v>
      </c>
      <c r="BA11" s="138">
        <f>SUMIF(Tabel15[Team Rood],Tabel5[[#This Row],[Team]],Tabel15[Score])</f>
        <v>0</v>
      </c>
      <c r="BB11" s="138">
        <f>SUMIF(Tabel15[Team Rood],Tabel5[[#This Row],[Team]],Tabel15[Score2])</f>
        <v>0</v>
      </c>
      <c r="BC11" s="134">
        <f>SUMIF(Tabel15[Team Groen],Tabel5[[#This Row],[Team]],Tabel15[Score3])</f>
        <v>0</v>
      </c>
      <c r="BD11" s="136">
        <f>SUMIF(Tabel15[Team Groen],Tabel5[[#This Row],[Team]],Tabel15[Score4])</f>
        <v>0</v>
      </c>
      <c r="BE11">
        <f>SUM(Tabel5[[#This Row],[Goals Verdediger]]+Tabel5[[#This Row],[Goals DefG]])</f>
        <v>0</v>
      </c>
      <c r="BF11">
        <f>IF(Tabel5[[#This Row],[Aantal games Alg]]=0,0,Tabel5[[#This Row],[Goals DefA]]/Tabel5[[#This Row],[Aantal games Alg]])</f>
        <v>0</v>
      </c>
      <c r="BG11">
        <f>SUM(Tabel5[[#This Row],[Goals Aanvaller]]+Tabel5[[#This Row],[Goals OffG]])</f>
        <v>0</v>
      </c>
      <c r="BH11">
        <f>IF(Tabel5[[#This Row],[Aantal games Alg]]=0,0,Tabel5[[#This Row],[Goals OffA]]/Tabel5[[#This Row],[Aantal games Alg]])</f>
        <v>0</v>
      </c>
      <c r="BI11" s="112">
        <f>Tabel5[[#This Row],[Goals DefA]]+Tabel5[[#This Row],[Goals OffA]]</f>
        <v>0</v>
      </c>
      <c r="BJ11" s="112">
        <f>IF(Tabel5[[#This Row],[Aantal games Alg]]=0,0,Tabel5[[#This Row],[Goals Alg]]/Tabel5[[#This Row],[Aantal games Alg]])</f>
        <v>0</v>
      </c>
      <c r="BK11" s="148">
        <f>SUMIF(Tabel15[Team Rood],Tabel5[[#This Row],[Team]],Tabel15[ET])</f>
        <v>0</v>
      </c>
      <c r="BL11" s="150">
        <f>SUMIF(Tabel15[Team Groen],Tabel5[[#This Row],[Team]],Tabel15[ET])</f>
        <v>0</v>
      </c>
      <c r="BM11" s="153">
        <f>SUM(Tabel5[[#This Row],[ET Groen tot]],Tabel5[[#This Row],[ET Rood tot]])</f>
        <v>0</v>
      </c>
      <c r="BN11" s="155">
        <f>IF(Tabel5[[#This Row],[Aantal games Alg]]=0,0,Tabel5[[#This Row],[ET tot]]/Tabel5[[#This Row],[Aantal games Alg]])</f>
        <v>0</v>
      </c>
    </row>
    <row r="12" spans="1:66" x14ac:dyDescent="0.25">
      <c r="A12" s="215"/>
      <c r="B12" s="128"/>
      <c r="C12" s="126"/>
      <c r="D12" s="217"/>
      <c r="E12" s="74">
        <v>11</v>
      </c>
      <c r="F12" s="207" t="s">
        <v>0</v>
      </c>
      <c r="G12" s="201">
        <v>5</v>
      </c>
      <c r="H12" s="207" t="s">
        <v>6</v>
      </c>
      <c r="I12" s="201">
        <v>6</v>
      </c>
      <c r="J12" s="204" t="s">
        <v>3</v>
      </c>
      <c r="K12" s="202">
        <v>3</v>
      </c>
      <c r="L12" s="204" t="s">
        <v>11</v>
      </c>
      <c r="M12" s="202">
        <v>6</v>
      </c>
      <c r="N12" s="81">
        <v>11</v>
      </c>
      <c r="O12" s="82">
        <v>9</v>
      </c>
      <c r="P1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Row],[Score4]]&lt;&gt;""),IF(AND(N12&gt;O12,N12&gt;=11),"ROOD",IF(AND(O12&gt;=11,N12&lt;&gt;O12),"GROEN","")),"")</f>
        <v>ROOD</v>
      </c>
      <c r="Q12" s="86" t="str">
        <f t="shared" si="0"/>
        <v>Jonas</v>
      </c>
      <c r="R12" s="87" t="str">
        <f t="shared" si="1"/>
        <v>Stef D</v>
      </c>
      <c r="S12" t="str">
        <f>Tabel15[[#This Row],[Rood Verdediging]]&amp;Tabel15[[#This Row],[Rood Aanval]]</f>
        <v>JonasStef D</v>
      </c>
      <c r="T12" t="str">
        <f>Tabel15[[#This Row],[Groen Verdediging]]&amp;Tabel15[[#This Row],[Groen Aanval]]</f>
        <v>KarelMatthijs</v>
      </c>
      <c r="U12" t="str">
        <f>Tabel15[[#This Row],[Winnaar 1]]&amp;Tabel15[[#This Row],[Winnaar 2]]</f>
        <v>JonasStef D</v>
      </c>
      <c r="V12" s="147" t="str">
        <f>IF(Tabel15[[#This Row],[Team Rood]]=Tabel15[[#This Row],[Winnaars]],Tabel15[[#This Row],[Team Rood]])</f>
        <v>JonasStef D</v>
      </c>
      <c r="W12" s="147" t="b">
        <f>IF(Tabel15[[#This Row],[Team Groen]]=Tabel15[[#This Row],[Winnaars]],Tabel15[[#This Row],[Team Groen]])</f>
        <v>0</v>
      </c>
      <c r="X12" s="283">
        <v>8.3981338860829418</v>
      </c>
      <c r="Y12" s="283">
        <v>7.0876189957006419</v>
      </c>
      <c r="Z12" s="283">
        <v>4.6987966529167773</v>
      </c>
      <c r="AA12" s="283">
        <v>5.5968156123773127</v>
      </c>
      <c r="AB12" s="132" t="s">
        <v>157</v>
      </c>
      <c r="AC12" s="175">
        <f t="shared" ca="1" si="2"/>
        <v>0</v>
      </c>
      <c r="AD12" s="175">
        <f t="shared" ca="1" si="3"/>
        <v>0</v>
      </c>
      <c r="AE12" s="176">
        <f t="shared" ca="1" si="4"/>
        <v>0</v>
      </c>
      <c r="AF12" s="176">
        <f t="shared" ca="1" si="5"/>
        <v>0</v>
      </c>
      <c r="AG12" s="308">
        <f t="shared" ca="1" si="7"/>
        <v>0</v>
      </c>
      <c r="AH12" s="308">
        <f t="shared" ca="1" si="8"/>
        <v>0</v>
      </c>
      <c r="AI12" s="308">
        <f t="shared" ca="1" si="9"/>
        <v>0</v>
      </c>
      <c r="AL12" s="251" t="s">
        <v>158</v>
      </c>
      <c r="AM12" s="233" t="s">
        <v>160</v>
      </c>
      <c r="AN12" s="140" t="str">
        <f t="shared" si="6"/>
        <v>Arno*Tiemen*</v>
      </c>
      <c r="AO12" s="160">
        <f>IF(Tabel5[[#This Row],[Aantal Games Rood]]=0,0,(Tabel5[[#This Row],[Wins Rood]])/Tabel5[[#This Row],[Aantal Games Rood]])</f>
        <v>0</v>
      </c>
      <c r="AP12" s="159">
        <f>IF(Tabel5[[#This Row],[Aantal Games Groen]]=0,0,(Tabel5[[#This Row],[Wins Groen]])/Tabel5[[#This Row],[Aantal Games Groen]])</f>
        <v>0</v>
      </c>
      <c r="AQ12" s="156">
        <f>IF(Tabel5[[#This Row],[Aantal games Alg]]=0,0,(Tabel5[[#This Row],[Wins Alg]])/Tabel5[[#This Row],[Aantal games Alg]])</f>
        <v>0</v>
      </c>
      <c r="AR12" s="138">
        <f>COUNTIF(Tabel15[Winaar rood],Tabel5[[#This Row],[Team]])</f>
        <v>0</v>
      </c>
      <c r="AS12" s="134">
        <f>COUNTIF(Tabel15[Winnaar Groen],Tabel5[[#This Row],[Team]])</f>
        <v>0</v>
      </c>
      <c r="AT12" s="213">
        <f>COUNTIF(Tabel15[Winnaars],Tabel5[[#This Row],[Team]])</f>
        <v>0</v>
      </c>
      <c r="AU12" s="135">
        <f>Tabel5[[#This Row],[Aantal Games Rood]]-Tabel5[[#This Row],[Wins Rood]]</f>
        <v>0</v>
      </c>
      <c r="AV12" s="136">
        <f>Tabel5[[#This Row],[Aantal Games Groen]]-Tabel5[[#This Row],[Wins Groen]]</f>
        <v>0</v>
      </c>
      <c r="AW12" s="137">
        <f>Tabel5[[#This Row],[Aantal games Alg]]-Tabel5[[#This Row],[Wins Alg]]</f>
        <v>0</v>
      </c>
      <c r="AX12" s="138">
        <f>COUNTIF(Tabel15[Team Rood],Tabel5[[#This Row],[Team]])</f>
        <v>0</v>
      </c>
      <c r="AY12" s="136">
        <f>COUNTIF(Tabel15[Team Groen],Tabel5[[#This Row],[Team]])</f>
        <v>0</v>
      </c>
      <c r="AZ12" s="214">
        <f>Tabel5[[#This Row],[Aantal Games Rood]]+Tabel5[[#This Row],[Aantal Games Groen]]</f>
        <v>0</v>
      </c>
      <c r="BA12" s="138">
        <f>SUMIF(Tabel15[Team Rood],Tabel5[[#This Row],[Team]],Tabel15[Score])</f>
        <v>0</v>
      </c>
      <c r="BB12" s="138">
        <f>SUMIF(Tabel15[Team Rood],Tabel5[[#This Row],[Team]],Tabel15[Score2])</f>
        <v>0</v>
      </c>
      <c r="BC12" s="134">
        <f>SUMIF(Tabel15[Team Groen],Tabel5[[#This Row],[Team]],Tabel15[Score3])</f>
        <v>0</v>
      </c>
      <c r="BD12" s="136">
        <f>SUMIF(Tabel15[Team Groen],Tabel5[[#This Row],[Team]],Tabel15[Score4])</f>
        <v>0</v>
      </c>
      <c r="BE12" s="213">
        <f>SUM(Tabel5[[#This Row],[Goals Verdediger]]+Tabel5[[#This Row],[Goals DefG]])</f>
        <v>0</v>
      </c>
      <c r="BF12" s="213">
        <f>IF(Tabel5[[#This Row],[Aantal games Alg]]=0,0,Tabel5[[#This Row],[Goals DefA]]/Tabel5[[#This Row],[Aantal games Alg]])</f>
        <v>0</v>
      </c>
      <c r="BG12" s="213">
        <f>SUM(Tabel5[[#This Row],[Goals Aanvaller]]+Tabel5[[#This Row],[Goals OffG]])</f>
        <v>0</v>
      </c>
      <c r="BH12" s="213">
        <f>IF(Tabel5[[#This Row],[Aantal games Alg]]=0,0,Tabel5[[#This Row],[Goals OffA]]/Tabel5[[#This Row],[Aantal games Alg]])</f>
        <v>0</v>
      </c>
      <c r="BI12" s="214">
        <f>Tabel5[[#This Row],[Goals DefA]]+Tabel5[[#This Row],[Goals OffA]]</f>
        <v>0</v>
      </c>
      <c r="BJ12" s="214">
        <f>IF(Tabel5[[#This Row],[Aantal games Alg]]=0,0,Tabel5[[#This Row],[Goals Alg]]/Tabel5[[#This Row],[Aantal games Alg]])</f>
        <v>0</v>
      </c>
      <c r="BK12" s="148">
        <f>SUMIF(Tabel15[Team Rood],Tabel5[[#This Row],[Team]],Tabel15[ET])</f>
        <v>0</v>
      </c>
      <c r="BL12" s="150">
        <f>SUMIF(Tabel15[Team Groen],Tabel5[[#This Row],[Team]],Tabel15[ET])</f>
        <v>0</v>
      </c>
      <c r="BM12" s="153">
        <f>SUM(Tabel5[[#This Row],[ET Groen tot]],Tabel5[[#This Row],[ET Rood tot]])</f>
        <v>0</v>
      </c>
      <c r="BN12" s="155">
        <f>IF(Tabel5[[#This Row],[Aantal games Alg]]=0,0,Tabel5[[#This Row],[ET tot]]/Tabel5[[#This Row],[Aantal games Alg]])</f>
        <v>0</v>
      </c>
    </row>
    <row r="13" spans="1:66" x14ac:dyDescent="0.25">
      <c r="A13" s="215"/>
      <c r="B13" s="128"/>
      <c r="C13" s="126"/>
      <c r="D13" s="217"/>
      <c r="E13" s="74">
        <v>12</v>
      </c>
      <c r="F13" s="207" t="s">
        <v>19</v>
      </c>
      <c r="G13" s="201">
        <v>0</v>
      </c>
      <c r="H13" s="207" t="s">
        <v>3</v>
      </c>
      <c r="I13" s="201">
        <v>8</v>
      </c>
      <c r="J13" s="204" t="s">
        <v>11</v>
      </c>
      <c r="K13" s="202">
        <v>4</v>
      </c>
      <c r="L13" s="204" t="s">
        <v>0</v>
      </c>
      <c r="M13" s="202">
        <v>7</v>
      </c>
      <c r="N13" s="81">
        <v>8</v>
      </c>
      <c r="O13" s="82">
        <v>11</v>
      </c>
      <c r="P1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Row],[Score4]]&lt;&gt;""),IF(AND(N13&gt;O13,N13&gt;=11),"ROOD",IF(AND(O13&gt;=11,N13&lt;&gt;O13),"GROEN","")),"")</f>
        <v>GROEN</v>
      </c>
      <c r="Q13" s="86" t="str">
        <f t="shared" si="0"/>
        <v>Matthijs</v>
      </c>
      <c r="R13" s="87" t="str">
        <f t="shared" si="1"/>
        <v>Jonas</v>
      </c>
      <c r="S13" t="str">
        <f>Tabel15[[#This Row],[Rood Verdediging]]&amp;Tabel15[[#This Row],[Rood Aanval]]</f>
        <v>NicolasKarel</v>
      </c>
      <c r="T13" t="str">
        <f>Tabel15[[#This Row],[Groen Verdediging]]&amp;Tabel15[[#This Row],[Groen Aanval]]</f>
        <v>MatthijsJonas</v>
      </c>
      <c r="U13" t="str">
        <f>Tabel15[[#This Row],[Winnaar 1]]&amp;Tabel15[[#This Row],[Winnaar 2]]</f>
        <v>MatthijsJonas</v>
      </c>
      <c r="V13" s="147" t="b">
        <f>IF(Tabel15[[#This Row],[Team Rood]]=Tabel15[[#This Row],[Winnaars]],Tabel15[[#This Row],[Team Rood]])</f>
        <v>0</v>
      </c>
      <c r="W13" s="147" t="str">
        <f>IF(Tabel15[[#This Row],[Team Groen]]=Tabel15[[#This Row],[Winnaars]],Tabel15[[#This Row],[Team Groen]])</f>
        <v>MatthijsJonas</v>
      </c>
      <c r="X13" s="283">
        <v>-3.1824479842743769</v>
      </c>
      <c r="Y13" s="283">
        <v>-4.6382522817909857</v>
      </c>
      <c r="Z13" s="283">
        <v>28.192952428239249</v>
      </c>
      <c r="AA13" s="283">
        <v>24.537277964489526</v>
      </c>
      <c r="AB13" s="132" t="s">
        <v>158</v>
      </c>
      <c r="AC13" s="175">
        <f t="shared" ca="1" si="2"/>
        <v>9</v>
      </c>
      <c r="AD13" s="175">
        <f t="shared" ca="1" si="3"/>
        <v>17</v>
      </c>
      <c r="AE13" s="176">
        <f t="shared" ca="1" si="4"/>
        <v>5</v>
      </c>
      <c r="AF13" s="176">
        <f t="shared" ca="1" si="5"/>
        <v>10</v>
      </c>
      <c r="AG13" s="308">
        <f t="shared" ca="1" si="7"/>
        <v>26</v>
      </c>
      <c r="AH13" s="308">
        <f t="shared" ca="1" si="8"/>
        <v>15</v>
      </c>
      <c r="AI13" s="308">
        <f t="shared" ca="1" si="9"/>
        <v>41</v>
      </c>
      <c r="AL13" s="251" t="s">
        <v>158</v>
      </c>
      <c r="AM13" s="233" t="s">
        <v>157</v>
      </c>
      <c r="AN13" s="140" t="str">
        <f t="shared" si="6"/>
        <v>Arno*Tobi*</v>
      </c>
      <c r="AO13" s="160">
        <f>IF(Tabel5[[#This Row],[Aantal Games Rood]]=0,0,(Tabel5[[#This Row],[Wins Rood]])/Tabel5[[#This Row],[Aantal Games Rood]])</f>
        <v>0</v>
      </c>
      <c r="AP13" s="159">
        <f>IF(Tabel5[[#This Row],[Aantal Games Groen]]=0,0,(Tabel5[[#This Row],[Wins Groen]])/Tabel5[[#This Row],[Aantal Games Groen]])</f>
        <v>0</v>
      </c>
      <c r="AQ13" s="156">
        <f>IF(Tabel5[[#This Row],[Aantal games Alg]]=0,0,(Tabel5[[#This Row],[Wins Alg]])/Tabel5[[#This Row],[Aantal games Alg]])</f>
        <v>0</v>
      </c>
      <c r="AR13" s="133">
        <f>COUNTIF(Tabel15[Winaar rood],Tabel5[[#This Row],[Team]])</f>
        <v>0</v>
      </c>
      <c r="AS13" s="134">
        <f>COUNTIF(Tabel15[Winnaar Groen],Tabel5[[#This Row],[Team]])</f>
        <v>0</v>
      </c>
      <c r="AT13">
        <f>COUNTIF(Tabel15[Winnaars],Tabel5[[#This Row],[Team]])</f>
        <v>0</v>
      </c>
      <c r="AU13" s="135">
        <f>Tabel5[[#This Row],[Aantal Games Rood]]-Tabel5[[#This Row],[Wins Rood]]</f>
        <v>0</v>
      </c>
      <c r="AV13" s="136">
        <f>Tabel5[[#This Row],[Aantal Games Groen]]-Tabel5[[#This Row],[Wins Groen]]</f>
        <v>0</v>
      </c>
      <c r="AW13" s="137">
        <f>Tabel5[[#This Row],[Aantal games Alg]]-Tabel5[[#This Row],[Wins Alg]]</f>
        <v>0</v>
      </c>
      <c r="AX13" s="138">
        <f>COUNTIF(Tabel15[Team Rood],Tabel5[[#This Row],[Team]])</f>
        <v>0</v>
      </c>
      <c r="AY13" s="136">
        <f>COUNTIF(Tabel15[Team Groen],Tabel5[[#This Row],[Team]])</f>
        <v>0</v>
      </c>
      <c r="AZ13" s="112">
        <f>Tabel5[[#This Row],[Aantal Games Rood]]+Tabel5[[#This Row],[Aantal Games Groen]]</f>
        <v>0</v>
      </c>
      <c r="BA13" s="138">
        <f>SUMIF(Tabel15[Team Rood],Tabel5[[#This Row],[Team]],Tabel15[Score])</f>
        <v>0</v>
      </c>
      <c r="BB13" s="138">
        <f>SUMIF(Tabel15[Team Rood],Tabel5[[#This Row],[Team]],Tabel15[Score2])</f>
        <v>0</v>
      </c>
      <c r="BC13" s="134">
        <f>SUMIF(Tabel15[Team Groen],Tabel5[[#This Row],[Team]],Tabel15[Score3])</f>
        <v>0</v>
      </c>
      <c r="BD13" s="136">
        <f>SUMIF(Tabel15[Team Groen],Tabel5[[#This Row],[Team]],Tabel15[Score4])</f>
        <v>0</v>
      </c>
      <c r="BE13">
        <f>SUM(Tabel5[[#This Row],[Goals Verdediger]]+Tabel5[[#This Row],[Goals DefG]])</f>
        <v>0</v>
      </c>
      <c r="BF13">
        <f>IF(Tabel5[[#This Row],[Aantal games Alg]]=0,0,Tabel5[[#This Row],[Goals DefA]]/Tabel5[[#This Row],[Aantal games Alg]])</f>
        <v>0</v>
      </c>
      <c r="BG13">
        <f>SUM(Tabel5[[#This Row],[Goals Aanvaller]]+Tabel5[[#This Row],[Goals OffG]])</f>
        <v>0</v>
      </c>
      <c r="BH13">
        <f>IF(Tabel5[[#This Row],[Aantal games Alg]]=0,0,Tabel5[[#This Row],[Goals OffA]]/Tabel5[[#This Row],[Aantal games Alg]])</f>
        <v>0</v>
      </c>
      <c r="BI13" s="112">
        <f>Tabel5[[#This Row],[Goals DefA]]+Tabel5[[#This Row],[Goals OffA]]</f>
        <v>0</v>
      </c>
      <c r="BJ13" s="112">
        <f>IF(Tabel5[[#This Row],[Aantal games Alg]]=0,0,Tabel5[[#This Row],[Goals Alg]]/Tabel5[[#This Row],[Aantal games Alg]])</f>
        <v>0</v>
      </c>
      <c r="BK13" s="148">
        <f>SUMIF(Tabel15[Team Rood],Tabel5[[#This Row],[Team]],Tabel15[ET])</f>
        <v>0</v>
      </c>
      <c r="BL13" s="150">
        <f>SUMIF(Tabel15[Team Groen],Tabel5[[#This Row],[Team]],Tabel15[ET])</f>
        <v>0</v>
      </c>
      <c r="BM13" s="153">
        <f>SUM(Tabel5[[#This Row],[ET Groen tot]],Tabel5[[#This Row],[ET Rood tot]])</f>
        <v>0</v>
      </c>
      <c r="BN13" s="155">
        <f>IF(Tabel5[[#This Row],[Aantal games Alg]]=0,0,Tabel5[[#This Row],[ET tot]]/Tabel5[[#This Row],[Aantal games Alg]])</f>
        <v>0</v>
      </c>
    </row>
    <row r="14" spans="1:66" x14ac:dyDescent="0.25">
      <c r="A14" s="215"/>
      <c r="B14" s="128"/>
      <c r="C14" s="126"/>
      <c r="D14" s="217"/>
      <c r="E14" s="74">
        <v>13</v>
      </c>
      <c r="F14" s="207" t="s">
        <v>0</v>
      </c>
      <c r="G14" s="201">
        <v>3</v>
      </c>
      <c r="H14" s="207" t="s">
        <v>3</v>
      </c>
      <c r="I14" s="201">
        <v>8</v>
      </c>
      <c r="J14" s="204" t="s">
        <v>19</v>
      </c>
      <c r="K14" s="202">
        <v>2</v>
      </c>
      <c r="L14" s="204" t="s">
        <v>6</v>
      </c>
      <c r="M14" s="202">
        <v>7</v>
      </c>
      <c r="N14" s="81">
        <v>11</v>
      </c>
      <c r="O14" s="82">
        <v>9</v>
      </c>
      <c r="P1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Row],[Score4]]&lt;&gt;""),IF(AND(N14&gt;O14,N14&gt;=11),"ROOD",IF(AND(O14&gt;=11,N14&lt;&gt;O14),"GROEN","")),"")</f>
        <v>ROOD</v>
      </c>
      <c r="Q14" s="86" t="str">
        <f t="shared" si="0"/>
        <v>Jonas</v>
      </c>
      <c r="R14" s="87" t="str">
        <f t="shared" si="1"/>
        <v>Karel</v>
      </c>
      <c r="S14" t="str">
        <f>Tabel15[[#This Row],[Rood Verdediging]]&amp;Tabel15[[#This Row],[Rood Aanval]]</f>
        <v>JonasKarel</v>
      </c>
      <c r="T14" t="str">
        <f>Tabel15[[#This Row],[Groen Verdediging]]&amp;Tabel15[[#This Row],[Groen Aanval]]</f>
        <v>NicolasStef D</v>
      </c>
      <c r="U14" t="str">
        <f>Tabel15[[#This Row],[Winnaar 1]]&amp;Tabel15[[#This Row],[Winnaar 2]]</f>
        <v>JonasKarel</v>
      </c>
      <c r="V14" s="147" t="str">
        <f>IF(Tabel15[[#This Row],[Team Rood]]=Tabel15[[#This Row],[Winnaars]],Tabel15[[#This Row],[Team Rood]])</f>
        <v>JonasKarel</v>
      </c>
      <c r="W14" s="147" t="b">
        <f>IF(Tabel15[[#This Row],[Team Groen]]=Tabel15[[#This Row],[Winnaars]],Tabel15[[#This Row],[Team Groen]])</f>
        <v>0</v>
      </c>
      <c r="X14" s="283">
        <v>18.469592116411846</v>
      </c>
      <c r="Y14" s="283">
        <v>13.685843903535087</v>
      </c>
      <c r="Z14" s="283">
        <v>1.1311515459442147</v>
      </c>
      <c r="AA14" s="283">
        <v>0.73363386309532397</v>
      </c>
      <c r="AB14" s="132" t="s">
        <v>168</v>
      </c>
      <c r="AC14" s="175">
        <f t="shared" ca="1" si="2"/>
        <v>3</v>
      </c>
      <c r="AD14" s="175">
        <f t="shared" ca="1" si="3"/>
        <v>6</v>
      </c>
      <c r="AE14" s="176">
        <f t="shared" ca="1" si="4"/>
        <v>26</v>
      </c>
      <c r="AF14" s="176">
        <f t="shared" ca="1" si="5"/>
        <v>9</v>
      </c>
      <c r="AG14" s="308">
        <f t="shared" ca="1" si="7"/>
        <v>9</v>
      </c>
      <c r="AH14" s="308">
        <f t="shared" ca="1" si="8"/>
        <v>35</v>
      </c>
      <c r="AI14" s="308">
        <f t="shared" ca="1" si="9"/>
        <v>44</v>
      </c>
      <c r="AL14" s="251" t="s">
        <v>163</v>
      </c>
      <c r="AM14" s="233" t="s">
        <v>158</v>
      </c>
      <c r="AN14" s="140" t="str">
        <f t="shared" si="6"/>
        <v>Bert*Arno*</v>
      </c>
      <c r="AO14" s="160">
        <f>IF(Tabel5[[#This Row],[Aantal Games Rood]]=0,0,(Tabel5[[#This Row],[Wins Rood]])/Tabel5[[#This Row],[Aantal Games Rood]])</f>
        <v>0</v>
      </c>
      <c r="AP14" s="159">
        <f>IF(Tabel5[[#This Row],[Aantal Games Groen]]=0,0,(Tabel5[[#This Row],[Wins Groen]])/Tabel5[[#This Row],[Aantal Games Groen]])</f>
        <v>0</v>
      </c>
      <c r="AQ14" s="156">
        <f>IF(Tabel5[[#This Row],[Aantal games Alg]]=0,0,(Tabel5[[#This Row],[Wins Alg]])/Tabel5[[#This Row],[Aantal games Alg]])</f>
        <v>0</v>
      </c>
      <c r="AR14" s="133">
        <f>COUNTIF(Tabel15[Winaar rood],Tabel5[[#This Row],[Team]])</f>
        <v>0</v>
      </c>
      <c r="AS14" s="134">
        <f>COUNTIF(Tabel15[Winnaar Groen],Tabel5[[#This Row],[Team]])</f>
        <v>0</v>
      </c>
      <c r="AT14" s="213">
        <f>COUNTIF(Tabel15[Winnaars],Tabel5[[#This Row],[Team]])</f>
        <v>0</v>
      </c>
      <c r="AU14" s="135">
        <f>Tabel5[[#This Row],[Aantal Games Rood]]-Tabel5[[#This Row],[Wins Rood]]</f>
        <v>0</v>
      </c>
      <c r="AV14" s="136">
        <f>Tabel5[[#This Row],[Aantal Games Groen]]-Tabel5[[#This Row],[Wins Groen]]</f>
        <v>0</v>
      </c>
      <c r="AW14" s="137">
        <f>Tabel5[[#This Row],[Aantal games Alg]]-Tabel5[[#This Row],[Wins Alg]]</f>
        <v>0</v>
      </c>
      <c r="AX14" s="138">
        <f>COUNTIF(Tabel15[Team Rood],Tabel5[[#This Row],[Team]])</f>
        <v>0</v>
      </c>
      <c r="AY14" s="136">
        <f>COUNTIF(Tabel15[Team Groen],Tabel5[[#This Row],[Team]])</f>
        <v>0</v>
      </c>
      <c r="AZ14" s="214">
        <f>Tabel5[[#This Row],[Aantal Games Rood]]+Tabel5[[#This Row],[Aantal Games Groen]]</f>
        <v>0</v>
      </c>
      <c r="BA14" s="138">
        <f>SUMIF(Tabel15[Team Rood],Tabel5[[#This Row],[Team]],Tabel15[Score])</f>
        <v>0</v>
      </c>
      <c r="BB14" s="138">
        <f>SUMIF(Tabel15[Team Rood],Tabel5[[#This Row],[Team]],Tabel15[Score2])</f>
        <v>0</v>
      </c>
      <c r="BC14" s="134">
        <f>SUMIF(Tabel15[Team Groen],Tabel5[[#This Row],[Team]],Tabel15[Score3])</f>
        <v>0</v>
      </c>
      <c r="BD14" s="136">
        <f>SUMIF(Tabel15[Team Groen],Tabel5[[#This Row],[Team]],Tabel15[Score4])</f>
        <v>0</v>
      </c>
      <c r="BE14" s="213">
        <f>SUM(Tabel5[[#This Row],[Goals Verdediger]]+Tabel5[[#This Row],[Goals DefG]])</f>
        <v>0</v>
      </c>
      <c r="BF14" s="213">
        <f>IF(Tabel5[[#This Row],[Aantal games Alg]]=0,0,Tabel5[[#This Row],[Goals DefA]]/Tabel5[[#This Row],[Aantal games Alg]])</f>
        <v>0</v>
      </c>
      <c r="BG14" s="213">
        <f>SUM(Tabel5[[#This Row],[Goals Aanvaller]]+Tabel5[[#This Row],[Goals OffG]])</f>
        <v>0</v>
      </c>
      <c r="BH14" s="213">
        <f>IF(Tabel5[[#This Row],[Aantal games Alg]]=0,0,Tabel5[[#This Row],[Goals OffA]]/Tabel5[[#This Row],[Aantal games Alg]])</f>
        <v>0</v>
      </c>
      <c r="BI14" s="214">
        <f>Tabel5[[#This Row],[Goals DefA]]+Tabel5[[#This Row],[Goals OffA]]</f>
        <v>0</v>
      </c>
      <c r="BJ14" s="214">
        <f>IF(Tabel5[[#This Row],[Aantal games Alg]]=0,0,Tabel5[[#This Row],[Goals Alg]]/Tabel5[[#This Row],[Aantal games Alg]])</f>
        <v>0</v>
      </c>
      <c r="BK14" s="148">
        <f>SUMIF(Tabel15[Team Rood],Tabel5[[#This Row],[Team]],Tabel15[ET])</f>
        <v>0</v>
      </c>
      <c r="BL14" s="150">
        <f>SUMIF(Tabel15[Team Groen],Tabel5[[#This Row],[Team]],Tabel15[ET])</f>
        <v>0</v>
      </c>
      <c r="BM14" s="153">
        <f>SUM(Tabel5[[#This Row],[ET Groen tot]],Tabel5[[#This Row],[ET Rood tot]])</f>
        <v>0</v>
      </c>
      <c r="BN14" s="155">
        <f>IF(Tabel5[[#This Row],[Aantal games Alg]]=0,0,Tabel5[[#This Row],[ET tot]]/Tabel5[[#This Row],[Aantal games Alg]])</f>
        <v>0</v>
      </c>
    </row>
    <row r="15" spans="1:66" x14ac:dyDescent="0.25">
      <c r="A15" s="215"/>
      <c r="B15" s="128"/>
      <c r="C15" s="126"/>
      <c r="D15" s="217"/>
      <c r="E15" s="74">
        <v>14</v>
      </c>
      <c r="F15" s="207" t="s">
        <v>0</v>
      </c>
      <c r="G15" s="201">
        <v>4</v>
      </c>
      <c r="H15" s="207" t="s">
        <v>19</v>
      </c>
      <c r="I15" s="201">
        <v>4</v>
      </c>
      <c r="J15" s="204" t="s">
        <v>6</v>
      </c>
      <c r="K15" s="202">
        <v>6</v>
      </c>
      <c r="L15" s="204" t="s">
        <v>11</v>
      </c>
      <c r="M15" s="202">
        <v>5</v>
      </c>
      <c r="N15" s="81">
        <v>8</v>
      </c>
      <c r="O15" s="82">
        <v>11</v>
      </c>
      <c r="P1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Row],[Score4]]&lt;&gt;""),IF(AND(N15&gt;O15,N15&gt;=11),"ROOD",IF(AND(O15&gt;=11,N15&lt;&gt;O15),"GROEN","")),"")</f>
        <v>GROEN</v>
      </c>
      <c r="Q15" s="86" t="str">
        <f t="shared" si="0"/>
        <v>Stef D</v>
      </c>
      <c r="R15" s="87" t="str">
        <f t="shared" si="1"/>
        <v>Matthijs</v>
      </c>
      <c r="S15" t="str">
        <f>Tabel15[[#This Row],[Rood Verdediging]]&amp;Tabel15[[#This Row],[Rood Aanval]]</f>
        <v>JonasNicolas</v>
      </c>
      <c r="T15" t="str">
        <f>Tabel15[[#This Row],[Groen Verdediging]]&amp;Tabel15[[#This Row],[Groen Aanval]]</f>
        <v>Stef DMatthijs</v>
      </c>
      <c r="U15" t="str">
        <f>Tabel15[[#This Row],[Winnaar 1]]&amp;Tabel15[[#This Row],[Winnaar 2]]</f>
        <v>Stef DMatthijs</v>
      </c>
      <c r="V15" s="147" t="b">
        <f>IF(Tabel15[[#This Row],[Team Rood]]=Tabel15[[#This Row],[Winnaars]],Tabel15[[#This Row],[Team Rood]])</f>
        <v>0</v>
      </c>
      <c r="W15" s="147" t="str">
        <f>IF(Tabel15[[#This Row],[Team Groen]]=Tabel15[[#This Row],[Winnaars]],Tabel15[[#This Row],[Team Groen]])</f>
        <v>Stef DMatthijs</v>
      </c>
      <c r="X15" s="283">
        <v>1.8074203375107281</v>
      </c>
      <c r="Y15" s="283">
        <v>3.1919905796358683</v>
      </c>
      <c r="Z15" s="283">
        <v>9.278653696790883</v>
      </c>
      <c r="AA15" s="283">
        <v>15.384943087089036</v>
      </c>
      <c r="AL15" s="251" t="s">
        <v>163</v>
      </c>
      <c r="AM15" s="233" t="s">
        <v>168</v>
      </c>
      <c r="AN15" s="140" t="str">
        <f t="shared" si="6"/>
        <v>Bert*Coghe*</v>
      </c>
      <c r="AO15" s="160">
        <f>IF(Tabel5[[#This Row],[Aantal Games Rood]]=0,0,(Tabel5[[#This Row],[Wins Rood]])/Tabel5[[#This Row],[Aantal Games Rood]])</f>
        <v>0</v>
      </c>
      <c r="AP15" s="159">
        <f>IF(Tabel5[[#This Row],[Aantal Games Groen]]=0,0,(Tabel5[[#This Row],[Wins Groen]])/Tabel5[[#This Row],[Aantal Games Groen]])</f>
        <v>0</v>
      </c>
      <c r="AQ15" s="156">
        <f>IF(Tabel5[[#This Row],[Aantal games Alg]]=0,0,(Tabel5[[#This Row],[Wins Alg]])/Tabel5[[#This Row],[Aantal games Alg]])</f>
        <v>0</v>
      </c>
      <c r="AR15" s="133">
        <f>COUNTIF(Tabel15[Winaar rood],Tabel5[[#This Row],[Team]])</f>
        <v>0</v>
      </c>
      <c r="AS15" s="134">
        <f>COUNTIF(Tabel15[Winnaar Groen],Tabel5[[#This Row],[Team]])</f>
        <v>0</v>
      </c>
      <c r="AT15" s="293">
        <f>COUNTIF(Tabel15[Winnaars],Tabel5[[#This Row],[Team]])</f>
        <v>0</v>
      </c>
      <c r="AU15" s="135">
        <f>Tabel5[[#This Row],[Aantal Games Rood]]-Tabel5[[#This Row],[Wins Rood]]</f>
        <v>0</v>
      </c>
      <c r="AV15" s="136">
        <f>Tabel5[[#This Row],[Aantal Games Groen]]-Tabel5[[#This Row],[Wins Groen]]</f>
        <v>0</v>
      </c>
      <c r="AW15" s="137">
        <f>Tabel5[[#This Row],[Aantal games Alg]]-Tabel5[[#This Row],[Wins Alg]]</f>
        <v>0</v>
      </c>
      <c r="AX15" s="138">
        <f>COUNTIF(Tabel15[Team Rood],Tabel5[[#This Row],[Team]])</f>
        <v>0</v>
      </c>
      <c r="AY15" s="136">
        <f>COUNTIF(Tabel15[Team Groen],Tabel5[[#This Row],[Team]])</f>
        <v>0</v>
      </c>
      <c r="AZ15" s="214">
        <f>Tabel5[[#This Row],[Aantal Games Rood]]+Tabel5[[#This Row],[Aantal Games Groen]]</f>
        <v>0</v>
      </c>
      <c r="BA15" s="138">
        <f>SUMIF(Tabel15[Team Rood],Tabel5[[#This Row],[Team]],Tabel15[Score])</f>
        <v>0</v>
      </c>
      <c r="BB15" s="138">
        <f>SUMIF(Tabel15[Team Rood],Tabel5[[#This Row],[Team]],Tabel15[Score2])</f>
        <v>0</v>
      </c>
      <c r="BC15" s="134">
        <f>SUMIF(Tabel15[Team Groen],Tabel5[[#This Row],[Team]],Tabel15[Score3])</f>
        <v>0</v>
      </c>
      <c r="BD15" s="136">
        <f>SUMIF(Tabel15[Team Groen],Tabel5[[#This Row],[Team]],Tabel15[Score4])</f>
        <v>0</v>
      </c>
      <c r="BE15" s="293">
        <f>SUM(Tabel5[[#This Row],[Goals Verdediger]]+Tabel5[[#This Row],[Goals DefG]])</f>
        <v>0</v>
      </c>
      <c r="BF15" s="293">
        <f>IF(Tabel5[[#This Row],[Aantal games Alg]]=0,0,Tabel5[[#This Row],[Goals DefA]]/Tabel5[[#This Row],[Aantal games Alg]])</f>
        <v>0</v>
      </c>
      <c r="BG15" s="293">
        <f>SUM(Tabel5[[#This Row],[Goals Aanvaller]]+Tabel5[[#This Row],[Goals OffG]])</f>
        <v>0</v>
      </c>
      <c r="BH15" s="293">
        <f>IF(Tabel5[[#This Row],[Aantal games Alg]]=0,0,Tabel5[[#This Row],[Goals OffA]]/Tabel5[[#This Row],[Aantal games Alg]])</f>
        <v>0</v>
      </c>
      <c r="BI15" s="214">
        <f>Tabel5[[#This Row],[Goals DefA]]+Tabel5[[#This Row],[Goals OffA]]</f>
        <v>0</v>
      </c>
      <c r="BJ15" s="214">
        <f>IF(Tabel5[[#This Row],[Aantal games Alg]]=0,0,Tabel5[[#This Row],[Goals Alg]]/Tabel5[[#This Row],[Aantal games Alg]])</f>
        <v>0</v>
      </c>
      <c r="BK15" s="148">
        <f>SUMIF(Tabel15[Team Rood],Tabel5[[#This Row],[Team]],Tabel15[ET])</f>
        <v>0</v>
      </c>
      <c r="BL15" s="150">
        <f>SUMIF(Tabel15[Team Groen],Tabel5[[#This Row],[Team]],Tabel15[ET])</f>
        <v>0</v>
      </c>
      <c r="BM15" s="153">
        <f>SUM(Tabel5[[#This Row],[ET Groen tot]],Tabel5[[#This Row],[ET Rood tot]])</f>
        <v>0</v>
      </c>
      <c r="BN15" s="155">
        <f>IF(Tabel5[[#This Row],[Aantal games Alg]]=0,0,Tabel5[[#This Row],[ET tot]]/Tabel5[[#This Row],[Aantal games Alg]])</f>
        <v>0</v>
      </c>
    </row>
    <row r="16" spans="1:66" x14ac:dyDescent="0.25">
      <c r="A16" s="215"/>
      <c r="B16" s="128"/>
      <c r="C16" s="126"/>
      <c r="D16" s="217"/>
      <c r="E16" s="74">
        <v>15</v>
      </c>
      <c r="F16" s="207" t="s">
        <v>6</v>
      </c>
      <c r="G16" s="201">
        <v>0</v>
      </c>
      <c r="H16" s="207" t="s">
        <v>0</v>
      </c>
      <c r="I16" s="201">
        <v>5</v>
      </c>
      <c r="J16" s="204" t="s">
        <v>11</v>
      </c>
      <c r="K16" s="202">
        <v>2</v>
      </c>
      <c r="L16" s="204" t="s">
        <v>3</v>
      </c>
      <c r="M16" s="202">
        <v>9</v>
      </c>
      <c r="N16" s="81">
        <v>5</v>
      </c>
      <c r="O16" s="82">
        <v>11</v>
      </c>
      <c r="P1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Row],[Score4]]&lt;&gt;""),IF(AND(N16&gt;O16,N16&gt;=11),"ROOD",IF(AND(O16&gt;=11,N16&lt;&gt;O16),"GROEN","")),"")</f>
        <v>GROEN</v>
      </c>
      <c r="Q16" s="86" t="str">
        <f t="shared" si="0"/>
        <v>Matthijs</v>
      </c>
      <c r="R16" s="87" t="str">
        <f t="shared" si="1"/>
        <v>Karel</v>
      </c>
      <c r="S16" t="str">
        <f>Tabel15[[#This Row],[Rood Verdediging]]&amp;Tabel15[[#This Row],[Rood Aanval]]</f>
        <v>Stef DJonas</v>
      </c>
      <c r="T16" t="str">
        <f>Tabel15[[#This Row],[Groen Verdediging]]&amp;Tabel15[[#This Row],[Groen Aanval]]</f>
        <v>MatthijsKarel</v>
      </c>
      <c r="U16" t="str">
        <f>Tabel15[[#This Row],[Winnaar 1]]&amp;Tabel15[[#This Row],[Winnaar 2]]</f>
        <v>MatthijsKarel</v>
      </c>
      <c r="V16" s="147" t="b">
        <f>IF(Tabel15[[#This Row],[Team Rood]]=Tabel15[[#This Row],[Winnaars]],Tabel15[[#This Row],[Team Rood]])</f>
        <v>0</v>
      </c>
      <c r="W16" s="147" t="str">
        <f>IF(Tabel15[[#This Row],[Team Groen]]=Tabel15[[#This Row],[Winnaars]],Tabel15[[#This Row],[Team Groen]])</f>
        <v>MatthijsKarel</v>
      </c>
      <c r="X16" s="283">
        <v>-6.2457250230733585</v>
      </c>
      <c r="Y16" s="283">
        <v>-5.2278812408244129</v>
      </c>
      <c r="Z16" s="283">
        <v>28.55543625725544</v>
      </c>
      <c r="AA16" s="283">
        <v>26.641283740715856</v>
      </c>
      <c r="AL16" s="251" t="s">
        <v>163</v>
      </c>
      <c r="AM16" s="233" t="s">
        <v>159</v>
      </c>
      <c r="AN16" s="140" t="str">
        <f t="shared" si="6"/>
        <v>Bert*Jonas*</v>
      </c>
      <c r="AO16" s="160">
        <f>IF(Tabel5[[#This Row],[Aantal Games Rood]]=0,0,(Tabel5[[#This Row],[Wins Rood]])/Tabel5[[#This Row],[Aantal Games Rood]])</f>
        <v>0</v>
      </c>
      <c r="AP16" s="159">
        <f>IF(Tabel5[[#This Row],[Aantal Games Groen]]=0,0,(Tabel5[[#This Row],[Wins Groen]])/Tabel5[[#This Row],[Aantal Games Groen]])</f>
        <v>0.25</v>
      </c>
      <c r="AQ16" s="156">
        <f>IF(Tabel5[[#This Row],[Aantal games Alg]]=0,0,(Tabel5[[#This Row],[Wins Alg]])/Tabel5[[#This Row],[Aantal games Alg]])</f>
        <v>0.25</v>
      </c>
      <c r="AR16" s="133">
        <f>COUNTIF(Tabel15[Winaar rood],Tabel5[[#This Row],[Team]])</f>
        <v>0</v>
      </c>
      <c r="AS16" s="134">
        <f>COUNTIF(Tabel15[Winnaar Groen],Tabel5[[#This Row],[Team]])</f>
        <v>1</v>
      </c>
      <c r="AT16" s="293">
        <f>COUNTIF(Tabel15[Winnaars],Tabel5[[#This Row],[Team]])</f>
        <v>1</v>
      </c>
      <c r="AU16" s="135">
        <f>Tabel5[[#This Row],[Aantal Games Rood]]-Tabel5[[#This Row],[Wins Rood]]</f>
        <v>0</v>
      </c>
      <c r="AV16" s="136">
        <f>Tabel5[[#This Row],[Aantal Games Groen]]-Tabel5[[#This Row],[Wins Groen]]</f>
        <v>3</v>
      </c>
      <c r="AW16" s="137">
        <f>Tabel5[[#This Row],[Aantal games Alg]]-Tabel5[[#This Row],[Wins Alg]]</f>
        <v>3</v>
      </c>
      <c r="AX16" s="138">
        <f>COUNTIF(Tabel15[Team Rood],Tabel5[[#This Row],[Team]])</f>
        <v>0</v>
      </c>
      <c r="AY16" s="136">
        <f>COUNTIF(Tabel15[Team Groen],Tabel5[[#This Row],[Team]])</f>
        <v>4</v>
      </c>
      <c r="AZ16" s="214">
        <f>Tabel5[[#This Row],[Aantal Games Rood]]+Tabel5[[#This Row],[Aantal Games Groen]]</f>
        <v>4</v>
      </c>
      <c r="BA16" s="138">
        <f>SUMIF(Tabel15[Team Rood],Tabel5[[#This Row],[Team]],Tabel15[Score])</f>
        <v>0</v>
      </c>
      <c r="BB16" s="138">
        <f>SUMIF(Tabel15[Team Rood],Tabel5[[#This Row],[Team]],Tabel15[Score2])</f>
        <v>0</v>
      </c>
      <c r="BC16" s="134">
        <f>SUMIF(Tabel15[Team Groen],Tabel5[[#This Row],[Team]],Tabel15[Score3])</f>
        <v>12</v>
      </c>
      <c r="BD16" s="136">
        <f>SUMIF(Tabel15[Team Groen],Tabel5[[#This Row],[Team]],Tabel15[Score4])</f>
        <v>27</v>
      </c>
      <c r="BE16" s="293">
        <f>SUM(Tabel5[[#This Row],[Goals Verdediger]]+Tabel5[[#This Row],[Goals DefG]])</f>
        <v>12</v>
      </c>
      <c r="BF16" s="293">
        <f>IF(Tabel5[[#This Row],[Aantal games Alg]]=0,0,Tabel5[[#This Row],[Goals DefA]]/Tabel5[[#This Row],[Aantal games Alg]])</f>
        <v>3</v>
      </c>
      <c r="BG16" s="293">
        <f>SUM(Tabel5[[#This Row],[Goals Aanvaller]]+Tabel5[[#This Row],[Goals OffG]])</f>
        <v>27</v>
      </c>
      <c r="BH16" s="293">
        <f>IF(Tabel5[[#This Row],[Aantal games Alg]]=0,0,Tabel5[[#This Row],[Goals OffA]]/Tabel5[[#This Row],[Aantal games Alg]])</f>
        <v>6.75</v>
      </c>
      <c r="BI16" s="214">
        <f>Tabel5[[#This Row],[Goals DefA]]+Tabel5[[#This Row],[Goals OffA]]</f>
        <v>39</v>
      </c>
      <c r="BJ16" s="214">
        <f>IF(Tabel5[[#This Row],[Aantal games Alg]]=0,0,Tabel5[[#This Row],[Goals Alg]]/Tabel5[[#This Row],[Aantal games Alg]])</f>
        <v>9.75</v>
      </c>
      <c r="BK16" s="148">
        <f>SUMIF(Tabel15[Team Rood],Tabel5[[#This Row],[Team]],Tabel15[ET])</f>
        <v>0</v>
      </c>
      <c r="BL16" s="150">
        <f ca="1">SUMIF(Tabel15[Team Groen],Tabel5[[#This Row],[Team]],Tabel15[ET])</f>
        <v>2.4890277774829883E-2</v>
      </c>
      <c r="BM16" s="153">
        <f ca="1">SUM(Tabel5[[#This Row],[ET Groen tot]],Tabel5[[#This Row],[ET Rood tot]])</f>
        <v>2.4890277774829883E-2</v>
      </c>
      <c r="BN16" s="155">
        <f ca="1">IF(Tabel5[[#This Row],[Aantal games Alg]]=0,0,Tabel5[[#This Row],[ET tot]]/Tabel5[[#This Row],[Aantal games Alg]])</f>
        <v>6.2225694437074708E-3</v>
      </c>
    </row>
    <row r="17" spans="1:66" x14ac:dyDescent="0.25">
      <c r="A17" s="215"/>
      <c r="B17" s="128"/>
      <c r="C17" s="126"/>
      <c r="D17" s="217"/>
      <c r="E17" s="74">
        <v>16</v>
      </c>
      <c r="F17" s="207" t="s">
        <v>11</v>
      </c>
      <c r="G17" s="201">
        <v>4</v>
      </c>
      <c r="H17" s="207" t="s">
        <v>6</v>
      </c>
      <c r="I17" s="201">
        <v>7</v>
      </c>
      <c r="J17" s="204" t="s">
        <v>0</v>
      </c>
      <c r="K17" s="202">
        <v>1</v>
      </c>
      <c r="L17" s="204" t="s">
        <v>3</v>
      </c>
      <c r="M17" s="202">
        <v>12</v>
      </c>
      <c r="N17" s="81">
        <v>11</v>
      </c>
      <c r="O17" s="82">
        <v>13</v>
      </c>
      <c r="P1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Row],[Score4]]&lt;&gt;""),IF(AND(N17&gt;O17,N17&gt;=11),"ROOD",IF(AND(O17&gt;=11,N17&lt;&gt;O17),"GROEN","")),"")</f>
        <v>GROEN</v>
      </c>
      <c r="Q17" s="86" t="str">
        <f t="shared" si="0"/>
        <v>Jonas</v>
      </c>
      <c r="R17" s="87" t="str">
        <f t="shared" si="1"/>
        <v>Karel</v>
      </c>
      <c r="S17" t="str">
        <f>Tabel15[[#This Row],[Rood Verdediging]]&amp;Tabel15[[#This Row],[Rood Aanval]]</f>
        <v>MatthijsStef D</v>
      </c>
      <c r="T17" t="str">
        <f>Tabel15[[#This Row],[Groen Verdediging]]&amp;Tabel15[[#This Row],[Groen Aanval]]</f>
        <v>JonasKarel</v>
      </c>
      <c r="U17" t="str">
        <f>Tabel15[[#This Row],[Winnaar 1]]&amp;Tabel15[[#This Row],[Winnaar 2]]</f>
        <v>JonasKarel</v>
      </c>
      <c r="V17" s="147" t="b">
        <f>IF(Tabel15[[#This Row],[Team Rood]]=Tabel15[[#This Row],[Winnaars]],Tabel15[[#This Row],[Team Rood]])</f>
        <v>0</v>
      </c>
      <c r="W17" s="147" t="str">
        <f>IF(Tabel15[[#This Row],[Team Groen]]=Tabel15[[#This Row],[Winnaars]],Tabel15[[#This Row],[Team Groen]])</f>
        <v>JonasKarel</v>
      </c>
      <c r="X17" s="283">
        <v>-3.7959205695572149</v>
      </c>
      <c r="Y17" s="283">
        <v>-4.9627067176212396</v>
      </c>
      <c r="Z17" s="283">
        <v>28.874955319620057</v>
      </c>
      <c r="AA17" s="283">
        <v>25.896510232253071</v>
      </c>
      <c r="AL17" s="251" t="s">
        <v>163</v>
      </c>
      <c r="AM17" s="233" t="s">
        <v>164</v>
      </c>
      <c r="AN17" s="140" t="str">
        <f t="shared" si="6"/>
        <v>Bert*Karel*</v>
      </c>
      <c r="AO17" s="160">
        <f>IF(Tabel5[[#This Row],[Aantal Games Rood]]=0,0,(Tabel5[[#This Row],[Wins Rood]])/Tabel5[[#This Row],[Aantal Games Rood]])</f>
        <v>1</v>
      </c>
      <c r="AP17" s="159">
        <f>IF(Tabel5[[#This Row],[Aantal Games Groen]]=0,0,(Tabel5[[#This Row],[Wins Groen]])/Tabel5[[#This Row],[Aantal Games Groen]])</f>
        <v>0</v>
      </c>
      <c r="AQ17" s="156">
        <f>IF(Tabel5[[#This Row],[Aantal games Alg]]=0,0,(Tabel5[[#This Row],[Wins Alg]])/Tabel5[[#This Row],[Aantal games Alg]])</f>
        <v>1</v>
      </c>
      <c r="AR17" s="133">
        <f>COUNTIF(Tabel15[Winaar rood],Tabel5[[#This Row],[Team]])</f>
        <v>1</v>
      </c>
      <c r="AS17" s="134">
        <f>COUNTIF(Tabel15[Winnaar Groen],Tabel5[[#This Row],[Team]])</f>
        <v>0</v>
      </c>
      <c r="AT17">
        <f>COUNTIF(Tabel15[Winnaars],Tabel5[[#This Row],[Team]])</f>
        <v>1</v>
      </c>
      <c r="AU17" s="135">
        <f>Tabel5[[#This Row],[Aantal Games Rood]]-Tabel5[[#This Row],[Wins Rood]]</f>
        <v>0</v>
      </c>
      <c r="AV17" s="136">
        <f>Tabel5[[#This Row],[Aantal Games Groen]]-Tabel5[[#This Row],[Wins Groen]]</f>
        <v>0</v>
      </c>
      <c r="AW17" s="137">
        <f>Tabel5[[#This Row],[Aantal games Alg]]-Tabel5[[#This Row],[Wins Alg]]</f>
        <v>0</v>
      </c>
      <c r="AX17" s="138">
        <f>COUNTIF(Tabel15[Team Rood],Tabel5[[#This Row],[Team]])</f>
        <v>1</v>
      </c>
      <c r="AY17" s="136">
        <f>COUNTIF(Tabel15[Team Groen],Tabel5[[#This Row],[Team]])</f>
        <v>0</v>
      </c>
      <c r="AZ17" s="112">
        <f>Tabel5[[#This Row],[Aantal Games Rood]]+Tabel5[[#This Row],[Aantal Games Groen]]</f>
        <v>1</v>
      </c>
      <c r="BA17" s="138">
        <f>SUMIF(Tabel15[Team Rood],Tabel5[[#This Row],[Team]],Tabel15[Score])</f>
        <v>1</v>
      </c>
      <c r="BB17" s="138">
        <f>SUMIF(Tabel15[Team Rood],Tabel5[[#This Row],[Team]],Tabel15[Score2])</f>
        <v>10</v>
      </c>
      <c r="BC17" s="134">
        <f>SUMIF(Tabel15[Team Groen],Tabel5[[#This Row],[Team]],Tabel15[Score3])</f>
        <v>0</v>
      </c>
      <c r="BD17" s="136">
        <f>SUMIF(Tabel15[Team Groen],Tabel5[[#This Row],[Team]],Tabel15[Score4])</f>
        <v>0</v>
      </c>
      <c r="BE17">
        <f>SUM(Tabel5[[#This Row],[Goals Verdediger]]+Tabel5[[#This Row],[Goals DefG]])</f>
        <v>1</v>
      </c>
      <c r="BF17">
        <f>IF(Tabel5[[#This Row],[Aantal games Alg]]=0,0,Tabel5[[#This Row],[Goals DefA]]/Tabel5[[#This Row],[Aantal games Alg]])</f>
        <v>1</v>
      </c>
      <c r="BG17">
        <f>SUM(Tabel5[[#This Row],[Goals Aanvaller]]+Tabel5[[#This Row],[Goals OffG]])</f>
        <v>10</v>
      </c>
      <c r="BH17">
        <f>IF(Tabel5[[#This Row],[Aantal games Alg]]=0,0,Tabel5[[#This Row],[Goals OffA]]/Tabel5[[#This Row],[Aantal games Alg]])</f>
        <v>10</v>
      </c>
      <c r="BI17" s="112">
        <f>Tabel5[[#This Row],[Goals DefA]]+Tabel5[[#This Row],[Goals OffA]]</f>
        <v>11</v>
      </c>
      <c r="BJ17" s="112">
        <f>IF(Tabel5[[#This Row],[Aantal games Alg]]=0,0,Tabel5[[#This Row],[Goals Alg]]/Tabel5[[#This Row],[Aantal games Alg]])</f>
        <v>11</v>
      </c>
      <c r="BK17" s="148">
        <f>SUMIF(Tabel15[Team Rood],Tabel5[[#This Row],[Team]],Tabel15[ET])</f>
        <v>9.3224536976777017E-3</v>
      </c>
      <c r="BL17" s="150">
        <f>SUMIF(Tabel15[Team Groen],Tabel5[[#This Row],[Team]],Tabel15[ET])</f>
        <v>0</v>
      </c>
      <c r="BM17" s="153">
        <f>SUM(Tabel5[[#This Row],[ET Groen tot]],Tabel5[[#This Row],[ET Rood tot]])</f>
        <v>9.3224536976777017E-3</v>
      </c>
      <c r="BN17" s="155">
        <f>IF(Tabel5[[#This Row],[Aantal games Alg]]=0,0,Tabel5[[#This Row],[ET tot]]/Tabel5[[#This Row],[Aantal games Alg]])</f>
        <v>9.3224536976777017E-3</v>
      </c>
    </row>
    <row r="18" spans="1:66" x14ac:dyDescent="0.25">
      <c r="A18" s="215"/>
      <c r="B18" s="128"/>
      <c r="C18" s="126"/>
      <c r="D18" s="217"/>
      <c r="E18" s="74">
        <v>17</v>
      </c>
      <c r="F18" s="207" t="s">
        <v>6</v>
      </c>
      <c r="G18" s="201">
        <v>5</v>
      </c>
      <c r="H18" s="207" t="s">
        <v>3</v>
      </c>
      <c r="I18" s="201">
        <v>6</v>
      </c>
      <c r="J18" s="204" t="s">
        <v>0</v>
      </c>
      <c r="K18" s="202">
        <v>4</v>
      </c>
      <c r="L18" s="204" t="s">
        <v>11</v>
      </c>
      <c r="M18" s="202">
        <v>2</v>
      </c>
      <c r="N18" s="81">
        <v>11</v>
      </c>
      <c r="O18" s="82">
        <v>6</v>
      </c>
      <c r="P1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Row],[Score4]]&lt;&gt;""),IF(AND(N18&gt;O18,N18&gt;=11),"ROOD",IF(AND(O18&gt;=11,N18&lt;&gt;O18),"GROEN","")),"")</f>
        <v>ROOD</v>
      </c>
      <c r="Q18" s="86" t="str">
        <f t="shared" si="0"/>
        <v>Stef D</v>
      </c>
      <c r="R18" s="87" t="str">
        <f t="shared" si="1"/>
        <v>Karel</v>
      </c>
      <c r="S18" t="str">
        <f>Tabel15[[#This Row],[Rood Verdediging]]&amp;Tabel15[[#This Row],[Rood Aanval]]</f>
        <v>Stef DKarel</v>
      </c>
      <c r="T18" t="str">
        <f>Tabel15[[#This Row],[Groen Verdediging]]&amp;Tabel15[[#This Row],[Groen Aanval]]</f>
        <v>JonasMatthijs</v>
      </c>
      <c r="U18" t="str">
        <f>Tabel15[[#This Row],[Winnaar 1]]&amp;Tabel15[[#This Row],[Winnaar 2]]</f>
        <v>Stef DKarel</v>
      </c>
      <c r="V18" s="147" t="str">
        <f>IF(Tabel15[[#This Row],[Team Rood]]=Tabel15[[#This Row],[Winnaars]],Tabel15[[#This Row],[Team Rood]])</f>
        <v>Stef DKarel</v>
      </c>
      <c r="W18" s="147" t="b">
        <f>IF(Tabel15[[#This Row],[Team Groen]]=Tabel15[[#This Row],[Winnaars]],Tabel15[[#This Row],[Team Groen]])</f>
        <v>0</v>
      </c>
      <c r="X18" s="283">
        <v>8.7220829825405026</v>
      </c>
      <c r="Y18" s="283">
        <v>9.2945845196308383</v>
      </c>
      <c r="Z18" s="283">
        <v>3.6430443167984219</v>
      </c>
      <c r="AA18" s="283">
        <v>4.9096494990075943</v>
      </c>
      <c r="AL18" s="251" t="s">
        <v>163</v>
      </c>
      <c r="AM18" s="233" t="s">
        <v>67</v>
      </c>
      <c r="AN18" s="140" t="str">
        <f t="shared" si="6"/>
        <v>Bert*Lawrence</v>
      </c>
      <c r="AO18" s="160">
        <f>IF(Tabel5[[#This Row],[Aantal Games Rood]]=0,0,(Tabel5[[#This Row],[Wins Rood]])/Tabel5[[#This Row],[Aantal Games Rood]])</f>
        <v>0</v>
      </c>
      <c r="AP18" s="159">
        <f>IF(Tabel5[[#This Row],[Aantal Games Groen]]=0,0,(Tabel5[[#This Row],[Wins Groen]])/Tabel5[[#This Row],[Aantal Games Groen]])</f>
        <v>0</v>
      </c>
      <c r="AQ18" s="156">
        <f>IF(Tabel5[[#This Row],[Aantal games Alg]]=0,0,(Tabel5[[#This Row],[Wins Alg]])/Tabel5[[#This Row],[Aantal games Alg]])</f>
        <v>0</v>
      </c>
      <c r="AR18" s="138">
        <f>COUNTIF(Tabel15[Winaar rood],Tabel5[[#This Row],[Team]])</f>
        <v>0</v>
      </c>
      <c r="AS18" s="134">
        <f>COUNTIF(Tabel15[Winnaar Groen],Tabel5[[#This Row],[Team]])</f>
        <v>0</v>
      </c>
      <c r="AT18">
        <f>COUNTIF(Tabel15[Winnaars],Tabel5[[#This Row],[Team]])</f>
        <v>0</v>
      </c>
      <c r="AU18" s="135">
        <f>Tabel5[[#This Row],[Aantal Games Rood]]-Tabel5[[#This Row],[Wins Rood]]</f>
        <v>0</v>
      </c>
      <c r="AV18" s="136">
        <f>Tabel5[[#This Row],[Aantal Games Groen]]-Tabel5[[#This Row],[Wins Groen]]</f>
        <v>0</v>
      </c>
      <c r="AW18" s="137">
        <f>Tabel5[[#This Row],[Aantal games Alg]]-Tabel5[[#This Row],[Wins Alg]]</f>
        <v>0</v>
      </c>
      <c r="AX18" s="138">
        <f>COUNTIF(Tabel15[Team Rood],Tabel5[[#This Row],[Team]])</f>
        <v>0</v>
      </c>
      <c r="AY18" s="136">
        <f>COUNTIF(Tabel15[Team Groen],Tabel5[[#This Row],[Team]])</f>
        <v>0</v>
      </c>
      <c r="AZ18" s="214">
        <f>Tabel5[[#This Row],[Aantal Games Rood]]+Tabel5[[#This Row],[Aantal Games Groen]]</f>
        <v>0</v>
      </c>
      <c r="BA18" s="138">
        <f>SUMIF(Tabel15[Team Rood],Tabel5[[#This Row],[Team]],Tabel15[Score])</f>
        <v>0</v>
      </c>
      <c r="BB18" s="138">
        <f>SUMIF(Tabel15[Team Rood],Tabel5[[#This Row],[Team]],Tabel15[Score2])</f>
        <v>0</v>
      </c>
      <c r="BC18" s="134">
        <f>SUMIF(Tabel15[Team Groen],Tabel5[[#This Row],[Team]],Tabel15[Score3])</f>
        <v>0</v>
      </c>
      <c r="BD18" s="136">
        <f>SUMIF(Tabel15[Team Groen],Tabel5[[#This Row],[Team]],Tabel15[Score4])</f>
        <v>0</v>
      </c>
      <c r="BE18">
        <f>SUM(Tabel5[[#This Row],[Goals Verdediger]]+Tabel5[[#This Row],[Goals DefG]])</f>
        <v>0</v>
      </c>
      <c r="BF18">
        <f>IF(Tabel5[[#This Row],[Aantal games Alg]]=0,0,Tabel5[[#This Row],[Goals DefA]]/Tabel5[[#This Row],[Aantal games Alg]])</f>
        <v>0</v>
      </c>
      <c r="BG18">
        <f>SUM(Tabel5[[#This Row],[Goals Aanvaller]]+Tabel5[[#This Row],[Goals OffG]])</f>
        <v>0</v>
      </c>
      <c r="BH18">
        <f>IF(Tabel5[[#This Row],[Aantal games Alg]]=0,0,Tabel5[[#This Row],[Goals OffA]]/Tabel5[[#This Row],[Aantal games Alg]])</f>
        <v>0</v>
      </c>
      <c r="BI18" s="112">
        <f>Tabel5[[#This Row],[Goals DefA]]+Tabel5[[#This Row],[Goals OffA]]</f>
        <v>0</v>
      </c>
      <c r="BJ18" s="112">
        <f>IF(Tabel5[[#This Row],[Aantal games Alg]]=0,0,Tabel5[[#This Row],[Goals Alg]]/Tabel5[[#This Row],[Aantal games Alg]])</f>
        <v>0</v>
      </c>
      <c r="BK18" s="148">
        <f>SUMIF(Tabel15[Team Rood],Tabel5[[#This Row],[Team]],Tabel15[ET])</f>
        <v>0</v>
      </c>
      <c r="BL18" s="150">
        <f>SUMIF(Tabel15[Team Groen],Tabel5[[#This Row],[Team]],Tabel15[ET])</f>
        <v>0</v>
      </c>
      <c r="BM18" s="153">
        <f>SUM(Tabel5[[#This Row],[ET Groen tot]],Tabel5[[#This Row],[ET Rood tot]])</f>
        <v>0</v>
      </c>
      <c r="BN18" s="155">
        <f>IF(Tabel5[[#This Row],[Aantal games Alg]]=0,0,Tabel5[[#This Row],[ET tot]]/Tabel5[[#This Row],[Aantal games Alg]])</f>
        <v>0</v>
      </c>
    </row>
    <row r="19" spans="1:66" x14ac:dyDescent="0.25">
      <c r="A19" s="215">
        <v>43876.894881828703</v>
      </c>
      <c r="B19" s="218">
        <v>43876.894881828703</v>
      </c>
      <c r="C19" s="216">
        <v>43876.90765011574</v>
      </c>
      <c r="D19" s="217">
        <v>1.2768287037033588E-2</v>
      </c>
      <c r="E19" s="74">
        <v>18</v>
      </c>
      <c r="F19" s="207" t="s">
        <v>0</v>
      </c>
      <c r="G19" s="209">
        <v>1</v>
      </c>
      <c r="H19" s="207" t="s">
        <v>6</v>
      </c>
      <c r="I19" s="209">
        <v>10</v>
      </c>
      <c r="J19" s="208" t="s">
        <v>167</v>
      </c>
      <c r="K19" s="211">
        <v>1</v>
      </c>
      <c r="L19" s="208" t="s">
        <v>3</v>
      </c>
      <c r="M19" s="211">
        <v>4</v>
      </c>
      <c r="N19" s="81">
        <v>11</v>
      </c>
      <c r="O19" s="82">
        <v>5</v>
      </c>
      <c r="P1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Row],[Score4]]&lt;&gt;""),IF(AND(N19&gt;O19,N19&gt;=11),"ROOD",IF(AND(O19&gt;=11,N19&lt;&gt;O19),"GROEN","")),"")</f>
        <v>ROOD</v>
      </c>
      <c r="Q19" s="86" t="str">
        <f t="shared" si="0"/>
        <v>Jonas</v>
      </c>
      <c r="R19" s="87" t="str">
        <f t="shared" si="1"/>
        <v>Stef D</v>
      </c>
      <c r="S19" t="str">
        <f>Tabel15[[#This Row],[Rood Verdediging]]&amp;Tabel15[[#This Row],[Rood Aanval]]</f>
        <v>JonasStef D</v>
      </c>
      <c r="T19" t="str">
        <f>Tabel15[[#This Row],[Groen Verdediging]]&amp;Tabel15[[#This Row],[Groen Aanval]]</f>
        <v>CogheKarel</v>
      </c>
      <c r="U19" t="str">
        <f>Tabel15[[#This Row],[Winnaar 1]]&amp;Tabel15[[#This Row],[Winnaar 2]]</f>
        <v>JonasStef D</v>
      </c>
      <c r="V19" s="147" t="str">
        <f>IF(Tabel15[[#This Row],[Team Rood]]=Tabel15[[#This Row],[Winnaars]],Tabel15[[#This Row],[Team Rood]])</f>
        <v>JonasStef D</v>
      </c>
      <c r="W19" s="147" t="b">
        <f>IF(Tabel15[[#This Row],[Team Groen]]=Tabel15[[#This Row],[Winnaars]],Tabel15[[#This Row],[Team Groen]])</f>
        <v>0</v>
      </c>
      <c r="X19" s="283">
        <v>13.682616588868193</v>
      </c>
      <c r="Y19" s="283">
        <v>11.796022373468757</v>
      </c>
      <c r="Z19" s="283">
        <v>2.7476392025932976</v>
      </c>
      <c r="AA19" s="283">
        <v>2.7839400976235757</v>
      </c>
      <c r="AL19" s="251" t="s">
        <v>163</v>
      </c>
      <c r="AM19" s="233" t="s">
        <v>161</v>
      </c>
      <c r="AN19" s="140" t="str">
        <f t="shared" si="6"/>
        <v>Bert*Louis*</v>
      </c>
      <c r="AO19" s="160">
        <f>IF(Tabel5[[#This Row],[Aantal Games Rood]]=0,0,(Tabel5[[#This Row],[Wins Rood]])/Tabel5[[#This Row],[Aantal Games Rood]])</f>
        <v>0</v>
      </c>
      <c r="AP19" s="159">
        <f>IF(Tabel5[[#This Row],[Aantal Games Groen]]=0,0,(Tabel5[[#This Row],[Wins Groen]])/Tabel5[[#This Row],[Aantal Games Groen]])</f>
        <v>0</v>
      </c>
      <c r="AQ19" s="156">
        <f>IF(Tabel5[[#This Row],[Aantal games Alg]]=0,0,(Tabel5[[#This Row],[Wins Alg]])/Tabel5[[#This Row],[Aantal games Alg]])</f>
        <v>0</v>
      </c>
      <c r="AR19" s="138">
        <f>COUNTIF(Tabel15[Winaar rood],Tabel5[[#This Row],[Team]])</f>
        <v>0</v>
      </c>
      <c r="AS19" s="134">
        <f>COUNTIF(Tabel15[Winnaar Groen],Tabel5[[#This Row],[Team]])</f>
        <v>0</v>
      </c>
      <c r="AT19">
        <f>COUNTIF(Tabel15[Winnaars],Tabel5[[#This Row],[Team]])</f>
        <v>0</v>
      </c>
      <c r="AU19" s="135">
        <f>Tabel5[[#This Row],[Aantal Games Rood]]-Tabel5[[#This Row],[Wins Rood]]</f>
        <v>0</v>
      </c>
      <c r="AV19" s="136">
        <f>Tabel5[[#This Row],[Aantal Games Groen]]-Tabel5[[#This Row],[Wins Groen]]</f>
        <v>1</v>
      </c>
      <c r="AW19" s="137">
        <f>Tabel5[[#This Row],[Aantal games Alg]]-Tabel5[[#This Row],[Wins Alg]]</f>
        <v>1</v>
      </c>
      <c r="AX19" s="138">
        <f>COUNTIF(Tabel15[Team Rood],Tabel5[[#This Row],[Team]])</f>
        <v>0</v>
      </c>
      <c r="AY19" s="136">
        <f>COUNTIF(Tabel15[Team Groen],Tabel5[[#This Row],[Team]])</f>
        <v>1</v>
      </c>
      <c r="AZ19" s="112">
        <f>Tabel5[[#This Row],[Aantal Games Rood]]+Tabel5[[#This Row],[Aantal Games Groen]]</f>
        <v>1</v>
      </c>
      <c r="BA19" s="138">
        <f>SUMIF(Tabel15[Team Rood],Tabel5[[#This Row],[Team]],Tabel15[Score])</f>
        <v>0</v>
      </c>
      <c r="BB19" s="138">
        <f>SUMIF(Tabel15[Team Rood],Tabel5[[#This Row],[Team]],Tabel15[Score2])</f>
        <v>0</v>
      </c>
      <c r="BC19" s="134">
        <f>SUMIF(Tabel15[Team Groen],Tabel5[[#This Row],[Team]],Tabel15[Score3])</f>
        <v>1</v>
      </c>
      <c r="BD19" s="136">
        <f>SUMIF(Tabel15[Team Groen],Tabel5[[#This Row],[Team]],Tabel15[Score4])</f>
        <v>4</v>
      </c>
      <c r="BE19">
        <f>SUM(Tabel5[[#This Row],[Goals Verdediger]]+Tabel5[[#This Row],[Goals DefG]])</f>
        <v>1</v>
      </c>
      <c r="BF19">
        <f>IF(Tabel5[[#This Row],[Aantal games Alg]]=0,0,Tabel5[[#This Row],[Goals DefA]]/Tabel5[[#This Row],[Aantal games Alg]])</f>
        <v>1</v>
      </c>
      <c r="BG19">
        <f>SUM(Tabel5[[#This Row],[Goals Aanvaller]]+Tabel5[[#This Row],[Goals OffG]])</f>
        <v>4</v>
      </c>
      <c r="BH19">
        <f>IF(Tabel5[[#This Row],[Aantal games Alg]]=0,0,Tabel5[[#This Row],[Goals OffA]]/Tabel5[[#This Row],[Aantal games Alg]])</f>
        <v>4</v>
      </c>
      <c r="BI19" s="112">
        <f>Tabel5[[#This Row],[Goals DefA]]+Tabel5[[#This Row],[Goals OffA]]</f>
        <v>5</v>
      </c>
      <c r="BJ19" s="112">
        <f>IF(Tabel5[[#This Row],[Aantal games Alg]]=0,0,Tabel5[[#This Row],[Goals Alg]]/Tabel5[[#This Row],[Aantal games Alg]])</f>
        <v>5</v>
      </c>
      <c r="BK19" s="148">
        <f>SUMIF(Tabel15[Team Rood],Tabel5[[#This Row],[Team]],Tabel15[ET])</f>
        <v>0</v>
      </c>
      <c r="BL19" s="150">
        <f ca="1">SUMIF(Tabel15[Team Groen],Tabel5[[#This Row],[Team]],Tabel15[ET])</f>
        <v>7.5376157401478849E-3</v>
      </c>
      <c r="BM19" s="153">
        <f ca="1">SUM(Tabel5[[#This Row],[ET Groen tot]],Tabel5[[#This Row],[ET Rood tot]])</f>
        <v>7.5376157401478849E-3</v>
      </c>
      <c r="BN19" s="155">
        <f ca="1">IF(Tabel5[[#This Row],[Aantal games Alg]]=0,0,Tabel5[[#This Row],[ET tot]]/Tabel5[[#This Row],[Aantal games Alg]])</f>
        <v>7.5376157401478849E-3</v>
      </c>
    </row>
    <row r="20" spans="1:66" x14ac:dyDescent="0.25">
      <c r="A20" s="215">
        <v>43876.91765787037</v>
      </c>
      <c r="B20" s="218">
        <v>43876.91765787037</v>
      </c>
      <c r="C20" s="216">
        <v>43876.926724074074</v>
      </c>
      <c r="D20" s="217">
        <v>9.0662037036963739E-3</v>
      </c>
      <c r="E20" s="74">
        <v>19</v>
      </c>
      <c r="F20" s="205" t="s">
        <v>6</v>
      </c>
      <c r="G20" s="210">
        <v>2</v>
      </c>
      <c r="H20" s="205" t="s">
        <v>13</v>
      </c>
      <c r="I20" s="210">
        <v>9</v>
      </c>
      <c r="J20" s="206" t="s">
        <v>0</v>
      </c>
      <c r="K20" s="212">
        <v>0</v>
      </c>
      <c r="L20" s="206" t="s">
        <v>167</v>
      </c>
      <c r="M20" s="212">
        <v>2</v>
      </c>
      <c r="N20" s="81">
        <v>11</v>
      </c>
      <c r="O20" s="82">
        <v>2</v>
      </c>
      <c r="P2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Row],[Score4]]&lt;&gt;""),IF(AND(N20&gt;O20,N20&gt;=11),"ROOD",IF(AND(O20&gt;=11,N20&lt;&gt;O20),"GROEN","")),"")</f>
        <v>ROOD</v>
      </c>
      <c r="Q20" s="86" t="str">
        <f t="shared" si="0"/>
        <v>Stef D</v>
      </c>
      <c r="R20" s="87" t="str">
        <f t="shared" si="1"/>
        <v>Bert</v>
      </c>
      <c r="S20" t="str">
        <f>Tabel15[[#This Row],[Rood Verdediging]]&amp;Tabel15[[#This Row],[Rood Aanval]]</f>
        <v>Stef DBert</v>
      </c>
      <c r="T20" t="str">
        <f>Tabel15[[#This Row],[Groen Verdediging]]&amp;Tabel15[[#This Row],[Groen Aanval]]</f>
        <v>JonasCoghe</v>
      </c>
      <c r="U20" t="str">
        <f>Tabel15[[#This Row],[Winnaar 1]]&amp;Tabel15[[#This Row],[Winnaar 2]]</f>
        <v>Stef DBert</v>
      </c>
      <c r="V20" s="147" t="str">
        <f>IF(Tabel15[[#This Row],[Team Rood]]=Tabel15[[#This Row],[Winnaars]],Tabel15[[#This Row],[Team Rood]])</f>
        <v>Stef DBert</v>
      </c>
      <c r="W20" s="147" t="b">
        <f>IF(Tabel15[[#This Row],[Team Groen]]=Tabel15[[#This Row],[Winnaars]],Tabel15[[#This Row],[Team Groen]])</f>
        <v>0</v>
      </c>
      <c r="X20" s="283">
        <v>6.4075921292116265</v>
      </c>
      <c r="Y20" s="283">
        <v>7.154894173415995</v>
      </c>
      <c r="Z20" s="283">
        <v>4.1664327049372849</v>
      </c>
      <c r="AA20" s="283">
        <v>6.2305219196323103</v>
      </c>
      <c r="AL20" s="251" t="s">
        <v>163</v>
      </c>
      <c r="AM20" s="233" t="s">
        <v>162</v>
      </c>
      <c r="AN20" s="140" t="str">
        <f t="shared" si="6"/>
        <v>Bert*Matthijs*</v>
      </c>
      <c r="AO20" s="160">
        <f>IF(Tabel5[[#This Row],[Aantal Games Rood]]=0,0,(Tabel5[[#This Row],[Wins Rood]])/Tabel5[[#This Row],[Aantal Games Rood]])</f>
        <v>0</v>
      </c>
      <c r="AP20" s="159">
        <f>IF(Tabel5[[#This Row],[Aantal Games Groen]]=0,0,(Tabel5[[#This Row],[Wins Groen]])/Tabel5[[#This Row],[Aantal Games Groen]])</f>
        <v>0</v>
      </c>
      <c r="AQ20" s="156">
        <f>IF(Tabel5[[#This Row],[Aantal games Alg]]=0,0,(Tabel5[[#This Row],[Wins Alg]])/Tabel5[[#This Row],[Aantal games Alg]])</f>
        <v>0</v>
      </c>
      <c r="AR20" s="133">
        <f>COUNTIF(Tabel15[Winaar rood],Tabel5[[#This Row],[Team]])</f>
        <v>0</v>
      </c>
      <c r="AS20" s="134">
        <f>COUNTIF(Tabel15[Winnaar Groen],Tabel5[[#This Row],[Team]])</f>
        <v>0</v>
      </c>
      <c r="AT20">
        <f>COUNTIF(Tabel15[Winnaars],Tabel5[[#This Row],[Team]])</f>
        <v>0</v>
      </c>
      <c r="AU20" s="135">
        <f>Tabel5[[#This Row],[Aantal Games Rood]]-Tabel5[[#This Row],[Wins Rood]]</f>
        <v>0</v>
      </c>
      <c r="AV20" s="136">
        <f>Tabel5[[#This Row],[Aantal Games Groen]]-Tabel5[[#This Row],[Wins Groen]]</f>
        <v>0</v>
      </c>
      <c r="AW20" s="137">
        <f>Tabel5[[#This Row],[Aantal games Alg]]-Tabel5[[#This Row],[Wins Alg]]</f>
        <v>0</v>
      </c>
      <c r="AX20" s="138">
        <f>COUNTIF(Tabel15[Team Rood],Tabel5[[#This Row],[Team]])</f>
        <v>0</v>
      </c>
      <c r="AY20" s="136">
        <f>COUNTIF(Tabel15[Team Groen],Tabel5[[#This Row],[Team]])</f>
        <v>0</v>
      </c>
      <c r="AZ20" s="112">
        <f>Tabel5[[#This Row],[Aantal Games Rood]]+Tabel5[[#This Row],[Aantal Games Groen]]</f>
        <v>0</v>
      </c>
      <c r="BA20" s="138">
        <f>SUMIF(Tabel15[Team Rood],Tabel5[[#This Row],[Team]],Tabel15[Score])</f>
        <v>0</v>
      </c>
      <c r="BB20" s="138">
        <f>SUMIF(Tabel15[Team Rood],Tabel5[[#This Row],[Team]],Tabel15[Score2])</f>
        <v>0</v>
      </c>
      <c r="BC20" s="134">
        <f>SUMIF(Tabel15[Team Groen],Tabel5[[#This Row],[Team]],Tabel15[Score3])</f>
        <v>0</v>
      </c>
      <c r="BD20" s="136">
        <f>SUMIF(Tabel15[Team Groen],Tabel5[[#This Row],[Team]],Tabel15[Score4])</f>
        <v>0</v>
      </c>
      <c r="BE20">
        <f>SUM(Tabel5[[#This Row],[Goals Verdediger]]+Tabel5[[#This Row],[Goals DefG]])</f>
        <v>0</v>
      </c>
      <c r="BF20">
        <f>IF(Tabel5[[#This Row],[Aantal games Alg]]=0,0,Tabel5[[#This Row],[Goals DefA]]/Tabel5[[#This Row],[Aantal games Alg]])</f>
        <v>0</v>
      </c>
      <c r="BG20">
        <f>SUM(Tabel5[[#This Row],[Goals Aanvaller]]+Tabel5[[#This Row],[Goals OffG]])</f>
        <v>0</v>
      </c>
      <c r="BH20">
        <f>IF(Tabel5[[#This Row],[Aantal games Alg]]=0,0,Tabel5[[#This Row],[Goals OffA]]/Tabel5[[#This Row],[Aantal games Alg]])</f>
        <v>0</v>
      </c>
      <c r="BI20" s="112">
        <f>Tabel5[[#This Row],[Goals DefA]]+Tabel5[[#This Row],[Goals OffA]]</f>
        <v>0</v>
      </c>
      <c r="BJ20" s="112">
        <f>IF(Tabel5[[#This Row],[Aantal games Alg]]=0,0,Tabel5[[#This Row],[Goals Alg]]/Tabel5[[#This Row],[Aantal games Alg]])</f>
        <v>0</v>
      </c>
      <c r="BK20" s="148">
        <f>SUMIF(Tabel15[Team Rood],Tabel5[[#This Row],[Team]],Tabel15[ET])</f>
        <v>0</v>
      </c>
      <c r="BL20" s="150">
        <f>SUMIF(Tabel15[Team Groen],Tabel5[[#This Row],[Team]],Tabel15[ET])</f>
        <v>0</v>
      </c>
      <c r="BM20" s="153">
        <f>SUM(Tabel5[[#This Row],[ET Groen tot]],Tabel5[[#This Row],[ET Rood tot]])</f>
        <v>0</v>
      </c>
      <c r="BN20" s="155">
        <f>IF(Tabel5[[#This Row],[Aantal games Alg]]=0,0,Tabel5[[#This Row],[ET tot]]/Tabel5[[#This Row],[Aantal games Alg]])</f>
        <v>0</v>
      </c>
    </row>
    <row r="21" spans="1:66" x14ac:dyDescent="0.25">
      <c r="A21" s="215">
        <v>43876.927834953705</v>
      </c>
      <c r="B21" s="218">
        <v>43876.927834953705</v>
      </c>
      <c r="C21" s="216">
        <v>43876.936242129632</v>
      </c>
      <c r="D21" s="217">
        <v>8.4071759265498258E-3</v>
      </c>
      <c r="E21" s="74">
        <v>20</v>
      </c>
      <c r="F21" s="205" t="s">
        <v>3</v>
      </c>
      <c r="G21" s="210">
        <v>3</v>
      </c>
      <c r="H21" s="205" t="s">
        <v>0</v>
      </c>
      <c r="I21" s="210">
        <v>6</v>
      </c>
      <c r="J21" s="206" t="s">
        <v>167</v>
      </c>
      <c r="K21" s="212">
        <v>2</v>
      </c>
      <c r="L21" s="206" t="s">
        <v>13</v>
      </c>
      <c r="M21" s="212">
        <v>9</v>
      </c>
      <c r="N21" s="81">
        <v>9</v>
      </c>
      <c r="O21" s="82">
        <v>11</v>
      </c>
      <c r="P2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Row],[Score4]]&lt;&gt;""),IF(AND(N21&gt;O21,N21&gt;=11),"ROOD",IF(AND(O21&gt;=11,N21&lt;&gt;O21),"GROEN","")),"")</f>
        <v>GROEN</v>
      </c>
      <c r="Q21" s="86" t="str">
        <f t="shared" si="0"/>
        <v>Coghe</v>
      </c>
      <c r="R21" s="87" t="str">
        <f t="shared" si="1"/>
        <v>Bert</v>
      </c>
      <c r="S21" t="str">
        <f>Tabel15[[#This Row],[Rood Verdediging]]&amp;Tabel15[[#This Row],[Rood Aanval]]</f>
        <v>KarelJonas</v>
      </c>
      <c r="T21" t="str">
        <f>Tabel15[[#This Row],[Groen Verdediging]]&amp;Tabel15[[#This Row],[Groen Aanval]]</f>
        <v>CogheBert</v>
      </c>
      <c r="U21" t="str">
        <f>Tabel15[[#This Row],[Winnaar 1]]&amp;Tabel15[[#This Row],[Winnaar 2]]</f>
        <v>CogheBert</v>
      </c>
      <c r="V21" s="147" t="b">
        <f>IF(Tabel15[[#This Row],[Team Rood]]=Tabel15[[#This Row],[Winnaars]],Tabel15[[#This Row],[Team Rood]])</f>
        <v>0</v>
      </c>
      <c r="W21" s="147" t="str">
        <f>IF(Tabel15[[#This Row],[Team Groen]]=Tabel15[[#This Row],[Winnaars]],Tabel15[[#This Row],[Team Groen]])</f>
        <v>CogheBert</v>
      </c>
      <c r="X21" s="283">
        <v>-3.2688258111444752</v>
      </c>
      <c r="Y21" s="283">
        <v>-2.6281774166420604</v>
      </c>
      <c r="Z21" s="283">
        <v>20.35053102034016</v>
      </c>
      <c r="AA21" s="283">
        <v>21.424948259070632</v>
      </c>
      <c r="AL21" s="251" t="s">
        <v>163</v>
      </c>
      <c r="AM21" s="233" t="s">
        <v>170</v>
      </c>
      <c r="AN21" s="140" t="str">
        <f t="shared" si="6"/>
        <v>Bert*Nico*</v>
      </c>
      <c r="AO21" s="160">
        <f>IF(Tabel5[[#This Row],[Aantal Games Rood]]=0,0,(Tabel5[[#This Row],[Wins Rood]])/Tabel5[[#This Row],[Aantal Games Rood]])</f>
        <v>0</v>
      </c>
      <c r="AP21" s="159">
        <f>IF(Tabel5[[#This Row],[Aantal Games Groen]]=0,0,(Tabel5[[#This Row],[Wins Groen]])/Tabel5[[#This Row],[Aantal Games Groen]])</f>
        <v>0</v>
      </c>
      <c r="AQ21" s="156">
        <f>IF(Tabel5[[#This Row],[Aantal games Alg]]=0,0,(Tabel5[[#This Row],[Wins Alg]])/Tabel5[[#This Row],[Aantal games Alg]])</f>
        <v>0</v>
      </c>
      <c r="AR21" s="171">
        <f>COUNTIF(Tabel15[Winaar rood],Tabel5[[#This Row],[Team]])</f>
        <v>0</v>
      </c>
      <c r="AS21" s="169">
        <f>COUNTIF(Tabel15[Winnaar Groen],Tabel5[[#This Row],[Team]])</f>
        <v>0</v>
      </c>
      <c r="AT21" s="170">
        <f>COUNTIF(Tabel15[Winnaars],Tabel5[[#This Row],[Team]])</f>
        <v>0</v>
      </c>
      <c r="AU21" s="163">
        <f>Tabel5[[#This Row],[Aantal Games Rood]]-Tabel5[[#This Row],[Wins Rood]]</f>
        <v>0</v>
      </c>
      <c r="AV21" s="169">
        <f>Tabel5[[#This Row],[Aantal Games Groen]]-Tabel5[[#This Row],[Wins Groen]]</f>
        <v>0</v>
      </c>
      <c r="AW21" s="165">
        <f>Tabel5[[#This Row],[Aantal games Alg]]-Tabel5[[#This Row],[Wins Alg]]</f>
        <v>0</v>
      </c>
      <c r="AX21" s="171">
        <f>COUNTIF(Tabel15[Team Rood],Tabel5[[#This Row],[Team]])</f>
        <v>0</v>
      </c>
      <c r="AY21" s="169">
        <f>COUNTIF(Tabel15[Team Groen],Tabel5[[#This Row],[Team]])</f>
        <v>0</v>
      </c>
      <c r="AZ21" s="170">
        <f>Tabel5[[#This Row],[Aantal Games Rood]]+Tabel5[[#This Row],[Aantal Games Groen]]</f>
        <v>0</v>
      </c>
      <c r="BA21" s="171">
        <f>SUMIF(Tabel15[Team Rood],Tabel5[[#This Row],[Team]],Tabel15[Score])</f>
        <v>0</v>
      </c>
      <c r="BB21" s="171">
        <f>SUMIF(Tabel15[Team Rood],Tabel5[[#This Row],[Team]],Tabel15[Score2])</f>
        <v>0</v>
      </c>
      <c r="BC21" s="136">
        <f>SUMIF(Tabel15[Team Groen],Tabel5[[#This Row],[Team]],Tabel15[Score3])</f>
        <v>0</v>
      </c>
      <c r="BD21" s="169">
        <f>SUMIF(Tabel15[Team Groen],Tabel5[[#This Row],[Team]],Tabel15[Score4])</f>
        <v>0</v>
      </c>
      <c r="BE21" s="172">
        <f>SUM(Tabel5[[#This Row],[Goals Verdediger]]+Tabel5[[#This Row],[Goals DefG]])</f>
        <v>0</v>
      </c>
      <c r="BF21" s="170">
        <f>IF(Tabel5[[#This Row],[Aantal games Alg]]=0,0,Tabel5[[#This Row],[Goals DefA]]/Tabel5[[#This Row],[Aantal games Alg]])</f>
        <v>0</v>
      </c>
      <c r="BG21" s="172">
        <f>SUM(Tabel5[[#This Row],[Goals Aanvaller]]+Tabel5[[#This Row],[Goals OffG]])</f>
        <v>0</v>
      </c>
      <c r="BH21" s="170">
        <f>IF(Tabel5[[#This Row],[Aantal games Alg]]=0,0,Tabel5[[#This Row],[Goals OffA]]/Tabel5[[#This Row],[Aantal games Alg]])</f>
        <v>0</v>
      </c>
      <c r="BI21" s="170">
        <f>Tabel5[[#This Row],[Goals DefA]]+Tabel5[[#This Row],[Goals OffA]]</f>
        <v>0</v>
      </c>
      <c r="BJ21" s="170">
        <f>IF(Tabel5[[#This Row],[Aantal games Alg]]=0,0,Tabel5[[#This Row],[Goals Alg]]/Tabel5[[#This Row],[Aantal games Alg]])</f>
        <v>0</v>
      </c>
      <c r="BK21" s="148">
        <f>SUMIF(Tabel15[Team Rood],Tabel5[[#This Row],[Team]],Tabel15[ET])</f>
        <v>0</v>
      </c>
      <c r="BL21" s="150">
        <f>SUMIF(Tabel15[Team Groen],Tabel5[[#This Row],[Team]],Tabel15[ET])</f>
        <v>0</v>
      </c>
      <c r="BM21" s="153">
        <f>SUM(Tabel5[[#This Row],[ET Groen tot]],Tabel5[[#This Row],[ET Rood tot]])</f>
        <v>0</v>
      </c>
      <c r="BN21" s="155">
        <f>IF(Tabel5[[#This Row],[Aantal games Alg]]=0,0,Tabel5[[#This Row],[ET tot]]/Tabel5[[#This Row],[Aantal games Alg]])</f>
        <v>0</v>
      </c>
    </row>
    <row r="22" spans="1:66" x14ac:dyDescent="0.25">
      <c r="A22" s="215">
        <v>43877.004257291665</v>
      </c>
      <c r="B22" s="218">
        <v>43877.004257291665</v>
      </c>
      <c r="C22" s="216">
        <v>43877.013281134263</v>
      </c>
      <c r="D22" s="217">
        <v>9.0238425982533954E-3</v>
      </c>
      <c r="E22" s="74">
        <v>21</v>
      </c>
      <c r="F22" s="205" t="s">
        <v>11</v>
      </c>
      <c r="G22" s="210">
        <v>3</v>
      </c>
      <c r="H22" s="205" t="s">
        <v>3</v>
      </c>
      <c r="I22" s="210">
        <v>6</v>
      </c>
      <c r="J22" s="206" t="s">
        <v>167</v>
      </c>
      <c r="K22" s="212">
        <v>1</v>
      </c>
      <c r="L22" s="206" t="s">
        <v>6</v>
      </c>
      <c r="M22" s="212">
        <v>10</v>
      </c>
      <c r="N22" s="81">
        <v>9</v>
      </c>
      <c r="O22" s="82">
        <v>11</v>
      </c>
      <c r="P2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Row],[Score4]]&lt;&gt;""),IF(AND(N22&gt;O22,N22&gt;=11),"ROOD",IF(AND(O22&gt;=11,N22&lt;&gt;O22),"GROEN","")),"")</f>
        <v>GROEN</v>
      </c>
      <c r="Q22" s="86" t="str">
        <f t="shared" si="0"/>
        <v>Coghe</v>
      </c>
      <c r="R22" s="87" t="str">
        <f t="shared" si="1"/>
        <v>Stef D</v>
      </c>
      <c r="S22" t="str">
        <f>Tabel15[[#This Row],[Rood Verdediging]]&amp;Tabel15[[#This Row],[Rood Aanval]]</f>
        <v>MatthijsKarel</v>
      </c>
      <c r="T22" t="str">
        <f>Tabel15[[#This Row],[Groen Verdediging]]&amp;Tabel15[[#This Row],[Groen Aanval]]</f>
        <v>CogheStef D</v>
      </c>
      <c r="U22" t="str">
        <f>Tabel15[[#This Row],[Winnaar 1]]&amp;Tabel15[[#This Row],[Winnaar 2]]</f>
        <v>CogheStef D</v>
      </c>
      <c r="V22" s="147" t="b">
        <f>IF(Tabel15[[#This Row],[Team Rood]]=Tabel15[[#This Row],[Winnaars]],Tabel15[[#This Row],[Team Rood]])</f>
        <v>0</v>
      </c>
      <c r="W22" s="147" t="str">
        <f>IF(Tabel15[[#This Row],[Team Groen]]=Tabel15[[#This Row],[Winnaars]],Tabel15[[#This Row],[Team Groen]])</f>
        <v>CogheStef D</v>
      </c>
      <c r="X22" s="283">
        <v>-4.2451014014871635</v>
      </c>
      <c r="Y22" s="283">
        <v>-4.7081694099057358</v>
      </c>
      <c r="Z22" s="283">
        <v>27.027773414503496</v>
      </c>
      <c r="AA22" s="283">
        <v>21.388320924237583</v>
      </c>
      <c r="AL22" s="251" t="s">
        <v>163</v>
      </c>
      <c r="AM22" s="233" t="s">
        <v>169</v>
      </c>
      <c r="AN22" s="140" t="str">
        <f t="shared" si="6"/>
        <v>Bert*Stef*</v>
      </c>
      <c r="AO22" s="160">
        <f>IF(Tabel5[[#This Row],[Aantal Games Rood]]=0,0,(Tabel5[[#This Row],[Wins Rood]])/Tabel5[[#This Row],[Aantal Games Rood]])</f>
        <v>0.6</v>
      </c>
      <c r="AP22" s="159">
        <f>IF(Tabel5[[#This Row],[Aantal Games Groen]]=0,0,(Tabel5[[#This Row],[Wins Groen]])/Tabel5[[#This Row],[Aantal Games Groen]])</f>
        <v>0</v>
      </c>
      <c r="AQ22" s="156">
        <f>IF(Tabel5[[#This Row],[Aantal games Alg]]=0,0,(Tabel5[[#This Row],[Wins Alg]])/Tabel5[[#This Row],[Aantal games Alg]])</f>
        <v>0.6</v>
      </c>
      <c r="AR22" s="133">
        <f>COUNTIF(Tabel15[Winaar rood],Tabel5[[#This Row],[Team]])</f>
        <v>3</v>
      </c>
      <c r="AS22" s="134">
        <f>COUNTIF(Tabel15[Winnaar Groen],Tabel5[[#This Row],[Team]])</f>
        <v>0</v>
      </c>
      <c r="AT22">
        <f>COUNTIF(Tabel15[Winnaars],Tabel5[[#This Row],[Team]])</f>
        <v>3</v>
      </c>
      <c r="AU22" s="135">
        <f>Tabel5[[#This Row],[Aantal Games Rood]]-Tabel5[[#This Row],[Wins Rood]]</f>
        <v>2</v>
      </c>
      <c r="AV22" s="136">
        <f>Tabel5[[#This Row],[Aantal Games Groen]]-Tabel5[[#This Row],[Wins Groen]]</f>
        <v>0</v>
      </c>
      <c r="AW22" s="137">
        <f>Tabel5[[#This Row],[Aantal games Alg]]-Tabel5[[#This Row],[Wins Alg]]</f>
        <v>2</v>
      </c>
      <c r="AX22" s="138">
        <f>COUNTIF(Tabel15[Team Rood],Tabel5[[#This Row],[Team]])</f>
        <v>5</v>
      </c>
      <c r="AY22" s="136">
        <f>COUNTIF(Tabel15[Team Groen],Tabel5[[#This Row],[Team]])</f>
        <v>0</v>
      </c>
      <c r="AZ22" s="112">
        <f>Tabel5[[#This Row],[Aantal Games Rood]]+Tabel5[[#This Row],[Aantal Games Groen]]</f>
        <v>5</v>
      </c>
      <c r="BA22" s="138">
        <f>SUMIF(Tabel15[Team Rood],Tabel5[[#This Row],[Team]],Tabel15[Score])</f>
        <v>11</v>
      </c>
      <c r="BB22" s="138">
        <f>SUMIF(Tabel15[Team Rood],Tabel5[[#This Row],[Team]],Tabel15[Score2])</f>
        <v>49</v>
      </c>
      <c r="BC22" s="134">
        <f>SUMIF(Tabel15[Team Groen],Tabel5[[#This Row],[Team]],Tabel15[Score3])</f>
        <v>0</v>
      </c>
      <c r="BD22" s="136">
        <f>SUMIF(Tabel15[Team Groen],Tabel5[[#This Row],[Team]],Tabel15[Score4])</f>
        <v>0</v>
      </c>
      <c r="BE22">
        <f>SUM(Tabel5[[#This Row],[Goals Verdediger]]+Tabel5[[#This Row],[Goals DefG]])</f>
        <v>11</v>
      </c>
      <c r="BF22">
        <f>IF(Tabel5[[#This Row],[Aantal games Alg]]=0,0,Tabel5[[#This Row],[Goals DefA]]/Tabel5[[#This Row],[Aantal games Alg]])</f>
        <v>2.2000000000000002</v>
      </c>
      <c r="BG22">
        <f>SUM(Tabel5[[#This Row],[Goals Aanvaller]]+Tabel5[[#This Row],[Goals OffG]])</f>
        <v>49</v>
      </c>
      <c r="BH22">
        <f>IF(Tabel5[[#This Row],[Aantal games Alg]]=0,0,Tabel5[[#This Row],[Goals OffA]]/Tabel5[[#This Row],[Aantal games Alg]])</f>
        <v>9.8000000000000007</v>
      </c>
      <c r="BI22" s="112">
        <f>Tabel5[[#This Row],[Goals DefA]]+Tabel5[[#This Row],[Goals OffA]]</f>
        <v>60</v>
      </c>
      <c r="BJ22" s="112">
        <f>IF(Tabel5[[#This Row],[Aantal games Alg]]=0,0,Tabel5[[#This Row],[Goals Alg]]/Tabel5[[#This Row],[Aantal games Alg]])</f>
        <v>12</v>
      </c>
      <c r="BK22" s="148">
        <f ca="1">SUMIF(Tabel15[Team Rood],Tabel5[[#This Row],[Team]],Tabel15[ET])</f>
        <v>2.3002546295174398E-2</v>
      </c>
      <c r="BL22" s="150">
        <f>SUMIF(Tabel15[Team Groen],Tabel5[[#This Row],[Team]],Tabel15[ET])</f>
        <v>0</v>
      </c>
      <c r="BM22" s="153">
        <f ca="1">SUM(Tabel5[[#This Row],[ET Groen tot]],Tabel5[[#This Row],[ET Rood tot]])</f>
        <v>2.3002546295174398E-2</v>
      </c>
      <c r="BN22" s="155">
        <f ca="1">IF(Tabel5[[#This Row],[Aantal games Alg]]=0,0,Tabel5[[#This Row],[ET tot]]/Tabel5[[#This Row],[Aantal games Alg]])</f>
        <v>4.6005092590348795E-3</v>
      </c>
    </row>
    <row r="23" spans="1:66" x14ac:dyDescent="0.25">
      <c r="A23" s="215">
        <v>43890.95047152778</v>
      </c>
      <c r="B23" s="218">
        <v>43890.95047152778</v>
      </c>
      <c r="C23" s="216">
        <v>43890.960916203701</v>
      </c>
      <c r="D23" s="217">
        <v>1.0444675921462476E-2</v>
      </c>
      <c r="E23" s="74">
        <v>22</v>
      </c>
      <c r="F23" s="205" t="s">
        <v>11</v>
      </c>
      <c r="G23" s="210">
        <v>5</v>
      </c>
      <c r="H23" s="205" t="s">
        <v>8</v>
      </c>
      <c r="I23" s="210">
        <v>1</v>
      </c>
      <c r="J23" s="206" t="s">
        <v>0</v>
      </c>
      <c r="K23" s="212">
        <v>2</v>
      </c>
      <c r="L23" s="206" t="s">
        <v>7</v>
      </c>
      <c r="M23" s="212">
        <v>9</v>
      </c>
      <c r="N23" s="81">
        <v>6</v>
      </c>
      <c r="O23" s="82">
        <v>11</v>
      </c>
      <c r="P2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Row],[Score4]]&lt;&gt;""),IF(AND(N23&gt;O23,N23&gt;=11),"ROOD",IF(AND(O23&gt;=11,N23&lt;&gt;O23),"GROEN","")),"")</f>
        <v>GROEN</v>
      </c>
      <c r="Q23" s="86" t="str">
        <f t="shared" si="0"/>
        <v>Jonas</v>
      </c>
      <c r="R23" s="87" t="str">
        <f t="shared" si="1"/>
        <v>Tiemen</v>
      </c>
      <c r="S23" t="str">
        <f>Tabel15[[#This Row],[Rood Verdediging]]&amp;Tabel15[[#This Row],[Rood Aanval]]</f>
        <v>MatthijsLouis</v>
      </c>
      <c r="T23" t="str">
        <f>Tabel15[[#This Row],[Groen Verdediging]]&amp;Tabel15[[#This Row],[Groen Aanval]]</f>
        <v>JonasTiemen</v>
      </c>
      <c r="U23" t="str">
        <f>Tabel15[[#This Row],[Winnaar 1]]&amp;Tabel15[[#This Row],[Winnaar 2]]</f>
        <v>JonasTiemen</v>
      </c>
      <c r="V23" s="147" t="b">
        <f>IF(Tabel15[[#This Row],[Team Rood]]=Tabel15[[#This Row],[Winnaars]],Tabel15[[#This Row],[Team Rood]])</f>
        <v>0</v>
      </c>
      <c r="W23" s="147" t="str">
        <f>IF(Tabel15[[#This Row],[Team Groen]]=Tabel15[[#This Row],[Winnaars]],Tabel15[[#This Row],[Team Groen]])</f>
        <v>JonasTiemen</v>
      </c>
      <c r="X23" s="283">
        <v>-0.49502065010149121</v>
      </c>
      <c r="Y23" s="283">
        <v>-0.36336514665163772</v>
      </c>
      <c r="Z23" s="283">
        <v>15.011087938440046</v>
      </c>
      <c r="AA23" s="283">
        <v>15.546077719369482</v>
      </c>
      <c r="AL23" s="251" t="s">
        <v>163</v>
      </c>
      <c r="AM23" s="233" t="s">
        <v>166</v>
      </c>
      <c r="AN23" s="140" t="str">
        <f t="shared" si="6"/>
        <v>Bert*Stijn*</v>
      </c>
      <c r="AO23" s="160">
        <f>IF(Tabel5[[#This Row],[Aantal Games Rood]]=0,0,(Tabel5[[#This Row],[Wins Rood]])/Tabel5[[#This Row],[Aantal Games Rood]])</f>
        <v>0</v>
      </c>
      <c r="AP23" s="159">
        <f>IF(Tabel5[[#This Row],[Aantal Games Groen]]=0,0,(Tabel5[[#This Row],[Wins Groen]])/Tabel5[[#This Row],[Aantal Games Groen]])</f>
        <v>0</v>
      </c>
      <c r="AQ23" s="156">
        <f>IF(Tabel5[[#This Row],[Aantal games Alg]]=0,0,(Tabel5[[#This Row],[Wins Alg]])/Tabel5[[#This Row],[Aantal games Alg]])</f>
        <v>0</v>
      </c>
      <c r="AR23" s="133">
        <f>COUNTIF(Tabel15[Winaar rood],Tabel5[[#This Row],[Team]])</f>
        <v>0</v>
      </c>
      <c r="AS23" s="134">
        <f>COUNTIF(Tabel15[Winnaar Groen],Tabel5[[#This Row],[Team]])</f>
        <v>0</v>
      </c>
      <c r="AT23">
        <f>COUNTIF(Tabel15[Winnaars],Tabel5[[#This Row],[Team]])</f>
        <v>0</v>
      </c>
      <c r="AU23" s="135">
        <f>Tabel5[[#This Row],[Aantal Games Rood]]-Tabel5[[#This Row],[Wins Rood]]</f>
        <v>0</v>
      </c>
      <c r="AV23" s="136">
        <f>Tabel5[[#This Row],[Aantal Games Groen]]-Tabel5[[#This Row],[Wins Groen]]</f>
        <v>0</v>
      </c>
      <c r="AW23" s="137">
        <f>Tabel5[[#This Row],[Aantal games Alg]]-Tabel5[[#This Row],[Wins Alg]]</f>
        <v>0</v>
      </c>
      <c r="AX23" s="138">
        <f>COUNTIF(Tabel15[Team Rood],Tabel5[[#This Row],[Team]])</f>
        <v>0</v>
      </c>
      <c r="AY23" s="136">
        <f>COUNTIF(Tabel15[Team Groen],Tabel5[[#This Row],[Team]])</f>
        <v>0</v>
      </c>
      <c r="AZ23" s="112">
        <f>Tabel5[[#This Row],[Aantal Games Rood]]+Tabel5[[#This Row],[Aantal Games Groen]]</f>
        <v>0</v>
      </c>
      <c r="BA23" s="138">
        <f>SUMIF(Tabel15[Team Rood],Tabel5[[#This Row],[Team]],Tabel15[Score])</f>
        <v>0</v>
      </c>
      <c r="BB23" s="138">
        <f>SUMIF(Tabel15[Team Rood],Tabel5[[#This Row],[Team]],Tabel15[Score2])</f>
        <v>0</v>
      </c>
      <c r="BC23" s="134">
        <f>SUMIF(Tabel15[Team Groen],Tabel5[[#This Row],[Team]],Tabel15[Score3])</f>
        <v>0</v>
      </c>
      <c r="BD23" s="136">
        <f>SUMIF(Tabel15[Team Groen],Tabel5[[#This Row],[Team]],Tabel15[Score4])</f>
        <v>0</v>
      </c>
      <c r="BE23">
        <f>SUM(Tabel5[[#This Row],[Goals Verdediger]]+Tabel5[[#This Row],[Goals DefG]])</f>
        <v>0</v>
      </c>
      <c r="BF23">
        <f>IF(Tabel5[[#This Row],[Aantal games Alg]]=0,0,Tabel5[[#This Row],[Goals DefA]]/Tabel5[[#This Row],[Aantal games Alg]])</f>
        <v>0</v>
      </c>
      <c r="BG23">
        <f>SUM(Tabel5[[#This Row],[Goals Aanvaller]]+Tabel5[[#This Row],[Goals OffG]])</f>
        <v>0</v>
      </c>
      <c r="BH23">
        <f>IF(Tabel5[[#This Row],[Aantal games Alg]]=0,0,Tabel5[[#This Row],[Goals OffA]]/Tabel5[[#This Row],[Aantal games Alg]])</f>
        <v>0</v>
      </c>
      <c r="BI23" s="112">
        <f>Tabel5[[#This Row],[Goals DefA]]+Tabel5[[#This Row],[Goals OffA]]</f>
        <v>0</v>
      </c>
      <c r="BJ23" s="112">
        <f>IF(Tabel5[[#This Row],[Aantal games Alg]]=0,0,Tabel5[[#This Row],[Goals Alg]]/Tabel5[[#This Row],[Aantal games Alg]])</f>
        <v>0</v>
      </c>
      <c r="BK23" s="148">
        <f>SUMIF(Tabel15[Team Rood],Tabel5[[#This Row],[Team]],Tabel15[ET])</f>
        <v>0</v>
      </c>
      <c r="BL23" s="150">
        <f>SUMIF(Tabel15[Team Groen],Tabel5[[#This Row],[Team]],Tabel15[ET])</f>
        <v>0</v>
      </c>
      <c r="BM23" s="153">
        <f>SUM(Tabel5[[#This Row],[ET Groen tot]],Tabel5[[#This Row],[ET Rood tot]])</f>
        <v>0</v>
      </c>
      <c r="BN23" s="155">
        <f>IF(Tabel5[[#This Row],[Aantal games Alg]]=0,0,Tabel5[[#This Row],[ET tot]]/Tabel5[[#This Row],[Aantal games Alg]])</f>
        <v>0</v>
      </c>
    </row>
    <row r="24" spans="1:66" x14ac:dyDescent="0.25">
      <c r="A24" s="215">
        <v>43890.977920949073</v>
      </c>
      <c r="B24" s="218">
        <v>43890.977920949073</v>
      </c>
      <c r="C24" s="216">
        <v>43890.977938310185</v>
      </c>
      <c r="D24" s="217">
        <v>1.7361111531499773E-5</v>
      </c>
      <c r="E24" s="74">
        <v>23</v>
      </c>
      <c r="F24" s="205" t="s">
        <v>11</v>
      </c>
      <c r="G24" s="210">
        <v>8</v>
      </c>
      <c r="H24" s="205" t="s">
        <v>6</v>
      </c>
      <c r="I24" s="210">
        <v>3</v>
      </c>
      <c r="J24" s="206" t="s">
        <v>7</v>
      </c>
      <c r="K24" s="212">
        <v>3</v>
      </c>
      <c r="L24" s="206" t="s">
        <v>167</v>
      </c>
      <c r="M24" s="212">
        <v>5</v>
      </c>
      <c r="N24" s="81">
        <v>11</v>
      </c>
      <c r="O24" s="82">
        <v>8</v>
      </c>
      <c r="P2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Row],[Score4]]&lt;&gt;""),IF(AND(N24&gt;O24,N24&gt;=11),"ROOD",IF(AND(O24&gt;=11,N24&lt;&gt;O24),"GROEN","")),"")</f>
        <v>ROOD</v>
      </c>
      <c r="Q24" s="86" t="str">
        <f t="shared" si="0"/>
        <v>Matthijs</v>
      </c>
      <c r="R24" s="87" t="str">
        <f t="shared" si="1"/>
        <v>Stef D</v>
      </c>
      <c r="S24" t="str">
        <f>Tabel15[[#This Row],[Rood Verdediging]]&amp;Tabel15[[#This Row],[Rood Aanval]]</f>
        <v>MatthijsStef D</v>
      </c>
      <c r="T24" t="str">
        <f>Tabel15[[#This Row],[Groen Verdediging]]&amp;Tabel15[[#This Row],[Groen Aanval]]</f>
        <v>TiemenCoghe</v>
      </c>
      <c r="U24" t="str">
        <f>Tabel15[[#This Row],[Winnaar 1]]&amp;Tabel15[[#This Row],[Winnaar 2]]</f>
        <v>MatthijsStef D</v>
      </c>
      <c r="V24" s="147" t="str">
        <f>IF(Tabel15[[#This Row],[Team Rood]]=Tabel15[[#This Row],[Winnaars]],Tabel15[[#This Row],[Team Rood]])</f>
        <v>MatthijsStef D</v>
      </c>
      <c r="W24" s="147" t="b">
        <f>IF(Tabel15[[#This Row],[Team Groen]]=Tabel15[[#This Row],[Winnaars]],Tabel15[[#This Row],[Team Groen]])</f>
        <v>0</v>
      </c>
      <c r="X24" s="283">
        <v>6.8543825412624226</v>
      </c>
      <c r="Y24" s="283">
        <v>5.882497920404842</v>
      </c>
      <c r="Z24" s="283">
        <v>5.0552251911242516</v>
      </c>
      <c r="AA24" s="283">
        <v>6.5021164478194482</v>
      </c>
      <c r="AL24" s="251" t="s">
        <v>163</v>
      </c>
      <c r="AM24" s="233" t="s">
        <v>160</v>
      </c>
      <c r="AN24" s="140" t="str">
        <f t="shared" si="6"/>
        <v>Bert*Tiemen*</v>
      </c>
      <c r="AO24" s="160">
        <f>IF(Tabel5[[#This Row],[Aantal Games Rood]]=0,0,(Tabel5[[#This Row],[Wins Rood]])/Tabel5[[#This Row],[Aantal Games Rood]])</f>
        <v>0</v>
      </c>
      <c r="AP24" s="159">
        <f>IF(Tabel5[[#This Row],[Aantal Games Groen]]=0,0,(Tabel5[[#This Row],[Wins Groen]])/Tabel5[[#This Row],[Aantal Games Groen]])</f>
        <v>1</v>
      </c>
      <c r="AQ24" s="156">
        <f>IF(Tabel5[[#This Row],[Aantal games Alg]]=0,0,(Tabel5[[#This Row],[Wins Alg]])/Tabel5[[#This Row],[Aantal games Alg]])</f>
        <v>1</v>
      </c>
      <c r="AR24" s="133">
        <f>COUNTIF(Tabel15[Winaar rood],Tabel5[[#This Row],[Team]])</f>
        <v>0</v>
      </c>
      <c r="AS24" s="134">
        <f>COUNTIF(Tabel15[Winnaar Groen],Tabel5[[#This Row],[Team]])</f>
        <v>1</v>
      </c>
      <c r="AT24">
        <f>COUNTIF(Tabel15[Winnaars],Tabel5[[#This Row],[Team]])</f>
        <v>1</v>
      </c>
      <c r="AU24" s="135">
        <f>Tabel5[[#This Row],[Aantal Games Rood]]-Tabel5[[#This Row],[Wins Rood]]</f>
        <v>0</v>
      </c>
      <c r="AV24" s="136">
        <f>Tabel5[[#This Row],[Aantal Games Groen]]-Tabel5[[#This Row],[Wins Groen]]</f>
        <v>0</v>
      </c>
      <c r="AW24" s="137">
        <f>Tabel5[[#This Row],[Aantal games Alg]]-Tabel5[[#This Row],[Wins Alg]]</f>
        <v>0</v>
      </c>
      <c r="AX24" s="138">
        <f>COUNTIF(Tabel15[Team Rood],Tabel5[[#This Row],[Team]])</f>
        <v>0</v>
      </c>
      <c r="AY24" s="136">
        <f>COUNTIF(Tabel15[Team Groen],Tabel5[[#This Row],[Team]])</f>
        <v>1</v>
      </c>
      <c r="AZ24" s="112">
        <f>Tabel5[[#This Row],[Aantal Games Rood]]+Tabel5[[#This Row],[Aantal Games Groen]]</f>
        <v>1</v>
      </c>
      <c r="BA24" s="138">
        <f>SUMIF(Tabel15[Team Rood],Tabel5[[#This Row],[Team]],Tabel15[Score])</f>
        <v>0</v>
      </c>
      <c r="BB24" s="138">
        <f>SUMIF(Tabel15[Team Rood],Tabel5[[#This Row],[Team]],Tabel15[Score2])</f>
        <v>0</v>
      </c>
      <c r="BC24" s="134">
        <f>SUMIF(Tabel15[Team Groen],Tabel5[[#This Row],[Team]],Tabel15[Score3])</f>
        <v>4</v>
      </c>
      <c r="BD24" s="136">
        <f>SUMIF(Tabel15[Team Groen],Tabel5[[#This Row],[Team]],Tabel15[Score4])</f>
        <v>8</v>
      </c>
      <c r="BE24">
        <f>SUM(Tabel5[[#This Row],[Goals Verdediger]]+Tabel5[[#This Row],[Goals DefG]])</f>
        <v>4</v>
      </c>
      <c r="BF24">
        <f>IF(Tabel5[[#This Row],[Aantal games Alg]]=0,0,Tabel5[[#This Row],[Goals DefA]]/Tabel5[[#This Row],[Aantal games Alg]])</f>
        <v>4</v>
      </c>
      <c r="BG24">
        <f>SUM(Tabel5[[#This Row],[Goals Aanvaller]]+Tabel5[[#This Row],[Goals OffG]])</f>
        <v>8</v>
      </c>
      <c r="BH24">
        <f>IF(Tabel5[[#This Row],[Aantal games Alg]]=0,0,Tabel5[[#This Row],[Goals OffA]]/Tabel5[[#This Row],[Aantal games Alg]])</f>
        <v>8</v>
      </c>
      <c r="BI24" s="112">
        <f>Tabel5[[#This Row],[Goals DefA]]+Tabel5[[#This Row],[Goals OffA]]</f>
        <v>12</v>
      </c>
      <c r="BJ24" s="112">
        <f>IF(Tabel5[[#This Row],[Aantal games Alg]]=0,0,Tabel5[[#This Row],[Goals Alg]]/Tabel5[[#This Row],[Aantal games Alg]])</f>
        <v>12</v>
      </c>
      <c r="BK24" s="148">
        <f>SUMIF(Tabel15[Team Rood],Tabel5[[#This Row],[Team]],Tabel15[ET])</f>
        <v>0</v>
      </c>
      <c r="BL24" s="150">
        <f ca="1">SUMIF(Tabel15[Team Groen],Tabel5[[#This Row],[Team]],Tabel15[ET])</f>
        <v>3.9351849409285933E-5</v>
      </c>
      <c r="BM24" s="153">
        <f ca="1">SUM(Tabel5[[#This Row],[ET Groen tot]],Tabel5[[#This Row],[ET Rood tot]])</f>
        <v>3.9351849409285933E-5</v>
      </c>
      <c r="BN24" s="155">
        <f ca="1">IF(Tabel5[[#This Row],[Aantal games Alg]]=0,0,Tabel5[[#This Row],[ET tot]]/Tabel5[[#This Row],[Aantal games Alg]])</f>
        <v>3.9351849409285933E-5</v>
      </c>
    </row>
    <row r="25" spans="1:66" x14ac:dyDescent="0.25">
      <c r="A25" s="215">
        <v>43890.990700231479</v>
      </c>
      <c r="B25" s="218">
        <v>43890.990700231479</v>
      </c>
      <c r="C25" s="216">
        <v>43891.000329166665</v>
      </c>
      <c r="D25" s="217">
        <v>9.628935185901355E-3</v>
      </c>
      <c r="E25" s="74">
        <v>24</v>
      </c>
      <c r="F25" s="205" t="s">
        <v>6</v>
      </c>
      <c r="G25" s="210">
        <v>5</v>
      </c>
      <c r="H25" s="205" t="s">
        <v>11</v>
      </c>
      <c r="I25" s="210">
        <v>6</v>
      </c>
      <c r="J25" s="206" t="s">
        <v>167</v>
      </c>
      <c r="K25" s="212">
        <v>2</v>
      </c>
      <c r="L25" s="206" t="s">
        <v>7</v>
      </c>
      <c r="M25" s="212">
        <v>5</v>
      </c>
      <c r="N25" s="81">
        <v>11</v>
      </c>
      <c r="O25" s="82">
        <v>7</v>
      </c>
      <c r="P2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Row],[Score4]]&lt;&gt;""),IF(AND(N25&gt;O25,N25&gt;=11),"ROOD",IF(AND(O25&gt;=11,N25&lt;&gt;O25),"GROEN","")),"")</f>
        <v>ROOD</v>
      </c>
      <c r="Q25" s="86" t="str">
        <f t="shared" si="0"/>
        <v>Stef D</v>
      </c>
      <c r="R25" s="87" t="str">
        <f t="shared" si="1"/>
        <v>Matthijs</v>
      </c>
      <c r="S25" t="str">
        <f>Tabel15[[#This Row],[Rood Verdediging]]&amp;Tabel15[[#This Row],[Rood Aanval]]</f>
        <v>Stef DMatthijs</v>
      </c>
      <c r="T25" t="str">
        <f>Tabel15[[#This Row],[Groen Verdediging]]&amp;Tabel15[[#This Row],[Groen Aanval]]</f>
        <v>CogheTiemen</v>
      </c>
      <c r="U25" t="str">
        <f>Tabel15[[#This Row],[Winnaar 1]]&amp;Tabel15[[#This Row],[Winnaar 2]]</f>
        <v>Stef DMatthijs</v>
      </c>
      <c r="V25" s="147" t="str">
        <f>IF(Tabel15[[#This Row],[Team Rood]]=Tabel15[[#This Row],[Winnaars]],Tabel15[[#This Row],[Team Rood]])</f>
        <v>Stef DMatthijs</v>
      </c>
      <c r="W25" s="147" t="b">
        <f>IF(Tabel15[[#This Row],[Team Groen]]=Tabel15[[#This Row],[Winnaars]],Tabel15[[#This Row],[Team Groen]])</f>
        <v>0</v>
      </c>
      <c r="X25" s="283">
        <v>28.827465857212125</v>
      </c>
      <c r="Y25" s="283">
        <v>41.886569705891333</v>
      </c>
      <c r="Z25" s="283">
        <v>-8.9393038366606206</v>
      </c>
      <c r="AA25" s="283">
        <v>-7.7809587785212475</v>
      </c>
      <c r="AL25" s="251" t="s">
        <v>163</v>
      </c>
      <c r="AM25" s="233" t="s">
        <v>157</v>
      </c>
      <c r="AN25" s="140" t="str">
        <f t="shared" si="6"/>
        <v>Bert*Tobi*</v>
      </c>
      <c r="AO25" s="160">
        <f>IF(Tabel5[[#This Row],[Aantal Games Rood]]=0,0,(Tabel5[[#This Row],[Wins Rood]])/Tabel5[[#This Row],[Aantal Games Rood]])</f>
        <v>0</v>
      </c>
      <c r="AP25" s="159">
        <f>IF(Tabel5[[#This Row],[Aantal Games Groen]]=0,0,(Tabel5[[#This Row],[Wins Groen]])/Tabel5[[#This Row],[Aantal Games Groen]])</f>
        <v>0</v>
      </c>
      <c r="AQ25" s="156">
        <f>IF(Tabel5[[#This Row],[Aantal games Alg]]=0,0,(Tabel5[[#This Row],[Wins Alg]])/Tabel5[[#This Row],[Aantal games Alg]])</f>
        <v>0</v>
      </c>
      <c r="AR25" s="133">
        <f>COUNTIF(Tabel15[Winaar rood],Tabel5[[#This Row],[Team]])</f>
        <v>0</v>
      </c>
      <c r="AS25" s="134">
        <f>COUNTIF(Tabel15[Winnaar Groen],Tabel5[[#This Row],[Team]])</f>
        <v>0</v>
      </c>
      <c r="AT25">
        <f>COUNTIF(Tabel15[Winnaars],Tabel5[[#This Row],[Team]])</f>
        <v>0</v>
      </c>
      <c r="AU25" s="135">
        <f>Tabel5[[#This Row],[Aantal Games Rood]]-Tabel5[[#This Row],[Wins Rood]]</f>
        <v>0</v>
      </c>
      <c r="AV25" s="136">
        <f>Tabel5[[#This Row],[Aantal Games Groen]]-Tabel5[[#This Row],[Wins Groen]]</f>
        <v>0</v>
      </c>
      <c r="AW25" s="137">
        <f>Tabel5[[#This Row],[Aantal games Alg]]-Tabel5[[#This Row],[Wins Alg]]</f>
        <v>0</v>
      </c>
      <c r="AX25" s="138">
        <f>COUNTIF(Tabel15[Team Rood],Tabel5[[#This Row],[Team]])</f>
        <v>0</v>
      </c>
      <c r="AY25" s="136">
        <f>COUNTIF(Tabel15[Team Groen],Tabel5[[#This Row],[Team]])</f>
        <v>0</v>
      </c>
      <c r="AZ25" s="112">
        <f>Tabel5[[#This Row],[Aantal Games Rood]]+Tabel5[[#This Row],[Aantal Games Groen]]</f>
        <v>0</v>
      </c>
      <c r="BA25" s="138">
        <f>SUMIF(Tabel15[Team Rood],Tabel5[[#This Row],[Team]],Tabel15[Score])</f>
        <v>0</v>
      </c>
      <c r="BB25" s="138">
        <f>SUMIF(Tabel15[Team Rood],Tabel5[[#This Row],[Team]],Tabel15[Score2])</f>
        <v>0</v>
      </c>
      <c r="BC25" s="134">
        <f>SUMIF(Tabel15[Team Groen],Tabel5[[#This Row],[Team]],Tabel15[Score3])</f>
        <v>0</v>
      </c>
      <c r="BD25" s="136">
        <f>SUMIF(Tabel15[Team Groen],Tabel5[[#This Row],[Team]],Tabel15[Score4])</f>
        <v>0</v>
      </c>
      <c r="BE25">
        <f>SUM(Tabel5[[#This Row],[Goals Verdediger]]+Tabel5[[#This Row],[Goals DefG]])</f>
        <v>0</v>
      </c>
      <c r="BF25">
        <f>IF(Tabel5[[#This Row],[Aantal games Alg]]=0,0,Tabel5[[#This Row],[Goals DefA]]/Tabel5[[#This Row],[Aantal games Alg]])</f>
        <v>0</v>
      </c>
      <c r="BG25">
        <f>SUM(Tabel5[[#This Row],[Goals Aanvaller]]+Tabel5[[#This Row],[Goals OffG]])</f>
        <v>0</v>
      </c>
      <c r="BH25">
        <f>IF(Tabel5[[#This Row],[Aantal games Alg]]=0,0,Tabel5[[#This Row],[Goals OffA]]/Tabel5[[#This Row],[Aantal games Alg]])</f>
        <v>0</v>
      </c>
      <c r="BI25" s="112">
        <f>Tabel5[[#This Row],[Goals DefA]]+Tabel5[[#This Row],[Goals OffA]]</f>
        <v>0</v>
      </c>
      <c r="BJ25" s="112">
        <f>IF(Tabel5[[#This Row],[Aantal games Alg]]=0,0,Tabel5[[#This Row],[Goals Alg]]/Tabel5[[#This Row],[Aantal games Alg]])</f>
        <v>0</v>
      </c>
      <c r="BK25" s="148">
        <f>SUMIF(Tabel15[Team Rood],Tabel5[[#This Row],[Team]],Tabel15[ET])</f>
        <v>0</v>
      </c>
      <c r="BL25" s="150">
        <f>SUMIF(Tabel15[Team Groen],Tabel5[[#This Row],[Team]],Tabel15[ET])</f>
        <v>0</v>
      </c>
      <c r="BM25" s="153">
        <f>SUM(Tabel5[[#This Row],[ET Groen tot]],Tabel5[[#This Row],[ET Rood tot]])</f>
        <v>0</v>
      </c>
      <c r="BN25" s="155">
        <f>IF(Tabel5[[#This Row],[Aantal games Alg]]=0,0,Tabel5[[#This Row],[ET tot]]/Tabel5[[#This Row],[Aantal games Alg]])</f>
        <v>0</v>
      </c>
    </row>
    <row r="26" spans="1:66" x14ac:dyDescent="0.25">
      <c r="A26" s="215">
        <v>43890.990700231479</v>
      </c>
      <c r="B26" s="218">
        <v>43890.990700231479</v>
      </c>
      <c r="C26" s="216">
        <v>43891.000329166665</v>
      </c>
      <c r="D26" s="217">
        <v>9.628935185901355E-3</v>
      </c>
      <c r="E26" s="74">
        <v>25</v>
      </c>
      <c r="F26" s="205" t="s">
        <v>0</v>
      </c>
      <c r="G26" s="210">
        <v>2</v>
      </c>
      <c r="H26" s="205" t="s">
        <v>6</v>
      </c>
      <c r="I26" s="210">
        <v>9</v>
      </c>
      <c r="J26" s="206" t="s">
        <v>11</v>
      </c>
      <c r="K26" s="212">
        <v>2</v>
      </c>
      <c r="L26" s="206" t="s">
        <v>8</v>
      </c>
      <c r="M26" s="212">
        <v>6</v>
      </c>
      <c r="N26" s="81">
        <v>11</v>
      </c>
      <c r="O26" s="82">
        <v>8</v>
      </c>
      <c r="P2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Row],[Score4]]&lt;&gt;""),IF(AND(N26&gt;O26,N26&gt;=11),"ROOD",IF(AND(O26&gt;=11,N26&lt;&gt;O26),"GROEN","")),"")</f>
        <v>ROOD</v>
      </c>
      <c r="Q26" s="86" t="str">
        <f t="shared" si="0"/>
        <v>Jonas</v>
      </c>
      <c r="R26" s="87" t="str">
        <f t="shared" si="1"/>
        <v>Stef D</v>
      </c>
      <c r="S26" t="str">
        <f>Tabel15[[#This Row],[Rood Verdediging]]&amp;Tabel15[[#This Row],[Rood Aanval]]</f>
        <v>JonasStef D</v>
      </c>
      <c r="T26" t="str">
        <f>Tabel15[[#This Row],[Groen Verdediging]]&amp;Tabel15[[#This Row],[Groen Aanval]]</f>
        <v>MatthijsLouis</v>
      </c>
      <c r="U26" t="str">
        <f>Tabel15[[#This Row],[Winnaar 1]]&amp;Tabel15[[#This Row],[Winnaar 2]]</f>
        <v>JonasStef D</v>
      </c>
      <c r="V26" s="147" t="str">
        <f>IF(Tabel15[[#This Row],[Team Rood]]=Tabel15[[#This Row],[Winnaars]],Tabel15[[#This Row],[Team Rood]])</f>
        <v>JonasStef D</v>
      </c>
      <c r="W26" s="147" t="b">
        <f>IF(Tabel15[[#This Row],[Team Groen]]=Tabel15[[#This Row],[Winnaars]],Tabel15[[#This Row],[Team Groen]])</f>
        <v>0</v>
      </c>
      <c r="X26" s="283">
        <v>10.112737576193812</v>
      </c>
      <c r="Y26" s="283">
        <v>8.2659109735450116</v>
      </c>
      <c r="Z26" s="283">
        <v>3.4882210957260793</v>
      </c>
      <c r="AA26" s="283">
        <v>4.0006738270727524</v>
      </c>
      <c r="AL26" s="251" t="s">
        <v>168</v>
      </c>
      <c r="AM26" s="233" t="s">
        <v>158</v>
      </c>
      <c r="AN26" s="140" t="str">
        <f t="shared" si="6"/>
        <v>Coghe*Arno*</v>
      </c>
      <c r="AO26" s="160">
        <f>IF(Tabel5[[#This Row],[Aantal Games Rood]]=0,0,(Tabel5[[#This Row],[Wins Rood]])/Tabel5[[#This Row],[Aantal Games Rood]])</f>
        <v>0</v>
      </c>
      <c r="AP26" s="159">
        <f>IF(Tabel5[[#This Row],[Aantal Games Groen]]=0,0,(Tabel5[[#This Row],[Wins Groen]])/Tabel5[[#This Row],[Aantal Games Groen]])</f>
        <v>0</v>
      </c>
      <c r="AQ26" s="156">
        <f>IF(Tabel5[[#This Row],[Aantal games Alg]]=0,0,(Tabel5[[#This Row],[Wins Alg]])/Tabel5[[#This Row],[Aantal games Alg]])</f>
        <v>0</v>
      </c>
      <c r="AR26" s="138">
        <f>COUNTIF(Tabel15[Winaar rood],Tabel5[[#This Row],[Team]])</f>
        <v>0</v>
      </c>
      <c r="AS26" s="134">
        <f>COUNTIF(Tabel15[Winnaar Groen],Tabel5[[#This Row],[Team]])</f>
        <v>0</v>
      </c>
      <c r="AT26" s="293">
        <f>COUNTIF(Tabel15[Winnaars],Tabel5[[#This Row],[Team]])</f>
        <v>0</v>
      </c>
      <c r="AU26" s="135">
        <f>Tabel5[[#This Row],[Aantal Games Rood]]-Tabel5[[#This Row],[Wins Rood]]</f>
        <v>0</v>
      </c>
      <c r="AV26" s="136">
        <f>Tabel5[[#This Row],[Aantal Games Groen]]-Tabel5[[#This Row],[Wins Groen]]</f>
        <v>0</v>
      </c>
      <c r="AW26" s="137">
        <f>Tabel5[[#This Row],[Aantal games Alg]]-Tabel5[[#This Row],[Wins Alg]]</f>
        <v>0</v>
      </c>
      <c r="AX26" s="138">
        <f>COUNTIF(Tabel15[Team Rood],Tabel5[[#This Row],[Team]])</f>
        <v>0</v>
      </c>
      <c r="AY26" s="136">
        <f>COUNTIF(Tabel15[Team Groen],Tabel5[[#This Row],[Team]])</f>
        <v>0</v>
      </c>
      <c r="AZ26" s="214">
        <f>Tabel5[[#This Row],[Aantal Games Rood]]+Tabel5[[#This Row],[Aantal Games Groen]]</f>
        <v>0</v>
      </c>
      <c r="BA26" s="138">
        <f>SUMIF(Tabel15[Team Rood],Tabel5[[#This Row],[Team]],Tabel15[Score])</f>
        <v>0</v>
      </c>
      <c r="BB26" s="138">
        <f>SUMIF(Tabel15[Team Rood],Tabel5[[#This Row],[Team]],Tabel15[Score2])</f>
        <v>0</v>
      </c>
      <c r="BC26" s="134">
        <f>SUMIF(Tabel15[Team Groen],Tabel5[[#This Row],[Team]],Tabel15[Score3])</f>
        <v>0</v>
      </c>
      <c r="BD26" s="136">
        <f>SUMIF(Tabel15[Team Groen],Tabel5[[#This Row],[Team]],Tabel15[Score4])</f>
        <v>0</v>
      </c>
      <c r="BE26" s="293">
        <f>SUM(Tabel5[[#This Row],[Goals Verdediger]]+Tabel5[[#This Row],[Goals DefG]])</f>
        <v>0</v>
      </c>
      <c r="BF26" s="293">
        <f>IF(Tabel5[[#This Row],[Aantal games Alg]]=0,0,Tabel5[[#This Row],[Goals DefA]]/Tabel5[[#This Row],[Aantal games Alg]])</f>
        <v>0</v>
      </c>
      <c r="BG26" s="293">
        <f>SUM(Tabel5[[#This Row],[Goals Aanvaller]]+Tabel5[[#This Row],[Goals OffG]])</f>
        <v>0</v>
      </c>
      <c r="BH26" s="293">
        <f>IF(Tabel5[[#This Row],[Aantal games Alg]]=0,0,Tabel5[[#This Row],[Goals OffA]]/Tabel5[[#This Row],[Aantal games Alg]])</f>
        <v>0</v>
      </c>
      <c r="BI26" s="214">
        <f>Tabel5[[#This Row],[Goals DefA]]+Tabel5[[#This Row],[Goals OffA]]</f>
        <v>0</v>
      </c>
      <c r="BJ26" s="214">
        <f>IF(Tabel5[[#This Row],[Aantal games Alg]]=0,0,Tabel5[[#This Row],[Goals Alg]]/Tabel5[[#This Row],[Aantal games Alg]])</f>
        <v>0</v>
      </c>
      <c r="BK26" s="148">
        <f>SUMIF(Tabel15[Team Rood],Tabel5[[#This Row],[Team]],Tabel15[ET])</f>
        <v>0</v>
      </c>
      <c r="BL26" s="150">
        <f>SUMIF(Tabel15[Team Groen],Tabel5[[#This Row],[Team]],Tabel15[ET])</f>
        <v>0</v>
      </c>
      <c r="BM26" s="153">
        <f>SUM(Tabel5[[#This Row],[ET Groen tot]],Tabel5[[#This Row],[ET Rood tot]])</f>
        <v>0</v>
      </c>
      <c r="BN26" s="155">
        <f>IF(Tabel5[[#This Row],[Aantal games Alg]]=0,0,Tabel5[[#This Row],[ET tot]]/Tabel5[[#This Row],[Aantal games Alg]])</f>
        <v>0</v>
      </c>
    </row>
    <row r="27" spans="1:66" x14ac:dyDescent="0.25">
      <c r="A27" s="215">
        <v>43896.910661458336</v>
      </c>
      <c r="B27" s="218">
        <v>43896.910661458336</v>
      </c>
      <c r="C27" s="216">
        <v>43896.916261921295</v>
      </c>
      <c r="D27" s="217">
        <v>5.6004629586823285E-3</v>
      </c>
      <c r="E27" s="74">
        <v>26</v>
      </c>
      <c r="F27" s="205" t="s">
        <v>19</v>
      </c>
      <c r="G27" s="210">
        <v>1</v>
      </c>
      <c r="H27" s="205" t="s">
        <v>11</v>
      </c>
      <c r="I27" s="210">
        <v>2</v>
      </c>
      <c r="J27" s="206" t="s">
        <v>6</v>
      </c>
      <c r="K27" s="212">
        <v>3</v>
      </c>
      <c r="L27" s="206" t="s">
        <v>3</v>
      </c>
      <c r="M27" s="212">
        <v>8</v>
      </c>
      <c r="N27" s="81">
        <v>3</v>
      </c>
      <c r="O27" s="82">
        <v>11</v>
      </c>
      <c r="P2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Row],[Score4]]&lt;&gt;""),IF(AND(N27&gt;O27,N27&gt;=11),"ROOD",IF(AND(O27&gt;=11,N27&lt;&gt;O27),"GROEN","")),"")</f>
        <v>GROEN</v>
      </c>
      <c r="Q27" s="86" t="str">
        <f t="shared" si="0"/>
        <v>Stef D</v>
      </c>
      <c r="R27" s="87" t="str">
        <f t="shared" si="1"/>
        <v>Karel</v>
      </c>
      <c r="S27" t="str">
        <f>Tabel15[[#This Row],[Rood Verdediging]]&amp;Tabel15[[#This Row],[Rood Aanval]]</f>
        <v>NicolasMatthijs</v>
      </c>
      <c r="T27" t="str">
        <f>Tabel15[[#This Row],[Groen Verdediging]]&amp;Tabel15[[#This Row],[Groen Aanval]]</f>
        <v>Stef DKarel</v>
      </c>
      <c r="U27" t="str">
        <f>Tabel15[[#This Row],[Winnaar 1]]&amp;Tabel15[[#This Row],[Winnaar 2]]</f>
        <v>Stef DKarel</v>
      </c>
      <c r="V27" s="147" t="b">
        <f>IF(Tabel15[[#This Row],[Team Rood]]=Tabel15[[#This Row],[Winnaars]],Tabel15[[#This Row],[Team Rood]])</f>
        <v>0</v>
      </c>
      <c r="W27" s="147" t="str">
        <f>IF(Tabel15[[#This Row],[Team Groen]]=Tabel15[[#This Row],[Winnaars]],Tabel15[[#This Row],[Team Groen]])</f>
        <v>Stef DKarel</v>
      </c>
      <c r="X27" s="283">
        <v>7.8921007971819339</v>
      </c>
      <c r="Y27" s="283">
        <v>8.3137747152113501</v>
      </c>
      <c r="Z27" s="283">
        <v>5.2917871438546031</v>
      </c>
      <c r="AA27" s="283">
        <v>4.4371232438110386</v>
      </c>
      <c r="AL27" s="251" t="s">
        <v>168</v>
      </c>
      <c r="AM27" s="233" t="s">
        <v>163</v>
      </c>
      <c r="AN27" s="140" t="str">
        <f t="shared" si="6"/>
        <v>Coghe*Bert*</v>
      </c>
      <c r="AO27" s="160">
        <f>IF(Tabel5[[#This Row],[Aantal Games Rood]]=0,0,(Tabel5[[#This Row],[Wins Rood]])/Tabel5[[#This Row],[Aantal Games Rood]])</f>
        <v>0</v>
      </c>
      <c r="AP27" s="159">
        <f>IF(Tabel5[[#This Row],[Aantal Games Groen]]=0,0,(Tabel5[[#This Row],[Wins Groen]])/Tabel5[[#This Row],[Aantal Games Groen]])</f>
        <v>0.66666666666666663</v>
      </c>
      <c r="AQ27" s="156">
        <f>IF(Tabel5[[#This Row],[Aantal games Alg]]=0,0,(Tabel5[[#This Row],[Wins Alg]])/Tabel5[[#This Row],[Aantal games Alg]])</f>
        <v>0.66666666666666663</v>
      </c>
      <c r="AR27" s="133">
        <f>COUNTIF(Tabel15[Winaar rood],Tabel5[[#This Row],[Team]])</f>
        <v>0</v>
      </c>
      <c r="AS27" s="134">
        <f>COUNTIF(Tabel15[Winnaar Groen],Tabel5[[#This Row],[Team]])</f>
        <v>2</v>
      </c>
      <c r="AT27">
        <f>COUNTIF(Tabel15[Winnaars],Tabel5[[#This Row],[Team]])</f>
        <v>2</v>
      </c>
      <c r="AU27" s="135">
        <f>Tabel5[[#This Row],[Aantal Games Rood]]-Tabel5[[#This Row],[Wins Rood]]</f>
        <v>0</v>
      </c>
      <c r="AV27" s="136">
        <f>Tabel5[[#This Row],[Aantal Games Groen]]-Tabel5[[#This Row],[Wins Groen]]</f>
        <v>1</v>
      </c>
      <c r="AW27" s="137">
        <f>Tabel5[[#This Row],[Aantal games Alg]]-Tabel5[[#This Row],[Wins Alg]]</f>
        <v>1</v>
      </c>
      <c r="AX27" s="138">
        <f>COUNTIF(Tabel15[Team Rood],Tabel5[[#This Row],[Team]])</f>
        <v>0</v>
      </c>
      <c r="AY27" s="136">
        <f>COUNTIF(Tabel15[Team Groen],Tabel5[[#This Row],[Team]])</f>
        <v>3</v>
      </c>
      <c r="AZ27" s="112">
        <f>Tabel5[[#This Row],[Aantal Games Rood]]+Tabel5[[#This Row],[Aantal Games Groen]]</f>
        <v>3</v>
      </c>
      <c r="BA27" s="138">
        <f>SUMIF(Tabel15[Team Rood],Tabel5[[#This Row],[Team]],Tabel15[Score])</f>
        <v>0</v>
      </c>
      <c r="BB27" s="138">
        <f>SUMIF(Tabel15[Team Rood],Tabel5[[#This Row],[Team]],Tabel15[Score2])</f>
        <v>0</v>
      </c>
      <c r="BC27" s="134">
        <f>SUMIF(Tabel15[Team Groen],Tabel5[[#This Row],[Team]],Tabel15[Score3])</f>
        <v>6</v>
      </c>
      <c r="BD27" s="136">
        <f>SUMIF(Tabel15[Team Groen],Tabel5[[#This Row],[Team]],Tabel15[Score4])</f>
        <v>25</v>
      </c>
      <c r="BE27">
        <f>SUM(Tabel5[[#This Row],[Goals Verdediger]]+Tabel5[[#This Row],[Goals DefG]])</f>
        <v>6</v>
      </c>
      <c r="BF27">
        <f>IF(Tabel5[[#This Row],[Aantal games Alg]]=0,0,Tabel5[[#This Row],[Goals DefA]]/Tabel5[[#This Row],[Aantal games Alg]])</f>
        <v>2</v>
      </c>
      <c r="BG27">
        <f>SUM(Tabel5[[#This Row],[Goals Aanvaller]]+Tabel5[[#This Row],[Goals OffG]])</f>
        <v>25</v>
      </c>
      <c r="BH27">
        <f>IF(Tabel5[[#This Row],[Aantal games Alg]]=0,0,Tabel5[[#This Row],[Goals OffA]]/Tabel5[[#This Row],[Aantal games Alg]])</f>
        <v>8.3333333333333339</v>
      </c>
      <c r="BI27" s="112">
        <f>Tabel5[[#This Row],[Goals DefA]]+Tabel5[[#This Row],[Goals OffA]]</f>
        <v>31</v>
      </c>
      <c r="BJ27" s="112">
        <f>IF(Tabel5[[#This Row],[Aantal games Alg]]=0,0,Tabel5[[#This Row],[Goals Alg]]/Tabel5[[#This Row],[Aantal games Alg]])</f>
        <v>10.333333333333334</v>
      </c>
      <c r="BK27" s="148">
        <f>SUMIF(Tabel15[Team Rood],Tabel5[[#This Row],[Team]],Tabel15[ET])</f>
        <v>0</v>
      </c>
      <c r="BL27" s="150">
        <f ca="1">SUMIF(Tabel15[Team Groen],Tabel5[[#This Row],[Team]],Tabel15[ET])</f>
        <v>1.6896875000384171E-2</v>
      </c>
      <c r="BM27" s="153">
        <f ca="1">SUM(Tabel5[[#This Row],[ET Groen tot]],Tabel5[[#This Row],[ET Rood tot]])</f>
        <v>1.6896875000384171E-2</v>
      </c>
      <c r="BN27" s="155">
        <f ca="1">IF(Tabel5[[#This Row],[Aantal games Alg]]=0,0,Tabel5[[#This Row],[ET tot]]/Tabel5[[#This Row],[Aantal games Alg]])</f>
        <v>5.6322916667947238E-3</v>
      </c>
    </row>
    <row r="28" spans="1:66" x14ac:dyDescent="0.25">
      <c r="A28" s="215">
        <v>43876.894881828703</v>
      </c>
      <c r="B28" s="128">
        <v>43876.894881828703</v>
      </c>
      <c r="C28" s="126">
        <v>43876.90765011574</v>
      </c>
      <c r="D28" s="217">
        <v>1.2768287037033588E-2</v>
      </c>
      <c r="E28" s="74">
        <v>27</v>
      </c>
      <c r="F28" s="40" t="s">
        <v>0</v>
      </c>
      <c r="G28" s="76">
        <v>1</v>
      </c>
      <c r="H28" s="40" t="s">
        <v>6</v>
      </c>
      <c r="I28" s="76">
        <v>10</v>
      </c>
      <c r="J28" s="41" t="s">
        <v>167</v>
      </c>
      <c r="K28" s="78">
        <v>1</v>
      </c>
      <c r="L28" s="41" t="s">
        <v>3</v>
      </c>
      <c r="M28" s="78">
        <v>4</v>
      </c>
      <c r="N28" s="81">
        <v>11</v>
      </c>
      <c r="O28" s="82">
        <v>5</v>
      </c>
      <c r="P2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Row],[Score4]]&lt;&gt;""),IF(AND(N28&gt;O28,N28&gt;=11),"ROOD",IF(AND(O28&gt;=11,N28&lt;&gt;O28),"GROEN","")),"")</f>
        <v>ROOD</v>
      </c>
      <c r="Q28" s="86" t="str">
        <f t="shared" si="0"/>
        <v>Jonas</v>
      </c>
      <c r="R28" s="87" t="str">
        <f t="shared" si="1"/>
        <v>Stef D</v>
      </c>
      <c r="S28" t="str">
        <f>Tabel15[[#This Row],[Rood Verdediging]]&amp;Tabel15[[#This Row],[Rood Aanval]]</f>
        <v>JonasStef D</v>
      </c>
      <c r="T28" t="str">
        <f>Tabel15[[#This Row],[Groen Verdediging]]&amp;Tabel15[[#This Row],[Groen Aanval]]</f>
        <v>CogheKarel</v>
      </c>
      <c r="U28" t="str">
        <f>Tabel15[[#This Row],[Winnaar 1]]&amp;Tabel15[[#This Row],[Winnaar 2]]</f>
        <v>JonasStef D</v>
      </c>
      <c r="V28" s="147" t="str">
        <f>IF(Tabel15[[#This Row],[Team Rood]]=Tabel15[[#This Row],[Winnaars]],Tabel15[[#This Row],[Team Rood]])</f>
        <v>JonasStef D</v>
      </c>
      <c r="W28" s="147" t="b">
        <f>IF(Tabel15[[#This Row],[Team Groen]]=Tabel15[[#This Row],[Winnaars]],Tabel15[[#This Row],[Team Groen]])</f>
        <v>0</v>
      </c>
      <c r="X28" s="283">
        <v>13.682616588868193</v>
      </c>
      <c r="Y28" s="283">
        <v>11.796022373468757</v>
      </c>
      <c r="Z28" s="283">
        <v>2.7476392025932976</v>
      </c>
      <c r="AA28" s="283">
        <v>2.7839400976235757</v>
      </c>
      <c r="AL28" s="251" t="s">
        <v>168</v>
      </c>
      <c r="AM28" s="233" t="s">
        <v>159</v>
      </c>
      <c r="AN28" s="140" t="str">
        <f t="shared" si="6"/>
        <v>Coghe*Jonas*</v>
      </c>
      <c r="AO28" s="160">
        <f>IF(Tabel5[[#This Row],[Aantal Games Rood]]=0,0,(Tabel5[[#This Row],[Wins Rood]])/Tabel5[[#This Row],[Aantal Games Rood]])</f>
        <v>0</v>
      </c>
      <c r="AP28" s="159">
        <f>IF(Tabel5[[#This Row],[Aantal Games Groen]]=0,0,(Tabel5[[#This Row],[Wins Groen]])/Tabel5[[#This Row],[Aantal Games Groen]])</f>
        <v>0.66666666666666663</v>
      </c>
      <c r="AQ28" s="156">
        <f>IF(Tabel5[[#This Row],[Aantal games Alg]]=0,0,(Tabel5[[#This Row],[Wins Alg]])/Tabel5[[#This Row],[Aantal games Alg]])</f>
        <v>0.66666666666666663</v>
      </c>
      <c r="AR28" s="133">
        <f>COUNTIF(Tabel15[Winaar rood],Tabel5[[#This Row],[Team]])</f>
        <v>0</v>
      </c>
      <c r="AS28" s="134">
        <f>COUNTIF(Tabel15[Winnaar Groen],Tabel5[[#This Row],[Team]])</f>
        <v>2</v>
      </c>
      <c r="AT28">
        <f>COUNTIF(Tabel15[Winnaars],Tabel5[[#This Row],[Team]])</f>
        <v>2</v>
      </c>
      <c r="AU28" s="135">
        <f>Tabel5[[#This Row],[Aantal Games Rood]]-Tabel5[[#This Row],[Wins Rood]]</f>
        <v>0</v>
      </c>
      <c r="AV28" s="136">
        <f>Tabel5[[#This Row],[Aantal Games Groen]]-Tabel5[[#This Row],[Wins Groen]]</f>
        <v>1</v>
      </c>
      <c r="AW28" s="137">
        <f>Tabel5[[#This Row],[Aantal games Alg]]-Tabel5[[#This Row],[Wins Alg]]</f>
        <v>1</v>
      </c>
      <c r="AX28" s="138">
        <f>COUNTIF(Tabel15[Team Rood],Tabel5[[#This Row],[Team]])</f>
        <v>0</v>
      </c>
      <c r="AY28" s="136">
        <f>COUNTIF(Tabel15[Team Groen],Tabel5[[#This Row],[Team]])</f>
        <v>3</v>
      </c>
      <c r="AZ28" s="112">
        <f>Tabel5[[#This Row],[Aantal Games Rood]]+Tabel5[[#This Row],[Aantal Games Groen]]</f>
        <v>3</v>
      </c>
      <c r="BA28" s="138">
        <f>SUMIF(Tabel15[Team Rood],Tabel5[[#This Row],[Team]],Tabel15[Score])</f>
        <v>0</v>
      </c>
      <c r="BB28" s="138">
        <f>SUMIF(Tabel15[Team Rood],Tabel5[[#This Row],[Team]],Tabel15[Score2])</f>
        <v>0</v>
      </c>
      <c r="BC28" s="134">
        <f>SUMIF(Tabel15[Team Groen],Tabel5[[#This Row],[Team]],Tabel15[Score3])</f>
        <v>8</v>
      </c>
      <c r="BD28" s="136">
        <f>SUMIF(Tabel15[Team Groen],Tabel5[[#This Row],[Team]],Tabel15[Score4])</f>
        <v>21</v>
      </c>
      <c r="BE28">
        <f>SUM(Tabel5[[#This Row],[Goals Verdediger]]+Tabel5[[#This Row],[Goals DefG]])</f>
        <v>8</v>
      </c>
      <c r="BF28">
        <f>IF(Tabel5[[#This Row],[Aantal games Alg]]=0,0,Tabel5[[#This Row],[Goals DefA]]/Tabel5[[#This Row],[Aantal games Alg]])</f>
        <v>2.6666666666666665</v>
      </c>
      <c r="BG28">
        <f>SUM(Tabel5[[#This Row],[Goals Aanvaller]]+Tabel5[[#This Row],[Goals OffG]])</f>
        <v>21</v>
      </c>
      <c r="BH28">
        <f>IF(Tabel5[[#This Row],[Aantal games Alg]]=0,0,Tabel5[[#This Row],[Goals OffA]]/Tabel5[[#This Row],[Aantal games Alg]])</f>
        <v>7</v>
      </c>
      <c r="BI28" s="214">
        <f>Tabel5[[#This Row],[Goals DefA]]+Tabel5[[#This Row],[Goals OffA]]</f>
        <v>29</v>
      </c>
      <c r="BJ28" s="112">
        <f>IF(Tabel5[[#This Row],[Aantal games Alg]]=0,0,Tabel5[[#This Row],[Goals Alg]]/Tabel5[[#This Row],[Aantal games Alg]])</f>
        <v>9.6666666666666661</v>
      </c>
      <c r="BK28" s="148">
        <f>SUMIF(Tabel15[Team Rood],Tabel5[[#This Row],[Team]],Tabel15[ET])</f>
        <v>0</v>
      </c>
      <c r="BL28" s="150">
        <f ca="1">SUMIF(Tabel15[Team Groen],Tabel5[[#This Row],[Team]],Tabel15[ET])</f>
        <v>9.9353009209153242E-3</v>
      </c>
      <c r="BM28" s="153">
        <f ca="1">SUM(Tabel5[[#This Row],[ET Groen tot]],Tabel5[[#This Row],[ET Rood tot]])</f>
        <v>9.9353009209153242E-3</v>
      </c>
      <c r="BN28" s="155">
        <f ca="1">IF(Tabel5[[#This Row],[Aantal games Alg]]=0,0,Tabel5[[#This Row],[ET tot]]/Tabel5[[#This Row],[Aantal games Alg]])</f>
        <v>3.3117669736384414E-3</v>
      </c>
    </row>
    <row r="29" spans="1:66" x14ac:dyDescent="0.25">
      <c r="A29" s="215">
        <v>43876.91765787037</v>
      </c>
      <c r="B29" s="128">
        <v>43876.91765787037</v>
      </c>
      <c r="C29" s="126">
        <v>43876.926724074074</v>
      </c>
      <c r="D29" s="217">
        <v>9.0662037036963739E-3</v>
      </c>
      <c r="E29" s="74">
        <v>28</v>
      </c>
      <c r="F29" s="40" t="s">
        <v>6</v>
      </c>
      <c r="G29" s="76">
        <v>2</v>
      </c>
      <c r="H29" s="40" t="s">
        <v>13</v>
      </c>
      <c r="I29" s="76">
        <v>9</v>
      </c>
      <c r="J29" s="41" t="s">
        <v>0</v>
      </c>
      <c r="K29" s="78">
        <v>0</v>
      </c>
      <c r="L29" s="41" t="s">
        <v>167</v>
      </c>
      <c r="M29" s="78">
        <v>2</v>
      </c>
      <c r="N29" s="81">
        <v>11</v>
      </c>
      <c r="O29" s="82">
        <v>2</v>
      </c>
      <c r="P2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Row],[Score4]]&lt;&gt;""),IF(AND(N29&gt;O29,N29&gt;=11),"ROOD",IF(AND(O29&gt;=11,N29&lt;&gt;O29),"GROEN","")),"")</f>
        <v>ROOD</v>
      </c>
      <c r="Q29" s="86" t="str">
        <f t="shared" si="0"/>
        <v>Stef D</v>
      </c>
      <c r="R29" s="87" t="str">
        <f t="shared" si="1"/>
        <v>Bert</v>
      </c>
      <c r="S29" t="str">
        <f>Tabel15[[#This Row],[Rood Verdediging]]&amp;Tabel15[[#This Row],[Rood Aanval]]</f>
        <v>Stef DBert</v>
      </c>
      <c r="T29" t="str">
        <f>Tabel15[[#This Row],[Groen Verdediging]]&amp;Tabel15[[#This Row],[Groen Aanval]]</f>
        <v>JonasCoghe</v>
      </c>
      <c r="U29" t="str">
        <f>Tabel15[[#This Row],[Winnaar 1]]&amp;Tabel15[[#This Row],[Winnaar 2]]</f>
        <v>Stef DBert</v>
      </c>
      <c r="V29" s="147" t="str">
        <f>IF(Tabel15[[#This Row],[Team Rood]]=Tabel15[[#This Row],[Winnaars]],Tabel15[[#This Row],[Team Rood]])</f>
        <v>Stef DBert</v>
      </c>
      <c r="W29" s="147" t="b">
        <f>IF(Tabel15[[#This Row],[Team Groen]]=Tabel15[[#This Row],[Winnaars]],Tabel15[[#This Row],[Team Groen]])</f>
        <v>0</v>
      </c>
      <c r="X29" s="283">
        <v>6.4075921292116265</v>
      </c>
      <c r="Y29" s="283">
        <v>7.154894173415995</v>
      </c>
      <c r="Z29" s="283">
        <v>4.1664327049372849</v>
      </c>
      <c r="AA29" s="283">
        <v>6.2305219196323103</v>
      </c>
      <c r="AL29" s="251" t="s">
        <v>168</v>
      </c>
      <c r="AM29" s="233" t="s">
        <v>164</v>
      </c>
      <c r="AN29" s="140" t="str">
        <f t="shared" si="6"/>
        <v>Coghe*Karel*</v>
      </c>
      <c r="AO29" s="160">
        <f>IF(Tabel5[[#This Row],[Aantal Games Rood]]=0,0,(Tabel5[[#This Row],[Wins Rood]])/Tabel5[[#This Row],[Aantal Games Rood]])</f>
        <v>1</v>
      </c>
      <c r="AP29" s="159">
        <f>IF(Tabel5[[#This Row],[Aantal Games Groen]]=0,0,(Tabel5[[#This Row],[Wins Groen]])/Tabel5[[#This Row],[Aantal Games Groen]])</f>
        <v>0</v>
      </c>
      <c r="AQ29" s="156">
        <f>IF(Tabel5[[#This Row],[Aantal games Alg]]=0,0,(Tabel5[[#This Row],[Wins Alg]])/Tabel5[[#This Row],[Aantal games Alg]])</f>
        <v>0.25</v>
      </c>
      <c r="AR29" s="133">
        <f>COUNTIF(Tabel15[Winaar rood],Tabel5[[#This Row],[Team]])</f>
        <v>1</v>
      </c>
      <c r="AS29" s="134">
        <f>COUNTIF(Tabel15[Winnaar Groen],Tabel5[[#This Row],[Team]])</f>
        <v>0</v>
      </c>
      <c r="AT29">
        <f>COUNTIF(Tabel15[Winnaars],Tabel5[[#This Row],[Team]])</f>
        <v>1</v>
      </c>
      <c r="AU29" s="135">
        <f>Tabel5[[#This Row],[Aantal Games Rood]]-Tabel5[[#This Row],[Wins Rood]]</f>
        <v>0</v>
      </c>
      <c r="AV29" s="136">
        <f>Tabel5[[#This Row],[Aantal Games Groen]]-Tabel5[[#This Row],[Wins Groen]]</f>
        <v>3</v>
      </c>
      <c r="AW29" s="137">
        <f>Tabel5[[#This Row],[Aantal games Alg]]-Tabel5[[#This Row],[Wins Alg]]</f>
        <v>3</v>
      </c>
      <c r="AX29" s="138">
        <f>COUNTIF(Tabel15[Team Rood],Tabel5[[#This Row],[Team]])</f>
        <v>1</v>
      </c>
      <c r="AY29" s="136">
        <f>COUNTIF(Tabel15[Team Groen],Tabel5[[#This Row],[Team]])</f>
        <v>3</v>
      </c>
      <c r="AZ29" s="112">
        <f>Tabel5[[#This Row],[Aantal Games Rood]]+Tabel5[[#This Row],[Aantal Games Groen]]</f>
        <v>4</v>
      </c>
      <c r="BA29" s="138">
        <f>SUMIF(Tabel15[Team Rood],Tabel5[[#This Row],[Team]],Tabel15[Score])</f>
        <v>3</v>
      </c>
      <c r="BB29" s="138">
        <f>SUMIF(Tabel15[Team Rood],Tabel5[[#This Row],[Team]],Tabel15[Score2])</f>
        <v>8</v>
      </c>
      <c r="BC29" s="134">
        <f>SUMIF(Tabel15[Team Groen],Tabel5[[#This Row],[Team]],Tabel15[Score3])</f>
        <v>3</v>
      </c>
      <c r="BD29" s="136">
        <f>SUMIF(Tabel15[Team Groen],Tabel5[[#This Row],[Team]],Tabel15[Score4])</f>
        <v>12</v>
      </c>
      <c r="BE29">
        <f>SUM(Tabel5[[#This Row],[Goals Verdediger]]+Tabel5[[#This Row],[Goals DefG]])</f>
        <v>6</v>
      </c>
      <c r="BF29">
        <f>IF(Tabel5[[#This Row],[Aantal games Alg]]=0,0,Tabel5[[#This Row],[Goals DefA]]/Tabel5[[#This Row],[Aantal games Alg]])</f>
        <v>1.5</v>
      </c>
      <c r="BG29">
        <f>SUM(Tabel5[[#This Row],[Goals Aanvaller]]+Tabel5[[#This Row],[Goals OffG]])</f>
        <v>20</v>
      </c>
      <c r="BH29">
        <f>IF(Tabel5[[#This Row],[Aantal games Alg]]=0,0,Tabel5[[#This Row],[Goals OffA]]/Tabel5[[#This Row],[Aantal games Alg]])</f>
        <v>5</v>
      </c>
      <c r="BI29" s="112">
        <f>Tabel5[[#This Row],[Goals DefA]]+Tabel5[[#This Row],[Goals OffA]]</f>
        <v>26</v>
      </c>
      <c r="BJ29" s="112">
        <f>IF(Tabel5[[#This Row],[Aantal games Alg]]=0,0,Tabel5[[#This Row],[Goals Alg]]/Tabel5[[#This Row],[Aantal games Alg]])</f>
        <v>6.5</v>
      </c>
      <c r="BK29" s="148">
        <f ca="1">SUMIF(Tabel15[Team Rood],Tabel5[[#This Row],[Team]],Tabel15[ET])</f>
        <v>8.9004628534894437E-5</v>
      </c>
      <c r="BL29" s="150">
        <f>SUMIF(Tabel15[Team Groen],Tabel5[[#This Row],[Team]],Tabel15[ET])</f>
        <v>2.5536574074067175E-2</v>
      </c>
      <c r="BM29" s="153">
        <f ca="1">SUM(Tabel5[[#This Row],[ET Groen tot]],Tabel5[[#This Row],[ET Rood tot]])</f>
        <v>2.562557870260207E-2</v>
      </c>
      <c r="BN29" s="155">
        <f ca="1">IF(Tabel5[[#This Row],[Aantal games Alg]]=0,0,Tabel5[[#This Row],[ET tot]]/Tabel5[[#This Row],[Aantal games Alg]])</f>
        <v>6.4063946756505175E-3</v>
      </c>
    </row>
    <row r="30" spans="1:66" x14ac:dyDescent="0.25">
      <c r="A30" s="215">
        <v>43876.927834953705</v>
      </c>
      <c r="B30" s="128">
        <v>43876.927834953705</v>
      </c>
      <c r="C30" s="126">
        <v>43876.936242129632</v>
      </c>
      <c r="D30" s="217">
        <v>8.4071759265498258E-3</v>
      </c>
      <c r="E30" s="74">
        <v>29</v>
      </c>
      <c r="F30" s="40" t="s">
        <v>3</v>
      </c>
      <c r="G30" s="76">
        <v>3</v>
      </c>
      <c r="H30" s="40" t="s">
        <v>0</v>
      </c>
      <c r="I30" s="76">
        <v>6</v>
      </c>
      <c r="J30" s="41" t="s">
        <v>167</v>
      </c>
      <c r="K30" s="78">
        <v>2</v>
      </c>
      <c r="L30" s="41" t="s">
        <v>13</v>
      </c>
      <c r="M30" s="78">
        <v>9</v>
      </c>
      <c r="N30" s="81">
        <v>9</v>
      </c>
      <c r="O30" s="82">
        <v>11</v>
      </c>
      <c r="P3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Row],[Score4]]&lt;&gt;""),IF(AND(N30&gt;O30,N30&gt;=11),"ROOD",IF(AND(O30&gt;=11,N30&lt;&gt;O30),"GROEN","")),"")</f>
        <v>GROEN</v>
      </c>
      <c r="Q30" s="86" t="str">
        <f t="shared" si="0"/>
        <v>Coghe</v>
      </c>
      <c r="R30" s="87" t="str">
        <f t="shared" si="1"/>
        <v>Bert</v>
      </c>
      <c r="S30" t="str">
        <f>Tabel15[[#This Row],[Rood Verdediging]]&amp;Tabel15[[#This Row],[Rood Aanval]]</f>
        <v>KarelJonas</v>
      </c>
      <c r="T30" t="str">
        <f>Tabel15[[#This Row],[Groen Verdediging]]&amp;Tabel15[[#This Row],[Groen Aanval]]</f>
        <v>CogheBert</v>
      </c>
      <c r="U30" t="str">
        <f>Tabel15[[#This Row],[Winnaar 1]]&amp;Tabel15[[#This Row],[Winnaar 2]]</f>
        <v>CogheBert</v>
      </c>
      <c r="V30" s="147" t="b">
        <f>IF(Tabel15[[#This Row],[Team Rood]]=Tabel15[[#This Row],[Winnaars]],Tabel15[[#This Row],[Team Rood]])</f>
        <v>0</v>
      </c>
      <c r="W30" s="147" t="str">
        <f>IF(Tabel15[[#This Row],[Team Groen]]=Tabel15[[#This Row],[Winnaars]],Tabel15[[#This Row],[Team Groen]])</f>
        <v>CogheBert</v>
      </c>
      <c r="X30" s="283">
        <v>-3.2688258111444752</v>
      </c>
      <c r="Y30" s="283">
        <v>-2.6281774166420604</v>
      </c>
      <c r="Z30" s="283">
        <v>20.35053102034016</v>
      </c>
      <c r="AA30" s="283">
        <v>21.424948259070632</v>
      </c>
      <c r="AL30" s="251" t="s">
        <v>168</v>
      </c>
      <c r="AM30" s="233" t="s">
        <v>67</v>
      </c>
      <c r="AN30" s="140" t="str">
        <f t="shared" si="6"/>
        <v>Coghe*Lawrence</v>
      </c>
      <c r="AO30" s="160">
        <f>IF(Tabel5[[#This Row],[Aantal Games Rood]]=0,0,(Tabel5[[#This Row],[Wins Rood]])/Tabel5[[#This Row],[Aantal Games Rood]])</f>
        <v>0</v>
      </c>
      <c r="AP30" s="159">
        <f>IF(Tabel5[[#This Row],[Aantal Games Groen]]=0,0,(Tabel5[[#This Row],[Wins Groen]])/Tabel5[[#This Row],[Aantal Games Groen]])</f>
        <v>0</v>
      </c>
      <c r="AQ30" s="156">
        <f>IF(Tabel5[[#This Row],[Aantal games Alg]]=0,0,(Tabel5[[#This Row],[Wins Alg]])/Tabel5[[#This Row],[Aantal games Alg]])</f>
        <v>0</v>
      </c>
      <c r="AR30" s="138">
        <f>COUNTIF(Tabel15[Winaar rood],Tabel5[[#This Row],[Team]])</f>
        <v>0</v>
      </c>
      <c r="AS30" s="134">
        <f>COUNTIF(Tabel15[Winnaar Groen],Tabel5[[#This Row],[Team]])</f>
        <v>0</v>
      </c>
      <c r="AT30">
        <f>COUNTIF(Tabel15[Winnaars],Tabel5[[#This Row],[Team]])</f>
        <v>0</v>
      </c>
      <c r="AU30" s="135">
        <f>Tabel5[[#This Row],[Aantal Games Rood]]-Tabel5[[#This Row],[Wins Rood]]</f>
        <v>0</v>
      </c>
      <c r="AV30" s="136">
        <f>Tabel5[[#This Row],[Aantal Games Groen]]-Tabel5[[#This Row],[Wins Groen]]</f>
        <v>0</v>
      </c>
      <c r="AW30" s="137">
        <f>Tabel5[[#This Row],[Aantal games Alg]]-Tabel5[[#This Row],[Wins Alg]]</f>
        <v>0</v>
      </c>
      <c r="AX30" s="138">
        <f>COUNTIF(Tabel15[Team Rood],Tabel5[[#This Row],[Team]])</f>
        <v>0</v>
      </c>
      <c r="AY30" s="136">
        <f>COUNTIF(Tabel15[Team Groen],Tabel5[[#This Row],[Team]])</f>
        <v>0</v>
      </c>
      <c r="AZ30" s="112">
        <f>Tabel5[[#This Row],[Aantal Games Rood]]+Tabel5[[#This Row],[Aantal Games Groen]]</f>
        <v>0</v>
      </c>
      <c r="BA30" s="138">
        <f>SUMIF(Tabel15[Team Rood],Tabel5[[#This Row],[Team]],Tabel15[Score])</f>
        <v>0</v>
      </c>
      <c r="BB30" s="138">
        <f>SUMIF(Tabel15[Team Rood],Tabel5[[#This Row],[Team]],Tabel15[Score2])</f>
        <v>0</v>
      </c>
      <c r="BC30" s="134">
        <f>SUMIF(Tabel15[Team Groen],Tabel5[[#This Row],[Team]],Tabel15[Score3])</f>
        <v>0</v>
      </c>
      <c r="BD30" s="136">
        <f>SUMIF(Tabel15[Team Groen],Tabel5[[#This Row],[Team]],Tabel15[Score4])</f>
        <v>0</v>
      </c>
      <c r="BE30">
        <f>SUM(Tabel5[[#This Row],[Goals Verdediger]]+Tabel5[[#This Row],[Goals DefG]])</f>
        <v>0</v>
      </c>
      <c r="BF30">
        <f>IF(Tabel5[[#This Row],[Aantal games Alg]]=0,0,Tabel5[[#This Row],[Goals DefA]]/Tabel5[[#This Row],[Aantal games Alg]])</f>
        <v>0</v>
      </c>
      <c r="BG30">
        <f>SUM(Tabel5[[#This Row],[Goals Aanvaller]]+Tabel5[[#This Row],[Goals OffG]])</f>
        <v>0</v>
      </c>
      <c r="BH30">
        <f>IF(Tabel5[[#This Row],[Aantal games Alg]]=0,0,Tabel5[[#This Row],[Goals OffA]]/Tabel5[[#This Row],[Aantal games Alg]])</f>
        <v>0</v>
      </c>
      <c r="BI30" s="112">
        <f>Tabel5[[#This Row],[Goals DefA]]+Tabel5[[#This Row],[Goals OffA]]</f>
        <v>0</v>
      </c>
      <c r="BJ30" s="112">
        <f>IF(Tabel5[[#This Row],[Aantal games Alg]]=0,0,Tabel5[[#This Row],[Goals Alg]]/Tabel5[[#This Row],[Aantal games Alg]])</f>
        <v>0</v>
      </c>
      <c r="BK30" s="148">
        <f>SUMIF(Tabel15[Team Rood],Tabel5[[#This Row],[Team]],Tabel15[ET])</f>
        <v>0</v>
      </c>
      <c r="BL30" s="150">
        <f>SUMIF(Tabel15[Team Groen],Tabel5[[#This Row],[Team]],Tabel15[ET])</f>
        <v>0</v>
      </c>
      <c r="BM30" s="153">
        <f>SUM(Tabel5[[#This Row],[ET Groen tot]],Tabel5[[#This Row],[ET Rood tot]])</f>
        <v>0</v>
      </c>
      <c r="BN30" s="155">
        <f>IF(Tabel5[[#This Row],[Aantal games Alg]]=0,0,Tabel5[[#This Row],[ET tot]]/Tabel5[[#This Row],[Aantal games Alg]])</f>
        <v>0</v>
      </c>
    </row>
    <row r="31" spans="1:66" x14ac:dyDescent="0.25">
      <c r="A31" s="215">
        <v>43876.938019328707</v>
      </c>
      <c r="B31" s="128">
        <v>43876.938019328707</v>
      </c>
      <c r="C31" s="126">
        <v>43876.947341782405</v>
      </c>
      <c r="D31" s="217">
        <v>9.3224536976777017E-3</v>
      </c>
      <c r="E31" s="74">
        <v>30</v>
      </c>
      <c r="F31" s="40" t="s">
        <v>13</v>
      </c>
      <c r="G31" s="76">
        <v>1</v>
      </c>
      <c r="H31" s="40" t="s">
        <v>3</v>
      </c>
      <c r="I31" s="76">
        <v>10</v>
      </c>
      <c r="J31" s="41" t="s">
        <v>0</v>
      </c>
      <c r="K31" s="78">
        <v>0</v>
      </c>
      <c r="L31" s="41" t="s">
        <v>6</v>
      </c>
      <c r="M31" s="78">
        <v>7</v>
      </c>
      <c r="N31" s="81">
        <v>11</v>
      </c>
      <c r="O31" s="82">
        <v>7</v>
      </c>
      <c r="P3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Row],[Score4]]&lt;&gt;""),IF(AND(N31&gt;O31,N31&gt;=11),"ROOD",IF(AND(O31&gt;=11,N31&lt;&gt;O31),"GROEN","")),"")</f>
        <v>ROOD</v>
      </c>
      <c r="Q31" s="86" t="str">
        <f t="shared" si="0"/>
        <v>Bert</v>
      </c>
      <c r="R31" s="87" t="str">
        <f t="shared" si="1"/>
        <v>Karel</v>
      </c>
      <c r="S31" t="str">
        <f>Tabel15[[#This Row],[Rood Verdediging]]&amp;Tabel15[[#This Row],[Rood Aanval]]</f>
        <v>BertKarel</v>
      </c>
      <c r="T31" t="str">
        <f>Tabel15[[#This Row],[Groen Verdediging]]&amp;Tabel15[[#This Row],[Groen Aanval]]</f>
        <v>JonasStef D</v>
      </c>
      <c r="U31" t="str">
        <f>Tabel15[[#This Row],[Winnaar 1]]&amp;Tabel15[[#This Row],[Winnaar 2]]</f>
        <v>BertKarel</v>
      </c>
      <c r="V31" s="147" t="str">
        <f>IF(Tabel15[[#This Row],[Team Rood]]=Tabel15[[#This Row],[Winnaars]],Tabel15[[#This Row],[Team Rood]])</f>
        <v>BertKarel</v>
      </c>
      <c r="W31" s="147" t="b">
        <f>IF(Tabel15[[#This Row],[Team Groen]]=Tabel15[[#This Row],[Winnaars]],Tabel15[[#This Row],[Team Groen]])</f>
        <v>0</v>
      </c>
      <c r="X31" s="283">
        <v>41.70779778813656</v>
      </c>
      <c r="Y31" s="283">
        <v>39.965587386271679</v>
      </c>
      <c r="Z31" s="283">
        <v>-10.177527921425066</v>
      </c>
      <c r="AA31" s="283">
        <v>-12.086369830371172</v>
      </c>
      <c r="AL31" s="251" t="s">
        <v>168</v>
      </c>
      <c r="AM31" s="233" t="s">
        <v>161</v>
      </c>
      <c r="AN31" s="140" t="str">
        <f t="shared" si="6"/>
        <v>Coghe*Louis*</v>
      </c>
      <c r="AO31" s="160">
        <f>IF(Tabel5[[#This Row],[Aantal Games Rood]]=0,0,(Tabel5[[#This Row],[Wins Rood]])/Tabel5[[#This Row],[Aantal Games Rood]])</f>
        <v>0</v>
      </c>
      <c r="AP31" s="159">
        <f>IF(Tabel5[[#This Row],[Aantal Games Groen]]=0,0,(Tabel5[[#This Row],[Wins Groen]])/Tabel5[[#This Row],[Aantal Games Groen]])</f>
        <v>0</v>
      </c>
      <c r="AQ31" s="156">
        <f>IF(Tabel5[[#This Row],[Aantal games Alg]]=0,0,(Tabel5[[#This Row],[Wins Alg]])/Tabel5[[#This Row],[Aantal games Alg]])</f>
        <v>0</v>
      </c>
      <c r="AR31" s="133">
        <f>COUNTIF(Tabel15[Winaar rood],Tabel5[[#This Row],[Team]])</f>
        <v>0</v>
      </c>
      <c r="AS31" s="134">
        <f>COUNTIF(Tabel15[Winnaar Groen],Tabel5[[#This Row],[Team]])</f>
        <v>0</v>
      </c>
      <c r="AT31" s="293">
        <f>COUNTIF(Tabel15[Winnaars],Tabel5[[#This Row],[Team]])</f>
        <v>0</v>
      </c>
      <c r="AU31" s="135">
        <f>Tabel5[[#This Row],[Aantal Games Rood]]-Tabel5[[#This Row],[Wins Rood]]</f>
        <v>0</v>
      </c>
      <c r="AV31" s="136">
        <f>Tabel5[[#This Row],[Aantal Games Groen]]-Tabel5[[#This Row],[Wins Groen]]</f>
        <v>0</v>
      </c>
      <c r="AW31" s="137">
        <f>Tabel5[[#This Row],[Aantal games Alg]]-Tabel5[[#This Row],[Wins Alg]]</f>
        <v>0</v>
      </c>
      <c r="AX31" s="138">
        <f>COUNTIF(Tabel15[Team Rood],Tabel5[[#This Row],[Team]])</f>
        <v>0</v>
      </c>
      <c r="AY31" s="136">
        <f>COUNTIF(Tabel15[Team Groen],Tabel5[[#This Row],[Team]])</f>
        <v>0</v>
      </c>
      <c r="AZ31" s="214">
        <f>Tabel5[[#This Row],[Aantal Games Rood]]+Tabel5[[#This Row],[Aantal Games Groen]]</f>
        <v>0</v>
      </c>
      <c r="BA31" s="138">
        <f>SUMIF(Tabel15[Team Rood],Tabel5[[#This Row],[Team]],Tabel15[Score])</f>
        <v>0</v>
      </c>
      <c r="BB31" s="138">
        <f>SUMIF(Tabel15[Team Rood],Tabel5[[#This Row],[Team]],Tabel15[Score2])</f>
        <v>0</v>
      </c>
      <c r="BC31" s="134">
        <f>SUMIF(Tabel15[Team Groen],Tabel5[[#This Row],[Team]],Tabel15[Score3])</f>
        <v>0</v>
      </c>
      <c r="BD31" s="136">
        <f>SUMIF(Tabel15[Team Groen],Tabel5[[#This Row],[Team]],Tabel15[Score4])</f>
        <v>0</v>
      </c>
      <c r="BE31" s="293">
        <f>SUM(Tabel5[[#This Row],[Goals Verdediger]]+Tabel5[[#This Row],[Goals DefG]])</f>
        <v>0</v>
      </c>
      <c r="BF31" s="293">
        <f>IF(Tabel5[[#This Row],[Aantal games Alg]]=0,0,Tabel5[[#This Row],[Goals DefA]]/Tabel5[[#This Row],[Aantal games Alg]])</f>
        <v>0</v>
      </c>
      <c r="BG31" s="293">
        <f>SUM(Tabel5[[#This Row],[Goals Aanvaller]]+Tabel5[[#This Row],[Goals OffG]])</f>
        <v>0</v>
      </c>
      <c r="BH31" s="293">
        <f>IF(Tabel5[[#This Row],[Aantal games Alg]]=0,0,Tabel5[[#This Row],[Goals OffA]]/Tabel5[[#This Row],[Aantal games Alg]])</f>
        <v>0</v>
      </c>
      <c r="BI31" s="214">
        <f>Tabel5[[#This Row],[Goals DefA]]+Tabel5[[#This Row],[Goals OffA]]</f>
        <v>0</v>
      </c>
      <c r="BJ31" s="214">
        <f>IF(Tabel5[[#This Row],[Aantal games Alg]]=0,0,Tabel5[[#This Row],[Goals Alg]]/Tabel5[[#This Row],[Aantal games Alg]])</f>
        <v>0</v>
      </c>
      <c r="BK31" s="148">
        <f>SUMIF(Tabel15[Team Rood],Tabel5[[#This Row],[Team]],Tabel15[ET])</f>
        <v>0</v>
      </c>
      <c r="BL31" s="150">
        <f>SUMIF(Tabel15[Team Groen],Tabel5[[#This Row],[Team]],Tabel15[ET])</f>
        <v>0</v>
      </c>
      <c r="BM31" s="153">
        <f>SUM(Tabel5[[#This Row],[ET Groen tot]],Tabel5[[#This Row],[ET Rood tot]])</f>
        <v>0</v>
      </c>
      <c r="BN31" s="155">
        <f>IF(Tabel5[[#This Row],[Aantal games Alg]]=0,0,Tabel5[[#This Row],[ET tot]]/Tabel5[[#This Row],[Aantal games Alg]])</f>
        <v>0</v>
      </c>
    </row>
    <row r="32" spans="1:66" x14ac:dyDescent="0.25">
      <c r="A32" s="215">
        <v>43876.963009375002</v>
      </c>
      <c r="B32" s="128">
        <v>43876.963009375002</v>
      </c>
      <c r="C32" s="126">
        <v>43876.963022222226</v>
      </c>
      <c r="D32" s="217">
        <v>1.2847223842982203E-5</v>
      </c>
      <c r="E32" s="74">
        <v>31</v>
      </c>
      <c r="F32" s="40" t="s">
        <v>6</v>
      </c>
      <c r="G32" s="76">
        <v>5</v>
      </c>
      <c r="H32" s="40" t="s">
        <v>13</v>
      </c>
      <c r="I32" s="76">
        <v>6</v>
      </c>
      <c r="J32" s="41" t="s">
        <v>167</v>
      </c>
      <c r="K32" s="78">
        <v>3</v>
      </c>
      <c r="L32" s="41" t="s">
        <v>11</v>
      </c>
      <c r="M32" s="78">
        <v>3</v>
      </c>
      <c r="N32" s="81">
        <v>11</v>
      </c>
      <c r="O32" s="82">
        <v>6</v>
      </c>
      <c r="P3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Row],[Score4]]&lt;&gt;""),IF(AND(N32&gt;O32,N32&gt;=11),"ROOD",IF(AND(O32&gt;=11,N32&lt;&gt;O32),"GROEN","")),"")</f>
        <v>ROOD</v>
      </c>
      <c r="Q32" s="86" t="str">
        <f t="shared" si="0"/>
        <v>Stef D</v>
      </c>
      <c r="R32" s="87" t="str">
        <f t="shared" si="1"/>
        <v>Bert</v>
      </c>
      <c r="S32" t="str">
        <f>Tabel15[[#This Row],[Rood Verdediging]]&amp;Tabel15[[#This Row],[Rood Aanval]]</f>
        <v>Stef DBert</v>
      </c>
      <c r="T32" t="str">
        <f>Tabel15[[#This Row],[Groen Verdediging]]&amp;Tabel15[[#This Row],[Groen Aanval]]</f>
        <v>CogheMatthijs</v>
      </c>
      <c r="U32" t="str">
        <f>Tabel15[[#This Row],[Winnaar 1]]&amp;Tabel15[[#This Row],[Winnaar 2]]</f>
        <v>Stef DBert</v>
      </c>
      <c r="V32" s="147" t="str">
        <f>IF(Tabel15[[#This Row],[Team Rood]]=Tabel15[[#This Row],[Winnaars]],Tabel15[[#This Row],[Team Rood]])</f>
        <v>Stef DBert</v>
      </c>
      <c r="W32" s="147" t="b">
        <f>IF(Tabel15[[#This Row],[Team Groen]]=Tabel15[[#This Row],[Winnaars]],Tabel15[[#This Row],[Team Groen]])</f>
        <v>0</v>
      </c>
      <c r="X32" s="283">
        <v>17.573625753447288</v>
      </c>
      <c r="Y32" s="283">
        <v>20.374416444802947</v>
      </c>
      <c r="Z32" s="283">
        <v>-3.0336552102170224</v>
      </c>
      <c r="AA32" s="283">
        <v>-1.8693757059606966</v>
      </c>
      <c r="AL32" s="251" t="s">
        <v>168</v>
      </c>
      <c r="AM32" s="233" t="s">
        <v>162</v>
      </c>
      <c r="AN32" s="140" t="str">
        <f t="shared" si="6"/>
        <v>Coghe*Matthijs*</v>
      </c>
      <c r="AO32" s="160">
        <f>IF(Tabel5[[#This Row],[Aantal Games Rood]]=0,0,(Tabel5[[#This Row],[Wins Rood]])/Tabel5[[#This Row],[Aantal Games Rood]])</f>
        <v>0</v>
      </c>
      <c r="AP32" s="159">
        <f>IF(Tabel5[[#This Row],[Aantal Games Groen]]=0,0,(Tabel5[[#This Row],[Wins Groen]])/Tabel5[[#This Row],[Aantal Games Groen]])</f>
        <v>0</v>
      </c>
      <c r="AQ32" s="156">
        <f>IF(Tabel5[[#This Row],[Aantal games Alg]]=0,0,(Tabel5[[#This Row],[Wins Alg]])/Tabel5[[#This Row],[Aantal games Alg]])</f>
        <v>0</v>
      </c>
      <c r="AR32" s="138">
        <f>COUNTIF(Tabel15[Winaar rood],Tabel5[[#This Row],[Team]])</f>
        <v>0</v>
      </c>
      <c r="AS32" s="134">
        <f>COUNTIF(Tabel15[Winnaar Groen],Tabel5[[#This Row],[Team]])</f>
        <v>0</v>
      </c>
      <c r="AT32">
        <f>COUNTIF(Tabel15[Winnaars],Tabel5[[#This Row],[Team]])</f>
        <v>0</v>
      </c>
      <c r="AU32" s="135">
        <f>Tabel5[[#This Row],[Aantal Games Rood]]-Tabel5[[#This Row],[Wins Rood]]</f>
        <v>0</v>
      </c>
      <c r="AV32" s="136">
        <f>Tabel5[[#This Row],[Aantal Games Groen]]-Tabel5[[#This Row],[Wins Groen]]</f>
        <v>1</v>
      </c>
      <c r="AW32" s="137">
        <f>Tabel5[[#This Row],[Aantal games Alg]]-Tabel5[[#This Row],[Wins Alg]]</f>
        <v>1</v>
      </c>
      <c r="AX32" s="138">
        <f>COUNTIF(Tabel15[Team Rood],Tabel5[[#This Row],[Team]])</f>
        <v>0</v>
      </c>
      <c r="AY32" s="136">
        <f>COUNTIF(Tabel15[Team Groen],Tabel5[[#This Row],[Team]])</f>
        <v>1</v>
      </c>
      <c r="AZ32" s="112">
        <f>Tabel5[[#This Row],[Aantal Games Rood]]+Tabel5[[#This Row],[Aantal Games Groen]]</f>
        <v>1</v>
      </c>
      <c r="BA32" s="138">
        <f>SUMIF(Tabel15[Team Rood],Tabel5[[#This Row],[Team]],Tabel15[Score])</f>
        <v>0</v>
      </c>
      <c r="BB32" s="138">
        <f>SUMIF(Tabel15[Team Rood],Tabel5[[#This Row],[Team]],Tabel15[Score2])</f>
        <v>0</v>
      </c>
      <c r="BC32" s="134">
        <f>SUMIF(Tabel15[Team Groen],Tabel5[[#This Row],[Team]],Tabel15[Score3])</f>
        <v>3</v>
      </c>
      <c r="BD32" s="136">
        <f>SUMIF(Tabel15[Team Groen],Tabel5[[#This Row],[Team]],Tabel15[Score4])</f>
        <v>3</v>
      </c>
      <c r="BE32">
        <f>SUM(Tabel5[[#This Row],[Goals Verdediger]]+Tabel5[[#This Row],[Goals DefG]])</f>
        <v>3</v>
      </c>
      <c r="BF32">
        <f>IF(Tabel5[[#This Row],[Aantal games Alg]]=0,0,Tabel5[[#This Row],[Goals DefA]]/Tabel5[[#This Row],[Aantal games Alg]])</f>
        <v>3</v>
      </c>
      <c r="BG32">
        <f>SUM(Tabel5[[#This Row],[Goals Aanvaller]]+Tabel5[[#This Row],[Goals OffG]])</f>
        <v>3</v>
      </c>
      <c r="BH32">
        <f>IF(Tabel5[[#This Row],[Aantal games Alg]]=0,0,Tabel5[[#This Row],[Goals OffA]]/Tabel5[[#This Row],[Aantal games Alg]])</f>
        <v>3</v>
      </c>
      <c r="BI32" s="112">
        <f>Tabel5[[#This Row],[Goals DefA]]+Tabel5[[#This Row],[Goals OffA]]</f>
        <v>6</v>
      </c>
      <c r="BJ32" s="112">
        <f>IF(Tabel5[[#This Row],[Aantal games Alg]]=0,0,Tabel5[[#This Row],[Goals Alg]]/Tabel5[[#This Row],[Aantal games Alg]])</f>
        <v>6</v>
      </c>
      <c r="BK32" s="148">
        <f>SUMIF(Tabel15[Team Rood],Tabel5[[#This Row],[Team]],Tabel15[ET])</f>
        <v>0</v>
      </c>
      <c r="BL32" s="150">
        <f>SUMIF(Tabel15[Team Groen],Tabel5[[#This Row],[Team]],Tabel15[ET])</f>
        <v>1.2847223842982203E-5</v>
      </c>
      <c r="BM32" s="153">
        <f>SUM(Tabel5[[#This Row],[ET Groen tot]],Tabel5[[#This Row],[ET Rood tot]])</f>
        <v>1.2847223842982203E-5</v>
      </c>
      <c r="BN32" s="155">
        <f>IF(Tabel5[[#This Row],[Aantal games Alg]]=0,0,Tabel5[[#This Row],[ET tot]]/Tabel5[[#This Row],[Aantal games Alg]])</f>
        <v>1.2847223842982203E-5</v>
      </c>
    </row>
    <row r="33" spans="1:66" x14ac:dyDescent="0.25">
      <c r="A33" s="215">
        <v>43876.972342476853</v>
      </c>
      <c r="B33" s="128">
        <v>43876.972342476853</v>
      </c>
      <c r="C33" s="126">
        <v>43876.972355092592</v>
      </c>
      <c r="D33" s="217">
        <v>1.2615739251486957E-5</v>
      </c>
      <c r="E33" s="74">
        <v>32</v>
      </c>
      <c r="F33" s="40" t="s">
        <v>11</v>
      </c>
      <c r="G33" s="76">
        <v>5</v>
      </c>
      <c r="H33" s="40" t="s">
        <v>6</v>
      </c>
      <c r="I33" s="76">
        <v>6</v>
      </c>
      <c r="J33" s="41" t="s">
        <v>3</v>
      </c>
      <c r="K33" s="78">
        <v>1</v>
      </c>
      <c r="L33" s="41" t="s">
        <v>0</v>
      </c>
      <c r="M33" s="78">
        <v>2</v>
      </c>
      <c r="N33" s="81">
        <v>11</v>
      </c>
      <c r="O33" s="82">
        <v>3</v>
      </c>
      <c r="P3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Row],[Score4]]&lt;&gt;""),IF(AND(N33&gt;O33,N33&gt;=11),"ROOD",IF(AND(O33&gt;=11,N33&lt;&gt;O33),"GROEN","")),"")</f>
        <v>ROOD</v>
      </c>
      <c r="Q33" s="86" t="str">
        <f t="shared" si="0"/>
        <v>Matthijs</v>
      </c>
      <c r="R33" s="87" t="str">
        <f t="shared" si="1"/>
        <v>Stef D</v>
      </c>
      <c r="S33" t="str">
        <f>Tabel15[[#This Row],[Rood Verdediging]]&amp;Tabel15[[#This Row],[Rood Aanval]]</f>
        <v>MatthijsStef D</v>
      </c>
      <c r="T33" t="str">
        <f>Tabel15[[#This Row],[Groen Verdediging]]&amp;Tabel15[[#This Row],[Groen Aanval]]</f>
        <v>KarelJonas</v>
      </c>
      <c r="U33" t="str">
        <f>Tabel15[[#This Row],[Winnaar 1]]&amp;Tabel15[[#This Row],[Winnaar 2]]</f>
        <v>MatthijsStef D</v>
      </c>
      <c r="V33" s="147" t="str">
        <f>IF(Tabel15[[#This Row],[Team Rood]]=Tabel15[[#This Row],[Winnaars]],Tabel15[[#This Row],[Team Rood]])</f>
        <v>MatthijsStef D</v>
      </c>
      <c r="W33" s="147" t="b">
        <f>IF(Tabel15[[#This Row],[Team Groen]]=Tabel15[[#This Row],[Winnaars]],Tabel15[[#This Row],[Team Groen]])</f>
        <v>0</v>
      </c>
      <c r="X33" s="283">
        <v>19.572838209636359</v>
      </c>
      <c r="Y33" s="283">
        <v>14.234338145202607</v>
      </c>
      <c r="Z33" s="283">
        <v>-0.86539871745698416</v>
      </c>
      <c r="AA33" s="283">
        <v>-0.80998506268800108</v>
      </c>
      <c r="AL33" s="251" t="s">
        <v>168</v>
      </c>
      <c r="AM33" s="233" t="s">
        <v>170</v>
      </c>
      <c r="AN33" s="140" t="str">
        <f t="shared" si="6"/>
        <v>Coghe*Nico*</v>
      </c>
      <c r="AO33" s="160">
        <f>IF(Tabel5[[#This Row],[Aantal Games Rood]]=0,0,(Tabel5[[#This Row],[Wins Rood]])/Tabel5[[#This Row],[Aantal Games Rood]])</f>
        <v>0</v>
      </c>
      <c r="AP33" s="159">
        <f>IF(Tabel5[[#This Row],[Aantal Games Groen]]=0,0,(Tabel5[[#This Row],[Wins Groen]])/Tabel5[[#This Row],[Aantal Games Groen]])</f>
        <v>0</v>
      </c>
      <c r="AQ33" s="156">
        <f>IF(Tabel5[[#This Row],[Aantal games Alg]]=0,0,(Tabel5[[#This Row],[Wins Alg]])/Tabel5[[#This Row],[Aantal games Alg]])</f>
        <v>0</v>
      </c>
      <c r="AR33" s="171">
        <f>COUNTIF(Tabel15[Winaar rood],Tabel5[[#This Row],[Team]])</f>
        <v>0</v>
      </c>
      <c r="AS33" s="169">
        <f>COUNTIF(Tabel15[Winnaar Groen],Tabel5[[#This Row],[Team]])</f>
        <v>0</v>
      </c>
      <c r="AT33" s="170">
        <f>COUNTIF(Tabel15[Winnaars],Tabel5[[#This Row],[Team]])</f>
        <v>0</v>
      </c>
      <c r="AU33" s="163">
        <f>Tabel5[[#This Row],[Aantal Games Rood]]-Tabel5[[#This Row],[Wins Rood]]</f>
        <v>0</v>
      </c>
      <c r="AV33" s="169">
        <f>Tabel5[[#This Row],[Aantal Games Groen]]-Tabel5[[#This Row],[Wins Groen]]</f>
        <v>0</v>
      </c>
      <c r="AW33" s="165">
        <f>Tabel5[[#This Row],[Aantal games Alg]]-Tabel5[[#This Row],[Wins Alg]]</f>
        <v>0</v>
      </c>
      <c r="AX33" s="171">
        <f>COUNTIF(Tabel15[Team Rood],Tabel5[[#This Row],[Team]])</f>
        <v>0</v>
      </c>
      <c r="AY33" s="169">
        <f>COUNTIF(Tabel15[Team Groen],Tabel5[[#This Row],[Team]])</f>
        <v>0</v>
      </c>
      <c r="AZ33" s="170">
        <f>Tabel5[[#This Row],[Aantal Games Rood]]+Tabel5[[#This Row],[Aantal Games Groen]]</f>
        <v>0</v>
      </c>
      <c r="BA33" s="171">
        <f>SUMIF(Tabel15[Team Rood],Tabel5[[#This Row],[Team]],Tabel15[Score])</f>
        <v>0</v>
      </c>
      <c r="BB33" s="171">
        <f>SUMIF(Tabel15[Team Rood],Tabel5[[#This Row],[Team]],Tabel15[Score2])</f>
        <v>0</v>
      </c>
      <c r="BC33" s="136">
        <f>SUMIF(Tabel15[Team Groen],Tabel5[[#This Row],[Team]],Tabel15[Score3])</f>
        <v>0</v>
      </c>
      <c r="BD33" s="169">
        <f>SUMIF(Tabel15[Team Groen],Tabel5[[#This Row],[Team]],Tabel15[Score4])</f>
        <v>0</v>
      </c>
      <c r="BE33" s="172">
        <f>SUM(Tabel5[[#This Row],[Goals Verdediger]]+Tabel5[[#This Row],[Goals DefG]])</f>
        <v>0</v>
      </c>
      <c r="BF33" s="170">
        <f>IF(Tabel5[[#This Row],[Aantal games Alg]]=0,0,Tabel5[[#This Row],[Goals DefA]]/Tabel5[[#This Row],[Aantal games Alg]])</f>
        <v>0</v>
      </c>
      <c r="BG33" s="172">
        <f>SUM(Tabel5[[#This Row],[Goals Aanvaller]]+Tabel5[[#This Row],[Goals OffG]])</f>
        <v>0</v>
      </c>
      <c r="BH33" s="170">
        <f>IF(Tabel5[[#This Row],[Aantal games Alg]]=0,0,Tabel5[[#This Row],[Goals OffA]]/Tabel5[[#This Row],[Aantal games Alg]])</f>
        <v>0</v>
      </c>
      <c r="BI33" s="170">
        <f>Tabel5[[#This Row],[Goals DefA]]+Tabel5[[#This Row],[Goals OffA]]</f>
        <v>0</v>
      </c>
      <c r="BJ33" s="170">
        <f>IF(Tabel5[[#This Row],[Aantal games Alg]]=0,0,Tabel5[[#This Row],[Goals Alg]]/Tabel5[[#This Row],[Aantal games Alg]])</f>
        <v>0</v>
      </c>
      <c r="BK33" s="148">
        <f>SUMIF(Tabel15[Team Rood],Tabel5[[#This Row],[Team]],Tabel15[ET])</f>
        <v>0</v>
      </c>
      <c r="BL33" s="150">
        <f>SUMIF(Tabel15[Team Groen],Tabel5[[#This Row],[Team]],Tabel15[ET])</f>
        <v>0</v>
      </c>
      <c r="BM33" s="153">
        <f>SUM(Tabel5[[#This Row],[ET Groen tot]],Tabel5[[#This Row],[ET Rood tot]])</f>
        <v>0</v>
      </c>
      <c r="BN33" s="155">
        <f>IF(Tabel5[[#This Row],[Aantal games Alg]]=0,0,Tabel5[[#This Row],[ET tot]]/Tabel5[[#This Row],[Aantal games Alg]])</f>
        <v>0</v>
      </c>
    </row>
    <row r="34" spans="1:66" x14ac:dyDescent="0.25">
      <c r="A34" s="215">
        <v>43876</v>
      </c>
      <c r="B34" s="128"/>
      <c r="C34" s="126"/>
      <c r="D34" s="217"/>
      <c r="E34" s="74">
        <v>33</v>
      </c>
      <c r="F34" s="40" t="s">
        <v>11</v>
      </c>
      <c r="G34" s="76">
        <v>2</v>
      </c>
      <c r="H34" s="40" t="s">
        <v>13</v>
      </c>
      <c r="I34" s="76">
        <v>9</v>
      </c>
      <c r="J34" s="41" t="s">
        <v>167</v>
      </c>
      <c r="K34" s="78">
        <v>1</v>
      </c>
      <c r="L34" s="41" t="s">
        <v>3</v>
      </c>
      <c r="M34" s="78">
        <v>4</v>
      </c>
      <c r="N34" s="81">
        <v>11</v>
      </c>
      <c r="O34" s="82">
        <v>5</v>
      </c>
      <c r="P3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Row],[Score4]]&lt;&gt;""),IF(AND(N34&gt;O34,N34&gt;=11),"ROOD",IF(AND(O34&gt;=11,N34&lt;&gt;O34),"GROEN","")),"")</f>
        <v>ROOD</v>
      </c>
      <c r="Q34" s="86" t="str">
        <f t="shared" si="0"/>
        <v>Matthijs</v>
      </c>
      <c r="R34" s="87" t="str">
        <f t="shared" si="1"/>
        <v>Bert</v>
      </c>
      <c r="S34" t="str">
        <f>Tabel15[[#This Row],[Rood Verdediging]]&amp;Tabel15[[#This Row],[Rood Aanval]]</f>
        <v>MatthijsBert</v>
      </c>
      <c r="T34" t="str">
        <f>Tabel15[[#This Row],[Groen Verdediging]]&amp;Tabel15[[#This Row],[Groen Aanval]]</f>
        <v>CogheKarel</v>
      </c>
      <c r="U34" t="str">
        <f>Tabel15[[#This Row],[Winnaar 1]]&amp;Tabel15[[#This Row],[Winnaar 2]]</f>
        <v>MatthijsBert</v>
      </c>
      <c r="V34" s="147" t="str">
        <f>IF(Tabel15[[#This Row],[Team Rood]]=Tabel15[[#This Row],[Winnaars]],Tabel15[[#This Row],[Team Rood]])</f>
        <v>MatthijsBert</v>
      </c>
      <c r="W34" s="147" t="b">
        <f>IF(Tabel15[[#This Row],[Team Groen]]=Tabel15[[#This Row],[Winnaars]],Tabel15[[#This Row],[Team Groen]])</f>
        <v>0</v>
      </c>
      <c r="X34" s="283">
        <v>24.717243873116146</v>
      </c>
      <c r="Y34" s="283">
        <v>23.920974087245032</v>
      </c>
      <c r="Z34" s="283">
        <v>-2.2906432803190664</v>
      </c>
      <c r="AA34" s="283">
        <v>-2.3985043454702</v>
      </c>
      <c r="AL34" s="251" t="s">
        <v>168</v>
      </c>
      <c r="AM34" s="233" t="s">
        <v>169</v>
      </c>
      <c r="AN34" s="140" t="str">
        <f t="shared" ref="AN34:AN65" si="10">AL34&amp;AM34</f>
        <v>Coghe*Stef*</v>
      </c>
      <c r="AO34" s="160">
        <f>IF(Tabel5[[#This Row],[Aantal Games Rood]]=0,0,(Tabel5[[#This Row],[Wins Rood]])/Tabel5[[#This Row],[Aantal Games Rood]])</f>
        <v>0</v>
      </c>
      <c r="AP34" s="159">
        <f>IF(Tabel5[[#This Row],[Aantal Games Groen]]=0,0,(Tabel5[[#This Row],[Wins Groen]])/Tabel5[[#This Row],[Aantal Games Groen]])</f>
        <v>1</v>
      </c>
      <c r="AQ34" s="156">
        <f>IF(Tabel5[[#This Row],[Aantal games Alg]]=0,0,(Tabel5[[#This Row],[Wins Alg]])/Tabel5[[#This Row],[Aantal games Alg]])</f>
        <v>0.66666666666666663</v>
      </c>
      <c r="AR34" s="133">
        <f>COUNTIF(Tabel15[Winaar rood],Tabel5[[#This Row],[Team]])</f>
        <v>0</v>
      </c>
      <c r="AS34" s="134">
        <f>COUNTIF(Tabel15[Winnaar Groen],Tabel5[[#This Row],[Team]])</f>
        <v>2</v>
      </c>
      <c r="AT34" s="293">
        <f>COUNTIF(Tabel15[Winnaars],Tabel5[[#This Row],[Team]])</f>
        <v>2</v>
      </c>
      <c r="AU34" s="135">
        <f>Tabel5[[#This Row],[Aantal Games Rood]]-Tabel5[[#This Row],[Wins Rood]]</f>
        <v>1</v>
      </c>
      <c r="AV34" s="136">
        <f>Tabel5[[#This Row],[Aantal Games Groen]]-Tabel5[[#This Row],[Wins Groen]]</f>
        <v>0</v>
      </c>
      <c r="AW34" s="137">
        <f>Tabel5[[#This Row],[Aantal games Alg]]-Tabel5[[#This Row],[Wins Alg]]</f>
        <v>1</v>
      </c>
      <c r="AX34" s="138">
        <f>COUNTIF(Tabel15[Team Rood],Tabel5[[#This Row],[Team]])</f>
        <v>1</v>
      </c>
      <c r="AY34" s="136">
        <f>COUNTIF(Tabel15[Team Groen],Tabel5[[#This Row],[Team]])</f>
        <v>2</v>
      </c>
      <c r="AZ34" s="214">
        <f>Tabel5[[#This Row],[Aantal Games Rood]]+Tabel5[[#This Row],[Aantal Games Groen]]</f>
        <v>3</v>
      </c>
      <c r="BA34" s="138">
        <f>SUMIF(Tabel15[Team Rood],Tabel5[[#This Row],[Team]],Tabel15[Score])</f>
        <v>0</v>
      </c>
      <c r="BB34" s="138">
        <f>SUMIF(Tabel15[Team Rood],Tabel5[[#This Row],[Team]],Tabel15[Score2])</f>
        <v>5</v>
      </c>
      <c r="BC34" s="134">
        <f>SUMIF(Tabel15[Team Groen],Tabel5[[#This Row],[Team]],Tabel15[Score3])</f>
        <v>2</v>
      </c>
      <c r="BD34" s="136">
        <f>SUMIF(Tabel15[Team Groen],Tabel5[[#This Row],[Team]],Tabel15[Score4])</f>
        <v>20</v>
      </c>
      <c r="BE34" s="293">
        <f>SUM(Tabel5[[#This Row],[Goals Verdediger]]+Tabel5[[#This Row],[Goals DefG]])</f>
        <v>2</v>
      </c>
      <c r="BF34" s="293">
        <f>IF(Tabel5[[#This Row],[Aantal games Alg]]=0,0,Tabel5[[#This Row],[Goals DefA]]/Tabel5[[#This Row],[Aantal games Alg]])</f>
        <v>0.66666666666666663</v>
      </c>
      <c r="BG34" s="293">
        <f>SUM(Tabel5[[#This Row],[Goals Aanvaller]]+Tabel5[[#This Row],[Goals OffG]])</f>
        <v>25</v>
      </c>
      <c r="BH34" s="293">
        <f>IF(Tabel5[[#This Row],[Aantal games Alg]]=0,0,Tabel5[[#This Row],[Goals OffA]]/Tabel5[[#This Row],[Aantal games Alg]])</f>
        <v>8.3333333333333339</v>
      </c>
      <c r="BI34" s="214">
        <f>Tabel5[[#This Row],[Goals DefA]]+Tabel5[[#This Row],[Goals OffA]]</f>
        <v>27</v>
      </c>
      <c r="BJ34" s="214">
        <f>IF(Tabel5[[#This Row],[Aantal games Alg]]=0,0,Tabel5[[#This Row],[Goals Alg]]/Tabel5[[#This Row],[Aantal games Alg]])</f>
        <v>9</v>
      </c>
      <c r="BK34" s="148">
        <f ca="1">SUMIF(Tabel15[Team Rood],Tabel5[[#This Row],[Team]],Tabel15[ET])</f>
        <v>7.8796296293148771E-3</v>
      </c>
      <c r="BL34" s="150">
        <f>SUMIF(Tabel15[Team Groen],Tabel5[[#This Row],[Team]],Tabel15[ET])</f>
        <v>1.8047685196506791E-2</v>
      </c>
      <c r="BM34" s="153">
        <f ca="1">SUM(Tabel5[[#This Row],[ET Groen tot]],Tabel5[[#This Row],[ET Rood tot]])</f>
        <v>2.5927314825821668E-2</v>
      </c>
      <c r="BN34" s="155">
        <f ca="1">IF(Tabel5[[#This Row],[Aantal games Alg]]=0,0,Tabel5[[#This Row],[ET tot]]/Tabel5[[#This Row],[Aantal games Alg]])</f>
        <v>8.6424382752738893E-3</v>
      </c>
    </row>
    <row r="35" spans="1:66" x14ac:dyDescent="0.25">
      <c r="A35" s="215">
        <v>43876.988165277777</v>
      </c>
      <c r="B35" s="128">
        <v>43876.988165277777</v>
      </c>
      <c r="C35" s="126">
        <v>43876.993590162034</v>
      </c>
      <c r="D35" s="217">
        <v>5.4248842570814304E-3</v>
      </c>
      <c r="E35" s="74">
        <v>34</v>
      </c>
      <c r="F35" s="40" t="s">
        <v>0</v>
      </c>
      <c r="G35" s="76">
        <v>2</v>
      </c>
      <c r="H35" s="40" t="s">
        <v>11</v>
      </c>
      <c r="I35" s="76">
        <v>5</v>
      </c>
      <c r="J35" s="41" t="s">
        <v>6</v>
      </c>
      <c r="K35" s="78">
        <v>3</v>
      </c>
      <c r="L35" s="41" t="s">
        <v>3</v>
      </c>
      <c r="M35" s="78">
        <v>8</v>
      </c>
      <c r="N35" s="81">
        <v>7</v>
      </c>
      <c r="O35" s="82">
        <v>11</v>
      </c>
      <c r="P3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Row],[Score4]]&lt;&gt;""),IF(AND(N35&gt;O35,N35&gt;=11),"ROOD",IF(AND(O35&gt;=11,N35&lt;&gt;O35),"GROEN","")),"")</f>
        <v>GROEN</v>
      </c>
      <c r="Q35" s="86" t="str">
        <f t="shared" si="0"/>
        <v>Stef D</v>
      </c>
      <c r="R35" s="87" t="str">
        <f t="shared" si="1"/>
        <v>Karel</v>
      </c>
      <c r="S35" t="str">
        <f>Tabel15[[#This Row],[Rood Verdediging]]&amp;Tabel15[[#This Row],[Rood Aanval]]</f>
        <v>JonasMatthijs</v>
      </c>
      <c r="T35" t="str">
        <f>Tabel15[[#This Row],[Groen Verdediging]]&amp;Tabel15[[#This Row],[Groen Aanval]]</f>
        <v>Stef DKarel</v>
      </c>
      <c r="U35" t="str">
        <f>Tabel15[[#This Row],[Winnaar 1]]&amp;Tabel15[[#This Row],[Winnaar 2]]</f>
        <v>Stef DKarel</v>
      </c>
      <c r="V35" s="147" t="b">
        <f>IF(Tabel15[[#This Row],[Team Rood]]=Tabel15[[#This Row],[Winnaars]],Tabel15[[#This Row],[Team Rood]])</f>
        <v>0</v>
      </c>
      <c r="W35" s="147" t="str">
        <f>IF(Tabel15[[#This Row],[Team Groen]]=Tabel15[[#This Row],[Winnaars]],Tabel15[[#This Row],[Team Groen]])</f>
        <v>Stef DKarel</v>
      </c>
      <c r="X35" s="283">
        <v>3.6430443167984219</v>
      </c>
      <c r="Y35" s="283">
        <v>4.9096494990075943</v>
      </c>
      <c r="Z35" s="283">
        <v>8.7220829825405026</v>
      </c>
      <c r="AA35" s="283">
        <v>9.2945845196308383</v>
      </c>
      <c r="AL35" s="251" t="s">
        <v>168</v>
      </c>
      <c r="AM35" s="233" t="s">
        <v>166</v>
      </c>
      <c r="AN35" s="140" t="str">
        <f t="shared" si="10"/>
        <v>Coghe*Stijn*</v>
      </c>
      <c r="AO35" s="160">
        <f>IF(Tabel5[[#This Row],[Aantal Games Rood]]=0,0,(Tabel5[[#This Row],[Wins Rood]])/Tabel5[[#This Row],[Aantal Games Rood]])</f>
        <v>0</v>
      </c>
      <c r="AP35" s="159">
        <f>IF(Tabel5[[#This Row],[Aantal Games Groen]]=0,0,(Tabel5[[#This Row],[Wins Groen]])/Tabel5[[#This Row],[Aantal Games Groen]])</f>
        <v>0</v>
      </c>
      <c r="AQ35" s="156">
        <f>IF(Tabel5[[#This Row],[Aantal games Alg]]=0,0,(Tabel5[[#This Row],[Wins Alg]])/Tabel5[[#This Row],[Aantal games Alg]])</f>
        <v>0</v>
      </c>
      <c r="AR35" s="138">
        <f>COUNTIF(Tabel15[Winaar rood],Tabel5[[#This Row],[Team]])</f>
        <v>0</v>
      </c>
      <c r="AS35" s="134">
        <f>COUNTIF(Tabel15[Winnaar Groen],Tabel5[[#This Row],[Team]])</f>
        <v>0</v>
      </c>
      <c r="AT35">
        <f>COUNTIF(Tabel15[Winnaars],Tabel5[[#This Row],[Team]])</f>
        <v>0</v>
      </c>
      <c r="AU35" s="135">
        <f>Tabel5[[#This Row],[Aantal Games Rood]]-Tabel5[[#This Row],[Wins Rood]]</f>
        <v>0</v>
      </c>
      <c r="AV35" s="136">
        <f>Tabel5[[#This Row],[Aantal Games Groen]]-Tabel5[[#This Row],[Wins Groen]]</f>
        <v>0</v>
      </c>
      <c r="AW35" s="137">
        <f>Tabel5[[#This Row],[Aantal games Alg]]-Tabel5[[#This Row],[Wins Alg]]</f>
        <v>0</v>
      </c>
      <c r="AX35" s="138">
        <f>COUNTIF(Tabel15[Team Rood],Tabel5[[#This Row],[Team]])</f>
        <v>0</v>
      </c>
      <c r="AY35" s="136">
        <f>COUNTIF(Tabel15[Team Groen],Tabel5[[#This Row],[Team]])</f>
        <v>0</v>
      </c>
      <c r="AZ35" s="214">
        <f>Tabel5[[#This Row],[Aantal Games Rood]]+Tabel5[[#This Row],[Aantal Games Groen]]</f>
        <v>0</v>
      </c>
      <c r="BA35" s="138">
        <f>SUMIF(Tabel15[Team Rood],Tabel5[[#This Row],[Team]],Tabel15[Score])</f>
        <v>0</v>
      </c>
      <c r="BB35" s="138">
        <f>SUMIF(Tabel15[Team Rood],Tabel5[[#This Row],[Team]],Tabel15[Score2])</f>
        <v>0</v>
      </c>
      <c r="BC35" s="134">
        <f>SUMIF(Tabel15[Team Groen],Tabel5[[#This Row],[Team]],Tabel15[Score3])</f>
        <v>0</v>
      </c>
      <c r="BD35" s="136">
        <f>SUMIF(Tabel15[Team Groen],Tabel5[[#This Row],[Team]],Tabel15[Score4])</f>
        <v>0</v>
      </c>
      <c r="BE35">
        <f>SUM(Tabel5[[#This Row],[Goals Verdediger]]+Tabel5[[#This Row],[Goals DefG]])</f>
        <v>0</v>
      </c>
      <c r="BF35">
        <f>IF(Tabel5[[#This Row],[Aantal games Alg]]=0,0,Tabel5[[#This Row],[Goals DefA]]/Tabel5[[#This Row],[Aantal games Alg]])</f>
        <v>0</v>
      </c>
      <c r="BG35">
        <f>SUM(Tabel5[[#This Row],[Goals Aanvaller]]+Tabel5[[#This Row],[Goals OffG]])</f>
        <v>0</v>
      </c>
      <c r="BH35">
        <f>IF(Tabel5[[#This Row],[Aantal games Alg]]=0,0,Tabel5[[#This Row],[Goals OffA]]/Tabel5[[#This Row],[Aantal games Alg]])</f>
        <v>0</v>
      </c>
      <c r="BI35" s="112">
        <f>Tabel5[[#This Row],[Goals DefA]]+Tabel5[[#This Row],[Goals OffA]]</f>
        <v>0</v>
      </c>
      <c r="BJ35" s="112">
        <f>IF(Tabel5[[#This Row],[Aantal games Alg]]=0,0,Tabel5[[#This Row],[Goals Alg]]/Tabel5[[#This Row],[Aantal games Alg]])</f>
        <v>0</v>
      </c>
      <c r="BK35" s="148">
        <f>SUMIF(Tabel15[Team Rood],Tabel5[[#This Row],[Team]],Tabel15[ET])</f>
        <v>0</v>
      </c>
      <c r="BL35" s="150">
        <f>SUMIF(Tabel15[Team Groen],Tabel5[[#This Row],[Team]],Tabel15[ET])</f>
        <v>0</v>
      </c>
      <c r="BM35" s="153">
        <f>SUM(Tabel5[[#This Row],[ET Groen tot]],Tabel5[[#This Row],[ET Rood tot]])</f>
        <v>0</v>
      </c>
      <c r="BN35" s="155">
        <f>IF(Tabel5[[#This Row],[Aantal games Alg]]=0,0,Tabel5[[#This Row],[ET tot]]/Tabel5[[#This Row],[Aantal games Alg]])</f>
        <v>0</v>
      </c>
    </row>
    <row r="36" spans="1:66" x14ac:dyDescent="0.25">
      <c r="A36" s="215">
        <v>43877.004257291665</v>
      </c>
      <c r="B36" s="128">
        <v>43877.004257291665</v>
      </c>
      <c r="C36" s="126">
        <v>43877.013281134263</v>
      </c>
      <c r="D36" s="217">
        <v>9.0238425982533954E-3</v>
      </c>
      <c r="E36" s="74">
        <v>35</v>
      </c>
      <c r="F36" s="40" t="s">
        <v>11</v>
      </c>
      <c r="G36" s="76">
        <v>3</v>
      </c>
      <c r="H36" s="40" t="s">
        <v>3</v>
      </c>
      <c r="I36" s="76">
        <v>6</v>
      </c>
      <c r="J36" s="41" t="s">
        <v>167</v>
      </c>
      <c r="K36" s="78">
        <v>1</v>
      </c>
      <c r="L36" s="41" t="s">
        <v>6</v>
      </c>
      <c r="M36" s="78">
        <v>10</v>
      </c>
      <c r="N36" s="81">
        <v>9</v>
      </c>
      <c r="O36" s="82">
        <v>11</v>
      </c>
      <c r="P3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Row],[Score4]]&lt;&gt;""),IF(AND(N36&gt;O36,N36&gt;=11),"ROOD",IF(AND(O36&gt;=11,N36&lt;&gt;O36),"GROEN","")),"")</f>
        <v>GROEN</v>
      </c>
      <c r="Q36" s="86" t="str">
        <f t="shared" si="0"/>
        <v>Coghe</v>
      </c>
      <c r="R36" s="87" t="str">
        <f t="shared" si="1"/>
        <v>Stef D</v>
      </c>
      <c r="S36" t="str">
        <f>Tabel15[[#This Row],[Rood Verdediging]]&amp;Tabel15[[#This Row],[Rood Aanval]]</f>
        <v>MatthijsKarel</v>
      </c>
      <c r="T36" t="str">
        <f>Tabel15[[#This Row],[Groen Verdediging]]&amp;Tabel15[[#This Row],[Groen Aanval]]</f>
        <v>CogheStef D</v>
      </c>
      <c r="U36" t="str">
        <f>Tabel15[[#This Row],[Winnaar 1]]&amp;Tabel15[[#This Row],[Winnaar 2]]</f>
        <v>CogheStef D</v>
      </c>
      <c r="V36" s="147" t="b">
        <f>IF(Tabel15[[#This Row],[Team Rood]]=Tabel15[[#This Row],[Winnaars]],Tabel15[[#This Row],[Team Rood]])</f>
        <v>0</v>
      </c>
      <c r="W36" s="147" t="str">
        <f>IF(Tabel15[[#This Row],[Team Groen]]=Tabel15[[#This Row],[Winnaars]],Tabel15[[#This Row],[Team Groen]])</f>
        <v>CogheStef D</v>
      </c>
      <c r="X36" s="283">
        <v>-4.2451014014871635</v>
      </c>
      <c r="Y36" s="283">
        <v>-4.7081694099057358</v>
      </c>
      <c r="Z36" s="283">
        <v>27.027773414503496</v>
      </c>
      <c r="AA36" s="283">
        <v>21.388320924237583</v>
      </c>
      <c r="AL36" s="251" t="s">
        <v>168</v>
      </c>
      <c r="AM36" s="233" t="s">
        <v>160</v>
      </c>
      <c r="AN36" s="140" t="str">
        <f t="shared" si="10"/>
        <v>Coghe*Tiemen*</v>
      </c>
      <c r="AO36" s="160">
        <f>IF(Tabel5[[#This Row],[Aantal Games Rood]]=0,0,(Tabel5[[#This Row],[Wins Rood]])/Tabel5[[#This Row],[Aantal Games Rood]])</f>
        <v>0</v>
      </c>
      <c r="AP36" s="159">
        <f>IF(Tabel5[[#This Row],[Aantal Games Groen]]=0,0,(Tabel5[[#This Row],[Wins Groen]])/Tabel5[[#This Row],[Aantal Games Groen]])</f>
        <v>0.33333333333333331</v>
      </c>
      <c r="AQ36" s="156">
        <f>IF(Tabel5[[#This Row],[Aantal games Alg]]=0,0,(Tabel5[[#This Row],[Wins Alg]])/Tabel5[[#This Row],[Aantal games Alg]])</f>
        <v>0.33333333333333331</v>
      </c>
      <c r="AR36" s="138">
        <f>COUNTIF(Tabel15[Winaar rood],Tabel5[[#This Row],[Team]])</f>
        <v>0</v>
      </c>
      <c r="AS36" s="136">
        <f>COUNTIF(Tabel15[Winnaar Groen],Tabel5[[#This Row],[Team]])</f>
        <v>1</v>
      </c>
      <c r="AT36" s="214">
        <f>COUNTIF(Tabel15[Winnaars],Tabel5[[#This Row],[Team]])</f>
        <v>1</v>
      </c>
      <c r="AU36" s="135">
        <f>Tabel5[[#This Row],[Aantal Games Rood]]-Tabel5[[#This Row],[Wins Rood]]</f>
        <v>0</v>
      </c>
      <c r="AV36" s="136">
        <f>Tabel5[[#This Row],[Aantal Games Groen]]-Tabel5[[#This Row],[Wins Groen]]</f>
        <v>2</v>
      </c>
      <c r="AW36" s="137">
        <f>Tabel5[[#This Row],[Aantal games Alg]]-Tabel5[[#This Row],[Wins Alg]]</f>
        <v>2</v>
      </c>
      <c r="AX36" s="138">
        <f>COUNTIF(Tabel15[Team Rood],Tabel5[[#This Row],[Team]])</f>
        <v>0</v>
      </c>
      <c r="AY36" s="136">
        <f>COUNTIF(Tabel15[Team Groen],Tabel5[[#This Row],[Team]])</f>
        <v>3</v>
      </c>
      <c r="AZ36" s="112">
        <f>Tabel5[[#This Row],[Aantal Games Rood]]+Tabel5[[#This Row],[Aantal Games Groen]]</f>
        <v>3</v>
      </c>
      <c r="BA36" s="138">
        <f>SUMIF(Tabel15[Team Rood],Tabel5[[#This Row],[Team]],Tabel15[Score])</f>
        <v>0</v>
      </c>
      <c r="BB36" s="138">
        <f>SUMIF(Tabel15[Team Rood],Tabel5[[#This Row],[Team]],Tabel15[Score2])</f>
        <v>0</v>
      </c>
      <c r="BC36" s="134">
        <f>SUMIF(Tabel15[Team Groen],Tabel5[[#This Row],[Team]],Tabel15[Score3])</f>
        <v>4</v>
      </c>
      <c r="BD36" s="136">
        <f>SUMIF(Tabel15[Team Groen],Tabel5[[#This Row],[Team]],Tabel15[Score4])</f>
        <v>20</v>
      </c>
      <c r="BE36">
        <f>SUM(Tabel5[[#This Row],[Goals Verdediger]]+Tabel5[[#This Row],[Goals DefG]])</f>
        <v>4</v>
      </c>
      <c r="BF36">
        <f>IF(Tabel5[[#This Row],[Aantal games Alg]]=0,0,Tabel5[[#This Row],[Goals DefA]]/Tabel5[[#This Row],[Aantal games Alg]])</f>
        <v>1.3333333333333333</v>
      </c>
      <c r="BG36">
        <f>SUM(Tabel5[[#This Row],[Goals Aanvaller]]+Tabel5[[#This Row],[Goals OffG]])</f>
        <v>20</v>
      </c>
      <c r="BH36">
        <f>IF(Tabel5[[#This Row],[Aantal games Alg]]=0,0,Tabel5[[#This Row],[Goals OffA]]/Tabel5[[#This Row],[Aantal games Alg]])</f>
        <v>6.666666666666667</v>
      </c>
      <c r="BI36" s="112">
        <f>Tabel5[[#This Row],[Goals DefA]]+Tabel5[[#This Row],[Goals OffA]]</f>
        <v>24</v>
      </c>
      <c r="BJ36" s="112">
        <f>IF(Tabel5[[#This Row],[Aantal games Alg]]=0,0,Tabel5[[#This Row],[Goals Alg]]/Tabel5[[#This Row],[Aantal games Alg]])</f>
        <v>8</v>
      </c>
      <c r="BK36" s="148">
        <f>SUMIF(Tabel15[Team Rood],Tabel5[[#This Row],[Team]],Tabel15[ET])</f>
        <v>0</v>
      </c>
      <c r="BL36" s="150">
        <f ca="1">SUMIF(Tabel15[Team Groen],Tabel5[[#This Row],[Team]],Tabel15[ET])</f>
        <v>1.3510763892554678E-2</v>
      </c>
      <c r="BM36" s="153">
        <f ca="1">SUM(Tabel5[[#This Row],[ET Groen tot]],Tabel5[[#This Row],[ET Rood tot]])</f>
        <v>1.3510763892554678E-2</v>
      </c>
      <c r="BN36" s="155">
        <f ca="1">IF(Tabel5[[#This Row],[Aantal games Alg]]=0,0,Tabel5[[#This Row],[ET tot]]/Tabel5[[#This Row],[Aantal games Alg]])</f>
        <v>4.5035879641848924E-3</v>
      </c>
    </row>
    <row r="37" spans="1:66" x14ac:dyDescent="0.25">
      <c r="A37" s="215">
        <v>43877</v>
      </c>
      <c r="B37" s="128"/>
      <c r="C37" s="126"/>
      <c r="D37" s="217"/>
      <c r="E37" s="74">
        <v>36</v>
      </c>
      <c r="F37" s="40" t="s">
        <v>0</v>
      </c>
      <c r="G37" s="76">
        <v>2</v>
      </c>
      <c r="H37" s="40" t="s">
        <v>6</v>
      </c>
      <c r="I37" s="76">
        <v>1</v>
      </c>
      <c r="J37" s="41" t="s">
        <v>11</v>
      </c>
      <c r="K37" s="78">
        <v>1</v>
      </c>
      <c r="L37" s="41" t="s">
        <v>70</v>
      </c>
      <c r="M37" s="78">
        <v>10</v>
      </c>
      <c r="N37" s="81">
        <v>3</v>
      </c>
      <c r="O37" s="82">
        <v>11</v>
      </c>
      <c r="P3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Row],[Score4]]&lt;&gt;""),IF(AND(N37&gt;O37,N37&gt;=11),"ROOD",IF(AND(O37&gt;=11,N37&lt;&gt;O37),"GROEN","")),"")</f>
        <v>GROEN</v>
      </c>
      <c r="Q37" s="86" t="str">
        <f t="shared" si="0"/>
        <v>Matthijs</v>
      </c>
      <c r="R37" s="87" t="str">
        <f t="shared" si="1"/>
        <v>Arno</v>
      </c>
      <c r="S37" t="str">
        <f>Tabel15[[#This Row],[Rood Verdediging]]&amp;Tabel15[[#This Row],[Rood Aanval]]</f>
        <v>JonasStef D</v>
      </c>
      <c r="T37" t="str">
        <f>Tabel15[[#This Row],[Groen Verdediging]]&amp;Tabel15[[#This Row],[Groen Aanval]]</f>
        <v>MatthijsArno</v>
      </c>
      <c r="U37" t="str">
        <f>Tabel15[[#This Row],[Winnaar 1]]&amp;Tabel15[[#This Row],[Winnaar 2]]</f>
        <v>MatthijsArno</v>
      </c>
      <c r="V37" s="147" t="b">
        <f>IF(Tabel15[[#This Row],[Team Rood]]=Tabel15[[#This Row],[Winnaars]],Tabel15[[#This Row],[Team Rood]])</f>
        <v>0</v>
      </c>
      <c r="W37" s="147" t="str">
        <f>IF(Tabel15[[#This Row],[Team Groen]]=Tabel15[[#This Row],[Winnaars]],Tabel15[[#This Row],[Team Groen]])</f>
        <v>MatthijsArno</v>
      </c>
      <c r="X37" s="283">
        <v>-7.2049097770064483</v>
      </c>
      <c r="Y37" s="283">
        <v>-9.1569493874115437</v>
      </c>
      <c r="Z37" s="283">
        <v>38.615737744668237</v>
      </c>
      <c r="AA37" s="283">
        <v>32.451173265316072</v>
      </c>
      <c r="AL37" s="251" t="s">
        <v>168</v>
      </c>
      <c r="AM37" s="233" t="s">
        <v>157</v>
      </c>
      <c r="AN37" s="140" t="str">
        <f t="shared" si="10"/>
        <v>Coghe*Tobi*</v>
      </c>
      <c r="AO37" s="160">
        <f>IF(Tabel5[[#This Row],[Aantal Games Rood]]=0,0,(Tabel5[[#This Row],[Wins Rood]])/Tabel5[[#This Row],[Aantal Games Rood]])</f>
        <v>0</v>
      </c>
      <c r="AP37" s="159">
        <f>IF(Tabel5[[#This Row],[Aantal Games Groen]]=0,0,(Tabel5[[#This Row],[Wins Groen]])/Tabel5[[#This Row],[Aantal Games Groen]])</f>
        <v>0</v>
      </c>
      <c r="AQ37" s="156">
        <f>IF(Tabel5[[#This Row],[Aantal games Alg]]=0,0,(Tabel5[[#This Row],[Wins Alg]])/Tabel5[[#This Row],[Aantal games Alg]])</f>
        <v>0</v>
      </c>
      <c r="AR37" s="133">
        <f>COUNTIF(Tabel15[Winaar rood],Tabel5[[#This Row],[Team]])</f>
        <v>0</v>
      </c>
      <c r="AS37" s="134">
        <f>COUNTIF(Tabel15[Winnaar Groen],Tabel5[[#This Row],[Team]])</f>
        <v>0</v>
      </c>
      <c r="AT37">
        <f>COUNTIF(Tabel15[Winnaars],Tabel5[[#This Row],[Team]])</f>
        <v>0</v>
      </c>
      <c r="AU37" s="135">
        <f>Tabel5[[#This Row],[Aantal Games Rood]]-Tabel5[[#This Row],[Wins Rood]]</f>
        <v>0</v>
      </c>
      <c r="AV37" s="136">
        <f>Tabel5[[#This Row],[Aantal Games Groen]]-Tabel5[[#This Row],[Wins Groen]]</f>
        <v>0</v>
      </c>
      <c r="AW37" s="137">
        <f>Tabel5[[#This Row],[Aantal games Alg]]-Tabel5[[#This Row],[Wins Alg]]</f>
        <v>0</v>
      </c>
      <c r="AX37" s="138">
        <f>COUNTIF(Tabel15[Team Rood],Tabel5[[#This Row],[Team]])</f>
        <v>0</v>
      </c>
      <c r="AY37" s="136">
        <f>COUNTIF(Tabel15[Team Groen],Tabel5[[#This Row],[Team]])</f>
        <v>0</v>
      </c>
      <c r="AZ37" s="112">
        <f>Tabel5[[#This Row],[Aantal Games Rood]]+Tabel5[[#This Row],[Aantal Games Groen]]</f>
        <v>0</v>
      </c>
      <c r="BA37" s="138">
        <f>SUMIF(Tabel15[Team Rood],Tabel5[[#This Row],[Team]],Tabel15[Score])</f>
        <v>0</v>
      </c>
      <c r="BB37" s="138">
        <f>SUMIF(Tabel15[Team Rood],Tabel5[[#This Row],[Team]],Tabel15[Score2])</f>
        <v>0</v>
      </c>
      <c r="BC37" s="134">
        <f>SUMIF(Tabel15[Team Groen],Tabel5[[#This Row],[Team]],Tabel15[Score3])</f>
        <v>0</v>
      </c>
      <c r="BD37" s="136">
        <f>SUMIF(Tabel15[Team Groen],Tabel5[[#This Row],[Team]],Tabel15[Score4])</f>
        <v>0</v>
      </c>
      <c r="BE37">
        <f>SUM(Tabel5[[#This Row],[Goals Verdediger]]+Tabel5[[#This Row],[Goals DefG]])</f>
        <v>0</v>
      </c>
      <c r="BF37">
        <f>IF(Tabel5[[#This Row],[Aantal games Alg]]=0,0,Tabel5[[#This Row],[Goals DefA]]/Tabel5[[#This Row],[Aantal games Alg]])</f>
        <v>0</v>
      </c>
      <c r="BG37">
        <f>SUM(Tabel5[[#This Row],[Goals Aanvaller]]+Tabel5[[#This Row],[Goals OffG]])</f>
        <v>0</v>
      </c>
      <c r="BH37">
        <f>IF(Tabel5[[#This Row],[Aantal games Alg]]=0,0,Tabel5[[#This Row],[Goals OffA]]/Tabel5[[#This Row],[Aantal games Alg]])</f>
        <v>0</v>
      </c>
      <c r="BI37" s="112">
        <f>Tabel5[[#This Row],[Goals DefA]]+Tabel5[[#This Row],[Goals OffA]]</f>
        <v>0</v>
      </c>
      <c r="BJ37" s="112">
        <f>IF(Tabel5[[#This Row],[Aantal games Alg]]=0,0,Tabel5[[#This Row],[Goals Alg]]/Tabel5[[#This Row],[Aantal games Alg]])</f>
        <v>0</v>
      </c>
      <c r="BK37" s="148">
        <f>SUMIF(Tabel15[Team Rood],Tabel5[[#This Row],[Team]],Tabel15[ET])</f>
        <v>0</v>
      </c>
      <c r="BL37" s="150">
        <f>SUMIF(Tabel15[Team Groen],Tabel5[[#This Row],[Team]],Tabel15[ET])</f>
        <v>0</v>
      </c>
      <c r="BM37" s="153">
        <f>SUM(Tabel5[[#This Row],[ET Groen tot]],Tabel5[[#This Row],[ET Rood tot]])</f>
        <v>0</v>
      </c>
      <c r="BN37" s="155">
        <f>IF(Tabel5[[#This Row],[Aantal games Alg]]=0,0,Tabel5[[#This Row],[ET tot]]/Tabel5[[#This Row],[Aantal games Alg]])</f>
        <v>0</v>
      </c>
    </row>
    <row r="38" spans="1:66" x14ac:dyDescent="0.25">
      <c r="A38" s="215">
        <v>43889.910709953707</v>
      </c>
      <c r="B38" s="128">
        <v>43889.910709953707</v>
      </c>
      <c r="C38" s="126">
        <v>43889.92392685185</v>
      </c>
      <c r="D38" s="217">
        <v>1.3216898143582512E-2</v>
      </c>
      <c r="E38" s="74">
        <v>37</v>
      </c>
      <c r="F38" s="40" t="s">
        <v>6</v>
      </c>
      <c r="G38" s="76">
        <v>3</v>
      </c>
      <c r="H38" s="40" t="s">
        <v>0</v>
      </c>
      <c r="I38" s="76">
        <v>8</v>
      </c>
      <c r="J38" s="41" t="s">
        <v>70</v>
      </c>
      <c r="K38" s="78">
        <v>5</v>
      </c>
      <c r="L38" s="41" t="s">
        <v>11</v>
      </c>
      <c r="M38" s="78">
        <v>4</v>
      </c>
      <c r="N38" s="81">
        <v>11</v>
      </c>
      <c r="O38" s="82">
        <v>9</v>
      </c>
      <c r="P3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Row],[Score4]]&lt;&gt;""),IF(AND(N38&gt;O38,N38&gt;=11),"ROOD",IF(AND(O38&gt;=11,N38&lt;&gt;O38),"GROEN","")),"")</f>
        <v>ROOD</v>
      </c>
      <c r="Q38" s="86" t="str">
        <f t="shared" si="0"/>
        <v>Stef D</v>
      </c>
      <c r="R38" s="87" t="str">
        <f t="shared" si="1"/>
        <v>Jonas</v>
      </c>
      <c r="S38" t="str">
        <f>Tabel15[[#This Row],[Rood Verdediging]]&amp;Tabel15[[#This Row],[Rood Aanval]]</f>
        <v>Stef DJonas</v>
      </c>
      <c r="T38" t="str">
        <f>Tabel15[[#This Row],[Groen Verdediging]]&amp;Tabel15[[#This Row],[Groen Aanval]]</f>
        <v>ArnoMatthijs</v>
      </c>
      <c r="U38" t="str">
        <f>Tabel15[[#This Row],[Winnaar 1]]&amp;Tabel15[[#This Row],[Winnaar 2]]</f>
        <v>Stef DJonas</v>
      </c>
      <c r="V38" s="147" t="str">
        <f>IF(Tabel15[[#This Row],[Team Rood]]=Tabel15[[#This Row],[Winnaars]],Tabel15[[#This Row],[Team Rood]])</f>
        <v>Stef DJonas</v>
      </c>
      <c r="W38" s="147" t="b">
        <f>IF(Tabel15[[#This Row],[Team Groen]]=Tabel15[[#This Row],[Winnaars]],Tabel15[[#This Row],[Team Groen]])</f>
        <v>0</v>
      </c>
      <c r="X38" s="283">
        <v>8.5300134737056013</v>
      </c>
      <c r="Y38" s="283">
        <v>12.075733172630221</v>
      </c>
      <c r="Z38" s="283">
        <v>3.112921877861448</v>
      </c>
      <c r="AA38" s="283">
        <v>4.8407901418504915</v>
      </c>
      <c r="AL38" s="251" t="s">
        <v>159</v>
      </c>
      <c r="AM38" s="233" t="s">
        <v>158</v>
      </c>
      <c r="AN38" s="140" t="str">
        <f t="shared" si="10"/>
        <v>Jonas*Arno*</v>
      </c>
      <c r="AO38" s="160">
        <f>IF(Tabel5[[#This Row],[Aantal Games Rood]]=0,0,(Tabel5[[#This Row],[Wins Rood]])/Tabel5[[#This Row],[Aantal Games Rood]])</f>
        <v>1</v>
      </c>
      <c r="AP38" s="159">
        <f>IF(Tabel5[[#This Row],[Aantal Games Groen]]=0,0,(Tabel5[[#This Row],[Wins Groen]])/Tabel5[[#This Row],[Aantal Games Groen]])</f>
        <v>0</v>
      </c>
      <c r="AQ38" s="156">
        <f>IF(Tabel5[[#This Row],[Aantal games Alg]]=0,0,(Tabel5[[#This Row],[Wins Alg]])/Tabel5[[#This Row],[Aantal games Alg]])</f>
        <v>1</v>
      </c>
      <c r="AR38" s="138">
        <f>COUNTIF(Tabel15[Winaar rood],Tabel5[[#This Row],[Team]])</f>
        <v>1</v>
      </c>
      <c r="AS38" s="134">
        <f>COUNTIF(Tabel15[Winnaar Groen],Tabel5[[#This Row],[Team]])</f>
        <v>0</v>
      </c>
      <c r="AT38">
        <f>COUNTIF(Tabel15[Winnaars],Tabel5[[#This Row],[Team]])</f>
        <v>1</v>
      </c>
      <c r="AU38" s="135">
        <f>Tabel5[[#This Row],[Aantal Games Rood]]-Tabel5[[#This Row],[Wins Rood]]</f>
        <v>0</v>
      </c>
      <c r="AV38" s="136">
        <f>Tabel5[[#This Row],[Aantal Games Groen]]-Tabel5[[#This Row],[Wins Groen]]</f>
        <v>0</v>
      </c>
      <c r="AW38" s="137">
        <f>Tabel5[[#This Row],[Aantal games Alg]]-Tabel5[[#This Row],[Wins Alg]]</f>
        <v>0</v>
      </c>
      <c r="AX38" s="138">
        <f>COUNTIF(Tabel15[Team Rood],Tabel5[[#This Row],[Team]])</f>
        <v>1</v>
      </c>
      <c r="AY38" s="136">
        <f>COUNTIF(Tabel15[Team Groen],Tabel5[[#This Row],[Team]])</f>
        <v>0</v>
      </c>
      <c r="AZ38" s="112">
        <f>Tabel5[[#This Row],[Aantal Games Rood]]+Tabel5[[#This Row],[Aantal Games Groen]]</f>
        <v>1</v>
      </c>
      <c r="BA38" s="138">
        <f>SUMIF(Tabel15[Team Rood],Tabel5[[#This Row],[Team]],Tabel15[Score])</f>
        <v>3</v>
      </c>
      <c r="BB38" s="138">
        <f>SUMIF(Tabel15[Team Rood],Tabel5[[#This Row],[Team]],Tabel15[Score2])</f>
        <v>8</v>
      </c>
      <c r="BC38" s="134">
        <f>SUMIF(Tabel15[Team Groen],Tabel5[[#This Row],[Team]],Tabel15[Score3])</f>
        <v>0</v>
      </c>
      <c r="BD38" s="136">
        <f>SUMIF(Tabel15[Team Groen],Tabel5[[#This Row],[Team]],Tabel15[Score4])</f>
        <v>0</v>
      </c>
      <c r="BE38">
        <f>SUM(Tabel5[[#This Row],[Goals Verdediger]]+Tabel5[[#This Row],[Goals DefG]])</f>
        <v>3</v>
      </c>
      <c r="BF38">
        <f>IF(Tabel5[[#This Row],[Aantal games Alg]]=0,0,Tabel5[[#This Row],[Goals DefA]]/Tabel5[[#This Row],[Aantal games Alg]])</f>
        <v>3</v>
      </c>
      <c r="BG38">
        <f>SUM(Tabel5[[#This Row],[Goals Aanvaller]]+Tabel5[[#This Row],[Goals OffG]])</f>
        <v>8</v>
      </c>
      <c r="BH38">
        <f>IF(Tabel5[[#This Row],[Aantal games Alg]]=0,0,Tabel5[[#This Row],[Goals OffA]]/Tabel5[[#This Row],[Aantal games Alg]])</f>
        <v>8</v>
      </c>
      <c r="BI38" s="112">
        <f>Tabel5[[#This Row],[Goals DefA]]+Tabel5[[#This Row],[Goals OffA]]</f>
        <v>11</v>
      </c>
      <c r="BJ38" s="112">
        <f>IF(Tabel5[[#This Row],[Aantal games Alg]]=0,0,Tabel5[[#This Row],[Goals Alg]]/Tabel5[[#This Row],[Aantal games Alg]])</f>
        <v>11</v>
      </c>
      <c r="BK38" s="148">
        <f>SUMIF(Tabel15[Team Rood],Tabel5[[#This Row],[Team]],Tabel15[ET])</f>
        <v>7.5491898169275373E-3</v>
      </c>
      <c r="BL38" s="150">
        <f>SUMIF(Tabel15[Team Groen],Tabel5[[#This Row],[Team]],Tabel15[ET])</f>
        <v>0</v>
      </c>
      <c r="BM38" s="153">
        <f>SUM(Tabel5[[#This Row],[ET Groen tot]],Tabel5[[#This Row],[ET Rood tot]])</f>
        <v>7.5491898169275373E-3</v>
      </c>
      <c r="BN38" s="155">
        <f>IF(Tabel5[[#This Row],[Aantal games Alg]]=0,0,Tabel5[[#This Row],[ET tot]]/Tabel5[[#This Row],[Aantal games Alg]])</f>
        <v>7.5491898169275373E-3</v>
      </c>
    </row>
    <row r="39" spans="1:66" x14ac:dyDescent="0.25">
      <c r="A39" s="215">
        <v>43889.92437685185</v>
      </c>
      <c r="B39" s="128">
        <v>43889.92437685185</v>
      </c>
      <c r="C39" s="126">
        <v>43889.932383680556</v>
      </c>
      <c r="D39" s="217">
        <v>8.0068287061294541E-3</v>
      </c>
      <c r="E39" s="74">
        <v>38</v>
      </c>
      <c r="F39" s="40" t="s">
        <v>6</v>
      </c>
      <c r="G39" s="76">
        <v>3</v>
      </c>
      <c r="H39" s="40" t="s">
        <v>70</v>
      </c>
      <c r="I39" s="76">
        <v>9</v>
      </c>
      <c r="J39" s="41" t="s">
        <v>11</v>
      </c>
      <c r="K39" s="78">
        <v>4</v>
      </c>
      <c r="L39" s="41" t="s">
        <v>0</v>
      </c>
      <c r="M39" s="78">
        <v>6</v>
      </c>
      <c r="N39" s="81">
        <v>12</v>
      </c>
      <c r="O39" s="82">
        <v>10</v>
      </c>
      <c r="P3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Row],[Score4]]&lt;&gt;""),IF(AND(N39&gt;O39,N39&gt;=11),"ROOD",IF(AND(O39&gt;=11,N39&lt;&gt;O39),"GROEN","")),"")</f>
        <v>ROOD</v>
      </c>
      <c r="Q39" s="86" t="str">
        <f t="shared" si="0"/>
        <v>Stef D</v>
      </c>
      <c r="R39" s="87" t="str">
        <f t="shared" si="1"/>
        <v>Arno</v>
      </c>
      <c r="S39" t="str">
        <f>Tabel15[[#This Row],[Rood Verdediging]]&amp;Tabel15[[#This Row],[Rood Aanval]]</f>
        <v>Stef DArno</v>
      </c>
      <c r="T39" t="str">
        <f>Tabel15[[#This Row],[Groen Verdediging]]&amp;Tabel15[[#This Row],[Groen Aanval]]</f>
        <v>MatthijsJonas</v>
      </c>
      <c r="U39" t="str">
        <f>Tabel15[[#This Row],[Winnaar 1]]&amp;Tabel15[[#This Row],[Winnaar 2]]</f>
        <v>Stef DArno</v>
      </c>
      <c r="V39" s="147" t="str">
        <f>IF(Tabel15[[#This Row],[Team Rood]]=Tabel15[[#This Row],[Winnaars]],Tabel15[[#This Row],[Team Rood]])</f>
        <v>Stef DArno</v>
      </c>
      <c r="W39" s="147" t="b">
        <f>IF(Tabel15[[#This Row],[Team Groen]]=Tabel15[[#This Row],[Winnaars]],Tabel15[[#This Row],[Team Groen]])</f>
        <v>0</v>
      </c>
      <c r="X39" s="283">
        <v>15.761846360043782</v>
      </c>
      <c r="Y39" s="283">
        <v>14.010002567232277</v>
      </c>
      <c r="Z39" s="283">
        <v>-0.22130711000760678</v>
      </c>
      <c r="AA39" s="283">
        <v>-0.19112370181911165</v>
      </c>
      <c r="AL39" s="251" t="s">
        <v>159</v>
      </c>
      <c r="AM39" s="233" t="s">
        <v>163</v>
      </c>
      <c r="AN39" s="140" t="str">
        <f t="shared" si="10"/>
        <v>Jonas*Bert*</v>
      </c>
      <c r="AO39" s="160">
        <f>IF(Tabel5[[#This Row],[Aantal Games Rood]]=0,0,(Tabel5[[#This Row],[Wins Rood]])/Tabel5[[#This Row],[Aantal Games Rood]])</f>
        <v>0</v>
      </c>
      <c r="AP39" s="159">
        <f>IF(Tabel5[[#This Row],[Aantal Games Groen]]=0,0,(Tabel5[[#This Row],[Wins Groen]])/Tabel5[[#This Row],[Aantal Games Groen]])</f>
        <v>0.25</v>
      </c>
      <c r="AQ39" s="156">
        <f>IF(Tabel5[[#This Row],[Aantal games Alg]]=0,0,(Tabel5[[#This Row],[Wins Alg]])/Tabel5[[#This Row],[Aantal games Alg]])</f>
        <v>0.16666666666666666</v>
      </c>
      <c r="AR39" s="133">
        <f>COUNTIF(Tabel15[Winaar rood],Tabel5[[#This Row],[Team]])</f>
        <v>0</v>
      </c>
      <c r="AS39" s="134">
        <f>COUNTIF(Tabel15[Winnaar Groen],Tabel5[[#This Row],[Team]])</f>
        <v>1</v>
      </c>
      <c r="AT39">
        <f>COUNTIF(Tabel15[Winnaars],Tabel5[[#This Row],[Team]])</f>
        <v>1</v>
      </c>
      <c r="AU39" s="135">
        <f>Tabel5[[#This Row],[Aantal Games Rood]]-Tabel5[[#This Row],[Wins Rood]]</f>
        <v>2</v>
      </c>
      <c r="AV39" s="136">
        <f>Tabel5[[#This Row],[Aantal Games Groen]]-Tabel5[[#This Row],[Wins Groen]]</f>
        <v>3</v>
      </c>
      <c r="AW39" s="137">
        <f>Tabel5[[#This Row],[Aantal games Alg]]-Tabel5[[#This Row],[Wins Alg]]</f>
        <v>5</v>
      </c>
      <c r="AX39" s="138">
        <f>COUNTIF(Tabel15[Team Rood],Tabel5[[#This Row],[Team]])</f>
        <v>2</v>
      </c>
      <c r="AY39" s="136">
        <f>COUNTIF(Tabel15[Team Groen],Tabel5[[#This Row],[Team]])</f>
        <v>4</v>
      </c>
      <c r="AZ39" s="112">
        <f>Tabel5[[#This Row],[Aantal Games Rood]]+Tabel5[[#This Row],[Aantal Games Groen]]</f>
        <v>6</v>
      </c>
      <c r="BA39" s="138">
        <f>SUMIF(Tabel15[Team Rood],Tabel5[[#This Row],[Team]],Tabel15[Score])</f>
        <v>1</v>
      </c>
      <c r="BB39" s="138">
        <f>SUMIF(Tabel15[Team Rood],Tabel5[[#This Row],[Team]],Tabel15[Score2])</f>
        <v>10</v>
      </c>
      <c r="BC39" s="134">
        <f>SUMIF(Tabel15[Team Groen],Tabel5[[#This Row],[Team]],Tabel15[Score3])</f>
        <v>5</v>
      </c>
      <c r="BD39" s="136">
        <f>SUMIF(Tabel15[Team Groen],Tabel5[[#This Row],[Team]],Tabel15[Score4])</f>
        <v>33</v>
      </c>
      <c r="BE39">
        <f>SUM(Tabel5[[#This Row],[Goals Verdediger]]+Tabel5[[#This Row],[Goals DefG]])</f>
        <v>6</v>
      </c>
      <c r="BF39">
        <f>IF(Tabel5[[#This Row],[Aantal games Alg]]=0,0,Tabel5[[#This Row],[Goals DefA]]/Tabel5[[#This Row],[Aantal games Alg]])</f>
        <v>1</v>
      </c>
      <c r="BG39">
        <f>SUM(Tabel5[[#This Row],[Goals Aanvaller]]+Tabel5[[#This Row],[Goals OffG]])</f>
        <v>43</v>
      </c>
      <c r="BH39">
        <f>IF(Tabel5[[#This Row],[Aantal games Alg]]=0,0,Tabel5[[#This Row],[Goals OffA]]/Tabel5[[#This Row],[Aantal games Alg]])</f>
        <v>7.166666666666667</v>
      </c>
      <c r="BI39" s="112">
        <f>Tabel5[[#This Row],[Goals DefA]]+Tabel5[[#This Row],[Goals OffA]]</f>
        <v>49</v>
      </c>
      <c r="BJ39" s="112">
        <f>IF(Tabel5[[#This Row],[Aantal games Alg]]=0,0,Tabel5[[#This Row],[Goals Alg]]/Tabel5[[#This Row],[Aantal games Alg]])</f>
        <v>8.1666666666666661</v>
      </c>
      <c r="BK39" s="148">
        <f ca="1">SUMIF(Tabel15[Team Rood],Tabel5[[#This Row],[Team]],Tabel15[ET])</f>
        <v>9.8611119028646499E-5</v>
      </c>
      <c r="BL39" s="150">
        <f ca="1">SUMIF(Tabel15[Team Groen],Tabel5[[#This Row],[Team]],Tabel15[ET])</f>
        <v>2.6200694439467043E-2</v>
      </c>
      <c r="BM39" s="153">
        <f ca="1">SUM(Tabel5[[#This Row],[ET Groen tot]],Tabel5[[#This Row],[ET Rood tot]])</f>
        <v>2.6299305558495689E-2</v>
      </c>
      <c r="BN39" s="155">
        <f ca="1">IF(Tabel5[[#This Row],[Aantal games Alg]]=0,0,Tabel5[[#This Row],[ET tot]]/Tabel5[[#This Row],[Aantal games Alg]])</f>
        <v>4.3832175930826152E-3</v>
      </c>
    </row>
    <row r="40" spans="1:66" x14ac:dyDescent="0.25">
      <c r="A40" s="215">
        <v>43889</v>
      </c>
      <c r="B40" s="128"/>
      <c r="C40" s="126"/>
      <c r="D40" s="217"/>
      <c r="E40" s="74">
        <v>39</v>
      </c>
      <c r="F40" s="40" t="s">
        <v>70</v>
      </c>
      <c r="G40" s="76">
        <v>5</v>
      </c>
      <c r="H40" s="40" t="s">
        <v>6</v>
      </c>
      <c r="I40" s="76">
        <v>6</v>
      </c>
      <c r="J40" s="41" t="s">
        <v>0</v>
      </c>
      <c r="K40" s="78">
        <v>3</v>
      </c>
      <c r="L40" s="41" t="s">
        <v>11</v>
      </c>
      <c r="M40" s="78">
        <v>4</v>
      </c>
      <c r="N40" s="81">
        <v>11</v>
      </c>
      <c r="O40" s="82">
        <v>7</v>
      </c>
      <c r="P4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Row],[Score4]]&lt;&gt;""),IF(AND(N40&gt;O40,N40&gt;=11),"ROOD",IF(AND(O40&gt;=11,N40&lt;&gt;O40),"GROEN","")),"")</f>
        <v>ROOD</v>
      </c>
      <c r="Q40" s="86" t="str">
        <f t="shared" si="0"/>
        <v>Arno</v>
      </c>
      <c r="R40" s="87" t="str">
        <f t="shared" si="1"/>
        <v>Stef D</v>
      </c>
      <c r="S40" t="str">
        <f>Tabel15[[#This Row],[Rood Verdediging]]&amp;Tabel15[[#This Row],[Rood Aanval]]</f>
        <v>ArnoStef D</v>
      </c>
      <c r="T40" t="str">
        <f>Tabel15[[#This Row],[Groen Verdediging]]&amp;Tabel15[[#This Row],[Groen Aanval]]</f>
        <v>JonasMatthijs</v>
      </c>
      <c r="U40" t="str">
        <f>Tabel15[[#This Row],[Winnaar 1]]&amp;Tabel15[[#This Row],[Winnaar 2]]</f>
        <v>ArnoStef D</v>
      </c>
      <c r="V40" s="147" t="str">
        <f>IF(Tabel15[[#This Row],[Team Rood]]=Tabel15[[#This Row],[Winnaars]],Tabel15[[#This Row],[Team Rood]])</f>
        <v>ArnoStef D</v>
      </c>
      <c r="W40" s="147" t="b">
        <f>IF(Tabel15[[#This Row],[Team Groen]]=Tabel15[[#This Row],[Winnaars]],Tabel15[[#This Row],[Team Groen]])</f>
        <v>0</v>
      </c>
      <c r="X40" s="283">
        <v>9.4579633576461806</v>
      </c>
      <c r="Y40" s="283">
        <v>8.6846824380902099</v>
      </c>
      <c r="Z40" s="283">
        <v>3.3171459432981383</v>
      </c>
      <c r="AA40" s="283">
        <v>4.1934194618038898</v>
      </c>
      <c r="AL40" s="251" t="s">
        <v>159</v>
      </c>
      <c r="AM40" s="233" t="s">
        <v>168</v>
      </c>
      <c r="AN40" s="140" t="str">
        <f t="shared" si="10"/>
        <v>Jonas*Coghe*</v>
      </c>
      <c r="AO40" s="160">
        <f>IF(Tabel5[[#This Row],[Aantal Games Rood]]=0,0,(Tabel5[[#This Row],[Wins Rood]])/Tabel5[[#This Row],[Aantal Games Rood]])</f>
        <v>0</v>
      </c>
      <c r="AP40" s="159">
        <f>IF(Tabel5[[#This Row],[Aantal Games Groen]]=0,0,(Tabel5[[#This Row],[Wins Groen]])/Tabel5[[#This Row],[Aantal Games Groen]])</f>
        <v>0</v>
      </c>
      <c r="AQ40" s="156">
        <f>IF(Tabel5[[#This Row],[Aantal games Alg]]=0,0,(Tabel5[[#This Row],[Wins Alg]])/Tabel5[[#This Row],[Aantal games Alg]])</f>
        <v>0</v>
      </c>
      <c r="AR40" s="133">
        <f>COUNTIF(Tabel15[Winaar rood],Tabel5[[#This Row],[Team]])</f>
        <v>0</v>
      </c>
      <c r="AS40" s="134">
        <f>COUNTIF(Tabel15[Winnaar Groen],Tabel5[[#This Row],[Team]])</f>
        <v>0</v>
      </c>
      <c r="AT40">
        <f>COUNTIF(Tabel15[Winnaars],Tabel5[[#This Row],[Team]])</f>
        <v>0</v>
      </c>
      <c r="AU40" s="135">
        <f>Tabel5[[#This Row],[Aantal Games Rood]]-Tabel5[[#This Row],[Wins Rood]]</f>
        <v>0</v>
      </c>
      <c r="AV40" s="136">
        <f>Tabel5[[#This Row],[Aantal Games Groen]]-Tabel5[[#This Row],[Wins Groen]]</f>
        <v>2</v>
      </c>
      <c r="AW40" s="137">
        <f>Tabel5[[#This Row],[Aantal games Alg]]-Tabel5[[#This Row],[Wins Alg]]</f>
        <v>2</v>
      </c>
      <c r="AX40" s="138">
        <f>COUNTIF(Tabel15[Team Rood],Tabel5[[#This Row],[Team]])</f>
        <v>0</v>
      </c>
      <c r="AY40" s="136">
        <f>COUNTIF(Tabel15[Team Groen],Tabel5[[#This Row],[Team]])</f>
        <v>2</v>
      </c>
      <c r="AZ40" s="112">
        <f>Tabel5[[#This Row],[Aantal Games Rood]]+Tabel5[[#This Row],[Aantal Games Groen]]</f>
        <v>2</v>
      </c>
      <c r="BA40" s="138">
        <f>SUMIF(Tabel15[Team Rood],Tabel5[[#This Row],[Team]],Tabel15[Score])</f>
        <v>0</v>
      </c>
      <c r="BB40" s="138">
        <f>SUMIF(Tabel15[Team Rood],Tabel5[[#This Row],[Team]],Tabel15[Score2])</f>
        <v>0</v>
      </c>
      <c r="BC40" s="134">
        <f>SUMIF(Tabel15[Team Groen],Tabel5[[#This Row],[Team]],Tabel15[Score3])</f>
        <v>0</v>
      </c>
      <c r="BD40" s="136">
        <f>SUMIF(Tabel15[Team Groen],Tabel5[[#This Row],[Team]],Tabel15[Score4])</f>
        <v>4</v>
      </c>
      <c r="BE40">
        <f>SUM(Tabel5[[#This Row],[Goals Verdediger]]+Tabel5[[#This Row],[Goals DefG]])</f>
        <v>0</v>
      </c>
      <c r="BF40">
        <f>IF(Tabel5[[#This Row],[Aantal games Alg]]=0,0,Tabel5[[#This Row],[Goals DefA]]/Tabel5[[#This Row],[Aantal games Alg]])</f>
        <v>0</v>
      </c>
      <c r="BG40">
        <f>SUM(Tabel5[[#This Row],[Goals Aanvaller]]+Tabel5[[#This Row],[Goals OffG]])</f>
        <v>4</v>
      </c>
      <c r="BH40">
        <f>IF(Tabel5[[#This Row],[Aantal games Alg]]=0,0,Tabel5[[#This Row],[Goals OffA]]/Tabel5[[#This Row],[Aantal games Alg]])</f>
        <v>2</v>
      </c>
      <c r="BI40" s="112">
        <f>Tabel5[[#This Row],[Goals DefA]]+Tabel5[[#This Row],[Goals OffA]]</f>
        <v>4</v>
      </c>
      <c r="BJ40" s="112">
        <f>IF(Tabel5[[#This Row],[Aantal games Alg]]=0,0,Tabel5[[#This Row],[Goals Alg]]/Tabel5[[#This Row],[Aantal games Alg]])</f>
        <v>2</v>
      </c>
      <c r="BK40" s="148">
        <f>SUMIF(Tabel15[Team Rood],Tabel5[[#This Row],[Team]],Tabel15[ET])</f>
        <v>0</v>
      </c>
      <c r="BL40" s="150">
        <f>SUMIF(Tabel15[Team Groen],Tabel5[[#This Row],[Team]],Tabel15[ET])</f>
        <v>1.8132407407392748E-2</v>
      </c>
      <c r="BM40" s="153">
        <f>SUM(Tabel5[[#This Row],[ET Groen tot]],Tabel5[[#This Row],[ET Rood tot]])</f>
        <v>1.8132407407392748E-2</v>
      </c>
      <c r="BN40" s="155">
        <f>IF(Tabel5[[#This Row],[Aantal games Alg]]=0,0,Tabel5[[#This Row],[ET tot]]/Tabel5[[#This Row],[Aantal games Alg]])</f>
        <v>9.0662037036963739E-3</v>
      </c>
    </row>
    <row r="41" spans="1:66" x14ac:dyDescent="0.25">
      <c r="A41" s="215">
        <v>43889.945899305552</v>
      </c>
      <c r="B41" s="128">
        <v>43889.945899305552</v>
      </c>
      <c r="C41" s="126">
        <v>43889.953448495369</v>
      </c>
      <c r="D41" s="217">
        <v>7.5491898169275373E-3</v>
      </c>
      <c r="E41" s="74">
        <v>40</v>
      </c>
      <c r="F41" s="40" t="s">
        <v>0</v>
      </c>
      <c r="G41" s="76">
        <v>3</v>
      </c>
      <c r="H41" s="40" t="s">
        <v>70</v>
      </c>
      <c r="I41" s="76">
        <v>8</v>
      </c>
      <c r="J41" s="41" t="s">
        <v>6</v>
      </c>
      <c r="K41" s="78">
        <v>2</v>
      </c>
      <c r="L41" s="41" t="s">
        <v>11</v>
      </c>
      <c r="M41" s="78">
        <v>6</v>
      </c>
      <c r="N41" s="81">
        <v>11</v>
      </c>
      <c r="O41" s="82">
        <v>8</v>
      </c>
      <c r="P4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Row],[Score4]]&lt;&gt;""),IF(AND(N41&gt;O41,N41&gt;=11),"ROOD",IF(AND(O41&gt;=11,N41&lt;&gt;O41),"GROEN","")),"")</f>
        <v>ROOD</v>
      </c>
      <c r="Q41" s="86" t="str">
        <f t="shared" si="0"/>
        <v>Jonas</v>
      </c>
      <c r="R41" s="87" t="str">
        <f t="shared" si="1"/>
        <v>Arno</v>
      </c>
      <c r="S41" t="str">
        <f>Tabel15[[#This Row],[Rood Verdediging]]&amp;Tabel15[[#This Row],[Rood Aanval]]</f>
        <v>JonasArno</v>
      </c>
      <c r="T41" t="str">
        <f>Tabel15[[#This Row],[Groen Verdediging]]&amp;Tabel15[[#This Row],[Groen Aanval]]</f>
        <v>Stef DMatthijs</v>
      </c>
      <c r="U41" t="str">
        <f>Tabel15[[#This Row],[Winnaar 1]]&amp;Tabel15[[#This Row],[Winnaar 2]]</f>
        <v>JonasArno</v>
      </c>
      <c r="V41" s="147" t="str">
        <f>IF(Tabel15[[#This Row],[Team Rood]]=Tabel15[[#This Row],[Winnaars]],Tabel15[[#This Row],[Team Rood]])</f>
        <v>JonasArno</v>
      </c>
      <c r="W41" s="147" t="b">
        <f>IF(Tabel15[[#This Row],[Team Groen]]=Tabel15[[#This Row],[Winnaars]],Tabel15[[#This Row],[Team Groen]])</f>
        <v>0</v>
      </c>
      <c r="X41" s="283">
        <v>28.105303744653973</v>
      </c>
      <c r="Y41" s="283">
        <v>27.73152484809474</v>
      </c>
      <c r="Z41" s="283">
        <v>-9.7461764523496264</v>
      </c>
      <c r="AA41" s="283">
        <v>-6.3379152844584281</v>
      </c>
      <c r="AL41" s="251" t="s">
        <v>159</v>
      </c>
      <c r="AM41" s="233" t="s">
        <v>164</v>
      </c>
      <c r="AN41" s="140" t="str">
        <f t="shared" si="10"/>
        <v>Jonas*Karel*</v>
      </c>
      <c r="AO41" s="160">
        <f>IF(Tabel5[[#This Row],[Aantal Games Rood]]=0,0,(Tabel5[[#This Row],[Wins Rood]])/Tabel5[[#This Row],[Aantal Games Rood]])</f>
        <v>0.5</v>
      </c>
      <c r="AP41" s="159">
        <f>IF(Tabel5[[#This Row],[Aantal Games Groen]]=0,0,(Tabel5[[#This Row],[Wins Groen]])/Tabel5[[#This Row],[Aantal Games Groen]])</f>
        <v>0.83333333333333337</v>
      </c>
      <c r="AQ41" s="156">
        <f>IF(Tabel5[[#This Row],[Aantal games Alg]]=0,0,(Tabel5[[#This Row],[Wins Alg]])/Tabel5[[#This Row],[Aantal games Alg]])</f>
        <v>0.75</v>
      </c>
      <c r="AR41" s="133">
        <f>COUNTIF(Tabel15[Winaar rood],Tabel5[[#This Row],[Team]])</f>
        <v>1</v>
      </c>
      <c r="AS41" s="134">
        <f>COUNTIF(Tabel15[Winnaar Groen],Tabel5[[#This Row],[Team]])</f>
        <v>5</v>
      </c>
      <c r="AT41">
        <f>COUNTIF(Tabel15[Winnaars],Tabel5[[#This Row],[Team]])</f>
        <v>6</v>
      </c>
      <c r="AU41" s="135">
        <f>Tabel5[[#This Row],[Aantal Games Rood]]-Tabel5[[#This Row],[Wins Rood]]</f>
        <v>1</v>
      </c>
      <c r="AV41" s="136">
        <f>Tabel5[[#This Row],[Aantal Games Groen]]-Tabel5[[#This Row],[Wins Groen]]</f>
        <v>1</v>
      </c>
      <c r="AW41" s="137">
        <f>Tabel5[[#This Row],[Aantal games Alg]]-Tabel5[[#This Row],[Wins Alg]]</f>
        <v>2</v>
      </c>
      <c r="AX41" s="138">
        <f>COUNTIF(Tabel15[Team Rood],Tabel5[[#This Row],[Team]])</f>
        <v>2</v>
      </c>
      <c r="AY41" s="136">
        <f>COUNTIF(Tabel15[Team Groen],Tabel5[[#This Row],[Team]])</f>
        <v>6</v>
      </c>
      <c r="AZ41" s="112">
        <f>Tabel5[[#This Row],[Aantal Games Rood]]+Tabel5[[#This Row],[Aantal Games Groen]]</f>
        <v>8</v>
      </c>
      <c r="BA41" s="138">
        <f>SUMIF(Tabel15[Team Rood],Tabel5[[#This Row],[Team]],Tabel15[Score])</f>
        <v>7</v>
      </c>
      <c r="BB41" s="138">
        <f>SUMIF(Tabel15[Team Rood],Tabel5[[#This Row],[Team]],Tabel15[Score2])</f>
        <v>14</v>
      </c>
      <c r="BC41" s="134">
        <f>SUMIF(Tabel15[Team Groen],Tabel5[[#This Row],[Team]],Tabel15[Score3])</f>
        <v>18</v>
      </c>
      <c r="BD41" s="136">
        <f>SUMIF(Tabel15[Team Groen],Tabel5[[#This Row],[Team]],Tabel15[Score4])</f>
        <v>56</v>
      </c>
      <c r="BE41">
        <f>SUM(Tabel5[[#This Row],[Goals Verdediger]]+Tabel5[[#This Row],[Goals DefG]])</f>
        <v>25</v>
      </c>
      <c r="BF41">
        <f>IF(Tabel5[[#This Row],[Aantal games Alg]]=0,0,Tabel5[[#This Row],[Goals DefA]]/Tabel5[[#This Row],[Aantal games Alg]])</f>
        <v>3.125</v>
      </c>
      <c r="BG41">
        <f>SUM(Tabel5[[#This Row],[Goals Aanvaller]]+Tabel5[[#This Row],[Goals OffG]])</f>
        <v>70</v>
      </c>
      <c r="BH41">
        <f>IF(Tabel5[[#This Row],[Aantal games Alg]]=0,0,Tabel5[[#This Row],[Goals OffA]]/Tabel5[[#This Row],[Aantal games Alg]])</f>
        <v>8.75</v>
      </c>
      <c r="BI41" s="112">
        <f>Tabel5[[#This Row],[Goals DefA]]+Tabel5[[#This Row],[Goals OffA]]</f>
        <v>95</v>
      </c>
      <c r="BJ41" s="112">
        <f>IF(Tabel5[[#This Row],[Aantal games Alg]]=0,0,Tabel5[[#This Row],[Goals Alg]]/Tabel5[[#This Row],[Aantal games Alg]])</f>
        <v>11.875</v>
      </c>
      <c r="BK41" s="148">
        <f>SUMIF(Tabel15[Team Rood],Tabel5[[#This Row],[Team]],Tabel15[ET])</f>
        <v>1.0595833336992655E-2</v>
      </c>
      <c r="BL41" s="150">
        <f ca="1">SUMIF(Tabel15[Team Groen],Tabel5[[#This Row],[Team]],Tabel15[ET])</f>
        <v>3.6820023145992309E-2</v>
      </c>
      <c r="BM41" s="153">
        <f ca="1">SUM(Tabel5[[#This Row],[ET Groen tot]],Tabel5[[#This Row],[ET Rood tot]])</f>
        <v>4.7415856482984964E-2</v>
      </c>
      <c r="BN41" s="155">
        <f ca="1">IF(Tabel5[[#This Row],[Aantal games Alg]]=0,0,Tabel5[[#This Row],[ET tot]]/Tabel5[[#This Row],[Aantal games Alg]])</f>
        <v>5.9269820603731205E-3</v>
      </c>
    </row>
    <row r="42" spans="1:66" x14ac:dyDescent="0.25">
      <c r="A42" s="215">
        <v>43889.953783333331</v>
      </c>
      <c r="B42" s="128">
        <v>43889.953783333331</v>
      </c>
      <c r="C42" s="126">
        <v>43889.966990046298</v>
      </c>
      <c r="D42" s="217">
        <v>1.3206712967075873E-2</v>
      </c>
      <c r="E42" s="74">
        <v>41</v>
      </c>
      <c r="F42" s="40" t="s">
        <v>70</v>
      </c>
      <c r="G42" s="76">
        <v>4</v>
      </c>
      <c r="H42" s="40" t="s">
        <v>0</v>
      </c>
      <c r="I42" s="76">
        <v>9</v>
      </c>
      <c r="J42" s="41" t="s">
        <v>11</v>
      </c>
      <c r="K42" s="78">
        <v>3</v>
      </c>
      <c r="L42" s="41" t="s">
        <v>6</v>
      </c>
      <c r="M42" s="78">
        <v>8</v>
      </c>
      <c r="N42" s="81">
        <v>13</v>
      </c>
      <c r="O42" s="82">
        <v>11</v>
      </c>
      <c r="P4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Row],[Score4]]&lt;&gt;""),IF(AND(N42&gt;O42,N42&gt;=11),"ROOD",IF(AND(O42&gt;=11,N42&lt;&gt;O42),"GROEN","")),"")</f>
        <v>ROOD</v>
      </c>
      <c r="Q42" s="86" t="str">
        <f t="shared" si="0"/>
        <v>Arno</v>
      </c>
      <c r="R42" s="87" t="str">
        <f t="shared" si="1"/>
        <v>Jonas</v>
      </c>
      <c r="S42" t="str">
        <f>Tabel15[[#This Row],[Rood Verdediging]]&amp;Tabel15[[#This Row],[Rood Aanval]]</f>
        <v>ArnoJonas</v>
      </c>
      <c r="T42" t="str">
        <f>Tabel15[[#This Row],[Groen Verdediging]]&amp;Tabel15[[#This Row],[Groen Aanval]]</f>
        <v>MatthijsStef D</v>
      </c>
      <c r="U42" t="str">
        <f>Tabel15[[#This Row],[Winnaar 1]]&amp;Tabel15[[#This Row],[Winnaar 2]]</f>
        <v>ArnoJonas</v>
      </c>
      <c r="V42" s="147" t="str">
        <f>IF(Tabel15[[#This Row],[Team Rood]]=Tabel15[[#This Row],[Winnaars]],Tabel15[[#This Row],[Team Rood]])</f>
        <v>ArnoJonas</v>
      </c>
      <c r="W42" s="147" t="b">
        <f>IF(Tabel15[[#This Row],[Team Groen]]=Tabel15[[#This Row],[Winnaars]],Tabel15[[#This Row],[Team Groen]])</f>
        <v>0</v>
      </c>
      <c r="X42" s="283">
        <v>33.989600185959418</v>
      </c>
      <c r="Y42" s="283">
        <v>38.830777643461118</v>
      </c>
      <c r="Z42" s="283">
        <v>-7.6843704149927055</v>
      </c>
      <c r="AA42" s="283">
        <v>-9.1922237391169883</v>
      </c>
      <c r="AL42" s="251" t="s">
        <v>159</v>
      </c>
      <c r="AM42" s="233" t="s">
        <v>67</v>
      </c>
      <c r="AN42" s="140" t="str">
        <f t="shared" si="10"/>
        <v>Jonas*Lawrence</v>
      </c>
      <c r="AO42" s="160">
        <f>IF(Tabel5[[#This Row],[Aantal Games Rood]]=0,0,(Tabel5[[#This Row],[Wins Rood]])/Tabel5[[#This Row],[Aantal Games Rood]])</f>
        <v>0</v>
      </c>
      <c r="AP42" s="159">
        <f>IF(Tabel5[[#This Row],[Aantal Games Groen]]=0,0,(Tabel5[[#This Row],[Wins Groen]])/Tabel5[[#This Row],[Aantal Games Groen]])</f>
        <v>0</v>
      </c>
      <c r="AQ42" s="156">
        <f>IF(Tabel5[[#This Row],[Aantal games Alg]]=0,0,(Tabel5[[#This Row],[Wins Alg]])/Tabel5[[#This Row],[Aantal games Alg]])</f>
        <v>0</v>
      </c>
      <c r="AR42" s="138">
        <f>COUNTIF(Tabel15[Winaar rood],Tabel5[[#This Row],[Team]])</f>
        <v>0</v>
      </c>
      <c r="AS42" s="134">
        <f>COUNTIF(Tabel15[Winnaar Groen],Tabel5[[#This Row],[Team]])</f>
        <v>0</v>
      </c>
      <c r="AT42">
        <f>COUNTIF(Tabel15[Winnaars],Tabel5[[#This Row],[Team]])</f>
        <v>0</v>
      </c>
      <c r="AU42" s="135">
        <f>Tabel5[[#This Row],[Aantal Games Rood]]-Tabel5[[#This Row],[Wins Rood]]</f>
        <v>0</v>
      </c>
      <c r="AV42" s="136">
        <f>Tabel5[[#This Row],[Aantal Games Groen]]-Tabel5[[#This Row],[Wins Groen]]</f>
        <v>0</v>
      </c>
      <c r="AW42" s="137">
        <f>Tabel5[[#This Row],[Aantal games Alg]]-Tabel5[[#This Row],[Wins Alg]]</f>
        <v>0</v>
      </c>
      <c r="AX42" s="138">
        <f>COUNTIF(Tabel15[Team Rood],Tabel5[[#This Row],[Team]])</f>
        <v>0</v>
      </c>
      <c r="AY42" s="136">
        <f>COUNTIF(Tabel15[Team Groen],Tabel5[[#This Row],[Team]])</f>
        <v>0</v>
      </c>
      <c r="AZ42" s="112">
        <f>Tabel5[[#This Row],[Aantal Games Rood]]+Tabel5[[#This Row],[Aantal Games Groen]]</f>
        <v>0</v>
      </c>
      <c r="BA42" s="138">
        <f>SUMIF(Tabel15[Team Rood],Tabel5[[#This Row],[Team]],Tabel15[Score])</f>
        <v>0</v>
      </c>
      <c r="BB42" s="138">
        <f>SUMIF(Tabel15[Team Rood],Tabel5[[#This Row],[Team]],Tabel15[Score2])</f>
        <v>0</v>
      </c>
      <c r="BC42" s="134">
        <f>SUMIF(Tabel15[Team Groen],Tabel5[[#This Row],[Team]],Tabel15[Score3])</f>
        <v>0</v>
      </c>
      <c r="BD42" s="136">
        <f>SUMIF(Tabel15[Team Groen],Tabel5[[#This Row],[Team]],Tabel15[Score4])</f>
        <v>0</v>
      </c>
      <c r="BE42">
        <f>SUM(Tabel5[[#This Row],[Goals Verdediger]]+Tabel5[[#This Row],[Goals DefG]])</f>
        <v>0</v>
      </c>
      <c r="BF42">
        <f>IF(Tabel5[[#This Row],[Aantal games Alg]]=0,0,Tabel5[[#This Row],[Goals DefA]]/Tabel5[[#This Row],[Aantal games Alg]])</f>
        <v>0</v>
      </c>
      <c r="BG42">
        <f>SUM(Tabel5[[#This Row],[Goals Aanvaller]]+Tabel5[[#This Row],[Goals OffG]])</f>
        <v>0</v>
      </c>
      <c r="BH42">
        <f>IF(Tabel5[[#This Row],[Aantal games Alg]]=0,0,Tabel5[[#This Row],[Goals OffA]]/Tabel5[[#This Row],[Aantal games Alg]])</f>
        <v>0</v>
      </c>
      <c r="BI42" s="112">
        <f>Tabel5[[#This Row],[Goals DefA]]+Tabel5[[#This Row],[Goals OffA]]</f>
        <v>0</v>
      </c>
      <c r="BJ42" s="112">
        <f>IF(Tabel5[[#This Row],[Aantal games Alg]]=0,0,Tabel5[[#This Row],[Goals Alg]]/Tabel5[[#This Row],[Aantal games Alg]])</f>
        <v>0</v>
      </c>
      <c r="BK42" s="148">
        <f>SUMIF(Tabel15[Team Rood],Tabel5[[#This Row],[Team]],Tabel15[ET])</f>
        <v>0</v>
      </c>
      <c r="BL42" s="150">
        <f>SUMIF(Tabel15[Team Groen],Tabel5[[#This Row],[Team]],Tabel15[ET])</f>
        <v>0</v>
      </c>
      <c r="BM42" s="153">
        <f>SUM(Tabel5[[#This Row],[ET Groen tot]],Tabel5[[#This Row],[ET Rood tot]])</f>
        <v>0</v>
      </c>
      <c r="BN42" s="155">
        <f>IF(Tabel5[[#This Row],[Aantal games Alg]]=0,0,Tabel5[[#This Row],[ET tot]]/Tabel5[[#This Row],[Aantal games Alg]])</f>
        <v>0</v>
      </c>
    </row>
    <row r="43" spans="1:66" x14ac:dyDescent="0.25">
      <c r="A43" s="215">
        <v>43889</v>
      </c>
      <c r="B43" s="128">
        <v>0.92986111111111114</v>
      </c>
      <c r="C43" s="126">
        <v>0.93594907407407402</v>
      </c>
      <c r="D43" s="217">
        <v>6.0879629629628784E-3</v>
      </c>
      <c r="E43" s="74">
        <v>42</v>
      </c>
      <c r="F43" s="40" t="s">
        <v>8</v>
      </c>
      <c r="G43" s="76">
        <v>2</v>
      </c>
      <c r="H43" s="40" t="s">
        <v>0</v>
      </c>
      <c r="I43" s="76">
        <v>9</v>
      </c>
      <c r="J43" s="41" t="s">
        <v>3</v>
      </c>
      <c r="K43" s="78">
        <v>2</v>
      </c>
      <c r="L43" s="41" t="s">
        <v>11</v>
      </c>
      <c r="M43" s="78">
        <v>2</v>
      </c>
      <c r="N43" s="81">
        <v>11</v>
      </c>
      <c r="O43" s="82">
        <v>4</v>
      </c>
      <c r="P4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Row],[Score4]]&lt;&gt;""),IF(AND(N43&gt;O43,N43&gt;=11),"ROOD",IF(AND(O43&gt;=11,N43&lt;&gt;O43),"GROEN","")),"")</f>
        <v>ROOD</v>
      </c>
      <c r="Q43" s="86" t="str">
        <f t="shared" si="0"/>
        <v>Louis</v>
      </c>
      <c r="R43" s="87" t="str">
        <f t="shared" si="1"/>
        <v>Jonas</v>
      </c>
      <c r="S43" t="str">
        <f>Tabel15[[#This Row],[Rood Verdediging]]&amp;Tabel15[[#This Row],[Rood Aanval]]</f>
        <v>LouisJonas</v>
      </c>
      <c r="T43" t="str">
        <f>Tabel15[[#This Row],[Groen Verdediging]]&amp;Tabel15[[#This Row],[Groen Aanval]]</f>
        <v>KarelMatthijs</v>
      </c>
      <c r="U43" t="str">
        <f>Tabel15[[#This Row],[Winnaar 1]]&amp;Tabel15[[#This Row],[Winnaar 2]]</f>
        <v>LouisJonas</v>
      </c>
      <c r="V43" s="147" t="str">
        <f>IF(Tabel15[[#This Row],[Team Rood]]=Tabel15[[#This Row],[Winnaars]],Tabel15[[#This Row],[Team Rood]])</f>
        <v>LouisJonas</v>
      </c>
      <c r="W43" s="147" t="b">
        <f>IF(Tabel15[[#This Row],[Team Groen]]=Tabel15[[#This Row],[Winnaars]],Tabel15[[#This Row],[Team Groen]])</f>
        <v>0</v>
      </c>
      <c r="X43" s="283">
        <v>18.163959421128293</v>
      </c>
      <c r="Y43" s="283">
        <v>22.126109729260023</v>
      </c>
      <c r="Z43" s="283">
        <v>-2.6287419006731794</v>
      </c>
      <c r="AA43" s="283">
        <v>-1.8340467299401344</v>
      </c>
      <c r="AL43" s="251" t="s">
        <v>159</v>
      </c>
      <c r="AM43" s="233" t="s">
        <v>161</v>
      </c>
      <c r="AN43" s="140" t="str">
        <f t="shared" si="10"/>
        <v>Jonas*Louis*</v>
      </c>
      <c r="AO43" s="160">
        <f>IF(Tabel5[[#This Row],[Aantal Games Rood]]=0,0,(Tabel5[[#This Row],[Wins Rood]])/Tabel5[[#This Row],[Aantal Games Rood]])</f>
        <v>1</v>
      </c>
      <c r="AP43" s="159">
        <f>IF(Tabel5[[#This Row],[Aantal Games Groen]]=0,0,(Tabel5[[#This Row],[Wins Groen]])/Tabel5[[#This Row],[Aantal Games Groen]])</f>
        <v>0</v>
      </c>
      <c r="AQ43" s="156">
        <f>IF(Tabel5[[#This Row],[Aantal games Alg]]=0,0,(Tabel5[[#This Row],[Wins Alg]])/Tabel5[[#This Row],[Aantal games Alg]])</f>
        <v>0.33333333333333331</v>
      </c>
      <c r="AR43" s="133">
        <f>COUNTIF(Tabel15[Winaar rood],Tabel5[[#This Row],[Team]])</f>
        <v>1</v>
      </c>
      <c r="AS43" s="134">
        <f>COUNTIF(Tabel15[Winnaar Groen],Tabel5[[#This Row],[Team]])</f>
        <v>0</v>
      </c>
      <c r="AT43">
        <f>COUNTIF(Tabel15[Winnaars],Tabel5[[#This Row],[Team]])</f>
        <v>1</v>
      </c>
      <c r="AU43" s="135">
        <f>Tabel5[[#This Row],[Aantal Games Rood]]-Tabel5[[#This Row],[Wins Rood]]</f>
        <v>0</v>
      </c>
      <c r="AV43" s="136">
        <f>Tabel5[[#This Row],[Aantal Games Groen]]-Tabel5[[#This Row],[Wins Groen]]</f>
        <v>2</v>
      </c>
      <c r="AW43" s="137">
        <f>Tabel5[[#This Row],[Aantal games Alg]]-Tabel5[[#This Row],[Wins Alg]]</f>
        <v>2</v>
      </c>
      <c r="AX43" s="138">
        <f>COUNTIF(Tabel15[Team Rood],Tabel5[[#This Row],[Team]])</f>
        <v>1</v>
      </c>
      <c r="AY43" s="136">
        <f>COUNTIF(Tabel15[Team Groen],Tabel5[[#This Row],[Team]])</f>
        <v>2</v>
      </c>
      <c r="AZ43" s="112">
        <f>Tabel5[[#This Row],[Aantal Games Rood]]+Tabel5[[#This Row],[Aantal Games Groen]]</f>
        <v>3</v>
      </c>
      <c r="BA43" s="138">
        <f>SUMIF(Tabel15[Team Rood],Tabel5[[#This Row],[Team]],Tabel15[Score])</f>
        <v>6</v>
      </c>
      <c r="BB43" s="138">
        <f>SUMIF(Tabel15[Team Rood],Tabel5[[#This Row],[Team]],Tabel15[Score2])</f>
        <v>5</v>
      </c>
      <c r="BC43" s="134">
        <f>SUMIF(Tabel15[Team Groen],Tabel5[[#This Row],[Team]],Tabel15[Score3])</f>
        <v>2</v>
      </c>
      <c r="BD43" s="136">
        <f>SUMIF(Tabel15[Team Groen],Tabel5[[#This Row],[Team]],Tabel15[Score4])</f>
        <v>3</v>
      </c>
      <c r="BE43">
        <f>SUM(Tabel5[[#This Row],[Goals Verdediger]]+Tabel5[[#This Row],[Goals DefG]])</f>
        <v>8</v>
      </c>
      <c r="BF43">
        <f>IF(Tabel5[[#This Row],[Aantal games Alg]]=0,0,Tabel5[[#This Row],[Goals DefA]]/Tabel5[[#This Row],[Aantal games Alg]])</f>
        <v>2.6666666666666665</v>
      </c>
      <c r="BG43">
        <f>SUM(Tabel5[[#This Row],[Goals Aanvaller]]+Tabel5[[#This Row],[Goals OffG]])</f>
        <v>8</v>
      </c>
      <c r="BH43">
        <f>IF(Tabel5[[#This Row],[Aantal games Alg]]=0,0,Tabel5[[#This Row],[Goals OffA]]/Tabel5[[#This Row],[Aantal games Alg]])</f>
        <v>2.6666666666666665</v>
      </c>
      <c r="BI43" s="112">
        <f>Tabel5[[#This Row],[Goals DefA]]+Tabel5[[#This Row],[Goals OffA]]</f>
        <v>16</v>
      </c>
      <c r="BJ43" s="112">
        <f>IF(Tabel5[[#This Row],[Aantal games Alg]]=0,0,Tabel5[[#This Row],[Goals Alg]]/Tabel5[[#This Row],[Aantal games Alg]])</f>
        <v>5.333333333333333</v>
      </c>
      <c r="BK43" s="148">
        <f ca="1">SUMIF(Tabel15[Team Rood],Tabel5[[#This Row],[Team]],Tabel15[ET])</f>
        <v>7.4870370372082107E-3</v>
      </c>
      <c r="BL43" s="150">
        <f ca="1">SUMIF(Tabel15[Team Groen],Tabel5[[#This Row],[Team]],Tabel15[ET])</f>
        <v>7.6041666034143418E-5</v>
      </c>
      <c r="BM43" s="153">
        <f ca="1">SUM(Tabel5[[#This Row],[ET Groen tot]],Tabel5[[#This Row],[ET Rood tot]])</f>
        <v>7.5630787032423541E-3</v>
      </c>
      <c r="BN43" s="155">
        <f ca="1">IF(Tabel5[[#This Row],[Aantal games Alg]]=0,0,Tabel5[[#This Row],[ET tot]]/Tabel5[[#This Row],[Aantal games Alg]])</f>
        <v>2.5210262344141179E-3</v>
      </c>
    </row>
    <row r="44" spans="1:66" x14ac:dyDescent="0.25">
      <c r="A44" s="215">
        <v>43896.936924305555</v>
      </c>
      <c r="B44" s="128">
        <v>43896.936924305555</v>
      </c>
      <c r="C44" s="126">
        <v>43896.947520138892</v>
      </c>
      <c r="D44" s="217">
        <v>1.0595833336992655E-2</v>
      </c>
      <c r="E44" s="74">
        <v>43</v>
      </c>
      <c r="F44" s="40" t="s">
        <v>0</v>
      </c>
      <c r="G44" s="76">
        <v>4</v>
      </c>
      <c r="H44" s="40" t="s">
        <v>3</v>
      </c>
      <c r="I44" s="76">
        <v>6</v>
      </c>
      <c r="J44" s="41" t="s">
        <v>11</v>
      </c>
      <c r="K44" s="78">
        <v>2</v>
      </c>
      <c r="L44" s="41" t="s">
        <v>6</v>
      </c>
      <c r="M44" s="78">
        <v>10</v>
      </c>
      <c r="N44" s="81">
        <v>10</v>
      </c>
      <c r="O44" s="82">
        <v>12</v>
      </c>
      <c r="P4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Row],[Score4]]&lt;&gt;""),IF(AND(N44&gt;O44,N44&gt;=11),"ROOD",IF(AND(O44&gt;=11,N44&lt;&gt;O44),"GROEN","")),"")</f>
        <v>GROEN</v>
      </c>
      <c r="Q44" s="86" t="str">
        <f t="shared" si="0"/>
        <v>Matthijs</v>
      </c>
      <c r="R44" s="87" t="str">
        <f t="shared" si="1"/>
        <v>Stef D</v>
      </c>
      <c r="S44" t="str">
        <f>Tabel15[[#This Row],[Rood Verdediging]]&amp;Tabel15[[#This Row],[Rood Aanval]]</f>
        <v>JonasKarel</v>
      </c>
      <c r="T44" t="str">
        <f>Tabel15[[#This Row],[Groen Verdediging]]&amp;Tabel15[[#This Row],[Groen Aanval]]</f>
        <v>MatthijsStef D</v>
      </c>
      <c r="U44" t="str">
        <f>Tabel15[[#This Row],[Winnaar 1]]&amp;Tabel15[[#This Row],[Winnaar 2]]</f>
        <v>MatthijsStef D</v>
      </c>
      <c r="V44" s="147" t="b">
        <f>IF(Tabel15[[#This Row],[Team Rood]]=Tabel15[[#This Row],[Winnaars]],Tabel15[[#This Row],[Team Rood]])</f>
        <v>0</v>
      </c>
      <c r="W44" s="147" t="str">
        <f>IF(Tabel15[[#This Row],[Team Groen]]=Tabel15[[#This Row],[Winnaars]],Tabel15[[#This Row],[Team Groen]])</f>
        <v>MatthijsStef D</v>
      </c>
      <c r="X44" s="283">
        <v>-5.1400302363513877</v>
      </c>
      <c r="Y44" s="283">
        <v>-5.793896954417403</v>
      </c>
      <c r="Z44" s="283">
        <v>32.002212816468209</v>
      </c>
      <c r="AA44" s="283">
        <v>24.099699933245823</v>
      </c>
      <c r="AL44" s="251" t="s">
        <v>159</v>
      </c>
      <c r="AM44" s="233" t="s">
        <v>162</v>
      </c>
      <c r="AN44" s="140" t="str">
        <f t="shared" si="10"/>
        <v>Jonas*Matthijs*</v>
      </c>
      <c r="AO44" s="160">
        <f>IF(Tabel5[[#This Row],[Aantal Games Rood]]=0,0,(Tabel5[[#This Row],[Wins Rood]])/Tabel5[[#This Row],[Aantal Games Rood]])</f>
        <v>0</v>
      </c>
      <c r="AP44" s="159">
        <f>IF(Tabel5[[#This Row],[Aantal Games Groen]]=0,0,(Tabel5[[#This Row],[Wins Groen]])/Tabel5[[#This Row],[Aantal Games Groen]])</f>
        <v>0.2</v>
      </c>
      <c r="AQ44" s="156">
        <f>IF(Tabel5[[#This Row],[Aantal games Alg]]=0,0,(Tabel5[[#This Row],[Wins Alg]])/Tabel5[[#This Row],[Aantal games Alg]])</f>
        <v>0.16666666666666666</v>
      </c>
      <c r="AR44" s="138">
        <f>COUNTIF(Tabel15[Winaar rood],Tabel5[[#This Row],[Team]])</f>
        <v>0</v>
      </c>
      <c r="AS44" s="134">
        <f>COUNTIF(Tabel15[Winnaar Groen],Tabel5[[#This Row],[Team]])</f>
        <v>1</v>
      </c>
      <c r="AT44" s="293">
        <f>COUNTIF(Tabel15[Winnaars],Tabel5[[#This Row],[Team]])</f>
        <v>1</v>
      </c>
      <c r="AU44" s="135">
        <f>Tabel5[[#This Row],[Aantal Games Rood]]-Tabel5[[#This Row],[Wins Rood]]</f>
        <v>1</v>
      </c>
      <c r="AV44" s="136">
        <f>Tabel5[[#This Row],[Aantal Games Groen]]-Tabel5[[#This Row],[Wins Groen]]</f>
        <v>4</v>
      </c>
      <c r="AW44" s="137">
        <f>Tabel5[[#This Row],[Aantal games Alg]]-Tabel5[[#This Row],[Wins Alg]]</f>
        <v>5</v>
      </c>
      <c r="AX44" s="138">
        <f>COUNTIF(Tabel15[Team Rood],Tabel5[[#This Row],[Team]])</f>
        <v>1</v>
      </c>
      <c r="AY44" s="136">
        <f>COUNTIF(Tabel15[Team Groen],Tabel5[[#This Row],[Team]])</f>
        <v>5</v>
      </c>
      <c r="AZ44" s="214">
        <f>Tabel5[[#This Row],[Aantal Games Rood]]+Tabel5[[#This Row],[Aantal Games Groen]]</f>
        <v>6</v>
      </c>
      <c r="BA44" s="138">
        <f>SUMIF(Tabel15[Team Rood],Tabel5[[#This Row],[Team]],Tabel15[Score])</f>
        <v>2</v>
      </c>
      <c r="BB44" s="138">
        <f>SUMIF(Tabel15[Team Rood],Tabel5[[#This Row],[Team]],Tabel15[Score2])</f>
        <v>5</v>
      </c>
      <c r="BC44" s="134">
        <f>SUMIF(Tabel15[Team Groen],Tabel5[[#This Row],[Team]],Tabel15[Score3])</f>
        <v>16</v>
      </c>
      <c r="BD44" s="136">
        <f>SUMIF(Tabel15[Team Groen],Tabel5[[#This Row],[Team]],Tabel15[Score4])</f>
        <v>23</v>
      </c>
      <c r="BE44" s="293">
        <f>SUM(Tabel5[[#This Row],[Goals Verdediger]]+Tabel5[[#This Row],[Goals DefG]])</f>
        <v>18</v>
      </c>
      <c r="BF44" s="293">
        <f>IF(Tabel5[[#This Row],[Aantal games Alg]]=0,0,Tabel5[[#This Row],[Goals DefA]]/Tabel5[[#This Row],[Aantal games Alg]])</f>
        <v>3</v>
      </c>
      <c r="BG44" s="293">
        <f>SUM(Tabel5[[#This Row],[Goals Aanvaller]]+Tabel5[[#This Row],[Goals OffG]])</f>
        <v>28</v>
      </c>
      <c r="BH44" s="293">
        <f>IF(Tabel5[[#This Row],[Aantal games Alg]]=0,0,Tabel5[[#This Row],[Goals OffA]]/Tabel5[[#This Row],[Aantal games Alg]])</f>
        <v>4.666666666666667</v>
      </c>
      <c r="BI44" s="214">
        <f>Tabel5[[#This Row],[Goals DefA]]+Tabel5[[#This Row],[Goals OffA]]</f>
        <v>46</v>
      </c>
      <c r="BJ44" s="214">
        <f>IF(Tabel5[[#This Row],[Aantal games Alg]]=0,0,Tabel5[[#This Row],[Goals Alg]]/Tabel5[[#This Row],[Aantal games Alg]])</f>
        <v>7.666666666666667</v>
      </c>
      <c r="BK44" s="148">
        <f>SUMIF(Tabel15[Team Rood],Tabel5[[#This Row],[Team]],Tabel15[ET])</f>
        <v>5.4248842570814304E-3</v>
      </c>
      <c r="BL44" s="150">
        <f ca="1">SUMIF(Tabel15[Team Groen],Tabel5[[#This Row],[Team]],Tabel15[ET])</f>
        <v>3.0328819440910593E-2</v>
      </c>
      <c r="BM44" s="153">
        <f ca="1">SUM(Tabel5[[#This Row],[ET Groen tot]],Tabel5[[#This Row],[ET Rood tot]])</f>
        <v>3.5753703697992023E-2</v>
      </c>
      <c r="BN44" s="155">
        <f ca="1">IF(Tabel5[[#This Row],[Aantal games Alg]]=0,0,Tabel5[[#This Row],[ET tot]]/Tabel5[[#This Row],[Aantal games Alg]])</f>
        <v>5.9589506163320038E-3</v>
      </c>
    </row>
    <row r="45" spans="1:66" x14ac:dyDescent="0.25">
      <c r="A45" s="215">
        <v>43896.955917013889</v>
      </c>
      <c r="B45" s="128">
        <v>43896.955917013889</v>
      </c>
      <c r="C45" s="126">
        <v>43896.973692824075</v>
      </c>
      <c r="D45" s="217">
        <v>1.7775810185412411E-2</v>
      </c>
      <c r="E45" s="74">
        <v>44</v>
      </c>
      <c r="F45" s="40" t="s">
        <v>6</v>
      </c>
      <c r="G45" s="76">
        <v>6</v>
      </c>
      <c r="H45" s="40" t="s">
        <v>0</v>
      </c>
      <c r="I45" s="76">
        <v>9</v>
      </c>
      <c r="J45" s="41" t="s">
        <v>3</v>
      </c>
      <c r="K45" s="78">
        <v>5</v>
      </c>
      <c r="L45" s="41" t="s">
        <v>11</v>
      </c>
      <c r="M45" s="78">
        <v>8</v>
      </c>
      <c r="N45" s="81">
        <v>15</v>
      </c>
      <c r="O45" s="82">
        <v>13</v>
      </c>
      <c r="P4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Row],[Score4]]&lt;&gt;""),IF(AND(N45&gt;O45,N45&gt;=11),"ROOD",IF(AND(O45&gt;=11,N45&lt;&gt;O45),"GROEN","")),"")</f>
        <v>ROOD</v>
      </c>
      <c r="Q45" s="86" t="str">
        <f t="shared" si="0"/>
        <v>Stef D</v>
      </c>
      <c r="R45" s="87" t="str">
        <f t="shared" si="1"/>
        <v>Jonas</v>
      </c>
      <c r="S45" s="293" t="str">
        <f>Tabel15[[#This Row],[Rood Verdediging]]&amp;Tabel15[[#This Row],[Rood Aanval]]</f>
        <v>Stef DJonas</v>
      </c>
      <c r="T45" s="293" t="str">
        <f>Tabel15[[#This Row],[Groen Verdediging]]&amp;Tabel15[[#This Row],[Groen Aanval]]</f>
        <v>KarelMatthijs</v>
      </c>
      <c r="U45" s="293" t="str">
        <f>Tabel15[[#This Row],[Winnaar 1]]&amp;Tabel15[[#This Row],[Winnaar 2]]</f>
        <v>Stef DJonas</v>
      </c>
      <c r="V45" s="147" t="str">
        <f>IF(Tabel15[[#This Row],[Team Rood]]=Tabel15[[#This Row],[Winnaars]],Tabel15[[#This Row],[Team Rood]])</f>
        <v>Stef DJonas</v>
      </c>
      <c r="W45" s="147" t="b">
        <f>IF(Tabel15[[#This Row],[Team Groen]]=Tabel15[[#This Row],[Winnaars]],Tabel15[[#This Row],[Team Groen]])</f>
        <v>0</v>
      </c>
      <c r="X45" s="283">
        <v>12.260096016378418</v>
      </c>
      <c r="Y45" s="283">
        <v>15.947469003095268</v>
      </c>
      <c r="Z45" s="283">
        <v>0.95304442116844479</v>
      </c>
      <c r="AA45" s="283">
        <v>1.3274769053009146</v>
      </c>
      <c r="AL45" s="251" t="s">
        <v>159</v>
      </c>
      <c r="AM45" s="233" t="s">
        <v>170</v>
      </c>
      <c r="AN45" s="140" t="str">
        <f t="shared" si="10"/>
        <v>Jonas*Nico*</v>
      </c>
      <c r="AO45" s="160">
        <f>IF(Tabel5[[#This Row],[Aantal Games Rood]]=0,0,(Tabel5[[#This Row],[Wins Rood]])/Tabel5[[#This Row],[Aantal Games Rood]])</f>
        <v>0</v>
      </c>
      <c r="AP45" s="159">
        <f>IF(Tabel5[[#This Row],[Aantal Games Groen]]=0,0,(Tabel5[[#This Row],[Wins Groen]])/Tabel5[[#This Row],[Aantal Games Groen]])</f>
        <v>0</v>
      </c>
      <c r="AQ45" s="156">
        <f>IF(Tabel5[[#This Row],[Aantal games Alg]]=0,0,(Tabel5[[#This Row],[Wins Alg]])/Tabel5[[#This Row],[Aantal games Alg]])</f>
        <v>0</v>
      </c>
      <c r="AR45" s="171">
        <f>COUNTIF(Tabel15[Winaar rood],Tabel5[[#This Row],[Team]])</f>
        <v>0</v>
      </c>
      <c r="AS45" s="169">
        <f>COUNTIF(Tabel15[Winnaar Groen],Tabel5[[#This Row],[Team]])</f>
        <v>0</v>
      </c>
      <c r="AT45" s="170">
        <f>COUNTIF(Tabel15[Winnaars],Tabel5[[#This Row],[Team]])</f>
        <v>0</v>
      </c>
      <c r="AU45" s="163">
        <f>Tabel5[[#This Row],[Aantal Games Rood]]-Tabel5[[#This Row],[Wins Rood]]</f>
        <v>1</v>
      </c>
      <c r="AV45" s="169">
        <f>Tabel5[[#This Row],[Aantal Games Groen]]-Tabel5[[#This Row],[Wins Groen]]</f>
        <v>0</v>
      </c>
      <c r="AW45" s="165">
        <f>Tabel5[[#This Row],[Aantal games Alg]]-Tabel5[[#This Row],[Wins Alg]]</f>
        <v>1</v>
      </c>
      <c r="AX45" s="171">
        <f>COUNTIF(Tabel15[Team Rood],Tabel5[[#This Row],[Team]])</f>
        <v>1</v>
      </c>
      <c r="AY45" s="169">
        <f>COUNTIF(Tabel15[Team Groen],Tabel5[[#This Row],[Team]])</f>
        <v>0</v>
      </c>
      <c r="AZ45" s="170">
        <f>Tabel5[[#This Row],[Aantal Games Rood]]+Tabel5[[#This Row],[Aantal Games Groen]]</f>
        <v>1</v>
      </c>
      <c r="BA45" s="171">
        <f>SUMIF(Tabel15[Team Rood],Tabel5[[#This Row],[Team]],Tabel15[Score])</f>
        <v>4</v>
      </c>
      <c r="BB45" s="171">
        <f>SUMIF(Tabel15[Team Rood],Tabel5[[#This Row],[Team]],Tabel15[Score2])</f>
        <v>4</v>
      </c>
      <c r="BC45" s="136">
        <f>SUMIF(Tabel15[Team Groen],Tabel5[[#This Row],[Team]],Tabel15[Score3])</f>
        <v>0</v>
      </c>
      <c r="BD45" s="169">
        <f>SUMIF(Tabel15[Team Groen],Tabel5[[#This Row],[Team]],Tabel15[Score4])</f>
        <v>0</v>
      </c>
      <c r="BE45" s="172">
        <f>SUM(Tabel5[[#This Row],[Goals Verdediger]]+Tabel5[[#This Row],[Goals DefG]])</f>
        <v>4</v>
      </c>
      <c r="BF45" s="170">
        <f>IF(Tabel5[[#This Row],[Aantal games Alg]]=0,0,Tabel5[[#This Row],[Goals DefA]]/Tabel5[[#This Row],[Aantal games Alg]])</f>
        <v>4</v>
      </c>
      <c r="BG45" s="172">
        <f>SUM(Tabel5[[#This Row],[Goals Aanvaller]]+Tabel5[[#This Row],[Goals OffG]])</f>
        <v>4</v>
      </c>
      <c r="BH45" s="170">
        <f>IF(Tabel5[[#This Row],[Aantal games Alg]]=0,0,Tabel5[[#This Row],[Goals OffA]]/Tabel5[[#This Row],[Aantal games Alg]])</f>
        <v>4</v>
      </c>
      <c r="BI45" s="170">
        <f>Tabel5[[#This Row],[Goals DefA]]+Tabel5[[#This Row],[Goals OffA]]</f>
        <v>8</v>
      </c>
      <c r="BJ45" s="170">
        <f>IF(Tabel5[[#This Row],[Aantal games Alg]]=0,0,Tabel5[[#This Row],[Goals Alg]]/Tabel5[[#This Row],[Aantal games Alg]])</f>
        <v>8</v>
      </c>
      <c r="BK45" s="148">
        <f>SUMIF(Tabel15[Team Rood],Tabel5[[#This Row],[Team]],Tabel15[ET])</f>
        <v>0</v>
      </c>
      <c r="BL45" s="150">
        <f>SUMIF(Tabel15[Team Groen],Tabel5[[#This Row],[Team]],Tabel15[ET])</f>
        <v>0</v>
      </c>
      <c r="BM45" s="153">
        <f>SUM(Tabel5[[#This Row],[ET Groen tot]],Tabel5[[#This Row],[ET Rood tot]])</f>
        <v>0</v>
      </c>
      <c r="BN45" s="155">
        <f>IF(Tabel5[[#This Row],[Aantal games Alg]]=0,0,Tabel5[[#This Row],[ET tot]]/Tabel5[[#This Row],[Aantal games Alg]])</f>
        <v>0</v>
      </c>
    </row>
    <row r="46" spans="1:66" x14ac:dyDescent="0.25">
      <c r="A46" s="215">
        <v>43896.982948263889</v>
      </c>
      <c r="B46" s="128">
        <v>43896.982948263889</v>
      </c>
      <c r="C46" s="126">
        <v>43897.004211805557</v>
      </c>
      <c r="D46" s="217">
        <v>2.1263541668304242E-2</v>
      </c>
      <c r="E46" s="74">
        <v>45</v>
      </c>
      <c r="F46" s="40" t="s">
        <v>8</v>
      </c>
      <c r="G46" s="76">
        <v>3</v>
      </c>
      <c r="H46" s="40" t="s">
        <v>3</v>
      </c>
      <c r="I46" s="76">
        <v>11</v>
      </c>
      <c r="J46" s="41" t="s">
        <v>0</v>
      </c>
      <c r="K46" s="78">
        <v>8</v>
      </c>
      <c r="L46" s="41" t="s">
        <v>11</v>
      </c>
      <c r="M46" s="78">
        <v>8</v>
      </c>
      <c r="N46" s="81">
        <v>14</v>
      </c>
      <c r="O46" s="82">
        <v>16</v>
      </c>
      <c r="P4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Row],[Score4]]&lt;&gt;""),IF(AND(N46&gt;O46,N46&gt;=11),"ROOD",IF(AND(O46&gt;=11,N46&lt;&gt;O46),"GROEN","")),"")</f>
        <v>GROEN</v>
      </c>
      <c r="Q46" s="86" t="str">
        <f t="shared" si="0"/>
        <v>Jonas</v>
      </c>
      <c r="R46" s="87" t="str">
        <f t="shared" si="1"/>
        <v>Matthijs</v>
      </c>
      <c r="S46" s="293" t="str">
        <f>Tabel15[[#This Row],[Rood Verdediging]]&amp;Tabel15[[#This Row],[Rood Aanval]]</f>
        <v>LouisKarel</v>
      </c>
      <c r="T46" s="293" t="str">
        <f>Tabel15[[#This Row],[Groen Verdediging]]&amp;Tabel15[[#This Row],[Groen Aanval]]</f>
        <v>JonasMatthijs</v>
      </c>
      <c r="U46" s="293" t="str">
        <f>Tabel15[[#This Row],[Winnaar 1]]&amp;Tabel15[[#This Row],[Winnaar 2]]</f>
        <v>JonasMatthijs</v>
      </c>
      <c r="V46" s="147" t="b">
        <f>IF(Tabel15[[#This Row],[Team Rood]]=Tabel15[[#This Row],[Winnaars]],Tabel15[[#This Row],[Team Rood]])</f>
        <v>0</v>
      </c>
      <c r="W46" s="147" t="str">
        <f>IF(Tabel15[[#This Row],[Team Groen]]=Tabel15[[#This Row],[Winnaars]],Tabel15[[#This Row],[Team Groen]])</f>
        <v>JonasMatthijs</v>
      </c>
      <c r="X46" s="283">
        <v>-10.509269524994009</v>
      </c>
      <c r="Y46" s="283">
        <v>-10.523556281172509</v>
      </c>
      <c r="Z46" s="283">
        <v>34.563547428397094</v>
      </c>
      <c r="AA46" s="283">
        <v>45.607512317962573</v>
      </c>
      <c r="AL46" s="251" t="s">
        <v>159</v>
      </c>
      <c r="AM46" s="233" t="s">
        <v>169</v>
      </c>
      <c r="AN46" s="140" t="str">
        <f t="shared" si="10"/>
        <v>Jonas*Stef*</v>
      </c>
      <c r="AO46" s="160">
        <f>IF(Tabel5[[#This Row],[Aantal Games Rood]]=0,0,(Tabel5[[#This Row],[Wins Rood]])/Tabel5[[#This Row],[Aantal Games Rood]])</f>
        <v>0.76923076923076927</v>
      </c>
      <c r="AP46" s="159">
        <f>IF(Tabel5[[#This Row],[Aantal Games Groen]]=0,0,(Tabel5[[#This Row],[Wins Groen]])/Tabel5[[#This Row],[Aantal Games Groen]])</f>
        <v>0.75</v>
      </c>
      <c r="AQ46" s="156">
        <f>IF(Tabel5[[#This Row],[Aantal games Alg]]=0,0,(Tabel5[[#This Row],[Wins Alg]])/Tabel5[[#This Row],[Aantal games Alg]])</f>
        <v>0.76470588235294112</v>
      </c>
      <c r="AR46" s="133">
        <f>COUNTIF(Tabel15[Winaar rood],Tabel5[[#This Row],[Team]])</f>
        <v>10</v>
      </c>
      <c r="AS46" s="134">
        <f>COUNTIF(Tabel15[Winnaar Groen],Tabel5[[#This Row],[Team]])</f>
        <v>3</v>
      </c>
      <c r="AT46">
        <f>COUNTIF(Tabel15[Winnaars],Tabel5[[#This Row],[Team]])</f>
        <v>13</v>
      </c>
      <c r="AU46" s="135">
        <f>Tabel5[[#This Row],[Aantal Games Rood]]-Tabel5[[#This Row],[Wins Rood]]</f>
        <v>3</v>
      </c>
      <c r="AV46" s="136">
        <f>Tabel5[[#This Row],[Aantal Games Groen]]-Tabel5[[#This Row],[Wins Groen]]</f>
        <v>1</v>
      </c>
      <c r="AW46" s="137">
        <f>Tabel5[[#This Row],[Aantal games Alg]]-Tabel5[[#This Row],[Wins Alg]]</f>
        <v>4</v>
      </c>
      <c r="AX46" s="138">
        <f>COUNTIF(Tabel15[Team Rood],Tabel5[[#This Row],[Team]])</f>
        <v>13</v>
      </c>
      <c r="AY46" s="136">
        <f>COUNTIF(Tabel15[Team Groen],Tabel5[[#This Row],[Team]])</f>
        <v>4</v>
      </c>
      <c r="AZ46" s="112">
        <f>Tabel5[[#This Row],[Aantal Games Rood]]+Tabel5[[#This Row],[Aantal Games Groen]]</f>
        <v>17</v>
      </c>
      <c r="BA46" s="138">
        <f>SUMIF(Tabel15[Team Rood],Tabel5[[#This Row],[Team]],Tabel15[Score])</f>
        <v>41</v>
      </c>
      <c r="BB46" s="138">
        <f>SUMIF(Tabel15[Team Rood],Tabel5[[#This Row],[Team]],Tabel15[Score2])</f>
        <v>91</v>
      </c>
      <c r="BC46" s="134">
        <f>SUMIF(Tabel15[Team Groen],Tabel5[[#This Row],[Team]],Tabel15[Score3])</f>
        <v>11</v>
      </c>
      <c r="BD46" s="136">
        <f>SUMIF(Tabel15[Team Groen],Tabel5[[#This Row],[Team]],Tabel15[Score4])</f>
        <v>29</v>
      </c>
      <c r="BE46">
        <f>SUM(Tabel5[[#This Row],[Goals Verdediger]]+Tabel5[[#This Row],[Goals DefG]])</f>
        <v>52</v>
      </c>
      <c r="BF46">
        <f>IF(Tabel5[[#This Row],[Aantal games Alg]]=0,0,Tabel5[[#This Row],[Goals DefA]]/Tabel5[[#This Row],[Aantal games Alg]])</f>
        <v>3.0588235294117645</v>
      </c>
      <c r="BG46">
        <f>SUM(Tabel5[[#This Row],[Goals Aanvaller]]+Tabel5[[#This Row],[Goals OffG]])</f>
        <v>120</v>
      </c>
      <c r="BH46">
        <f>IF(Tabel5[[#This Row],[Aantal games Alg]]=0,0,Tabel5[[#This Row],[Goals OffA]]/Tabel5[[#This Row],[Aantal games Alg]])</f>
        <v>7.0588235294117645</v>
      </c>
      <c r="BI46" s="112">
        <f>Tabel5[[#This Row],[Goals DefA]]+Tabel5[[#This Row],[Goals OffA]]</f>
        <v>172</v>
      </c>
      <c r="BJ46" s="112">
        <f>IF(Tabel5[[#This Row],[Aantal games Alg]]=0,0,Tabel5[[#This Row],[Goals Alg]]/Tabel5[[#This Row],[Aantal games Alg]])</f>
        <v>10.117647058823529</v>
      </c>
      <c r="BK46" s="148">
        <f ca="1">SUMIF(Tabel15[Team Rood],Tabel5[[#This Row],[Team]],Tabel15[ET])</f>
        <v>3.5388078700634651E-2</v>
      </c>
      <c r="BL46" s="150">
        <f ca="1">SUMIF(Tabel15[Team Groen],Tabel5[[#This Row],[Team]],Tabel15[ET])</f>
        <v>9.5157407340593636E-3</v>
      </c>
      <c r="BM46" s="153">
        <f ca="1">SUM(Tabel5[[#This Row],[ET Groen tot]],Tabel5[[#This Row],[ET Rood tot]])</f>
        <v>4.4903819434694014E-2</v>
      </c>
      <c r="BN46" s="155">
        <f ca="1">IF(Tabel5[[#This Row],[Aantal games Alg]]=0,0,Tabel5[[#This Row],[ET tot]]/Tabel5[[#This Row],[Aantal games Alg]])</f>
        <v>2.641401143217295E-3</v>
      </c>
    </row>
    <row r="47" spans="1:66" x14ac:dyDescent="0.25">
      <c r="A47" s="215">
        <v>43897.012221527781</v>
      </c>
      <c r="B47" s="128">
        <v>43897.012221527781</v>
      </c>
      <c r="C47" s="126">
        <v>43897.026579976853</v>
      </c>
      <c r="D47" s="217">
        <v>1.4358449072460644E-2</v>
      </c>
      <c r="E47" s="74">
        <v>46</v>
      </c>
      <c r="F47" s="40" t="s">
        <v>19</v>
      </c>
      <c r="G47" s="76">
        <v>0</v>
      </c>
      <c r="H47" s="40" t="s">
        <v>6</v>
      </c>
      <c r="I47" s="76">
        <v>9</v>
      </c>
      <c r="J47" s="41" t="s">
        <v>11</v>
      </c>
      <c r="K47" s="78">
        <v>5</v>
      </c>
      <c r="L47" s="41" t="s">
        <v>3</v>
      </c>
      <c r="M47" s="78">
        <v>6</v>
      </c>
      <c r="N47" s="81">
        <v>9</v>
      </c>
      <c r="O47" s="82">
        <v>11</v>
      </c>
      <c r="P4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Row],[Score4]]&lt;&gt;""),IF(AND(N47&gt;O47,N47&gt;=11),"ROOD",IF(AND(O47&gt;=11,N47&lt;&gt;O47),"GROEN","")),"")</f>
        <v>GROEN</v>
      </c>
      <c r="Q47" s="86" t="str">
        <f t="shared" si="0"/>
        <v>Matthijs</v>
      </c>
      <c r="R47" s="87" t="str">
        <f t="shared" si="1"/>
        <v>Karel</v>
      </c>
      <c r="S47" s="293" t="str">
        <f>Tabel15[[#This Row],[Rood Verdediging]]&amp;Tabel15[[#This Row],[Rood Aanval]]</f>
        <v>NicolasStef D</v>
      </c>
      <c r="T47" s="293" t="str">
        <f>Tabel15[[#This Row],[Groen Verdediging]]&amp;Tabel15[[#This Row],[Groen Aanval]]</f>
        <v>MatthijsKarel</v>
      </c>
      <c r="U47" s="293" t="str">
        <f>Tabel15[[#This Row],[Winnaar 1]]&amp;Tabel15[[#This Row],[Winnaar 2]]</f>
        <v>MatthijsKarel</v>
      </c>
      <c r="V47" s="147" t="b">
        <f>IF(Tabel15[[#This Row],[Team Rood]]=Tabel15[[#This Row],[Winnaars]],Tabel15[[#This Row],[Team Rood]])</f>
        <v>0</v>
      </c>
      <c r="W47" s="147" t="str">
        <f>IF(Tabel15[[#This Row],[Team Groen]]=Tabel15[[#This Row],[Winnaars]],Tabel15[[#This Row],[Team Groen]])</f>
        <v>MatthijsKarel</v>
      </c>
      <c r="X47" s="283">
        <v>-1.2473236951493929</v>
      </c>
      <c r="Y47" s="283">
        <v>-2.1668503541856579</v>
      </c>
      <c r="Z47" s="283">
        <v>25.82435677487894</v>
      </c>
      <c r="AA47" s="283">
        <v>17.63121138671994</v>
      </c>
      <c r="AL47" s="251" t="s">
        <v>159</v>
      </c>
      <c r="AM47" s="233" t="s">
        <v>166</v>
      </c>
      <c r="AN47" s="140" t="str">
        <f t="shared" si="10"/>
        <v>Jonas*Stijn*</v>
      </c>
      <c r="AO47" s="160">
        <f>IF(Tabel5[[#This Row],[Aantal Games Rood]]=0,0,(Tabel5[[#This Row],[Wins Rood]])/Tabel5[[#This Row],[Aantal Games Rood]])</f>
        <v>0</v>
      </c>
      <c r="AP47" s="159">
        <f>IF(Tabel5[[#This Row],[Aantal Games Groen]]=0,0,(Tabel5[[#This Row],[Wins Groen]])/Tabel5[[#This Row],[Aantal Games Groen]])</f>
        <v>0</v>
      </c>
      <c r="AQ47" s="156">
        <f>IF(Tabel5[[#This Row],[Aantal games Alg]]=0,0,(Tabel5[[#This Row],[Wins Alg]])/Tabel5[[#This Row],[Aantal games Alg]])</f>
        <v>0</v>
      </c>
      <c r="AR47" s="138">
        <f>COUNTIF(Tabel15[Winaar rood],Tabel5[[#This Row],[Team]])</f>
        <v>0</v>
      </c>
      <c r="AS47" s="134">
        <f>COUNTIF(Tabel15[Winnaar Groen],Tabel5[[#This Row],[Team]])</f>
        <v>0</v>
      </c>
      <c r="AT47">
        <f>COUNTIF(Tabel15[Winnaars],Tabel5[[#This Row],[Team]])</f>
        <v>0</v>
      </c>
      <c r="AU47" s="135">
        <f>Tabel5[[#This Row],[Aantal Games Rood]]-Tabel5[[#This Row],[Wins Rood]]</f>
        <v>0</v>
      </c>
      <c r="AV47" s="136">
        <f>Tabel5[[#This Row],[Aantal Games Groen]]-Tabel5[[#This Row],[Wins Groen]]</f>
        <v>0</v>
      </c>
      <c r="AW47" s="137">
        <f>Tabel5[[#This Row],[Aantal games Alg]]-Tabel5[[#This Row],[Wins Alg]]</f>
        <v>0</v>
      </c>
      <c r="AX47" s="138">
        <f>COUNTIF(Tabel15[Team Rood],Tabel5[[#This Row],[Team]])</f>
        <v>0</v>
      </c>
      <c r="AY47" s="136">
        <f>COUNTIF(Tabel15[Team Groen],Tabel5[[#This Row],[Team]])</f>
        <v>0</v>
      </c>
      <c r="AZ47" s="214">
        <f>Tabel5[[#This Row],[Aantal Games Rood]]+Tabel5[[#This Row],[Aantal Games Groen]]</f>
        <v>0</v>
      </c>
      <c r="BA47" s="138">
        <f>SUMIF(Tabel15[Team Rood],Tabel5[[#This Row],[Team]],Tabel15[Score])</f>
        <v>0</v>
      </c>
      <c r="BB47" s="138">
        <f>SUMIF(Tabel15[Team Rood],Tabel5[[#This Row],[Team]],Tabel15[Score2])</f>
        <v>0</v>
      </c>
      <c r="BC47" s="134">
        <f>SUMIF(Tabel15[Team Groen],Tabel5[[#This Row],[Team]],Tabel15[Score3])</f>
        <v>0</v>
      </c>
      <c r="BD47" s="136">
        <f>SUMIF(Tabel15[Team Groen],Tabel5[[#This Row],[Team]],Tabel15[Score4])</f>
        <v>0</v>
      </c>
      <c r="BE47">
        <f>SUM(Tabel5[[#This Row],[Goals Verdediger]]+Tabel5[[#This Row],[Goals DefG]])</f>
        <v>0</v>
      </c>
      <c r="BF47">
        <f>IF(Tabel5[[#This Row],[Aantal games Alg]]=0,0,Tabel5[[#This Row],[Goals DefA]]/Tabel5[[#This Row],[Aantal games Alg]])</f>
        <v>0</v>
      </c>
      <c r="BG47">
        <f>SUM(Tabel5[[#This Row],[Goals Aanvaller]]+Tabel5[[#This Row],[Goals OffG]])</f>
        <v>0</v>
      </c>
      <c r="BH47">
        <f>IF(Tabel5[[#This Row],[Aantal games Alg]]=0,0,Tabel5[[#This Row],[Goals OffA]]/Tabel5[[#This Row],[Aantal games Alg]])</f>
        <v>0</v>
      </c>
      <c r="BI47" s="112">
        <f>Tabel5[[#This Row],[Goals DefA]]+Tabel5[[#This Row],[Goals OffA]]</f>
        <v>0</v>
      </c>
      <c r="BJ47" s="112">
        <f>IF(Tabel5[[#This Row],[Aantal games Alg]]=0,0,Tabel5[[#This Row],[Goals Alg]]/Tabel5[[#This Row],[Aantal games Alg]])</f>
        <v>0</v>
      </c>
      <c r="BK47" s="148">
        <f>SUMIF(Tabel15[Team Rood],Tabel5[[#This Row],[Team]],Tabel15[ET])</f>
        <v>0</v>
      </c>
      <c r="BL47" s="150">
        <f>SUMIF(Tabel15[Team Groen],Tabel5[[#This Row],[Team]],Tabel15[ET])</f>
        <v>0</v>
      </c>
      <c r="BM47" s="153">
        <f>SUM(Tabel5[[#This Row],[ET Groen tot]],Tabel5[[#This Row],[ET Rood tot]])</f>
        <v>0</v>
      </c>
      <c r="BN47" s="155">
        <f>IF(Tabel5[[#This Row],[Aantal games Alg]]=0,0,Tabel5[[#This Row],[ET tot]]/Tabel5[[#This Row],[Aantal games Alg]])</f>
        <v>0</v>
      </c>
    </row>
    <row r="48" spans="1:66" x14ac:dyDescent="0.25">
      <c r="A48" s="215">
        <f ca="1">IF(Tabel15[[#This Row],[Rood Verdediging]]&lt;&gt;"",IF(A48="",NOW(),A48),"")</f>
        <v>44002.875866898146</v>
      </c>
      <c r="B48" s="128">
        <f ca="1">IF(Tabel15[[#This Row],[Rood Verdediging]]&lt;&gt;"",IF(B48="",NOW(),B48),"")</f>
        <v>44002.875866898146</v>
      </c>
      <c r="C48" s="126">
        <f ca="1">IF(Tabel15[[#This Row],[Score]]&lt;&gt;"",IF(C48="",NOW(),C48),"")</f>
        <v>44002.885513078705</v>
      </c>
      <c r="D48" s="217">
        <f ca="1">IF(OR(Tabel15[[#This Row],[Starttijd]]="",Tabel15[[#This Row],[Eindtijd]]=""),"",Tabel15[[#This Row],[Eindtijd]]-Tabel15[[#This Row],[Starttijd]])</f>
        <v>9.646180558775086E-3</v>
      </c>
      <c r="E48" s="74">
        <v>48</v>
      </c>
      <c r="F48" s="205" t="s">
        <v>6</v>
      </c>
      <c r="G48" s="210">
        <v>5</v>
      </c>
      <c r="H48" s="205" t="s">
        <v>167</v>
      </c>
      <c r="I48" s="210">
        <v>5</v>
      </c>
      <c r="J48" s="206" t="s">
        <v>0</v>
      </c>
      <c r="K48" s="212">
        <v>6</v>
      </c>
      <c r="L48" s="206" t="s">
        <v>7</v>
      </c>
      <c r="M48" s="78">
        <v>6</v>
      </c>
      <c r="N48" s="81">
        <f t="shared" ref="N48:N111" si="11">IF(ISBLANK(F48),"",SUM(G48,I48))</f>
        <v>10</v>
      </c>
      <c r="O48" s="82">
        <f t="shared" ref="O48:O111" si="12">IF(ISBLANK(F48),"",SUM(K48,M48))</f>
        <v>12</v>
      </c>
      <c r="P4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Row],[Score4]]&lt;&gt;""),IF(AND(N48&gt;O48,N48&gt;=11),"ROOD",IF(AND(O48&gt;=11,N48&lt;&gt;O48),"GROEN","")),"")</f>
        <v>GROEN</v>
      </c>
      <c r="Q48" s="86" t="str">
        <f t="shared" si="0"/>
        <v>Jonas</v>
      </c>
      <c r="R48" s="87" t="str">
        <f t="shared" si="1"/>
        <v>Tiemen</v>
      </c>
      <c r="S48" s="293">
        <v>-1.2473236951493929</v>
      </c>
      <c r="T48" s="293">
        <v>-2.1668503541856579</v>
      </c>
      <c r="U48" s="293">
        <v>25.82435677487894</v>
      </c>
      <c r="V48" s="147">
        <v>17.63121138671994</v>
      </c>
      <c r="W48" s="147" t="e">
        <v>#N/A</v>
      </c>
      <c r="X48" s="283">
        <v>3.4020097193766996</v>
      </c>
      <c r="Y48" s="283">
        <v>5.3911836154741488</v>
      </c>
      <c r="Z48" s="283">
        <v>7.17297989384139</v>
      </c>
      <c r="AA48" s="283">
        <v>8.3984230525127472</v>
      </c>
      <c r="AL48" s="251" t="s">
        <v>159</v>
      </c>
      <c r="AM48" s="233" t="s">
        <v>160</v>
      </c>
      <c r="AN48" s="140" t="str">
        <f t="shared" si="10"/>
        <v>Jonas*Tiemen*</v>
      </c>
      <c r="AO48" s="160">
        <f>IF(Tabel5[[#This Row],[Aantal Games Rood]]=0,0,(Tabel5[[#This Row],[Wins Rood]])/Tabel5[[#This Row],[Aantal Games Rood]])</f>
        <v>0</v>
      </c>
      <c r="AP48" s="159">
        <f>IF(Tabel5[[#This Row],[Aantal Games Groen]]=0,0,(Tabel5[[#This Row],[Wins Groen]])/Tabel5[[#This Row],[Aantal Games Groen]])</f>
        <v>0.8</v>
      </c>
      <c r="AQ48" s="156">
        <f>IF(Tabel5[[#This Row],[Aantal games Alg]]=0,0,(Tabel5[[#This Row],[Wins Alg]])/Tabel5[[#This Row],[Aantal games Alg]])</f>
        <v>0.66666666666666663</v>
      </c>
      <c r="AR48" s="133">
        <f>COUNTIF(Tabel15[Winaar rood],Tabel5[[#This Row],[Team]])</f>
        <v>0</v>
      </c>
      <c r="AS48" s="134">
        <f>COUNTIF(Tabel15[Winnaar Groen],Tabel5[[#This Row],[Team]])</f>
        <v>4</v>
      </c>
      <c r="AT48">
        <f>COUNTIF(Tabel15[Winnaars],Tabel5[[#This Row],[Team]])</f>
        <v>4</v>
      </c>
      <c r="AU48" s="135">
        <f>Tabel5[[#This Row],[Aantal Games Rood]]-Tabel5[[#This Row],[Wins Rood]]</f>
        <v>1</v>
      </c>
      <c r="AV48" s="136">
        <f>Tabel5[[#This Row],[Aantal Games Groen]]-Tabel5[[#This Row],[Wins Groen]]</f>
        <v>1</v>
      </c>
      <c r="AW48" s="137">
        <f>Tabel5[[#This Row],[Aantal games Alg]]-Tabel5[[#This Row],[Wins Alg]]</f>
        <v>2</v>
      </c>
      <c r="AX48" s="138">
        <f>COUNTIF(Tabel15[Team Rood],Tabel5[[#This Row],[Team]])</f>
        <v>1</v>
      </c>
      <c r="AY48" s="136">
        <f>COUNTIF(Tabel15[Team Groen],Tabel5[[#This Row],[Team]])</f>
        <v>5</v>
      </c>
      <c r="AZ48" s="112">
        <f>Tabel5[[#This Row],[Aantal Games Rood]]+Tabel5[[#This Row],[Aantal Games Groen]]</f>
        <v>6</v>
      </c>
      <c r="BA48" s="138">
        <f>SUMIF(Tabel15[Team Rood],Tabel5[[#This Row],[Team]],Tabel15[Score])</f>
        <v>1</v>
      </c>
      <c r="BB48" s="138">
        <f>SUMIF(Tabel15[Team Rood],Tabel5[[#This Row],[Team]],Tabel15[Score2])</f>
        <v>4</v>
      </c>
      <c r="BC48" s="134">
        <f>SUMIF(Tabel15[Team Groen],Tabel5[[#This Row],[Team]],Tabel15[Score3])</f>
        <v>13</v>
      </c>
      <c r="BD48" s="136">
        <f>SUMIF(Tabel15[Team Groen],Tabel5[[#This Row],[Team]],Tabel15[Score4])</f>
        <v>39</v>
      </c>
      <c r="BE48">
        <f>SUM(Tabel5[[#This Row],[Goals Verdediger]]+Tabel5[[#This Row],[Goals DefG]])</f>
        <v>14</v>
      </c>
      <c r="BF48">
        <f>IF(Tabel5[[#This Row],[Aantal games Alg]]=0,0,Tabel5[[#This Row],[Goals DefA]]/Tabel5[[#This Row],[Aantal games Alg]])</f>
        <v>2.3333333333333335</v>
      </c>
      <c r="BG48">
        <f>SUM(Tabel5[[#This Row],[Goals Aanvaller]]+Tabel5[[#This Row],[Goals OffG]])</f>
        <v>43</v>
      </c>
      <c r="BH48">
        <f>IF(Tabel5[[#This Row],[Aantal games Alg]]=0,0,Tabel5[[#This Row],[Goals OffA]]/Tabel5[[#This Row],[Aantal games Alg]])</f>
        <v>7.166666666666667</v>
      </c>
      <c r="BI48" s="112">
        <f>Tabel5[[#This Row],[Goals DefA]]+Tabel5[[#This Row],[Goals OffA]]</f>
        <v>57</v>
      </c>
      <c r="BJ48" s="112">
        <f>IF(Tabel5[[#This Row],[Aantal games Alg]]=0,0,Tabel5[[#This Row],[Goals Alg]]/Tabel5[[#This Row],[Aantal games Alg]])</f>
        <v>9.5</v>
      </c>
      <c r="BK48" s="148">
        <f ca="1">SUMIF(Tabel15[Team Rood],Tabel5[[#This Row],[Team]],Tabel15[ET])</f>
        <v>7.4133101879851893E-3</v>
      </c>
      <c r="BL48" s="150">
        <f ca="1">SUMIF(Tabel15[Team Groen],Tabel5[[#This Row],[Team]],Tabel15[ET])</f>
        <v>3.0132523141219281E-2</v>
      </c>
      <c r="BM48" s="153">
        <f ca="1">SUM(Tabel5[[#This Row],[ET Groen tot]],Tabel5[[#This Row],[ET Rood tot]])</f>
        <v>3.754583332920447E-2</v>
      </c>
      <c r="BN48" s="155">
        <f ca="1">IF(Tabel5[[#This Row],[Aantal games Alg]]=0,0,Tabel5[[#This Row],[ET tot]]/Tabel5[[#This Row],[Aantal games Alg]])</f>
        <v>6.257638888200745E-3</v>
      </c>
    </row>
    <row r="49" spans="1:66" x14ac:dyDescent="0.25">
      <c r="A49" s="215">
        <f ca="1">IF(Tabel15[[#This Row],[Rood Verdediging]]&lt;&gt;"",IF(A49="",NOW(),A49),"")</f>
        <v>44002.890374537033</v>
      </c>
      <c r="B49" s="128">
        <f ca="1">IF(Tabel15[[#This Row],[Rood Verdediging]]&lt;&gt;"",IF(B49="",NOW(),B49),"")</f>
        <v>44002.890374537033</v>
      </c>
      <c r="C49" s="126">
        <f ca="1">IF(Tabel15[[#This Row],[Score]]&lt;&gt;"",IF(C49="",NOW(),C49),"")</f>
        <v>44002.895817476849</v>
      </c>
      <c r="D49" s="217">
        <f ca="1">IF(OR(Tabel15[[#This Row],[Starttijd]]="",Tabel15[[#This Row],[Eindtijd]]=""),"",Tabel15[[#This Row],[Eindtijd]]-Tabel15[[#This Row],[Starttijd]])</f>
        <v>5.4429398151114583E-3</v>
      </c>
      <c r="E49" s="74">
        <v>49</v>
      </c>
      <c r="F49" s="205" t="s">
        <v>11</v>
      </c>
      <c r="G49" s="210">
        <v>2</v>
      </c>
      <c r="H49" s="205" t="s">
        <v>3</v>
      </c>
      <c r="I49" s="210">
        <v>8</v>
      </c>
      <c r="J49" s="206" t="s">
        <v>7</v>
      </c>
      <c r="K49" s="212">
        <v>6</v>
      </c>
      <c r="L49" s="206" t="s">
        <v>0</v>
      </c>
      <c r="M49" s="212">
        <v>6</v>
      </c>
      <c r="N49" s="81">
        <f t="shared" si="11"/>
        <v>10</v>
      </c>
      <c r="O49" s="82">
        <f t="shared" si="12"/>
        <v>12</v>
      </c>
      <c r="P4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Row],[Score4]]&lt;&gt;""),IF(AND(N49&gt;O49,N49&gt;=11),"ROOD",IF(AND(O49&gt;=11,N49&lt;&gt;O49),"GROEN","")),"")</f>
        <v>GROEN</v>
      </c>
      <c r="Q49" s="86" t="str">
        <f t="shared" si="0"/>
        <v>Tiemen</v>
      </c>
      <c r="R49" s="87" t="str">
        <f t="shared" si="1"/>
        <v>Jonas</v>
      </c>
      <c r="S49" s="293" t="str">
        <f>Tabel15[[#This Row],[Rood Verdediging]]&amp;Tabel15[[#This Row],[Rood Aanval]]</f>
        <v>MatthijsKarel</v>
      </c>
      <c r="T49" s="293" t="str">
        <f>Tabel15[[#This Row],[Groen Verdediging]]&amp;Tabel15[[#This Row],[Groen Aanval]]</f>
        <v>TiemenJonas</v>
      </c>
      <c r="U49" s="293" t="e">
        <v>#N/A</v>
      </c>
      <c r="V49" s="147" t="e">
        <v>#N/A</v>
      </c>
      <c r="W49" s="147" t="e">
        <v>#N/A</v>
      </c>
      <c r="X49" s="283">
        <v>-6.0611778768218327</v>
      </c>
      <c r="Y49" s="283">
        <v>-6.7560479824182824</v>
      </c>
      <c r="Z49" s="283">
        <v>30.357050386577427</v>
      </c>
      <c r="AA49" s="283">
        <v>33.231132140307722</v>
      </c>
      <c r="AL49" s="251" t="s">
        <v>159</v>
      </c>
      <c r="AM49" s="233" t="s">
        <v>157</v>
      </c>
      <c r="AN49" s="140" t="str">
        <f t="shared" si="10"/>
        <v>Jonas*Tobi*</v>
      </c>
      <c r="AO49" s="160">
        <f>IF(Tabel5[[#This Row],[Aantal Games Rood]]=0,0,(Tabel5[[#This Row],[Wins Rood]])/Tabel5[[#This Row],[Aantal Games Rood]])</f>
        <v>0</v>
      </c>
      <c r="AP49" s="159">
        <f>IF(Tabel5[[#This Row],[Aantal Games Groen]]=0,0,(Tabel5[[#This Row],[Wins Groen]])/Tabel5[[#This Row],[Aantal Games Groen]])</f>
        <v>0</v>
      </c>
      <c r="AQ49" s="156">
        <f>IF(Tabel5[[#This Row],[Aantal games Alg]]=0,0,(Tabel5[[#This Row],[Wins Alg]])/Tabel5[[#This Row],[Aantal games Alg]])</f>
        <v>0</v>
      </c>
      <c r="AR49" s="133">
        <f>COUNTIF(Tabel15[Winaar rood],Tabel5[[#This Row],[Team]])</f>
        <v>0</v>
      </c>
      <c r="AS49" s="134">
        <f>COUNTIF(Tabel15[Winnaar Groen],Tabel5[[#This Row],[Team]])</f>
        <v>0</v>
      </c>
      <c r="AT49">
        <f>COUNTIF(Tabel15[Winnaars],Tabel5[[#This Row],[Team]])</f>
        <v>0</v>
      </c>
      <c r="AU49" s="135">
        <f>Tabel5[[#This Row],[Aantal Games Rood]]-Tabel5[[#This Row],[Wins Rood]]</f>
        <v>0</v>
      </c>
      <c r="AV49" s="136">
        <f>Tabel5[[#This Row],[Aantal Games Groen]]-Tabel5[[#This Row],[Wins Groen]]</f>
        <v>0</v>
      </c>
      <c r="AW49" s="137">
        <f>Tabel5[[#This Row],[Aantal games Alg]]-Tabel5[[#This Row],[Wins Alg]]</f>
        <v>0</v>
      </c>
      <c r="AX49" s="138">
        <f>COUNTIF(Tabel15[Team Rood],Tabel5[[#This Row],[Team]])</f>
        <v>0</v>
      </c>
      <c r="AY49" s="136">
        <f>COUNTIF(Tabel15[Team Groen],Tabel5[[#This Row],[Team]])</f>
        <v>0</v>
      </c>
      <c r="AZ49" s="112">
        <f>Tabel5[[#This Row],[Aantal Games Rood]]+Tabel5[[#This Row],[Aantal Games Groen]]</f>
        <v>0</v>
      </c>
      <c r="BA49" s="138">
        <f>SUMIF(Tabel15[Team Rood],Tabel5[[#This Row],[Team]],Tabel15[Score])</f>
        <v>0</v>
      </c>
      <c r="BB49" s="138">
        <f>SUMIF(Tabel15[Team Rood],Tabel5[[#This Row],[Team]],Tabel15[Score2])</f>
        <v>0</v>
      </c>
      <c r="BC49" s="134">
        <f>SUMIF(Tabel15[Team Groen],Tabel5[[#This Row],[Team]],Tabel15[Score3])</f>
        <v>0</v>
      </c>
      <c r="BD49" s="136">
        <f>SUMIF(Tabel15[Team Groen],Tabel5[[#This Row],[Team]],Tabel15[Score4])</f>
        <v>0</v>
      </c>
      <c r="BE49">
        <f>SUM(Tabel5[[#This Row],[Goals Verdediger]]+Tabel5[[#This Row],[Goals DefG]])</f>
        <v>0</v>
      </c>
      <c r="BF49">
        <f>IF(Tabel5[[#This Row],[Aantal games Alg]]=0,0,Tabel5[[#This Row],[Goals DefA]]/Tabel5[[#This Row],[Aantal games Alg]])</f>
        <v>0</v>
      </c>
      <c r="BG49">
        <f>SUM(Tabel5[[#This Row],[Goals Aanvaller]]+Tabel5[[#This Row],[Goals OffG]])</f>
        <v>0</v>
      </c>
      <c r="BH49">
        <f>IF(Tabel5[[#This Row],[Aantal games Alg]]=0,0,Tabel5[[#This Row],[Goals OffA]]/Tabel5[[#This Row],[Aantal games Alg]])</f>
        <v>0</v>
      </c>
      <c r="BI49" s="112">
        <f>Tabel5[[#This Row],[Goals DefA]]+Tabel5[[#This Row],[Goals OffA]]</f>
        <v>0</v>
      </c>
      <c r="BJ49" s="112">
        <f>IF(Tabel5[[#This Row],[Aantal games Alg]]=0,0,Tabel5[[#This Row],[Goals Alg]]/Tabel5[[#This Row],[Aantal games Alg]])</f>
        <v>0</v>
      </c>
      <c r="BK49" s="148">
        <f>SUMIF(Tabel15[Team Rood],Tabel5[[#This Row],[Team]],Tabel15[ET])</f>
        <v>0</v>
      </c>
      <c r="BL49" s="150">
        <f>SUMIF(Tabel15[Team Groen],Tabel5[[#This Row],[Team]],Tabel15[ET])</f>
        <v>0</v>
      </c>
      <c r="BM49" s="153">
        <f>SUM(Tabel5[[#This Row],[ET Groen tot]],Tabel5[[#This Row],[ET Rood tot]])</f>
        <v>0</v>
      </c>
      <c r="BN49" s="155">
        <f>IF(Tabel5[[#This Row],[Aantal games Alg]]=0,0,Tabel5[[#This Row],[ET tot]]/Tabel5[[#This Row],[Aantal games Alg]])</f>
        <v>0</v>
      </c>
    </row>
    <row r="50" spans="1:66" x14ac:dyDescent="0.25">
      <c r="A50" s="215">
        <f ca="1">IF(Tabel15[[#This Row],[Rood Verdediging]]&lt;&gt;"",IF(A50="",NOW(),A50),"")</f>
        <v>44002.909886689813</v>
      </c>
      <c r="B50" s="128">
        <f ca="1">IF(Tabel15[[#This Row],[Rood Verdediging]]&lt;&gt;"",IF(B50="",NOW(),B50),"")</f>
        <v>44002.909886689813</v>
      </c>
      <c r="C50" s="126">
        <f ca="1">IF(Tabel15[[#This Row],[Score]]&lt;&gt;"",IF(C50="",NOW(),C50),"")</f>
        <v>44002.918026851854</v>
      </c>
      <c r="D50" s="217">
        <f ca="1">IF(OR(Tabel15[[#This Row],[Starttijd]]="",Tabel15[[#This Row],[Eindtijd]]=""),"",Tabel15[[#This Row],[Eindtijd]]-Tabel15[[#This Row],[Starttijd]])</f>
        <v>8.1401620409451425E-3</v>
      </c>
      <c r="E50" s="74">
        <v>50</v>
      </c>
      <c r="F50" s="40" t="s">
        <v>3</v>
      </c>
      <c r="G50" s="76">
        <v>4</v>
      </c>
      <c r="H50" s="40" t="s">
        <v>0</v>
      </c>
      <c r="I50" s="76">
        <v>7</v>
      </c>
      <c r="J50" s="41" t="s">
        <v>6</v>
      </c>
      <c r="K50" s="78">
        <v>4</v>
      </c>
      <c r="L50" s="41" t="s">
        <v>11</v>
      </c>
      <c r="M50" s="78">
        <v>3</v>
      </c>
      <c r="N50" s="81">
        <f t="shared" si="11"/>
        <v>11</v>
      </c>
      <c r="O50" s="82">
        <f t="shared" si="12"/>
        <v>7</v>
      </c>
      <c r="P5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Row],[Score4]]&lt;&gt;""),IF(AND(N50&gt;O50,N50&gt;=11),"ROOD",IF(AND(O50&gt;=11,N50&lt;&gt;O50),"GROEN","")),"")</f>
        <v>ROOD</v>
      </c>
      <c r="Q50" s="86" t="str">
        <f t="shared" si="0"/>
        <v>Karel</v>
      </c>
      <c r="R50" s="87" t="str">
        <f t="shared" si="1"/>
        <v>Jonas</v>
      </c>
      <c r="S50" s="293" t="str">
        <f>Tabel15[[#This Row],[Rood Verdediging]]&amp;Tabel15[[#This Row],[Rood Aanval]]</f>
        <v>KarelJonas</v>
      </c>
      <c r="T50" s="293" t="str">
        <f>Tabel15[[#This Row],[Groen Verdediging]]&amp;Tabel15[[#This Row],[Groen Aanval]]</f>
        <v>Stef DMatthijs</v>
      </c>
      <c r="U50" s="293" t="str">
        <f>Tabel15[[#This Row],[Winnaar 1]]&amp;Tabel15[[#This Row],[Winnaar 2]]</f>
        <v>KarelJonas</v>
      </c>
      <c r="V50" s="147" t="str">
        <f>IF(Tabel15[[#This Row],[Team Rood]]=Tabel15[[#This Row],[Winnaars]],Tabel15[[#This Row],[Team Rood]])</f>
        <v>KarelJonas</v>
      </c>
      <c r="W50" s="147" t="b">
        <f>IF(Tabel15[[#This Row],[Team Groen]]=Tabel15[[#This Row],[Winnaars]],Tabel15[[#This Row],[Team Groen]])</f>
        <v>0</v>
      </c>
      <c r="X50" s="283">
        <v>26.097377147638412</v>
      </c>
      <c r="Y50" s="283">
        <v>33.30620978950784</v>
      </c>
      <c r="Z50" s="283">
        <v>-8.5573696705154187</v>
      </c>
      <c r="AA50" s="283">
        <v>-5.6571118995682594</v>
      </c>
      <c r="AL50" s="251" t="s">
        <v>164</v>
      </c>
      <c r="AM50" s="233" t="s">
        <v>158</v>
      </c>
      <c r="AN50" s="140" t="str">
        <f t="shared" si="10"/>
        <v>Karel*Arno*</v>
      </c>
      <c r="AO50" s="160">
        <f>IF(Tabel5[[#This Row],[Aantal Games Rood]]=0,0,(Tabel5[[#This Row],[Wins Rood]])/Tabel5[[#This Row],[Aantal Games Rood]])</f>
        <v>0</v>
      </c>
      <c r="AP50" s="159">
        <f>IF(Tabel5[[#This Row],[Aantal Games Groen]]=0,0,(Tabel5[[#This Row],[Wins Groen]])/Tabel5[[#This Row],[Aantal Games Groen]])</f>
        <v>0</v>
      </c>
      <c r="AQ50" s="156">
        <f>IF(Tabel5[[#This Row],[Aantal games Alg]]=0,0,(Tabel5[[#This Row],[Wins Alg]])/Tabel5[[#This Row],[Aantal games Alg]])</f>
        <v>0</v>
      </c>
      <c r="AR50" s="133">
        <f>COUNTIF(Tabel15[Winaar rood],Tabel5[[#This Row],[Team]])</f>
        <v>0</v>
      </c>
      <c r="AS50" s="134">
        <f>COUNTIF(Tabel15[Winnaar Groen],Tabel5[[#This Row],[Team]])</f>
        <v>0</v>
      </c>
      <c r="AT50">
        <f>COUNTIF(Tabel15[Winnaars],Tabel5[[#This Row],[Team]])</f>
        <v>0</v>
      </c>
      <c r="AU50" s="135">
        <f>Tabel5[[#This Row],[Aantal Games Rood]]-Tabel5[[#This Row],[Wins Rood]]</f>
        <v>0</v>
      </c>
      <c r="AV50" s="136">
        <f>Tabel5[[#This Row],[Aantal Games Groen]]-Tabel5[[#This Row],[Wins Groen]]</f>
        <v>0</v>
      </c>
      <c r="AW50" s="137">
        <f>Tabel5[[#This Row],[Aantal games Alg]]-Tabel5[[#This Row],[Wins Alg]]</f>
        <v>0</v>
      </c>
      <c r="AX50" s="138">
        <f>COUNTIF(Tabel15[Team Rood],Tabel5[[#This Row],[Team]])</f>
        <v>0</v>
      </c>
      <c r="AY50" s="136">
        <f>COUNTIF(Tabel15[Team Groen],Tabel5[[#This Row],[Team]])</f>
        <v>0</v>
      </c>
      <c r="AZ50" s="112">
        <f>Tabel5[[#This Row],[Aantal Games Rood]]+Tabel5[[#This Row],[Aantal Games Groen]]</f>
        <v>0</v>
      </c>
      <c r="BA50" s="138">
        <f>SUMIF(Tabel15[Team Rood],Tabel5[[#This Row],[Team]],Tabel15[Score])</f>
        <v>0</v>
      </c>
      <c r="BB50" s="138">
        <f>SUMIF(Tabel15[Team Rood],Tabel5[[#This Row],[Team]],Tabel15[Score2])</f>
        <v>0</v>
      </c>
      <c r="BC50" s="134">
        <f>SUMIF(Tabel15[Team Groen],Tabel5[[#This Row],[Team]],Tabel15[Score3])</f>
        <v>0</v>
      </c>
      <c r="BD50" s="136">
        <f>SUMIF(Tabel15[Team Groen],Tabel5[[#This Row],[Team]],Tabel15[Score4])</f>
        <v>0</v>
      </c>
      <c r="BE50">
        <f>SUM(Tabel5[[#This Row],[Goals Verdediger]]+Tabel5[[#This Row],[Goals DefG]])</f>
        <v>0</v>
      </c>
      <c r="BF50">
        <f>IF(Tabel5[[#This Row],[Aantal games Alg]]=0,0,Tabel5[[#This Row],[Goals DefA]]/Tabel5[[#This Row],[Aantal games Alg]])</f>
        <v>0</v>
      </c>
      <c r="BG50">
        <f>SUM(Tabel5[[#This Row],[Goals Aanvaller]]+Tabel5[[#This Row],[Goals OffG]])</f>
        <v>0</v>
      </c>
      <c r="BH50">
        <f>IF(Tabel5[[#This Row],[Aantal games Alg]]=0,0,Tabel5[[#This Row],[Goals OffA]]/Tabel5[[#This Row],[Aantal games Alg]])</f>
        <v>0</v>
      </c>
      <c r="BI50" s="112">
        <f>Tabel5[[#This Row],[Goals DefA]]+Tabel5[[#This Row],[Goals OffA]]</f>
        <v>0</v>
      </c>
      <c r="BJ50" s="112">
        <f>IF(Tabel5[[#This Row],[Aantal games Alg]]=0,0,Tabel5[[#This Row],[Goals Alg]]/Tabel5[[#This Row],[Aantal games Alg]])</f>
        <v>0</v>
      </c>
      <c r="BK50" s="148">
        <f>SUMIF(Tabel15[Team Rood],Tabel5[[#This Row],[Team]],Tabel15[ET])</f>
        <v>0</v>
      </c>
      <c r="BL50" s="150">
        <f>SUMIF(Tabel15[Team Groen],Tabel5[[#This Row],[Team]],Tabel15[ET])</f>
        <v>0</v>
      </c>
      <c r="BM50" s="153">
        <f>SUM(Tabel5[[#This Row],[ET Groen tot]],Tabel5[[#This Row],[ET Rood tot]])</f>
        <v>0</v>
      </c>
      <c r="BN50" s="155">
        <f>IF(Tabel5[[#This Row],[Aantal games Alg]]=0,0,Tabel5[[#This Row],[ET tot]]/Tabel5[[#This Row],[Aantal games Alg]])</f>
        <v>0</v>
      </c>
    </row>
    <row r="51" spans="1:66" x14ac:dyDescent="0.25">
      <c r="A51" s="215">
        <f ca="1">IF(Tabel15[[#This Row],[Rood Verdediging]]&lt;&gt;"",IF(A51="",NOW(),A51),"")</f>
        <v>44002.930993287038</v>
      </c>
      <c r="B51" s="128">
        <f ca="1">IF(Tabel15[[#This Row],[Rood Verdediging]]&lt;&gt;"",IF(B51="",NOW(),B51),"")</f>
        <v>44002.930993287038</v>
      </c>
      <c r="C51" s="126">
        <f ca="1">IF(Tabel15[[#This Row],[Score]]&lt;&gt;"",IF(C51="",NOW(),C51),"")</f>
        <v>44002.931054513887</v>
      </c>
      <c r="D51" s="217">
        <f ca="1">IF(OR(Tabel15[[#This Row],[Starttijd]]="",Tabel15[[#This Row],[Eindtijd]]=""),"",Tabel15[[#This Row],[Eindtijd]]-Tabel15[[#This Row],[Starttijd]])</f>
        <v>6.1226848629303277E-5</v>
      </c>
      <c r="E51" s="74">
        <v>51</v>
      </c>
      <c r="F51" s="40" t="s">
        <v>7</v>
      </c>
      <c r="G51" s="76">
        <v>3</v>
      </c>
      <c r="H51" s="40" t="s">
        <v>3</v>
      </c>
      <c r="I51" s="76">
        <v>4</v>
      </c>
      <c r="J51" s="41" t="s">
        <v>0</v>
      </c>
      <c r="K51" s="78">
        <v>5</v>
      </c>
      <c r="L51" s="41" t="s">
        <v>6</v>
      </c>
      <c r="M51" s="78">
        <v>6</v>
      </c>
      <c r="N51" s="81">
        <f t="shared" si="11"/>
        <v>7</v>
      </c>
      <c r="O51" s="82">
        <f t="shared" si="12"/>
        <v>11</v>
      </c>
      <c r="P5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Row],[Score4]]&lt;&gt;""),IF(AND(N51&gt;O51,N51&gt;=11),"ROOD",IF(AND(O51&gt;=11,N51&lt;&gt;O51),"GROEN","")),"")</f>
        <v>GROEN</v>
      </c>
      <c r="Q51" s="86" t="str">
        <f t="shared" si="0"/>
        <v>Jonas</v>
      </c>
      <c r="R51" s="87" t="str">
        <f t="shared" si="1"/>
        <v>Stef D</v>
      </c>
      <c r="S51" s="293" t="str">
        <f>Tabel15[[#This Row],[Rood Verdediging]]&amp;Tabel15[[#This Row],[Rood Aanval]]</f>
        <v>TiemenKarel</v>
      </c>
      <c r="T51" s="293" t="str">
        <f>Tabel15[[#This Row],[Groen Verdediging]]&amp;Tabel15[[#This Row],[Groen Aanval]]</f>
        <v>JonasStef D</v>
      </c>
      <c r="U51" s="293" t="str">
        <f>Tabel15[[#This Row],[Winnaar 1]]&amp;Tabel15[[#This Row],[Winnaar 2]]</f>
        <v>JonasStef D</v>
      </c>
      <c r="V51" s="147" t="b">
        <f>IF(Tabel15[[#This Row],[Team Rood]]=Tabel15[[#This Row],[Winnaars]],Tabel15[[#This Row],[Team Rood]])</f>
        <v>0</v>
      </c>
      <c r="W51" s="147" t="str">
        <f>IF(Tabel15[[#This Row],[Team Groen]]=Tabel15[[#This Row],[Winnaars]],Tabel15[[#This Row],[Team Groen]])</f>
        <v>JonasStef D</v>
      </c>
      <c r="X51" s="283">
        <v>-0.66169496287034768</v>
      </c>
      <c r="Y51" s="283">
        <v>-0.70951562659008105</v>
      </c>
      <c r="Z51" s="283">
        <v>19.871830083751483</v>
      </c>
      <c r="AA51" s="283">
        <v>15.960517276429865</v>
      </c>
      <c r="AL51" s="251" t="s">
        <v>164</v>
      </c>
      <c r="AM51" s="233" t="s">
        <v>163</v>
      </c>
      <c r="AN51" s="140" t="str">
        <f t="shared" si="10"/>
        <v>Karel*Bert*</v>
      </c>
      <c r="AO51" s="160">
        <f>IF(Tabel5[[#This Row],[Aantal Games Rood]]=0,0,(Tabel5[[#This Row],[Wins Rood]])/Tabel5[[#This Row],[Aantal Games Rood]])</f>
        <v>0.33333333333333331</v>
      </c>
      <c r="AP51" s="159">
        <f>IF(Tabel5[[#This Row],[Aantal Games Groen]]=0,0,(Tabel5[[#This Row],[Wins Groen]])/Tabel5[[#This Row],[Aantal Games Groen]])</f>
        <v>0</v>
      </c>
      <c r="AQ51" s="156">
        <f>IF(Tabel5[[#This Row],[Aantal games Alg]]=0,0,(Tabel5[[#This Row],[Wins Alg]])/Tabel5[[#This Row],[Aantal games Alg]])</f>
        <v>0.33333333333333331</v>
      </c>
      <c r="AR51" s="133">
        <f>COUNTIF(Tabel15[Winaar rood],Tabel5[[#This Row],[Team]])</f>
        <v>1</v>
      </c>
      <c r="AS51" s="134">
        <f>COUNTIF(Tabel15[Winnaar Groen],Tabel5[[#This Row],[Team]])</f>
        <v>0</v>
      </c>
      <c r="AT51">
        <f>COUNTIF(Tabel15[Winnaars],Tabel5[[#This Row],[Team]])</f>
        <v>1</v>
      </c>
      <c r="AU51" s="135">
        <f>Tabel5[[#This Row],[Aantal Games Rood]]-Tabel5[[#This Row],[Wins Rood]]</f>
        <v>2</v>
      </c>
      <c r="AV51" s="136">
        <f>Tabel5[[#This Row],[Aantal Games Groen]]-Tabel5[[#This Row],[Wins Groen]]</f>
        <v>0</v>
      </c>
      <c r="AW51" s="137">
        <f>Tabel5[[#This Row],[Aantal games Alg]]-Tabel5[[#This Row],[Wins Alg]]</f>
        <v>2</v>
      </c>
      <c r="AX51" s="138">
        <f>COUNTIF(Tabel15[Team Rood],Tabel5[[#This Row],[Team]])</f>
        <v>3</v>
      </c>
      <c r="AY51" s="136">
        <f>COUNTIF(Tabel15[Team Groen],Tabel5[[#This Row],[Team]])</f>
        <v>0</v>
      </c>
      <c r="AZ51" s="112">
        <f>Tabel5[[#This Row],[Aantal Games Rood]]+Tabel5[[#This Row],[Aantal Games Groen]]</f>
        <v>3</v>
      </c>
      <c r="BA51" s="138">
        <f>SUMIF(Tabel15[Team Rood],Tabel5[[#This Row],[Team]],Tabel15[Score])</f>
        <v>8</v>
      </c>
      <c r="BB51" s="138">
        <f>SUMIF(Tabel15[Team Rood],Tabel5[[#This Row],[Team]],Tabel15[Score2])</f>
        <v>15</v>
      </c>
      <c r="BC51" s="134">
        <f>SUMIF(Tabel15[Team Groen],Tabel5[[#This Row],[Team]],Tabel15[Score3])</f>
        <v>0</v>
      </c>
      <c r="BD51" s="136">
        <f>SUMIF(Tabel15[Team Groen],Tabel5[[#This Row],[Team]],Tabel15[Score4])</f>
        <v>0</v>
      </c>
      <c r="BE51">
        <f>SUM(Tabel5[[#This Row],[Goals Verdediger]]+Tabel5[[#This Row],[Goals DefG]])</f>
        <v>8</v>
      </c>
      <c r="BF51">
        <f>IF(Tabel5[[#This Row],[Aantal games Alg]]=0,0,Tabel5[[#This Row],[Goals DefA]]/Tabel5[[#This Row],[Aantal games Alg]])</f>
        <v>2.6666666666666665</v>
      </c>
      <c r="BG51">
        <f>SUM(Tabel5[[#This Row],[Goals Aanvaller]]+Tabel5[[#This Row],[Goals OffG]])</f>
        <v>15</v>
      </c>
      <c r="BH51">
        <f>IF(Tabel5[[#This Row],[Aantal games Alg]]=0,0,Tabel5[[#This Row],[Goals OffA]]/Tabel5[[#This Row],[Aantal games Alg]])</f>
        <v>5</v>
      </c>
      <c r="BI51" s="112">
        <f>Tabel5[[#This Row],[Goals DefA]]+Tabel5[[#This Row],[Goals OffA]]</f>
        <v>23</v>
      </c>
      <c r="BJ51" s="112">
        <f>IF(Tabel5[[#This Row],[Aantal games Alg]]=0,0,Tabel5[[#This Row],[Goals Alg]]/Tabel5[[#This Row],[Aantal games Alg]])</f>
        <v>7.666666666666667</v>
      </c>
      <c r="BK51" s="148">
        <f ca="1">SUMIF(Tabel15[Team Rood],Tabel5[[#This Row],[Team]],Tabel15[ET])</f>
        <v>1.6496180556714535E-2</v>
      </c>
      <c r="BL51" s="150">
        <f>SUMIF(Tabel15[Team Groen],Tabel5[[#This Row],[Team]],Tabel15[ET])</f>
        <v>0</v>
      </c>
      <c r="BM51" s="153">
        <f ca="1">SUM(Tabel5[[#This Row],[ET Groen tot]],Tabel5[[#This Row],[ET Rood tot]])</f>
        <v>1.6496180556714535E-2</v>
      </c>
      <c r="BN51" s="155">
        <f ca="1">IF(Tabel5[[#This Row],[Aantal games Alg]]=0,0,Tabel5[[#This Row],[ET tot]]/Tabel5[[#This Row],[Aantal games Alg]])</f>
        <v>5.4987268522381783E-3</v>
      </c>
    </row>
    <row r="52" spans="1:66" x14ac:dyDescent="0.25">
      <c r="A52" s="215">
        <f ca="1">IF(Tabel15[[#This Row],[Rood Verdediging]]&lt;&gt;"",IF(A52="",NOW(),A52),"")</f>
        <v>44002.954550578703</v>
      </c>
      <c r="B52" s="128">
        <f ca="1">IF(Tabel15[[#This Row],[Rood Verdediging]]&lt;&gt;"",IF(B52="",NOW(),B52),"")</f>
        <v>44002.954550578703</v>
      </c>
      <c r="C52" s="126">
        <f ca="1">IF(Tabel15[[#This Row],[Score]]&lt;&gt;"",IF(C52="",NOW(),C52),"")</f>
        <v>44002.958432407409</v>
      </c>
      <c r="D52" s="217">
        <f ca="1">IF(OR(Tabel15[[#This Row],[Starttijd]]="",Tabel15[[#This Row],[Eindtijd]]=""),"",Tabel15[[#This Row],[Eindtijd]]-Tabel15[[#This Row],[Starttijd]])</f>
        <v>3.881828706653323E-3</v>
      </c>
      <c r="E52" s="74">
        <v>52</v>
      </c>
      <c r="F52" s="40" t="s">
        <v>3</v>
      </c>
      <c r="G52" s="76">
        <v>1</v>
      </c>
      <c r="H52" s="40" t="s">
        <v>11</v>
      </c>
      <c r="I52" s="76">
        <v>5</v>
      </c>
      <c r="J52" s="41" t="s">
        <v>167</v>
      </c>
      <c r="K52" s="78">
        <v>1</v>
      </c>
      <c r="L52" s="41" t="s">
        <v>7</v>
      </c>
      <c r="M52" s="78">
        <v>10</v>
      </c>
      <c r="N52" s="81">
        <f t="shared" si="11"/>
        <v>6</v>
      </c>
      <c r="O52" s="82">
        <f t="shared" si="12"/>
        <v>11</v>
      </c>
      <c r="P5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Row],[Score4]]&lt;&gt;""),IF(AND(N52&gt;O52,N52&gt;=11),"ROOD",IF(AND(O52&gt;=11,N52&lt;&gt;O52),"GROEN","")),"")</f>
        <v>GROEN</v>
      </c>
      <c r="Q52" s="86" t="str">
        <f t="shared" si="0"/>
        <v>Coghe</v>
      </c>
      <c r="R52" s="87" t="str">
        <f t="shared" si="1"/>
        <v>Tiemen</v>
      </c>
      <c r="S52" s="293" t="str">
        <f>Tabel15[[#This Row],[Rood Verdediging]]&amp;Tabel15[[#This Row],[Rood Aanval]]</f>
        <v>KarelMatthijs</v>
      </c>
      <c r="T52" s="293" t="str">
        <f>Tabel15[[#This Row],[Groen Verdediging]]&amp;Tabel15[[#This Row],[Groen Aanval]]</f>
        <v>CogheTiemen</v>
      </c>
      <c r="U52" s="293" t="str">
        <f>Tabel15[[#This Row],[Winnaar 1]]&amp;Tabel15[[#This Row],[Winnaar 2]]</f>
        <v>CogheTiemen</v>
      </c>
      <c r="V52" s="147" t="b">
        <f>IF(Tabel15[[#This Row],[Team Rood]]=Tabel15[[#This Row],[Winnaars]],Tabel15[[#This Row],[Team Rood]])</f>
        <v>0</v>
      </c>
      <c r="W52" s="147" t="str">
        <f>IF(Tabel15[[#This Row],[Team Groen]]=Tabel15[[#This Row],[Winnaars]],Tabel15[[#This Row],[Team Groen]])</f>
        <v>CogheTiemen</v>
      </c>
      <c r="X52" s="283">
        <v>2.2512545008721836</v>
      </c>
      <c r="Y52" s="283">
        <v>2.9763127488890868</v>
      </c>
      <c r="Z52" s="283">
        <v>10.510278157455765</v>
      </c>
      <c r="AA52" s="283">
        <v>11.832609551856377</v>
      </c>
      <c r="AL52" s="251" t="s">
        <v>164</v>
      </c>
      <c r="AM52" s="233" t="s">
        <v>168</v>
      </c>
      <c r="AN52" s="140" t="str">
        <f t="shared" si="10"/>
        <v>Karel*Coghe*</v>
      </c>
      <c r="AO52" s="160">
        <f>IF(Tabel5[[#This Row],[Aantal Games Rood]]=0,0,(Tabel5[[#This Row],[Wins Rood]])/Tabel5[[#This Row],[Aantal Games Rood]])</f>
        <v>0</v>
      </c>
      <c r="AP52" s="159">
        <f>IF(Tabel5[[#This Row],[Aantal Games Groen]]=0,0,(Tabel5[[#This Row],[Wins Groen]])/Tabel5[[#This Row],[Aantal Games Groen]])</f>
        <v>0</v>
      </c>
      <c r="AQ52" s="156">
        <f>IF(Tabel5[[#This Row],[Aantal games Alg]]=0,0,(Tabel5[[#This Row],[Wins Alg]])/Tabel5[[#This Row],[Aantal games Alg]])</f>
        <v>0</v>
      </c>
      <c r="AR52" s="133">
        <f>COUNTIF(Tabel15[Winaar rood],Tabel5[[#This Row],[Team]])</f>
        <v>0</v>
      </c>
      <c r="AS52" s="134">
        <f>COUNTIF(Tabel15[Winnaar Groen],Tabel5[[#This Row],[Team]])</f>
        <v>0</v>
      </c>
      <c r="AT52">
        <f>COUNTIF(Tabel15[Winnaars],Tabel5[[#This Row],[Team]])</f>
        <v>0</v>
      </c>
      <c r="AU52" s="135">
        <f>Tabel5[[#This Row],[Aantal Games Rood]]-Tabel5[[#This Row],[Wins Rood]]</f>
        <v>0</v>
      </c>
      <c r="AV52" s="136">
        <f>Tabel5[[#This Row],[Aantal Games Groen]]-Tabel5[[#This Row],[Wins Groen]]</f>
        <v>0</v>
      </c>
      <c r="AW52" s="137">
        <f>Tabel5[[#This Row],[Aantal games Alg]]-Tabel5[[#This Row],[Wins Alg]]</f>
        <v>0</v>
      </c>
      <c r="AX52" s="138">
        <f>COUNTIF(Tabel15[Team Rood],Tabel5[[#This Row],[Team]])</f>
        <v>0</v>
      </c>
      <c r="AY52" s="136">
        <f>COUNTIF(Tabel15[Team Groen],Tabel5[[#This Row],[Team]])</f>
        <v>0</v>
      </c>
      <c r="AZ52" s="112">
        <f>Tabel5[[#This Row],[Aantal Games Rood]]+Tabel5[[#This Row],[Aantal Games Groen]]</f>
        <v>0</v>
      </c>
      <c r="BA52" s="138">
        <f>SUMIF(Tabel15[Team Rood],Tabel5[[#This Row],[Team]],Tabel15[Score])</f>
        <v>0</v>
      </c>
      <c r="BB52" s="138">
        <f>SUMIF(Tabel15[Team Rood],Tabel5[[#This Row],[Team]],Tabel15[Score2])</f>
        <v>0</v>
      </c>
      <c r="BC52" s="134">
        <f>SUMIF(Tabel15[Team Groen],Tabel5[[#This Row],[Team]],Tabel15[Score3])</f>
        <v>0</v>
      </c>
      <c r="BD52" s="136">
        <f>SUMIF(Tabel15[Team Groen],Tabel5[[#This Row],[Team]],Tabel15[Score4])</f>
        <v>0</v>
      </c>
      <c r="BE52">
        <f>SUM(Tabel5[[#This Row],[Goals Verdediger]]+Tabel5[[#This Row],[Goals DefG]])</f>
        <v>0</v>
      </c>
      <c r="BF52">
        <f>IF(Tabel5[[#This Row],[Aantal games Alg]]=0,0,Tabel5[[#This Row],[Goals DefA]]/Tabel5[[#This Row],[Aantal games Alg]])</f>
        <v>0</v>
      </c>
      <c r="BG52">
        <f>SUM(Tabel5[[#This Row],[Goals Aanvaller]]+Tabel5[[#This Row],[Goals OffG]])</f>
        <v>0</v>
      </c>
      <c r="BH52">
        <f>IF(Tabel5[[#This Row],[Aantal games Alg]]=0,0,Tabel5[[#This Row],[Goals OffA]]/Tabel5[[#This Row],[Aantal games Alg]])</f>
        <v>0</v>
      </c>
      <c r="BI52" s="112">
        <f>Tabel5[[#This Row],[Goals DefA]]+Tabel5[[#This Row],[Goals OffA]]</f>
        <v>0</v>
      </c>
      <c r="BJ52" s="112">
        <f>IF(Tabel5[[#This Row],[Aantal games Alg]]=0,0,Tabel5[[#This Row],[Goals Alg]]/Tabel5[[#This Row],[Aantal games Alg]])</f>
        <v>0</v>
      </c>
      <c r="BK52" s="148">
        <f>SUMIF(Tabel15[Team Rood],Tabel5[[#This Row],[Team]],Tabel15[ET])</f>
        <v>0</v>
      </c>
      <c r="BL52" s="150">
        <f>SUMIF(Tabel15[Team Groen],Tabel5[[#This Row],[Team]],Tabel15[ET])</f>
        <v>0</v>
      </c>
      <c r="BM52" s="153">
        <f>SUM(Tabel5[[#This Row],[ET Groen tot]],Tabel5[[#This Row],[ET Rood tot]])</f>
        <v>0</v>
      </c>
      <c r="BN52" s="155">
        <f>IF(Tabel5[[#This Row],[Aantal games Alg]]=0,0,Tabel5[[#This Row],[ET tot]]/Tabel5[[#This Row],[Aantal games Alg]])</f>
        <v>0</v>
      </c>
    </row>
    <row r="53" spans="1:66" x14ac:dyDescent="0.25">
      <c r="A53" s="215">
        <f ca="1">IF(Tabel15[[#This Row],[Rood Verdediging]]&lt;&gt;"",IF(A53="",NOW(),A53),"")</f>
        <v>44002.970306249998</v>
      </c>
      <c r="B53" s="128">
        <f ca="1">IF(Tabel15[[#This Row],[Rood Verdediging]]&lt;&gt;"",IF(B53="",NOW(),B53),"")</f>
        <v>44002.970306249998</v>
      </c>
      <c r="C53" s="126">
        <f ca="1">IF(Tabel15[[#This Row],[Score]]&lt;&gt;"",IF(C53="",NOW(),C53),"")</f>
        <v>44002.970376851852</v>
      </c>
      <c r="D53" s="217">
        <f ca="1">IF(OR(Tabel15[[#This Row],[Starttijd]]="",Tabel15[[#This Row],[Eindtijd]]=""),"",Tabel15[[#This Row],[Eindtijd]]-Tabel15[[#This Row],[Starttijd]])</f>
        <v>7.0601854531560093E-5</v>
      </c>
      <c r="E53" s="74">
        <v>53</v>
      </c>
      <c r="F53" s="40" t="s">
        <v>3</v>
      </c>
      <c r="G53" s="76">
        <v>4</v>
      </c>
      <c r="H53" s="40" t="s">
        <v>6</v>
      </c>
      <c r="I53" s="76">
        <v>7</v>
      </c>
      <c r="J53" s="41" t="s">
        <v>0</v>
      </c>
      <c r="K53" s="78">
        <v>2</v>
      </c>
      <c r="L53" s="41" t="s">
        <v>7</v>
      </c>
      <c r="M53" s="78">
        <v>6</v>
      </c>
      <c r="N53" s="81">
        <f t="shared" si="11"/>
        <v>11</v>
      </c>
      <c r="O53" s="82">
        <f t="shared" si="12"/>
        <v>8</v>
      </c>
      <c r="P5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Row],[Score4]]&lt;&gt;""),IF(AND(N53&gt;O53,N53&gt;=11),"ROOD",IF(AND(O53&gt;=11,N53&lt;&gt;O53),"GROEN","")),"")</f>
        <v>ROOD</v>
      </c>
      <c r="Q53" s="86" t="str">
        <f t="shared" si="0"/>
        <v>Karel</v>
      </c>
      <c r="R53" s="87" t="str">
        <f t="shared" si="1"/>
        <v>Stef D</v>
      </c>
      <c r="S53" s="293" t="str">
        <f>Tabel15[[#This Row],[Rood Verdediging]]&amp;Tabel15[[#This Row],[Rood Aanval]]</f>
        <v>KarelStef D</v>
      </c>
      <c r="T53" s="293" t="str">
        <f>Tabel15[[#This Row],[Groen Verdediging]]&amp;Tabel15[[#This Row],[Groen Aanval]]</f>
        <v>JonasTiemen</v>
      </c>
      <c r="U53" s="293" t="str">
        <f>Tabel15[[#This Row],[Winnaar 1]]&amp;Tabel15[[#This Row],[Winnaar 2]]</f>
        <v>KarelStef D</v>
      </c>
      <c r="V53" s="147" t="str">
        <f>IF(Tabel15[[#This Row],[Team Rood]]=Tabel15[[#This Row],[Winnaars]],Tabel15[[#This Row],[Team Rood]])</f>
        <v>KarelStef D</v>
      </c>
      <c r="W53" s="147" t="b">
        <f>IF(Tabel15[[#This Row],[Team Groen]]=Tabel15[[#This Row],[Winnaars]],Tabel15[[#This Row],[Team Groen]])</f>
        <v>0</v>
      </c>
      <c r="X53" s="283">
        <v>19.877225580917486</v>
      </c>
      <c r="Y53" s="283">
        <v>15.630860656519445</v>
      </c>
      <c r="Z53" s="283">
        <v>-0.64086995709200589</v>
      </c>
      <c r="AA53" s="283">
        <v>-0.63213851843478708</v>
      </c>
      <c r="AL53" s="251" t="s">
        <v>164</v>
      </c>
      <c r="AM53" s="233" t="s">
        <v>159</v>
      </c>
      <c r="AN53" s="140" t="str">
        <f t="shared" si="10"/>
        <v>Karel*Jonas*</v>
      </c>
      <c r="AO53" s="160">
        <f>IF(Tabel5[[#This Row],[Aantal Games Rood]]=0,0,(Tabel5[[#This Row],[Wins Rood]])/Tabel5[[#This Row],[Aantal Games Rood]])</f>
        <v>0.33333333333333331</v>
      </c>
      <c r="AP53" s="159">
        <f>IF(Tabel5[[#This Row],[Aantal Games Groen]]=0,0,(Tabel5[[#This Row],[Wins Groen]])/Tabel5[[#This Row],[Aantal Games Groen]])</f>
        <v>0.5</v>
      </c>
      <c r="AQ53" s="156">
        <f>IF(Tabel5[[#This Row],[Aantal games Alg]]=0,0,(Tabel5[[#This Row],[Wins Alg]])/Tabel5[[#This Row],[Aantal games Alg]])</f>
        <v>0.42857142857142855</v>
      </c>
      <c r="AR53" s="133">
        <f>COUNTIF(Tabel15[Winaar rood],Tabel5[[#This Row],[Team]])</f>
        <v>1</v>
      </c>
      <c r="AS53" s="134">
        <f>COUNTIF(Tabel15[Winnaar Groen],Tabel5[[#This Row],[Team]])</f>
        <v>2</v>
      </c>
      <c r="AT53">
        <f>COUNTIF(Tabel15[Winnaars],Tabel5[[#This Row],[Team]])</f>
        <v>3</v>
      </c>
      <c r="AU53" s="135">
        <f>Tabel5[[#This Row],[Aantal Games Rood]]-Tabel5[[#This Row],[Wins Rood]]</f>
        <v>2</v>
      </c>
      <c r="AV53" s="136">
        <f>Tabel5[[#This Row],[Aantal Games Groen]]-Tabel5[[#This Row],[Wins Groen]]</f>
        <v>2</v>
      </c>
      <c r="AW53" s="137">
        <f>Tabel5[[#This Row],[Aantal games Alg]]-Tabel5[[#This Row],[Wins Alg]]</f>
        <v>4</v>
      </c>
      <c r="AX53" s="138">
        <f>COUNTIF(Tabel15[Team Rood],Tabel5[[#This Row],[Team]])</f>
        <v>3</v>
      </c>
      <c r="AY53" s="136">
        <f>COUNTIF(Tabel15[Team Groen],Tabel5[[#This Row],[Team]])</f>
        <v>4</v>
      </c>
      <c r="AZ53" s="112">
        <f>Tabel5[[#This Row],[Aantal Games Rood]]+Tabel5[[#This Row],[Aantal Games Groen]]</f>
        <v>7</v>
      </c>
      <c r="BA53" s="138">
        <f>SUMIF(Tabel15[Team Rood],Tabel5[[#This Row],[Team]],Tabel15[Score])</f>
        <v>10</v>
      </c>
      <c r="BB53" s="138">
        <f>SUMIF(Tabel15[Team Rood],Tabel5[[#This Row],[Team]],Tabel15[Score2])</f>
        <v>19</v>
      </c>
      <c r="BC53" s="134">
        <f>SUMIF(Tabel15[Team Groen],Tabel5[[#This Row],[Team]],Tabel15[Score3])</f>
        <v>11</v>
      </c>
      <c r="BD53" s="136">
        <f>SUMIF(Tabel15[Team Groen],Tabel5[[#This Row],[Team]],Tabel15[Score4])</f>
        <v>18</v>
      </c>
      <c r="BE53">
        <f>SUM(Tabel5[[#This Row],[Goals Verdediger]]+Tabel5[[#This Row],[Goals DefG]])</f>
        <v>21</v>
      </c>
      <c r="BF53">
        <f>IF(Tabel5[[#This Row],[Aantal games Alg]]=0,0,Tabel5[[#This Row],[Goals DefA]]/Tabel5[[#This Row],[Aantal games Alg]])</f>
        <v>3</v>
      </c>
      <c r="BG53">
        <f>SUM(Tabel5[[#This Row],[Goals Aanvaller]]+Tabel5[[#This Row],[Goals OffG]])</f>
        <v>37</v>
      </c>
      <c r="BH53">
        <f>IF(Tabel5[[#This Row],[Aantal games Alg]]=0,0,Tabel5[[#This Row],[Goals OffA]]/Tabel5[[#This Row],[Aantal games Alg]])</f>
        <v>5.2857142857142856</v>
      </c>
      <c r="BI53" s="112">
        <f>Tabel5[[#This Row],[Goals DefA]]+Tabel5[[#This Row],[Goals OffA]]</f>
        <v>58</v>
      </c>
      <c r="BJ53" s="112">
        <f>IF(Tabel5[[#This Row],[Aantal games Alg]]=0,0,Tabel5[[#This Row],[Goals Alg]]/Tabel5[[#This Row],[Aantal games Alg]])</f>
        <v>8.2857142857142865</v>
      </c>
      <c r="BK53" s="148">
        <f ca="1">SUMIF(Tabel15[Team Rood],Tabel5[[#This Row],[Team]],Tabel15[ET])</f>
        <v>2.4954513894044794E-2</v>
      </c>
      <c r="BL53" s="150">
        <f ca="1">SUMIF(Tabel15[Team Groen],Tabel5[[#This Row],[Team]],Tabel15[ET])</f>
        <v>4.9295138887828216E-3</v>
      </c>
      <c r="BM53" s="153">
        <f ca="1">SUM(Tabel5[[#This Row],[ET Groen tot]],Tabel5[[#This Row],[ET Rood tot]])</f>
        <v>2.9884027782827616E-2</v>
      </c>
      <c r="BN53" s="155">
        <f ca="1">IF(Tabel5[[#This Row],[Aantal games Alg]]=0,0,Tabel5[[#This Row],[ET tot]]/Tabel5[[#This Row],[Aantal games Alg]])</f>
        <v>4.2691468261182308E-3</v>
      </c>
    </row>
    <row r="54" spans="1:66" x14ac:dyDescent="0.25">
      <c r="A54" s="215">
        <f ca="1">IF(Tabel15[[#This Row],[Rood Verdediging]]&lt;&gt;"",IF(A54="",NOW(),A54),"")</f>
        <v>44002.99198298611</v>
      </c>
      <c r="B54" s="128">
        <f ca="1">IF(Tabel15[[#This Row],[Rood Verdediging]]&lt;&gt;"",IF(B54="",NOW(),B54),"")</f>
        <v>44002.99198298611</v>
      </c>
      <c r="C54" s="126">
        <f ca="1">IF(Tabel15[[#This Row],[Score]]&lt;&gt;"",IF(C54="",NOW(),C54),"")</f>
        <v>44002.992115046298</v>
      </c>
      <c r="D54" s="217">
        <f ca="1">IF(OR(Tabel15[[#This Row],[Starttijd]]="",Tabel15[[#This Row],[Eindtijd]]=""),"",Tabel15[[#This Row],[Eindtijd]]-Tabel15[[#This Row],[Starttijd]])</f>
        <v>1.3206018775235862E-4</v>
      </c>
      <c r="E54" s="74">
        <v>54</v>
      </c>
      <c r="F54" s="40" t="s">
        <v>8</v>
      </c>
      <c r="G54" s="76">
        <v>3</v>
      </c>
      <c r="H54" s="40" t="s">
        <v>7</v>
      </c>
      <c r="I54" s="76">
        <v>4</v>
      </c>
      <c r="J54" s="41" t="s">
        <v>0</v>
      </c>
      <c r="K54" s="78">
        <v>4</v>
      </c>
      <c r="L54" s="41" t="s">
        <v>6</v>
      </c>
      <c r="M54" s="78">
        <v>7</v>
      </c>
      <c r="N54" s="81">
        <f t="shared" si="11"/>
        <v>7</v>
      </c>
      <c r="O54" s="82">
        <f t="shared" si="12"/>
        <v>11</v>
      </c>
      <c r="P5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Row],[Score4]]&lt;&gt;""),IF(AND(N54&gt;O54,N54&gt;=11),"ROOD",IF(AND(O54&gt;=11,N54&lt;&gt;O54),"GROEN","")),"")</f>
        <v>GROEN</v>
      </c>
      <c r="Q54" s="86" t="str">
        <f t="shared" si="0"/>
        <v>Jonas</v>
      </c>
      <c r="R54" s="87" t="str">
        <f t="shared" si="1"/>
        <v>Stef D</v>
      </c>
      <c r="S54" s="293" t="str">
        <f>Tabel15[[#This Row],[Rood Verdediging]]&amp;Tabel15[[#This Row],[Rood Aanval]]</f>
        <v>LouisTiemen</v>
      </c>
      <c r="T54" s="293" t="str">
        <f>Tabel15[[#This Row],[Groen Verdediging]]&amp;Tabel15[[#This Row],[Groen Aanval]]</f>
        <v>JonasStef D</v>
      </c>
      <c r="U54" s="293" t="str">
        <f>Tabel15[[#This Row],[Winnaar 1]]&amp;Tabel15[[#This Row],[Winnaar 2]]</f>
        <v>JonasStef D</v>
      </c>
      <c r="V54" s="147" t="b">
        <f>IF(Tabel15[[#This Row],[Team Rood]]=Tabel15[[#This Row],[Winnaars]],Tabel15[[#This Row],[Team Rood]])</f>
        <v>0</v>
      </c>
      <c r="W54" s="147" t="str">
        <f>IF(Tabel15[[#This Row],[Team Groen]]=Tabel15[[#This Row],[Winnaars]],Tabel15[[#This Row],[Team Groen]])</f>
        <v>JonasStef D</v>
      </c>
      <c r="X54" s="283">
        <v>-0.75027905154327557</v>
      </c>
      <c r="Y54" s="283">
        <v>-0.72618533834590759</v>
      </c>
      <c r="Z54" s="283">
        <v>18.962270890101717</v>
      </c>
      <c r="AA54" s="283">
        <v>15.412854256862635</v>
      </c>
      <c r="AL54" s="251" t="s">
        <v>164</v>
      </c>
      <c r="AM54" s="233" t="s">
        <v>67</v>
      </c>
      <c r="AN54" s="140" t="str">
        <f t="shared" si="10"/>
        <v>Karel*Lawrence</v>
      </c>
      <c r="AO54" s="160">
        <f>IF(Tabel5[[#This Row],[Aantal Games Rood]]=0,0,(Tabel5[[#This Row],[Wins Rood]])/Tabel5[[#This Row],[Aantal Games Rood]])</f>
        <v>0</v>
      </c>
      <c r="AP54" s="159">
        <f>IF(Tabel5[[#This Row],[Aantal Games Groen]]=0,0,(Tabel5[[#This Row],[Wins Groen]])/Tabel5[[#This Row],[Aantal Games Groen]])</f>
        <v>0</v>
      </c>
      <c r="AQ54" s="156">
        <f>IF(Tabel5[[#This Row],[Aantal games Alg]]=0,0,(Tabel5[[#This Row],[Wins Alg]])/Tabel5[[#This Row],[Aantal games Alg]])</f>
        <v>0</v>
      </c>
      <c r="AR54" s="133">
        <f>COUNTIF(Tabel15[Winaar rood],Tabel5[[#This Row],[Team]])</f>
        <v>0</v>
      </c>
      <c r="AS54" s="134">
        <f>COUNTIF(Tabel15[Winnaar Groen],Tabel5[[#This Row],[Team]])</f>
        <v>0</v>
      </c>
      <c r="AT54">
        <f>COUNTIF(Tabel15[Winnaars],Tabel5[[#This Row],[Team]])</f>
        <v>0</v>
      </c>
      <c r="AU54" s="135">
        <f>Tabel5[[#This Row],[Aantal Games Rood]]-Tabel5[[#This Row],[Wins Rood]]</f>
        <v>0</v>
      </c>
      <c r="AV54" s="136">
        <f>Tabel5[[#This Row],[Aantal Games Groen]]-Tabel5[[#This Row],[Wins Groen]]</f>
        <v>0</v>
      </c>
      <c r="AW54" s="137">
        <f>Tabel5[[#This Row],[Aantal games Alg]]-Tabel5[[#This Row],[Wins Alg]]</f>
        <v>0</v>
      </c>
      <c r="AX54" s="138">
        <f>COUNTIF(Tabel15[Team Rood],Tabel5[[#This Row],[Team]])</f>
        <v>0</v>
      </c>
      <c r="AY54" s="136">
        <f>COUNTIF(Tabel15[Team Groen],Tabel5[[#This Row],[Team]])</f>
        <v>0</v>
      </c>
      <c r="AZ54" s="112">
        <f>Tabel5[[#This Row],[Aantal Games Rood]]+Tabel5[[#This Row],[Aantal Games Groen]]</f>
        <v>0</v>
      </c>
      <c r="BA54" s="138">
        <f>SUMIF(Tabel15[Team Rood],Tabel5[[#This Row],[Team]],Tabel15[Score])</f>
        <v>0</v>
      </c>
      <c r="BB54" s="138">
        <f>SUMIF(Tabel15[Team Rood],Tabel5[[#This Row],[Team]],Tabel15[Score2])</f>
        <v>0</v>
      </c>
      <c r="BC54" s="134">
        <f>SUMIF(Tabel15[Team Groen],Tabel5[[#This Row],[Team]],Tabel15[Score3])</f>
        <v>0</v>
      </c>
      <c r="BD54" s="136">
        <f>SUMIF(Tabel15[Team Groen],Tabel5[[#This Row],[Team]],Tabel15[Score4])</f>
        <v>0</v>
      </c>
      <c r="BE54">
        <f>SUM(Tabel5[[#This Row],[Goals Verdediger]]+Tabel5[[#This Row],[Goals DefG]])</f>
        <v>0</v>
      </c>
      <c r="BF54">
        <f>IF(Tabel5[[#This Row],[Aantal games Alg]]=0,0,Tabel5[[#This Row],[Goals DefA]]/Tabel5[[#This Row],[Aantal games Alg]])</f>
        <v>0</v>
      </c>
      <c r="BG54">
        <f>SUM(Tabel5[[#This Row],[Goals Aanvaller]]+Tabel5[[#This Row],[Goals OffG]])</f>
        <v>0</v>
      </c>
      <c r="BH54">
        <f>IF(Tabel5[[#This Row],[Aantal games Alg]]=0,0,Tabel5[[#This Row],[Goals OffA]]/Tabel5[[#This Row],[Aantal games Alg]])</f>
        <v>0</v>
      </c>
      <c r="BI54" s="112">
        <f>Tabel5[[#This Row],[Goals DefA]]+Tabel5[[#This Row],[Goals OffA]]</f>
        <v>0</v>
      </c>
      <c r="BJ54" s="112">
        <f>IF(Tabel5[[#This Row],[Aantal games Alg]]=0,0,Tabel5[[#This Row],[Goals Alg]]/Tabel5[[#This Row],[Aantal games Alg]])</f>
        <v>0</v>
      </c>
      <c r="BK54" s="148">
        <f>SUMIF(Tabel15[Team Rood],Tabel5[[#This Row],[Team]],Tabel15[ET])</f>
        <v>0</v>
      </c>
      <c r="BL54" s="150">
        <f>SUMIF(Tabel15[Team Groen],Tabel5[[#This Row],[Team]],Tabel15[ET])</f>
        <v>0</v>
      </c>
      <c r="BM54" s="153">
        <f>SUM(Tabel5[[#This Row],[ET Groen tot]],Tabel5[[#This Row],[ET Rood tot]])</f>
        <v>0</v>
      </c>
      <c r="BN54" s="155">
        <f>IF(Tabel5[[#This Row],[Aantal games Alg]]=0,0,Tabel5[[#This Row],[ET tot]]/Tabel5[[#This Row],[Aantal games Alg]])</f>
        <v>0</v>
      </c>
    </row>
    <row r="55" spans="1:66" x14ac:dyDescent="0.25">
      <c r="A55" s="215">
        <f ca="1">IF(Tabel15[[#This Row],[Rood Verdediging]]&lt;&gt;"",IF(A55="",NOW(),A55),"")</f>
        <v>44003.006436689815</v>
      </c>
      <c r="B55" s="128">
        <f ca="1">IF(Tabel15[[#This Row],[Rood Verdediging]]&lt;&gt;"",IF(B55="",NOW(),B55),"")</f>
        <v>44003.006436689815</v>
      </c>
      <c r="C55" s="126">
        <f ca="1">IF(Tabel15[[#This Row],[Score]]&lt;&gt;"",IF(C55="",NOW(),C55),"")</f>
        <v>44003.006465046295</v>
      </c>
      <c r="D55" s="217">
        <f ca="1">IF(OR(Tabel15[[#This Row],[Starttijd]]="",Tabel15[[#This Row],[Eindtijd]]=""),"",Tabel15[[#This Row],[Eindtijd]]-Tabel15[[#This Row],[Starttijd]])</f>
        <v>2.8356480470392853E-5</v>
      </c>
      <c r="E55" s="74">
        <v>55</v>
      </c>
      <c r="F55" s="40" t="s">
        <v>8</v>
      </c>
      <c r="G55" s="76">
        <v>1</v>
      </c>
      <c r="H55" s="40" t="s">
        <v>3</v>
      </c>
      <c r="I55" s="76">
        <v>10</v>
      </c>
      <c r="J55" s="41" t="s">
        <v>167</v>
      </c>
      <c r="K55" s="78">
        <v>0</v>
      </c>
      <c r="L55" s="41" t="s">
        <v>0</v>
      </c>
      <c r="M55" s="78">
        <v>7</v>
      </c>
      <c r="N55" s="81">
        <f t="shared" si="11"/>
        <v>11</v>
      </c>
      <c r="O55" s="82">
        <f t="shared" si="12"/>
        <v>7</v>
      </c>
      <c r="P5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Row],[Score4]]&lt;&gt;""),IF(AND(N55&gt;O55,N55&gt;=11),"ROOD",IF(AND(O55&gt;=11,N55&lt;&gt;O55),"GROEN","")),"")</f>
        <v>ROOD</v>
      </c>
      <c r="Q55" s="86" t="str">
        <f t="shared" si="0"/>
        <v>Louis</v>
      </c>
      <c r="R55" s="87" t="str">
        <f t="shared" si="1"/>
        <v>Karel</v>
      </c>
      <c r="S55" s="293" t="str">
        <f>Tabel15[[#This Row],[Rood Verdediging]]&amp;Tabel15[[#This Row],[Rood Aanval]]</f>
        <v>LouisKarel</v>
      </c>
      <c r="T55" s="293" t="str">
        <f>Tabel15[[#This Row],[Groen Verdediging]]&amp;Tabel15[[#This Row],[Groen Aanval]]</f>
        <v>CogheJonas</v>
      </c>
      <c r="U55" s="293" t="str">
        <f>Tabel15[[#This Row],[Winnaar 1]]&amp;Tabel15[[#This Row],[Winnaar 2]]</f>
        <v>LouisKarel</v>
      </c>
      <c r="V55" s="147" t="str">
        <f>IF(Tabel15[[#This Row],[Team Rood]]=Tabel15[[#This Row],[Winnaars]],Tabel15[[#This Row],[Team Rood]])</f>
        <v>LouisKarel</v>
      </c>
      <c r="W55" s="147" t="b">
        <f>IF(Tabel15[[#This Row],[Team Groen]]=Tabel15[[#This Row],[Winnaars]],Tabel15[[#This Row],[Team Groen]])</f>
        <v>0</v>
      </c>
      <c r="X55" s="283">
        <v>25.208427075312933</v>
      </c>
      <c r="Y55" s="283">
        <v>25.616096757615789</v>
      </c>
      <c r="Z55" s="283">
        <v>-5.5128552864793265</v>
      </c>
      <c r="AA55" s="283">
        <v>-4.282916434094366</v>
      </c>
      <c r="AL55" s="251" t="s">
        <v>164</v>
      </c>
      <c r="AM55" s="233" t="s">
        <v>161</v>
      </c>
      <c r="AN55" s="140" t="str">
        <f t="shared" si="10"/>
        <v>Karel*Louis*</v>
      </c>
      <c r="AO55" s="160">
        <f>IF(Tabel5[[#This Row],[Aantal Games Rood]]=0,0,(Tabel5[[#This Row],[Wins Rood]])/Tabel5[[#This Row],[Aantal Games Rood]])</f>
        <v>0.33333333333333331</v>
      </c>
      <c r="AP55" s="159">
        <f>IF(Tabel5[[#This Row],[Aantal Games Groen]]=0,0,(Tabel5[[#This Row],[Wins Groen]])/Tabel5[[#This Row],[Aantal Games Groen]])</f>
        <v>0</v>
      </c>
      <c r="AQ55" s="156">
        <f>IF(Tabel5[[#This Row],[Aantal games Alg]]=0,0,(Tabel5[[#This Row],[Wins Alg]])/Tabel5[[#This Row],[Aantal games Alg]])</f>
        <v>0.33333333333333331</v>
      </c>
      <c r="AR55" s="133">
        <f>COUNTIF(Tabel15[Winaar rood],Tabel5[[#This Row],[Team]])</f>
        <v>1</v>
      </c>
      <c r="AS55" s="134">
        <f>COUNTIF(Tabel15[Winnaar Groen],Tabel5[[#This Row],[Team]])</f>
        <v>0</v>
      </c>
      <c r="AT55" s="293">
        <f>COUNTIF(Tabel15[Winnaars],Tabel5[[#This Row],[Team]])</f>
        <v>1</v>
      </c>
      <c r="AU55" s="135">
        <f>Tabel5[[#This Row],[Aantal Games Rood]]-Tabel5[[#This Row],[Wins Rood]]</f>
        <v>2</v>
      </c>
      <c r="AV55" s="136">
        <f>Tabel5[[#This Row],[Aantal Games Groen]]-Tabel5[[#This Row],[Wins Groen]]</f>
        <v>0</v>
      </c>
      <c r="AW55" s="137">
        <f>Tabel5[[#This Row],[Aantal games Alg]]-Tabel5[[#This Row],[Wins Alg]]</f>
        <v>2</v>
      </c>
      <c r="AX55" s="138">
        <f>COUNTIF(Tabel15[Team Rood],Tabel5[[#This Row],[Team]])</f>
        <v>3</v>
      </c>
      <c r="AY55" s="136">
        <f>COUNTIF(Tabel15[Team Groen],Tabel5[[#This Row],[Team]])</f>
        <v>0</v>
      </c>
      <c r="AZ55" s="214">
        <f>Tabel5[[#This Row],[Aantal Games Rood]]+Tabel5[[#This Row],[Aantal Games Groen]]</f>
        <v>3</v>
      </c>
      <c r="BA55" s="138">
        <f>SUMIF(Tabel15[Team Rood],Tabel5[[#This Row],[Team]],Tabel15[Score])</f>
        <v>12</v>
      </c>
      <c r="BB55" s="138">
        <f>SUMIF(Tabel15[Team Rood],Tabel5[[#This Row],[Team]],Tabel15[Score2])</f>
        <v>18</v>
      </c>
      <c r="BC55" s="134">
        <f>SUMIF(Tabel15[Team Groen],Tabel5[[#This Row],[Team]],Tabel15[Score3])</f>
        <v>0</v>
      </c>
      <c r="BD55" s="136">
        <f>SUMIF(Tabel15[Team Groen],Tabel5[[#This Row],[Team]],Tabel15[Score4])</f>
        <v>0</v>
      </c>
      <c r="BE55" s="293">
        <f>SUM(Tabel5[[#This Row],[Goals Verdediger]]+Tabel5[[#This Row],[Goals DefG]])</f>
        <v>12</v>
      </c>
      <c r="BF55" s="293">
        <f>IF(Tabel5[[#This Row],[Aantal games Alg]]=0,0,Tabel5[[#This Row],[Goals DefA]]/Tabel5[[#This Row],[Aantal games Alg]])</f>
        <v>4</v>
      </c>
      <c r="BG55" s="293">
        <f>SUM(Tabel5[[#This Row],[Goals Aanvaller]]+Tabel5[[#This Row],[Goals OffG]])</f>
        <v>18</v>
      </c>
      <c r="BH55" s="293">
        <f>IF(Tabel5[[#This Row],[Aantal games Alg]]=0,0,Tabel5[[#This Row],[Goals OffA]]/Tabel5[[#This Row],[Aantal games Alg]])</f>
        <v>6</v>
      </c>
      <c r="BI55" s="214">
        <f>Tabel5[[#This Row],[Goals DefA]]+Tabel5[[#This Row],[Goals OffA]]</f>
        <v>30</v>
      </c>
      <c r="BJ55" s="214">
        <f>IF(Tabel5[[#This Row],[Aantal games Alg]]=0,0,Tabel5[[#This Row],[Goals Alg]]/Tabel5[[#This Row],[Aantal games Alg]])</f>
        <v>10</v>
      </c>
      <c r="BK55" s="148">
        <f ca="1">SUMIF(Tabel15[Team Rood],Tabel5[[#This Row],[Team]],Tabel15[ET])</f>
        <v>1.9454513887467328E-2</v>
      </c>
      <c r="BL55" s="150">
        <f>SUMIF(Tabel15[Team Groen],Tabel5[[#This Row],[Team]],Tabel15[ET])</f>
        <v>0</v>
      </c>
      <c r="BM55" s="153">
        <f ca="1">SUM(Tabel5[[#This Row],[ET Groen tot]],Tabel5[[#This Row],[ET Rood tot]])</f>
        <v>1.9454513887467328E-2</v>
      </c>
      <c r="BN55" s="155">
        <f ca="1">IF(Tabel5[[#This Row],[Aantal games Alg]]=0,0,Tabel5[[#This Row],[ET tot]]/Tabel5[[#This Row],[Aantal games Alg]])</f>
        <v>6.4848379624891095E-3</v>
      </c>
    </row>
    <row r="56" spans="1:66" x14ac:dyDescent="0.25">
      <c r="A56" s="215">
        <f ca="1">IF(Tabel15[[#This Row],[Rood Verdediging]]&lt;&gt;"",IF(A56="",NOW(),A56),"")</f>
        <v>44003.039365625002</v>
      </c>
      <c r="B56" s="128">
        <f ca="1">IF(Tabel15[[#This Row],[Rood Verdediging]]&lt;&gt;"",IF(B56="",NOW(),B56),"")</f>
        <v>44003.039365625002</v>
      </c>
      <c r="C56" s="126">
        <f ca="1">IF(Tabel15[[#This Row],[Score]]&lt;&gt;"",IF(C56="",NOW(),C56),"")</f>
        <v>44003.03945462963</v>
      </c>
      <c r="D56" s="217">
        <f ca="1">IF(OR(Tabel15[[#This Row],[Starttijd]]="",Tabel15[[#This Row],[Eindtijd]]=""),"",Tabel15[[#This Row],[Eindtijd]]-Tabel15[[#This Row],[Starttijd]])</f>
        <v>8.9004628534894437E-5</v>
      </c>
      <c r="E56" s="74">
        <v>56</v>
      </c>
      <c r="F56" s="40" t="s">
        <v>167</v>
      </c>
      <c r="G56" s="76">
        <v>3</v>
      </c>
      <c r="H56" s="40" t="s">
        <v>3</v>
      </c>
      <c r="I56" s="76">
        <v>8</v>
      </c>
      <c r="J56" s="41" t="s">
        <v>11</v>
      </c>
      <c r="K56" s="78">
        <v>2</v>
      </c>
      <c r="L56" s="41" t="s">
        <v>0</v>
      </c>
      <c r="M56" s="78">
        <v>7</v>
      </c>
      <c r="N56" s="81">
        <f t="shared" si="11"/>
        <v>11</v>
      </c>
      <c r="O56" s="82">
        <f t="shared" si="12"/>
        <v>9</v>
      </c>
      <c r="P5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Row],[Score4]]&lt;&gt;""),IF(AND(N56&gt;O56,N56&gt;=11),"ROOD",IF(AND(O56&gt;=11,N56&lt;&gt;O56),"GROEN","")),"")</f>
        <v>ROOD</v>
      </c>
      <c r="Q56" s="86" t="str">
        <f t="shared" si="0"/>
        <v>Coghe</v>
      </c>
      <c r="R56" s="87" t="str">
        <f t="shared" si="1"/>
        <v>Karel</v>
      </c>
      <c r="S56" s="293" t="str">
        <f>Tabel15[[#This Row],[Rood Verdediging]]&amp;Tabel15[[#This Row],[Rood Aanval]]</f>
        <v>CogheKarel</v>
      </c>
      <c r="T56" s="293" t="str">
        <f>Tabel15[[#This Row],[Groen Verdediging]]&amp;Tabel15[[#This Row],[Groen Aanval]]</f>
        <v>MatthijsJonas</v>
      </c>
      <c r="U56" s="293" t="str">
        <f>Tabel15[[#This Row],[Winnaar 1]]&amp;Tabel15[[#This Row],[Winnaar 2]]</f>
        <v>CogheKarel</v>
      </c>
      <c r="V56" s="147" t="str">
        <f>IF(Tabel15[[#This Row],[Team Rood]]=Tabel15[[#This Row],[Winnaars]],Tabel15[[#This Row],[Team Rood]])</f>
        <v>CogheKarel</v>
      </c>
      <c r="W56" s="147" t="b">
        <f>IF(Tabel15[[#This Row],[Team Groen]]=Tabel15[[#This Row],[Winnaars]],Tabel15[[#This Row],[Team Groen]])</f>
        <v>0</v>
      </c>
      <c r="X56" s="283">
        <v>22.308711663067267</v>
      </c>
      <c r="Y56" s="283">
        <v>21.562505722343911</v>
      </c>
      <c r="Z56" s="283">
        <v>-4.184901329516439</v>
      </c>
      <c r="AA56" s="283">
        <v>-3.5440737438307695</v>
      </c>
      <c r="AL56" s="251" t="s">
        <v>164</v>
      </c>
      <c r="AM56" s="233" t="s">
        <v>162</v>
      </c>
      <c r="AN56" s="140" t="str">
        <f t="shared" si="10"/>
        <v>Karel*Matthijs*</v>
      </c>
      <c r="AO56" s="160">
        <f>IF(Tabel5[[#This Row],[Aantal Games Rood]]=0,0,(Tabel5[[#This Row],[Wins Rood]])/Tabel5[[#This Row],[Aantal Games Rood]])</f>
        <v>0</v>
      </c>
      <c r="AP56" s="159">
        <f>IF(Tabel5[[#This Row],[Aantal Games Groen]]=0,0,(Tabel5[[#This Row],[Wins Groen]])/Tabel5[[#This Row],[Aantal Games Groen]])</f>
        <v>0</v>
      </c>
      <c r="AQ56" s="156">
        <f>IF(Tabel5[[#This Row],[Aantal games Alg]]=0,0,(Tabel5[[#This Row],[Wins Alg]])/Tabel5[[#This Row],[Aantal games Alg]])</f>
        <v>0</v>
      </c>
      <c r="AR56" s="133">
        <f>COUNTIF(Tabel15[Winaar rood],Tabel5[[#This Row],[Team]])</f>
        <v>0</v>
      </c>
      <c r="AS56" s="134">
        <f>COUNTIF(Tabel15[Winnaar Groen],Tabel5[[#This Row],[Team]])</f>
        <v>0</v>
      </c>
      <c r="AT56">
        <f>COUNTIF(Tabel15[Winnaars],Tabel5[[#This Row],[Team]])</f>
        <v>0</v>
      </c>
      <c r="AU56" s="135">
        <f>Tabel5[[#This Row],[Aantal Games Rood]]-Tabel5[[#This Row],[Wins Rood]]</f>
        <v>2</v>
      </c>
      <c r="AV56" s="136">
        <f>Tabel5[[#This Row],[Aantal Games Groen]]-Tabel5[[#This Row],[Wins Groen]]</f>
        <v>4</v>
      </c>
      <c r="AW56" s="137">
        <f>Tabel5[[#This Row],[Aantal games Alg]]-Tabel5[[#This Row],[Wins Alg]]</f>
        <v>6</v>
      </c>
      <c r="AX56" s="138">
        <f>COUNTIF(Tabel15[Team Rood],Tabel5[[#This Row],[Team]])</f>
        <v>2</v>
      </c>
      <c r="AY56" s="136">
        <f>COUNTIF(Tabel15[Team Groen],Tabel5[[#This Row],[Team]])</f>
        <v>4</v>
      </c>
      <c r="AZ56" s="112">
        <f>Tabel5[[#This Row],[Aantal Games Rood]]+Tabel5[[#This Row],[Aantal Games Groen]]</f>
        <v>6</v>
      </c>
      <c r="BA56" s="138">
        <f>SUMIF(Tabel15[Team Rood],Tabel5[[#This Row],[Team]],Tabel15[Score])</f>
        <v>5</v>
      </c>
      <c r="BB56" s="138">
        <f>SUMIF(Tabel15[Team Rood],Tabel5[[#This Row],[Team]],Tabel15[Score2])</f>
        <v>10</v>
      </c>
      <c r="BC56" s="134">
        <f>SUMIF(Tabel15[Team Groen],Tabel5[[#This Row],[Team]],Tabel15[Score3])</f>
        <v>10</v>
      </c>
      <c r="BD56" s="136">
        <f>SUMIF(Tabel15[Team Groen],Tabel5[[#This Row],[Team]],Tabel15[Score4])</f>
        <v>21</v>
      </c>
      <c r="BE56">
        <f>SUM(Tabel5[[#This Row],[Goals Verdediger]]+Tabel5[[#This Row],[Goals DefG]])</f>
        <v>15</v>
      </c>
      <c r="BF56">
        <f>IF(Tabel5[[#This Row],[Aantal games Alg]]=0,0,Tabel5[[#This Row],[Goals DefA]]/Tabel5[[#This Row],[Aantal games Alg]])</f>
        <v>2.5</v>
      </c>
      <c r="BG56">
        <f>SUM(Tabel5[[#This Row],[Goals Aanvaller]]+Tabel5[[#This Row],[Goals OffG]])</f>
        <v>31</v>
      </c>
      <c r="BH56">
        <f>IF(Tabel5[[#This Row],[Aantal games Alg]]=0,0,Tabel5[[#This Row],[Goals OffA]]/Tabel5[[#This Row],[Aantal games Alg]])</f>
        <v>5.166666666666667</v>
      </c>
      <c r="BI56" s="112">
        <f>Tabel5[[#This Row],[Goals DefA]]+Tabel5[[#This Row],[Goals OffA]]</f>
        <v>46</v>
      </c>
      <c r="BJ56" s="112">
        <f>IF(Tabel5[[#This Row],[Aantal games Alg]]=0,0,Tabel5[[#This Row],[Goals Alg]]/Tabel5[[#This Row],[Aantal games Alg]])</f>
        <v>7.666666666666667</v>
      </c>
      <c r="BK56" s="148">
        <f ca="1">SUMIF(Tabel15[Team Rood],Tabel5[[#This Row],[Team]],Tabel15[ET])</f>
        <v>9.9013888902845792E-3</v>
      </c>
      <c r="BL56" s="150">
        <f ca="1">SUMIF(Tabel15[Team Groen],Tabel5[[#This Row],[Team]],Tabel15[ET])</f>
        <v>2.3885069447030505E-2</v>
      </c>
      <c r="BM56" s="153">
        <f ca="1">SUM(Tabel5[[#This Row],[ET Groen tot]],Tabel5[[#This Row],[ET Rood tot]])</f>
        <v>3.3786458337315084E-2</v>
      </c>
      <c r="BN56" s="155">
        <f ca="1">IF(Tabel5[[#This Row],[Aantal games Alg]]=0,0,Tabel5[[#This Row],[ET tot]]/Tabel5[[#This Row],[Aantal games Alg]])</f>
        <v>5.631076389552514E-3</v>
      </c>
    </row>
    <row r="57" spans="1:66" x14ac:dyDescent="0.25">
      <c r="A57" s="215">
        <f ca="1">IF(Tabel15[[#This Row],[Rood Verdediging]]&lt;&gt;"",IF(A57="",NOW(),A57),"")</f>
        <v>44003.050653009261</v>
      </c>
      <c r="B57" s="128">
        <f ca="1">IF(Tabel15[[#This Row],[Rood Verdediging]]&lt;&gt;"",IF(B57="",NOW(),B57),"")</f>
        <v>44003.050653009261</v>
      </c>
      <c r="C57" s="126">
        <f ca="1">IF(Tabel15[[#This Row],[Score]]&lt;&gt;"",IF(C57="",NOW(),C57),"")</f>
        <v>44003.050692824072</v>
      </c>
      <c r="D57" s="217">
        <f ca="1">IF(OR(Tabel15[[#This Row],[Starttijd]]="",Tabel15[[#This Row],[Eindtijd]]=""),"",Tabel15[[#This Row],[Eindtijd]]-Tabel15[[#This Row],[Starttijd]])</f>
        <v>3.981481131631881E-5</v>
      </c>
      <c r="E57" s="74">
        <v>57</v>
      </c>
      <c r="F57" s="40" t="s">
        <v>8</v>
      </c>
      <c r="G57" s="76">
        <v>1</v>
      </c>
      <c r="H57" s="40" t="s">
        <v>3</v>
      </c>
      <c r="I57" s="76">
        <v>10</v>
      </c>
      <c r="J57" s="41" t="s">
        <v>6</v>
      </c>
      <c r="K57" s="78">
        <v>4</v>
      </c>
      <c r="L57" s="41" t="s">
        <v>7</v>
      </c>
      <c r="M57" s="78">
        <v>2</v>
      </c>
      <c r="N57" s="81">
        <f t="shared" si="11"/>
        <v>11</v>
      </c>
      <c r="O57" s="82">
        <f t="shared" si="12"/>
        <v>6</v>
      </c>
      <c r="P5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Row],[Score4]]&lt;&gt;""),IF(AND(N57&gt;O57,N57&gt;=11),"ROOD",IF(AND(O57&gt;=11,N57&lt;&gt;O57),"GROEN","")),"")</f>
        <v>ROOD</v>
      </c>
      <c r="Q57" s="86" t="str">
        <f t="shared" si="0"/>
        <v>Louis</v>
      </c>
      <c r="R57" s="87" t="str">
        <f t="shared" si="1"/>
        <v>Karel</v>
      </c>
      <c r="S57" s="293" t="str">
        <f>Tabel15[[#This Row],[Rood Verdediging]]&amp;Tabel15[[#This Row],[Rood Aanval]]</f>
        <v>LouisKarel</v>
      </c>
      <c r="T57" s="293" t="str">
        <f>Tabel15[[#This Row],[Groen Verdediging]]&amp;Tabel15[[#This Row],[Groen Aanval]]</f>
        <v>Stef DTiemen</v>
      </c>
      <c r="U57" s="293" t="str">
        <f>Tabel15[[#This Row],[Winnaar 1]]&amp;Tabel15[[#This Row],[Winnaar 2]]</f>
        <v>LouisKarel</v>
      </c>
      <c r="V57" s="147" t="str">
        <f>IF(Tabel15[[#This Row],[Team Rood]]=Tabel15[[#This Row],[Winnaars]],Tabel15[[#This Row],[Team Rood]])</f>
        <v>LouisKarel</v>
      </c>
      <c r="W57" s="147" t="b">
        <f>IF(Tabel15[[#This Row],[Team Groen]]=Tabel15[[#This Row],[Winnaars]],Tabel15[[#This Row],[Team Groen]])</f>
        <v>0</v>
      </c>
      <c r="X57" s="283">
        <v>31.271320743013149</v>
      </c>
      <c r="Y57" s="283">
        <v>30.985538390976199</v>
      </c>
      <c r="Z57" s="283">
        <v>-7.5162076150806962</v>
      </c>
      <c r="AA57" s="283">
        <v>-6.9014622236992986</v>
      </c>
      <c r="AL57" s="251" t="s">
        <v>164</v>
      </c>
      <c r="AM57" s="233" t="s">
        <v>170</v>
      </c>
      <c r="AN57" s="140" t="str">
        <f t="shared" si="10"/>
        <v>Karel*Nico*</v>
      </c>
      <c r="AO57" s="160">
        <f>IF(Tabel5[[#This Row],[Aantal Games Rood]]=0,0,(Tabel5[[#This Row],[Wins Rood]])/Tabel5[[#This Row],[Aantal Games Rood]])</f>
        <v>0</v>
      </c>
      <c r="AP57" s="159">
        <f>IF(Tabel5[[#This Row],[Aantal Games Groen]]=0,0,(Tabel5[[#This Row],[Wins Groen]])/Tabel5[[#This Row],[Aantal Games Groen]])</f>
        <v>0</v>
      </c>
      <c r="AQ57" s="156">
        <f>IF(Tabel5[[#This Row],[Aantal games Alg]]=0,0,(Tabel5[[#This Row],[Wins Alg]])/Tabel5[[#This Row],[Aantal games Alg]])</f>
        <v>0</v>
      </c>
      <c r="AR57" s="171">
        <f>COUNTIF(Tabel15[Winaar rood],Tabel5[[#This Row],[Team]])</f>
        <v>0</v>
      </c>
      <c r="AS57" s="169">
        <f>COUNTIF(Tabel15[Winnaar Groen],Tabel5[[#This Row],[Team]])</f>
        <v>0</v>
      </c>
      <c r="AT57" s="170">
        <f>COUNTIF(Tabel15[Winnaars],Tabel5[[#This Row],[Team]])</f>
        <v>0</v>
      </c>
      <c r="AU57" s="163">
        <f>Tabel5[[#This Row],[Aantal Games Rood]]-Tabel5[[#This Row],[Wins Rood]]</f>
        <v>0</v>
      </c>
      <c r="AV57" s="169">
        <f>Tabel5[[#This Row],[Aantal Games Groen]]-Tabel5[[#This Row],[Wins Groen]]</f>
        <v>1</v>
      </c>
      <c r="AW57" s="165">
        <f>Tabel5[[#This Row],[Aantal games Alg]]-Tabel5[[#This Row],[Wins Alg]]</f>
        <v>1</v>
      </c>
      <c r="AX57" s="171">
        <f>COUNTIF(Tabel15[Team Rood],Tabel5[[#This Row],[Team]])</f>
        <v>0</v>
      </c>
      <c r="AY57" s="169">
        <f>COUNTIF(Tabel15[Team Groen],Tabel5[[#This Row],[Team]])</f>
        <v>1</v>
      </c>
      <c r="AZ57" s="170">
        <f>Tabel5[[#This Row],[Aantal Games Rood]]+Tabel5[[#This Row],[Aantal Games Groen]]</f>
        <v>1</v>
      </c>
      <c r="BA57" s="171">
        <f>SUMIF(Tabel15[Team Rood],Tabel5[[#This Row],[Team]],Tabel15[Score])</f>
        <v>0</v>
      </c>
      <c r="BB57" s="171">
        <f>SUMIF(Tabel15[Team Rood],Tabel5[[#This Row],[Team]],Tabel15[Score2])</f>
        <v>0</v>
      </c>
      <c r="BC57" s="136">
        <f>SUMIF(Tabel15[Team Groen],Tabel5[[#This Row],[Team]],Tabel15[Score3])</f>
        <v>4</v>
      </c>
      <c r="BD57" s="169">
        <f>SUMIF(Tabel15[Team Groen],Tabel5[[#This Row],[Team]],Tabel15[Score4])</f>
        <v>1</v>
      </c>
      <c r="BE57" s="172">
        <f>SUM(Tabel5[[#This Row],[Goals Verdediger]]+Tabel5[[#This Row],[Goals DefG]])</f>
        <v>4</v>
      </c>
      <c r="BF57" s="170">
        <f>IF(Tabel5[[#This Row],[Aantal games Alg]]=0,0,Tabel5[[#This Row],[Goals DefA]]/Tabel5[[#This Row],[Aantal games Alg]])</f>
        <v>4</v>
      </c>
      <c r="BG57" s="172">
        <f>SUM(Tabel5[[#This Row],[Goals Aanvaller]]+Tabel5[[#This Row],[Goals OffG]])</f>
        <v>1</v>
      </c>
      <c r="BH57" s="170">
        <f>IF(Tabel5[[#This Row],[Aantal games Alg]]=0,0,Tabel5[[#This Row],[Goals OffA]]/Tabel5[[#This Row],[Aantal games Alg]])</f>
        <v>1</v>
      </c>
      <c r="BI57" s="170">
        <f>Tabel5[[#This Row],[Goals DefA]]+Tabel5[[#This Row],[Goals OffA]]</f>
        <v>5</v>
      </c>
      <c r="BJ57" s="170">
        <f>IF(Tabel5[[#This Row],[Aantal games Alg]]=0,0,Tabel5[[#This Row],[Goals Alg]]/Tabel5[[#This Row],[Aantal games Alg]])</f>
        <v>5</v>
      </c>
      <c r="BK57" s="148">
        <f>SUMIF(Tabel15[Team Rood],Tabel5[[#This Row],[Team]],Tabel15[ET])</f>
        <v>0</v>
      </c>
      <c r="BL57" s="150">
        <f ca="1">SUMIF(Tabel15[Team Groen],Tabel5[[#This Row],[Team]],Tabel15[ET])</f>
        <v>7.4870370372082107E-3</v>
      </c>
      <c r="BM57" s="153">
        <f ca="1">SUM(Tabel5[[#This Row],[ET Groen tot]],Tabel5[[#This Row],[ET Rood tot]])</f>
        <v>7.4870370372082107E-3</v>
      </c>
      <c r="BN57" s="155">
        <f ca="1">IF(Tabel5[[#This Row],[Aantal games Alg]]=0,0,Tabel5[[#This Row],[ET tot]]/Tabel5[[#This Row],[Aantal games Alg]])</f>
        <v>7.4870370372082107E-3</v>
      </c>
    </row>
    <row r="58" spans="1:66" x14ac:dyDescent="0.25">
      <c r="A58" s="215">
        <f ca="1">IF(Tabel15[[#This Row],[Rood Verdediging]]&lt;&gt;"",IF(A58="",NOW(),A58),"")</f>
        <v>44008.870177893521</v>
      </c>
      <c r="B58" s="128">
        <f ca="1">IF(Tabel15[[#This Row],[Rood Verdediging]]&lt;&gt;"",IF(B58="",NOW(),B58),"")</f>
        <v>44008.870177893521</v>
      </c>
      <c r="C58" s="126">
        <f ca="1">IF(Tabel15[[#This Row],[Score]]&lt;&gt;"",IF(C58="",NOW(),C58),"")</f>
        <v>44008.882064467594</v>
      </c>
      <c r="D58" s="217">
        <f ca="1">IF(OR(Tabel15[[#This Row],[Starttijd]]="",Tabel15[[#This Row],[Eindtijd]]=""),"",Tabel15[[#This Row],[Eindtijd]]-Tabel15[[#This Row],[Starttijd]])</f>
        <v>1.1886574073287193E-2</v>
      </c>
      <c r="E58" s="74">
        <v>58</v>
      </c>
      <c r="F58" s="40" t="s">
        <v>6</v>
      </c>
      <c r="G58" s="76">
        <v>2</v>
      </c>
      <c r="H58" s="40" t="s">
        <v>13</v>
      </c>
      <c r="I58" s="76">
        <v>6</v>
      </c>
      <c r="J58" s="41" t="s">
        <v>7</v>
      </c>
      <c r="K58" s="78">
        <v>3</v>
      </c>
      <c r="L58" s="41" t="s">
        <v>0</v>
      </c>
      <c r="M58" s="78">
        <v>8</v>
      </c>
      <c r="N58" s="81">
        <f t="shared" si="11"/>
        <v>8</v>
      </c>
      <c r="O58" s="82">
        <f t="shared" si="12"/>
        <v>11</v>
      </c>
      <c r="P5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Row],[Score4]]&lt;&gt;""),IF(AND(N58&gt;O58,N58&gt;=11),"ROOD",IF(AND(O58&gt;=11,N58&lt;&gt;O58),"GROEN","")),"")</f>
        <v>GROEN</v>
      </c>
      <c r="Q58" s="86" t="str">
        <f t="shared" si="0"/>
        <v>Tiemen</v>
      </c>
      <c r="R58" s="87" t="str">
        <f t="shared" si="1"/>
        <v>Jonas</v>
      </c>
      <c r="S58" s="293" t="str">
        <f>Tabel15[[#This Row],[Rood Verdediging]]&amp;Tabel15[[#This Row],[Rood Aanval]]</f>
        <v>Stef DBert</v>
      </c>
      <c r="T58" s="293" t="str">
        <f>Tabel15[[#This Row],[Groen Verdediging]]&amp;Tabel15[[#This Row],[Groen Aanval]]</f>
        <v>TiemenJonas</v>
      </c>
      <c r="U58" s="293" t="str">
        <f>Tabel15[[#This Row],[Winnaar 1]]&amp;Tabel15[[#This Row],[Winnaar 2]]</f>
        <v>TiemenJonas</v>
      </c>
      <c r="V58" s="147" t="b">
        <f>IF(Tabel15[[#This Row],[Team Rood]]=Tabel15[[#This Row],[Winnaars]],Tabel15[[#This Row],[Team Rood]])</f>
        <v>0</v>
      </c>
      <c r="W58" s="147" t="str">
        <f>IF(Tabel15[[#This Row],[Team Groen]]=Tabel15[[#This Row],[Winnaars]],Tabel15[[#This Row],[Team Groen]])</f>
        <v>TiemenJonas</v>
      </c>
      <c r="X58" s="283">
        <v>-8.9528260187547257</v>
      </c>
      <c r="Y58" s="283">
        <v>-8.5512561896023129</v>
      </c>
      <c r="Z58" s="283">
        <v>33.016229256868385</v>
      </c>
      <c r="AA58" s="283">
        <v>39.634650313523395</v>
      </c>
      <c r="AL58" s="251" t="s">
        <v>164</v>
      </c>
      <c r="AM58" s="233" t="s">
        <v>169</v>
      </c>
      <c r="AN58" s="140" t="str">
        <f t="shared" si="10"/>
        <v>Karel*Stef*</v>
      </c>
      <c r="AO58" s="160">
        <f>IF(Tabel5[[#This Row],[Aantal Games Rood]]=0,0,(Tabel5[[#This Row],[Wins Rood]])/Tabel5[[#This Row],[Aantal Games Rood]])</f>
        <v>0.75</v>
      </c>
      <c r="AP58" s="159">
        <f>IF(Tabel5[[#This Row],[Aantal Games Groen]]=0,0,(Tabel5[[#This Row],[Wins Groen]])/Tabel5[[#This Row],[Aantal Games Groen]])</f>
        <v>1</v>
      </c>
      <c r="AQ58" s="156">
        <f>IF(Tabel5[[#This Row],[Aantal games Alg]]=0,0,(Tabel5[[#This Row],[Wins Alg]])/Tabel5[[#This Row],[Aantal games Alg]])</f>
        <v>0.8</v>
      </c>
      <c r="AR58" s="138">
        <f>COUNTIF(Tabel15[Winaar rood],Tabel5[[#This Row],[Team]])</f>
        <v>3</v>
      </c>
      <c r="AS58" s="134">
        <f>COUNTIF(Tabel15[Winnaar Groen],Tabel5[[#This Row],[Team]])</f>
        <v>1</v>
      </c>
      <c r="AT58">
        <f>COUNTIF(Tabel15[Winnaars],Tabel5[[#This Row],[Team]])</f>
        <v>4</v>
      </c>
      <c r="AU58" s="135">
        <f>Tabel5[[#This Row],[Aantal Games Rood]]-Tabel5[[#This Row],[Wins Rood]]</f>
        <v>1</v>
      </c>
      <c r="AV58" s="136">
        <f>Tabel5[[#This Row],[Aantal Games Groen]]-Tabel5[[#This Row],[Wins Groen]]</f>
        <v>0</v>
      </c>
      <c r="AW58" s="137">
        <f>Tabel5[[#This Row],[Aantal games Alg]]-Tabel5[[#This Row],[Wins Alg]]</f>
        <v>1</v>
      </c>
      <c r="AX58" s="138">
        <f>COUNTIF(Tabel15[Team Rood],Tabel5[[#This Row],[Team]])</f>
        <v>4</v>
      </c>
      <c r="AY58" s="136">
        <f>COUNTIF(Tabel15[Team Groen],Tabel5[[#This Row],[Team]])</f>
        <v>1</v>
      </c>
      <c r="AZ58" s="214">
        <f>Tabel5[[#This Row],[Aantal Games Rood]]+Tabel5[[#This Row],[Aantal Games Groen]]</f>
        <v>5</v>
      </c>
      <c r="BA58" s="138">
        <f>SUMIF(Tabel15[Team Rood],Tabel5[[#This Row],[Team]],Tabel15[Score])</f>
        <v>12</v>
      </c>
      <c r="BB58" s="138">
        <f>SUMIF(Tabel15[Team Rood],Tabel5[[#This Row],[Team]],Tabel15[Score2])</f>
        <v>28</v>
      </c>
      <c r="BC58" s="134">
        <f>SUMIF(Tabel15[Team Groen],Tabel5[[#This Row],[Team]],Tabel15[Score3])</f>
        <v>3</v>
      </c>
      <c r="BD58" s="136">
        <f>SUMIF(Tabel15[Team Groen],Tabel5[[#This Row],[Team]],Tabel15[Score4])</f>
        <v>8</v>
      </c>
      <c r="BE58">
        <f>SUM(Tabel5[[#This Row],[Goals Verdediger]]+Tabel5[[#This Row],[Goals DefG]])</f>
        <v>15</v>
      </c>
      <c r="BF58">
        <f>IF(Tabel5[[#This Row],[Aantal games Alg]]=0,0,Tabel5[[#This Row],[Goals DefA]]/Tabel5[[#This Row],[Aantal games Alg]])</f>
        <v>3</v>
      </c>
      <c r="BG58">
        <f>SUM(Tabel5[[#This Row],[Goals Aanvaller]]+Tabel5[[#This Row],[Goals OffG]])</f>
        <v>36</v>
      </c>
      <c r="BH58">
        <f>IF(Tabel5[[#This Row],[Aantal games Alg]]=0,0,Tabel5[[#This Row],[Goals OffA]]/Tabel5[[#This Row],[Aantal games Alg]])</f>
        <v>7.2</v>
      </c>
      <c r="BI58" s="112">
        <f>Tabel5[[#This Row],[Goals DefA]]+Tabel5[[#This Row],[Goals OffA]]</f>
        <v>51</v>
      </c>
      <c r="BJ58" s="112">
        <f>IF(Tabel5[[#This Row],[Aantal games Alg]]=0,0,Tabel5[[#This Row],[Goals Alg]]/Tabel5[[#This Row],[Aantal games Alg]])</f>
        <v>10.199999999999999</v>
      </c>
      <c r="BK58" s="148">
        <f ca="1">SUMIF(Tabel15[Team Rood],Tabel5[[#This Row],[Team]],Tabel15[ET])</f>
        <v>1.6759375001129229E-2</v>
      </c>
      <c r="BL58" s="150">
        <f ca="1">SUMIF(Tabel15[Team Groen],Tabel5[[#This Row],[Team]],Tabel15[ET])</f>
        <v>1.7800926434574649E-4</v>
      </c>
      <c r="BM58" s="153">
        <f ca="1">SUM(Tabel5[[#This Row],[ET Groen tot]],Tabel5[[#This Row],[ET Rood tot]])</f>
        <v>1.6937384265474975E-2</v>
      </c>
      <c r="BN58" s="155">
        <f ca="1">IF(Tabel5[[#This Row],[Aantal games Alg]]=0,0,Tabel5[[#This Row],[ET tot]]/Tabel5[[#This Row],[Aantal games Alg]])</f>
        <v>3.3874768530949952E-3</v>
      </c>
    </row>
    <row r="59" spans="1:66" x14ac:dyDescent="0.25">
      <c r="A59" s="215">
        <f ca="1">IF(Tabel15[[#This Row],[Rood Verdediging]]&lt;&gt;"",IF(A59="",NOW(),A59),"")</f>
        <v>44008.889101851855</v>
      </c>
      <c r="B59" s="128">
        <f ca="1">IF(Tabel15[[#This Row],[Rood Verdediging]]&lt;&gt;"",IF(B59="",NOW(),B59),"")</f>
        <v>44008.889101851855</v>
      </c>
      <c r="C59" s="126">
        <f ca="1">IF(Tabel15[[#This Row],[Score]]&lt;&gt;"",IF(C59="",NOW(),C59),"")</f>
        <v>44008.897790972223</v>
      </c>
      <c r="D59" s="217">
        <f ca="1">IF(OR(Tabel15[[#This Row],[Starttijd]]="",Tabel15[[#This Row],[Eindtijd]]=""),"",Tabel15[[#This Row],[Eindtijd]]-Tabel15[[#This Row],[Starttijd]])</f>
        <v>8.6891203682171181E-3</v>
      </c>
      <c r="E59" s="74">
        <v>59</v>
      </c>
      <c r="F59" s="40" t="s">
        <v>13</v>
      </c>
      <c r="G59" s="76">
        <v>1</v>
      </c>
      <c r="H59" s="40" t="s">
        <v>6</v>
      </c>
      <c r="I59" s="76">
        <v>7</v>
      </c>
      <c r="J59" s="41" t="s">
        <v>0</v>
      </c>
      <c r="K59" s="78">
        <v>2</v>
      </c>
      <c r="L59" s="41" t="s">
        <v>7</v>
      </c>
      <c r="M59" s="78">
        <v>9</v>
      </c>
      <c r="N59" s="81">
        <f t="shared" si="11"/>
        <v>8</v>
      </c>
      <c r="O59" s="82">
        <f t="shared" si="12"/>
        <v>11</v>
      </c>
      <c r="P5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Row],[Score4]]&lt;&gt;""),IF(AND(N59&gt;O59,N59&gt;=11),"ROOD",IF(AND(O59&gt;=11,N59&lt;&gt;O59),"GROEN","")),"")</f>
        <v>GROEN</v>
      </c>
      <c r="Q59" s="86" t="str">
        <f t="shared" si="0"/>
        <v>Jonas</v>
      </c>
      <c r="R59" s="87" t="str">
        <f t="shared" si="1"/>
        <v>Tiemen</v>
      </c>
      <c r="S59" s="293" t="str">
        <f>Tabel15[[#This Row],[Rood Verdediging]]&amp;Tabel15[[#This Row],[Rood Aanval]]</f>
        <v>BertStef D</v>
      </c>
      <c r="T59" s="293" t="str">
        <f>Tabel15[[#This Row],[Groen Verdediging]]&amp;Tabel15[[#This Row],[Groen Aanval]]</f>
        <v>JonasTiemen</v>
      </c>
      <c r="U59" s="293" t="str">
        <f>Tabel15[[#This Row],[Winnaar 1]]&amp;Tabel15[[#This Row],[Winnaar 2]]</f>
        <v>JonasTiemen</v>
      </c>
      <c r="V59" s="147" t="b">
        <f>IF(Tabel15[[#This Row],[Team Rood]]=Tabel15[[#This Row],[Winnaars]],Tabel15[[#This Row],[Team Rood]])</f>
        <v>0</v>
      </c>
      <c r="W59" s="147" t="str">
        <f>IF(Tabel15[[#This Row],[Team Groen]]=Tabel15[[#This Row],[Winnaars]],Tabel15[[#This Row],[Team Groen]])</f>
        <v>JonasTiemen</v>
      </c>
      <c r="X59" s="283">
        <v>-8.2056176578999551</v>
      </c>
      <c r="Y59" s="283">
        <v>-9.6129726214448343</v>
      </c>
      <c r="Z59" s="283">
        <v>36.410173298499998</v>
      </c>
      <c r="AA59" s="283">
        <v>37.830708509850389</v>
      </c>
      <c r="AL59" s="251" t="s">
        <v>164</v>
      </c>
      <c r="AM59" s="233" t="s">
        <v>166</v>
      </c>
      <c r="AN59" s="140" t="str">
        <f t="shared" si="10"/>
        <v>Karel*Stijn*</v>
      </c>
      <c r="AO59" s="160">
        <f>IF(Tabel5[[#This Row],[Aantal Games Rood]]=0,0,(Tabel5[[#This Row],[Wins Rood]])/Tabel5[[#This Row],[Aantal Games Rood]])</f>
        <v>0</v>
      </c>
      <c r="AP59" s="159">
        <f>IF(Tabel5[[#This Row],[Aantal Games Groen]]=0,0,(Tabel5[[#This Row],[Wins Groen]])/Tabel5[[#This Row],[Aantal Games Groen]])</f>
        <v>0</v>
      </c>
      <c r="AQ59" s="156">
        <f>IF(Tabel5[[#This Row],[Aantal games Alg]]=0,0,(Tabel5[[#This Row],[Wins Alg]])/Tabel5[[#This Row],[Aantal games Alg]])</f>
        <v>0</v>
      </c>
      <c r="AR59" s="133">
        <f>COUNTIF(Tabel15[Winaar rood],Tabel5[[#This Row],[Team]])</f>
        <v>0</v>
      </c>
      <c r="AS59" s="134">
        <f>COUNTIF(Tabel15[Winnaar Groen],Tabel5[[#This Row],[Team]])</f>
        <v>0</v>
      </c>
      <c r="AT59">
        <f>COUNTIF(Tabel15[Winnaars],Tabel5[[#This Row],[Team]])</f>
        <v>0</v>
      </c>
      <c r="AU59" s="135">
        <f>Tabel5[[#This Row],[Aantal Games Rood]]-Tabel5[[#This Row],[Wins Rood]]</f>
        <v>0</v>
      </c>
      <c r="AV59" s="136">
        <f>Tabel5[[#This Row],[Aantal Games Groen]]-Tabel5[[#This Row],[Wins Groen]]</f>
        <v>0</v>
      </c>
      <c r="AW59" s="137">
        <f>Tabel5[[#This Row],[Aantal games Alg]]-Tabel5[[#This Row],[Wins Alg]]</f>
        <v>0</v>
      </c>
      <c r="AX59" s="138">
        <f>COUNTIF(Tabel15[Team Rood],Tabel5[[#This Row],[Team]])</f>
        <v>0</v>
      </c>
      <c r="AY59" s="136">
        <f>COUNTIF(Tabel15[Team Groen],Tabel5[[#This Row],[Team]])</f>
        <v>0</v>
      </c>
      <c r="AZ59" s="112">
        <f>Tabel5[[#This Row],[Aantal Games Rood]]+Tabel5[[#This Row],[Aantal Games Groen]]</f>
        <v>0</v>
      </c>
      <c r="BA59" s="138">
        <f>SUMIF(Tabel15[Team Rood],Tabel5[[#This Row],[Team]],Tabel15[Score])</f>
        <v>0</v>
      </c>
      <c r="BB59" s="138">
        <f>SUMIF(Tabel15[Team Rood],Tabel5[[#This Row],[Team]],Tabel15[Score2])</f>
        <v>0</v>
      </c>
      <c r="BC59" s="134">
        <f>SUMIF(Tabel15[Team Groen],Tabel5[[#This Row],[Team]],Tabel15[Score3])</f>
        <v>0</v>
      </c>
      <c r="BD59" s="136">
        <f>SUMIF(Tabel15[Team Groen],Tabel5[[#This Row],[Team]],Tabel15[Score4])</f>
        <v>0</v>
      </c>
      <c r="BE59">
        <f>SUM(Tabel5[[#This Row],[Goals Verdediger]]+Tabel5[[#This Row],[Goals DefG]])</f>
        <v>0</v>
      </c>
      <c r="BF59">
        <f>IF(Tabel5[[#This Row],[Aantal games Alg]]=0,0,Tabel5[[#This Row],[Goals DefA]]/Tabel5[[#This Row],[Aantal games Alg]])</f>
        <v>0</v>
      </c>
      <c r="BG59">
        <f>SUM(Tabel5[[#This Row],[Goals Aanvaller]]+Tabel5[[#This Row],[Goals OffG]])</f>
        <v>0</v>
      </c>
      <c r="BH59">
        <f>IF(Tabel5[[#This Row],[Aantal games Alg]]=0,0,Tabel5[[#This Row],[Goals OffA]]/Tabel5[[#This Row],[Aantal games Alg]])</f>
        <v>0</v>
      </c>
      <c r="BI59" s="112">
        <f>Tabel5[[#This Row],[Goals DefA]]+Tabel5[[#This Row],[Goals OffA]]</f>
        <v>0</v>
      </c>
      <c r="BJ59" s="112">
        <f>IF(Tabel5[[#This Row],[Aantal games Alg]]=0,0,Tabel5[[#This Row],[Goals Alg]]/Tabel5[[#This Row],[Aantal games Alg]])</f>
        <v>0</v>
      </c>
      <c r="BK59" s="148">
        <f>SUMIF(Tabel15[Team Rood],Tabel5[[#This Row],[Team]],Tabel15[ET])</f>
        <v>0</v>
      </c>
      <c r="BL59" s="150">
        <f>SUMIF(Tabel15[Team Groen],Tabel5[[#This Row],[Team]],Tabel15[ET])</f>
        <v>0</v>
      </c>
      <c r="BM59" s="153">
        <f>SUM(Tabel5[[#This Row],[ET Groen tot]],Tabel5[[#This Row],[ET Rood tot]])</f>
        <v>0</v>
      </c>
      <c r="BN59" s="155">
        <f>IF(Tabel5[[#This Row],[Aantal games Alg]]=0,0,Tabel5[[#This Row],[ET tot]]/Tabel5[[#This Row],[Aantal games Alg]])</f>
        <v>0</v>
      </c>
    </row>
    <row r="60" spans="1:66" x14ac:dyDescent="0.25">
      <c r="A60" s="215">
        <f ca="1">IF(Tabel15[[#This Row],[Rood Verdediging]]&lt;&gt;"",IF(A60="",NOW(),A60),"")</f>
        <v>44008.921123263892</v>
      </c>
      <c r="B60" s="128">
        <f ca="1">IF(Tabel15[[#This Row],[Rood Verdediging]]&lt;&gt;"",IF(B60="",NOW(),B60),"")</f>
        <v>44008.921123263892</v>
      </c>
      <c r="C60" s="126">
        <f ca="1">IF(Tabel15[[#This Row],[Score]]&lt;&gt;"",IF(C60="",NOW(),C60),"")</f>
        <v>44008.92115185185</v>
      </c>
      <c r="D60" s="217">
        <f ca="1">IF(OR(Tabel15[[#This Row],[Starttijd]]="",Tabel15[[#This Row],[Eindtijd]]=""),"",Tabel15[[#This Row],[Eindtijd]]-Tabel15[[#This Row],[Starttijd]])</f>
        <v>2.8587957785930485E-5</v>
      </c>
      <c r="E60" s="74">
        <v>60</v>
      </c>
      <c r="F60" s="40" t="s">
        <v>0</v>
      </c>
      <c r="G60" s="76">
        <v>7</v>
      </c>
      <c r="H60" s="40" t="s">
        <v>6</v>
      </c>
      <c r="I60" s="76">
        <v>4</v>
      </c>
      <c r="J60" s="41" t="s">
        <v>7</v>
      </c>
      <c r="K60" s="78">
        <v>4</v>
      </c>
      <c r="L60" s="41" t="s">
        <v>13</v>
      </c>
      <c r="M60" s="78">
        <v>9</v>
      </c>
      <c r="N60" s="81">
        <f t="shared" si="11"/>
        <v>11</v>
      </c>
      <c r="O60" s="82">
        <f t="shared" si="12"/>
        <v>13</v>
      </c>
      <c r="P6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Row],[Score4]]&lt;&gt;""),IF(AND(N60&gt;O60,N60&gt;=11),"ROOD",IF(AND(O60&gt;=11,N60&lt;&gt;O60),"GROEN","")),"")</f>
        <v>GROEN</v>
      </c>
      <c r="Q60" s="86" t="str">
        <f t="shared" si="0"/>
        <v>Tiemen</v>
      </c>
      <c r="R60" s="87" t="str">
        <f t="shared" si="1"/>
        <v>Bert</v>
      </c>
      <c r="S60" s="293" t="str">
        <f>Tabel15[[#This Row],[Rood Verdediging]]&amp;Tabel15[[#This Row],[Rood Aanval]]</f>
        <v>JonasStef D</v>
      </c>
      <c r="T60" s="293" t="str">
        <f>Tabel15[[#This Row],[Groen Verdediging]]&amp;Tabel15[[#This Row],[Groen Aanval]]</f>
        <v>TiemenBert</v>
      </c>
      <c r="U60" s="293" t="str">
        <f>Tabel15[[#This Row],[Winnaar 1]]&amp;Tabel15[[#This Row],[Winnaar 2]]</f>
        <v>TiemenBert</v>
      </c>
      <c r="V60" s="147" t="b">
        <f>IF(Tabel15[[#This Row],[Team Rood]]=Tabel15[[#This Row],[Winnaars]],Tabel15[[#This Row],[Team Rood]])</f>
        <v>0</v>
      </c>
      <c r="W60" s="147" t="str">
        <f>IF(Tabel15[[#This Row],[Team Groen]]=Tabel15[[#This Row],[Winnaars]],Tabel15[[#This Row],[Team Groen]])</f>
        <v>TiemenBert</v>
      </c>
      <c r="X60" s="283">
        <v>-11.134306449513991</v>
      </c>
      <c r="Y60" s="283">
        <v>-13.212119892430685</v>
      </c>
      <c r="Z60" s="283">
        <v>43.686684975407729</v>
      </c>
      <c r="AA60" s="283">
        <v>42.905256233638518</v>
      </c>
      <c r="AL60" s="251" t="s">
        <v>164</v>
      </c>
      <c r="AM60" s="233" t="s">
        <v>160</v>
      </c>
      <c r="AN60" s="140" t="str">
        <f t="shared" si="10"/>
        <v>Karel*Tiemen*</v>
      </c>
      <c r="AO60" s="160">
        <f>IF(Tabel5[[#This Row],[Aantal Games Rood]]=0,0,(Tabel5[[#This Row],[Wins Rood]])/Tabel5[[#This Row],[Aantal Games Rood]])</f>
        <v>0</v>
      </c>
      <c r="AP60" s="159">
        <f>IF(Tabel5[[#This Row],[Aantal Games Groen]]=0,0,(Tabel5[[#This Row],[Wins Groen]])/Tabel5[[#This Row],[Aantal Games Groen]])</f>
        <v>0</v>
      </c>
      <c r="AQ60" s="156">
        <f>IF(Tabel5[[#This Row],[Aantal games Alg]]=0,0,(Tabel5[[#This Row],[Wins Alg]])/Tabel5[[#This Row],[Aantal games Alg]])</f>
        <v>0</v>
      </c>
      <c r="AR60" s="133">
        <f>COUNTIF(Tabel15[Winaar rood],Tabel5[[#This Row],[Team]])</f>
        <v>0</v>
      </c>
      <c r="AS60" s="134">
        <f>COUNTIF(Tabel15[Winnaar Groen],Tabel5[[#This Row],[Team]])</f>
        <v>0</v>
      </c>
      <c r="AT60">
        <f>COUNTIF(Tabel15[Winnaars],Tabel5[[#This Row],[Team]])</f>
        <v>0</v>
      </c>
      <c r="AU60" s="135">
        <f>Tabel5[[#This Row],[Aantal Games Rood]]-Tabel5[[#This Row],[Wins Rood]]</f>
        <v>0</v>
      </c>
      <c r="AV60" s="136">
        <f>Tabel5[[#This Row],[Aantal Games Groen]]-Tabel5[[#This Row],[Wins Groen]]</f>
        <v>0</v>
      </c>
      <c r="AW60" s="137">
        <f>Tabel5[[#This Row],[Aantal games Alg]]-Tabel5[[#This Row],[Wins Alg]]</f>
        <v>0</v>
      </c>
      <c r="AX60" s="138">
        <f>COUNTIF(Tabel15[Team Rood],Tabel5[[#This Row],[Team]])</f>
        <v>0</v>
      </c>
      <c r="AY60" s="136">
        <f>COUNTIF(Tabel15[Team Groen],Tabel5[[#This Row],[Team]])</f>
        <v>0</v>
      </c>
      <c r="AZ60" s="112">
        <f>Tabel5[[#This Row],[Aantal Games Rood]]+Tabel5[[#This Row],[Aantal Games Groen]]</f>
        <v>0</v>
      </c>
      <c r="BA60" s="138">
        <f>SUMIF(Tabel15[Team Rood],Tabel5[[#This Row],[Team]],Tabel15[Score])</f>
        <v>0</v>
      </c>
      <c r="BB60" s="138">
        <f>SUMIF(Tabel15[Team Rood],Tabel5[[#This Row],[Team]],Tabel15[Score2])</f>
        <v>0</v>
      </c>
      <c r="BC60" s="134">
        <f>SUMIF(Tabel15[Team Groen],Tabel5[[#This Row],[Team]],Tabel15[Score3])</f>
        <v>0</v>
      </c>
      <c r="BD60" s="136">
        <f>SUMIF(Tabel15[Team Groen],Tabel5[[#This Row],[Team]],Tabel15[Score4])</f>
        <v>0</v>
      </c>
      <c r="BE60">
        <f>SUM(Tabel5[[#This Row],[Goals Verdediger]]+Tabel5[[#This Row],[Goals DefG]])</f>
        <v>0</v>
      </c>
      <c r="BF60">
        <f>IF(Tabel5[[#This Row],[Aantal games Alg]]=0,0,Tabel5[[#This Row],[Goals DefA]]/Tabel5[[#This Row],[Aantal games Alg]])</f>
        <v>0</v>
      </c>
      <c r="BG60">
        <f>SUM(Tabel5[[#This Row],[Goals Aanvaller]]+Tabel5[[#This Row],[Goals OffG]])</f>
        <v>0</v>
      </c>
      <c r="BH60">
        <f>IF(Tabel5[[#This Row],[Aantal games Alg]]=0,0,Tabel5[[#This Row],[Goals OffA]]/Tabel5[[#This Row],[Aantal games Alg]])</f>
        <v>0</v>
      </c>
      <c r="BI60" s="112">
        <f>Tabel5[[#This Row],[Goals DefA]]+Tabel5[[#This Row],[Goals OffA]]</f>
        <v>0</v>
      </c>
      <c r="BJ60" s="112">
        <f>IF(Tabel5[[#This Row],[Aantal games Alg]]=0,0,Tabel5[[#This Row],[Goals Alg]]/Tabel5[[#This Row],[Aantal games Alg]])</f>
        <v>0</v>
      </c>
      <c r="BK60" s="148">
        <f>SUMIF(Tabel15[Team Rood],Tabel5[[#This Row],[Team]],Tabel15[ET])</f>
        <v>0</v>
      </c>
      <c r="BL60" s="150">
        <f>SUMIF(Tabel15[Team Groen],Tabel5[[#This Row],[Team]],Tabel15[ET])</f>
        <v>0</v>
      </c>
      <c r="BM60" s="153">
        <f>SUM(Tabel5[[#This Row],[ET Groen tot]],Tabel5[[#This Row],[ET Rood tot]])</f>
        <v>0</v>
      </c>
      <c r="BN60" s="155">
        <f>IF(Tabel5[[#This Row],[Aantal games Alg]]=0,0,Tabel5[[#This Row],[ET tot]]/Tabel5[[#This Row],[Aantal games Alg]])</f>
        <v>0</v>
      </c>
    </row>
    <row r="61" spans="1:66" x14ac:dyDescent="0.25">
      <c r="A61" s="215">
        <f ca="1">IF(Tabel15[[#This Row],[Rood Verdediging]]&lt;&gt;"",IF(A61="",NOW(),A61),"")</f>
        <v>44008.940830902779</v>
      </c>
      <c r="B61" s="128">
        <f ca="1">IF(Tabel15[[#This Row],[Rood Verdediging]]&lt;&gt;"",IF(B61="",NOW(),B61),"")</f>
        <v>44008.940830902779</v>
      </c>
      <c r="C61" s="126">
        <f ca="1">IF(Tabel15[[#This Row],[Score]]&lt;&gt;"",IF(C61="",NOW(),C61),"")</f>
        <v>44008.940870254628</v>
      </c>
      <c r="D61" s="217">
        <f ca="1">IF(OR(Tabel15[[#This Row],[Starttijd]]="",Tabel15[[#This Row],[Eindtijd]]=""),"",Tabel15[[#This Row],[Eindtijd]]-Tabel15[[#This Row],[Starttijd]])</f>
        <v>3.9351849409285933E-5</v>
      </c>
      <c r="E61" s="74">
        <v>61</v>
      </c>
      <c r="F61" s="40" t="s">
        <v>6</v>
      </c>
      <c r="G61" s="76">
        <v>6</v>
      </c>
      <c r="H61" s="40" t="s">
        <v>0</v>
      </c>
      <c r="I61" s="76">
        <v>4</v>
      </c>
      <c r="J61" s="41" t="s">
        <v>13</v>
      </c>
      <c r="K61" s="78">
        <v>4</v>
      </c>
      <c r="L61" s="41" t="s">
        <v>7</v>
      </c>
      <c r="M61" s="78">
        <v>8</v>
      </c>
      <c r="N61" s="81">
        <f t="shared" si="11"/>
        <v>10</v>
      </c>
      <c r="O61" s="82">
        <f t="shared" si="12"/>
        <v>12</v>
      </c>
      <c r="P6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Row],[Score4]]&lt;&gt;""),IF(AND(N61&gt;O61,N61&gt;=11),"ROOD",IF(AND(O61&gt;=11,N61&lt;&gt;O61),"GROEN","")),"")</f>
        <v>GROEN</v>
      </c>
      <c r="Q61" s="86" t="str">
        <f t="shared" si="0"/>
        <v>Bert</v>
      </c>
      <c r="R61" s="87" t="str">
        <f t="shared" si="1"/>
        <v>Tiemen</v>
      </c>
      <c r="S61" s="293" t="str">
        <f>Tabel15[[#This Row],[Rood Verdediging]]&amp;Tabel15[[#This Row],[Rood Aanval]]</f>
        <v>Stef DJonas</v>
      </c>
      <c r="T61" s="293" t="str">
        <f>Tabel15[[#This Row],[Groen Verdediging]]&amp;Tabel15[[#This Row],[Groen Aanval]]</f>
        <v>BertTiemen</v>
      </c>
      <c r="U61" s="293" t="str">
        <f>Tabel15[[#This Row],[Winnaar 1]]&amp;Tabel15[[#This Row],[Winnaar 2]]</f>
        <v>BertTiemen</v>
      </c>
      <c r="V61" s="147" t="b">
        <f>IF(Tabel15[[#This Row],[Team Rood]]=Tabel15[[#This Row],[Winnaars]],Tabel15[[#This Row],[Team Rood]])</f>
        <v>0</v>
      </c>
      <c r="W61" s="147" t="str">
        <f>IF(Tabel15[[#This Row],[Team Groen]]=Tabel15[[#This Row],[Winnaars]],Tabel15[[#This Row],[Team Groen]])</f>
        <v>BertTiemen</v>
      </c>
      <c r="X61" s="283">
        <v>-6.8958065570534437</v>
      </c>
      <c r="Y61" s="283">
        <v>-5.3419437426283425</v>
      </c>
      <c r="Z61" s="283">
        <v>26.618983279542547</v>
      </c>
      <c r="AA61" s="283">
        <v>29.845877618615479</v>
      </c>
      <c r="AL61" s="251" t="s">
        <v>164</v>
      </c>
      <c r="AM61" s="233" t="s">
        <v>157</v>
      </c>
      <c r="AN61" s="140" t="str">
        <f t="shared" si="10"/>
        <v>Karel*Tobi*</v>
      </c>
      <c r="AO61" s="160">
        <f>IF(Tabel5[[#This Row],[Aantal Games Rood]]=0,0,(Tabel5[[#This Row],[Wins Rood]])/Tabel5[[#This Row],[Aantal Games Rood]])</f>
        <v>0</v>
      </c>
      <c r="AP61" s="159">
        <f>IF(Tabel5[[#This Row],[Aantal Games Groen]]=0,0,(Tabel5[[#This Row],[Wins Groen]])/Tabel5[[#This Row],[Aantal Games Groen]])</f>
        <v>0</v>
      </c>
      <c r="AQ61" s="156">
        <f>IF(Tabel5[[#This Row],[Aantal games Alg]]=0,0,(Tabel5[[#This Row],[Wins Alg]])/Tabel5[[#This Row],[Aantal games Alg]])</f>
        <v>0</v>
      </c>
      <c r="AR61" s="133">
        <f>COUNTIF(Tabel15[Winaar rood],Tabel5[[#This Row],[Team]])</f>
        <v>0</v>
      </c>
      <c r="AS61" s="134">
        <f>COUNTIF(Tabel15[Winnaar Groen],Tabel5[[#This Row],[Team]])</f>
        <v>0</v>
      </c>
      <c r="AT61">
        <f>COUNTIF(Tabel15[Winnaars],Tabel5[[#This Row],[Team]])</f>
        <v>0</v>
      </c>
      <c r="AU61" s="135">
        <f>Tabel5[[#This Row],[Aantal Games Rood]]-Tabel5[[#This Row],[Wins Rood]]</f>
        <v>0</v>
      </c>
      <c r="AV61" s="136">
        <f>Tabel5[[#This Row],[Aantal Games Groen]]-Tabel5[[#This Row],[Wins Groen]]</f>
        <v>0</v>
      </c>
      <c r="AW61" s="137">
        <f>Tabel5[[#This Row],[Aantal games Alg]]-Tabel5[[#This Row],[Wins Alg]]</f>
        <v>0</v>
      </c>
      <c r="AX61" s="138">
        <f>COUNTIF(Tabel15[Team Rood],Tabel5[[#This Row],[Team]])</f>
        <v>0</v>
      </c>
      <c r="AY61" s="136">
        <f>COUNTIF(Tabel15[Team Groen],Tabel5[[#This Row],[Team]])</f>
        <v>0</v>
      </c>
      <c r="AZ61" s="112">
        <f>Tabel5[[#This Row],[Aantal Games Rood]]+Tabel5[[#This Row],[Aantal Games Groen]]</f>
        <v>0</v>
      </c>
      <c r="BA61" s="138">
        <f>SUMIF(Tabel15[Team Rood],Tabel5[[#This Row],[Team]],Tabel15[Score])</f>
        <v>0</v>
      </c>
      <c r="BB61" s="138">
        <f>SUMIF(Tabel15[Team Rood],Tabel5[[#This Row],[Team]],Tabel15[Score2])</f>
        <v>0</v>
      </c>
      <c r="BC61" s="134">
        <f>SUMIF(Tabel15[Team Groen],Tabel5[[#This Row],[Team]],Tabel15[Score3])</f>
        <v>0</v>
      </c>
      <c r="BD61" s="136">
        <f>SUMIF(Tabel15[Team Groen],Tabel5[[#This Row],[Team]],Tabel15[Score4])</f>
        <v>0</v>
      </c>
      <c r="BE61">
        <f>SUM(Tabel5[[#This Row],[Goals Verdediger]]+Tabel5[[#This Row],[Goals DefG]])</f>
        <v>0</v>
      </c>
      <c r="BF61">
        <f>IF(Tabel5[[#This Row],[Aantal games Alg]]=0,0,Tabel5[[#This Row],[Goals DefA]]/Tabel5[[#This Row],[Aantal games Alg]])</f>
        <v>0</v>
      </c>
      <c r="BG61">
        <f>SUM(Tabel5[[#This Row],[Goals Aanvaller]]+Tabel5[[#This Row],[Goals OffG]])</f>
        <v>0</v>
      </c>
      <c r="BH61">
        <f>IF(Tabel5[[#This Row],[Aantal games Alg]]=0,0,Tabel5[[#This Row],[Goals OffA]]/Tabel5[[#This Row],[Aantal games Alg]])</f>
        <v>0</v>
      </c>
      <c r="BI61" s="112">
        <f>Tabel5[[#This Row],[Goals DefA]]+Tabel5[[#This Row],[Goals OffA]]</f>
        <v>0</v>
      </c>
      <c r="BJ61" s="112">
        <f>IF(Tabel5[[#This Row],[Aantal games Alg]]=0,0,Tabel5[[#This Row],[Goals Alg]]/Tabel5[[#This Row],[Aantal games Alg]])</f>
        <v>0</v>
      </c>
      <c r="BK61" s="148">
        <f>SUMIF(Tabel15[Team Rood],Tabel5[[#This Row],[Team]],Tabel15[ET])</f>
        <v>0</v>
      </c>
      <c r="BL61" s="150">
        <f>SUMIF(Tabel15[Team Groen],Tabel5[[#This Row],[Team]],Tabel15[ET])</f>
        <v>0</v>
      </c>
      <c r="BM61" s="153">
        <f>SUM(Tabel5[[#This Row],[ET Groen tot]],Tabel5[[#This Row],[ET Rood tot]])</f>
        <v>0</v>
      </c>
      <c r="BN61" s="155">
        <f>IF(Tabel5[[#This Row],[Aantal games Alg]]=0,0,Tabel5[[#This Row],[ET tot]]/Tabel5[[#This Row],[Aantal games Alg]])</f>
        <v>0</v>
      </c>
    </row>
    <row r="62" spans="1:66" x14ac:dyDescent="0.25">
      <c r="A62" s="215">
        <f ca="1">IF(Tabel15[[#This Row],[Rood Verdediging]]&lt;&gt;"",IF(A62="",NOW(),A62),"")</f>
        <v>44008.952693981482</v>
      </c>
      <c r="B62" s="128">
        <f ca="1">IF(Tabel15[[#This Row],[Rood Verdediging]]&lt;&gt;"",IF(B62="",NOW(),B62),"")</f>
        <v>44008.952693981482</v>
      </c>
      <c r="C62" s="126">
        <f ca="1">IF(Tabel15[[#This Row],[Score]]&lt;&gt;"",IF(C62="",NOW(),C62),"")</f>
        <v>44008.952705324074</v>
      </c>
      <c r="D62" s="217">
        <f ca="1">IF(OR(Tabel15[[#This Row],[Starttijd]]="",Tabel15[[#This Row],[Eindtijd]]=""),"",Tabel15[[#This Row],[Eindtijd]]-Tabel15[[#This Row],[Starttijd]])</f>
        <v>1.1342592188157141E-5</v>
      </c>
      <c r="E62" s="74">
        <v>62</v>
      </c>
      <c r="F62" s="40" t="s">
        <v>7</v>
      </c>
      <c r="G62" s="76">
        <v>2</v>
      </c>
      <c r="H62" s="40" t="s">
        <v>6</v>
      </c>
      <c r="I62" s="76">
        <v>9</v>
      </c>
      <c r="J62" s="41" t="s">
        <v>13</v>
      </c>
      <c r="K62" s="78">
        <v>3</v>
      </c>
      <c r="L62" s="41" t="s">
        <v>0</v>
      </c>
      <c r="M62" s="78">
        <v>6</v>
      </c>
      <c r="N62" s="81">
        <f t="shared" si="11"/>
        <v>11</v>
      </c>
      <c r="O62" s="82">
        <f t="shared" si="12"/>
        <v>9</v>
      </c>
      <c r="P6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Row],[Score4]]&lt;&gt;""),IF(AND(N62&gt;O62,N62&gt;=11),"ROOD",IF(AND(O62&gt;=11,N62&lt;&gt;O62),"GROEN","")),"")</f>
        <v>ROOD</v>
      </c>
      <c r="Q62" s="86" t="str">
        <f t="shared" si="0"/>
        <v>Tiemen</v>
      </c>
      <c r="R62" s="87" t="str">
        <f t="shared" si="1"/>
        <v>Stef D</v>
      </c>
      <c r="S62" s="293" t="str">
        <f>Tabel15[[#This Row],[Rood Verdediging]]&amp;Tabel15[[#This Row],[Rood Aanval]]</f>
        <v>TiemenStef D</v>
      </c>
      <c r="T62" s="293" t="str">
        <f>Tabel15[[#This Row],[Groen Verdediging]]&amp;Tabel15[[#This Row],[Groen Aanval]]</f>
        <v>BertJonas</v>
      </c>
      <c r="U62" s="293" t="str">
        <f>Tabel15[[#This Row],[Winnaar 1]]&amp;Tabel15[[#This Row],[Winnaar 2]]</f>
        <v>TiemenStef D</v>
      </c>
      <c r="V62" s="147" t="str">
        <f>IF(Tabel15[[#This Row],[Team Rood]]=Tabel15[[#This Row],[Winnaars]],Tabel15[[#This Row],[Team Rood]])</f>
        <v>TiemenStef D</v>
      </c>
      <c r="W62" s="147" t="b">
        <f>IF(Tabel15[[#This Row],[Team Groen]]=Tabel15[[#This Row],[Winnaars]],Tabel15[[#This Row],[Team Groen]])</f>
        <v>0</v>
      </c>
      <c r="X62" s="283">
        <v>19.523779725898855</v>
      </c>
      <c r="Y62" s="283">
        <v>15.72719293142154</v>
      </c>
      <c r="Z62" s="283">
        <v>-1.5872370661240844</v>
      </c>
      <c r="AA62" s="283">
        <v>-1.3444580153881516</v>
      </c>
      <c r="AL62" s="251" t="s">
        <v>67</v>
      </c>
      <c r="AM62" s="233" t="s">
        <v>158</v>
      </c>
      <c r="AN62" s="140" t="str">
        <f t="shared" si="10"/>
        <v>LawrenceArno*</v>
      </c>
      <c r="AO62" s="160">
        <f>IF(Tabel5[[#This Row],[Aantal Games Rood]]=0,0,(Tabel5[[#This Row],[Wins Rood]])/Tabel5[[#This Row],[Aantal Games Rood]])</f>
        <v>0</v>
      </c>
      <c r="AP62" s="159">
        <f>IF(Tabel5[[#This Row],[Aantal Games Groen]]=0,0,(Tabel5[[#This Row],[Wins Groen]])/Tabel5[[#This Row],[Aantal Games Groen]])</f>
        <v>0</v>
      </c>
      <c r="AQ62" s="156">
        <f>IF(Tabel5[[#This Row],[Aantal games Alg]]=0,0,(Tabel5[[#This Row],[Wins Alg]])/Tabel5[[#This Row],[Aantal games Alg]])</f>
        <v>0</v>
      </c>
      <c r="AR62" s="138">
        <f>COUNTIF(Tabel15[Winaar rood],Tabel5[[#This Row],[Team]])</f>
        <v>0</v>
      </c>
      <c r="AS62" s="134">
        <f>COUNTIF(Tabel15[Winnaar Groen],Tabel5[[#This Row],[Team]])</f>
        <v>0</v>
      </c>
      <c r="AT62">
        <f>COUNTIF(Tabel15[Winnaars],Tabel5[[#This Row],[Team]])</f>
        <v>0</v>
      </c>
      <c r="AU62" s="135">
        <f>Tabel5[[#This Row],[Aantal Games Rood]]-Tabel5[[#This Row],[Wins Rood]]</f>
        <v>0</v>
      </c>
      <c r="AV62" s="136">
        <f>Tabel5[[#This Row],[Aantal Games Groen]]-Tabel5[[#This Row],[Wins Groen]]</f>
        <v>0</v>
      </c>
      <c r="AW62" s="137">
        <f>Tabel5[[#This Row],[Aantal games Alg]]-Tabel5[[#This Row],[Wins Alg]]</f>
        <v>0</v>
      </c>
      <c r="AX62" s="138">
        <f>COUNTIF(Tabel15[Team Rood],Tabel5[[#This Row],[Team]])</f>
        <v>0</v>
      </c>
      <c r="AY62" s="136">
        <f>COUNTIF(Tabel15[Team Groen],Tabel5[[#This Row],[Team]])</f>
        <v>0</v>
      </c>
      <c r="AZ62" s="112">
        <f>Tabel5[[#This Row],[Aantal Games Rood]]+Tabel5[[#This Row],[Aantal Games Groen]]</f>
        <v>0</v>
      </c>
      <c r="BA62" s="138">
        <f>SUMIF(Tabel15[Team Rood],Tabel5[[#This Row],[Team]],Tabel15[Score])</f>
        <v>0</v>
      </c>
      <c r="BB62" s="138">
        <f>SUMIF(Tabel15[Team Rood],Tabel5[[#This Row],[Team]],Tabel15[Score2])</f>
        <v>0</v>
      </c>
      <c r="BC62" s="134">
        <f>SUMIF(Tabel15[Team Groen],Tabel5[[#This Row],[Team]],Tabel15[Score3])</f>
        <v>0</v>
      </c>
      <c r="BD62" s="136">
        <f>SUMIF(Tabel15[Team Groen],Tabel5[[#This Row],[Team]],Tabel15[Score4])</f>
        <v>0</v>
      </c>
      <c r="BE62">
        <f>SUM(Tabel5[[#This Row],[Goals Verdediger]]+Tabel5[[#This Row],[Goals DefG]])</f>
        <v>0</v>
      </c>
      <c r="BF62">
        <f>IF(Tabel5[[#This Row],[Aantal games Alg]]=0,0,Tabel5[[#This Row],[Goals DefA]]/Tabel5[[#This Row],[Aantal games Alg]])</f>
        <v>0</v>
      </c>
      <c r="BG62">
        <f>SUM(Tabel5[[#This Row],[Goals Aanvaller]]+Tabel5[[#This Row],[Goals OffG]])</f>
        <v>0</v>
      </c>
      <c r="BH62">
        <f>IF(Tabel5[[#This Row],[Aantal games Alg]]=0,0,Tabel5[[#This Row],[Goals OffA]]/Tabel5[[#This Row],[Aantal games Alg]])</f>
        <v>0</v>
      </c>
      <c r="BI62" s="112">
        <f>Tabel5[[#This Row],[Goals DefA]]+Tabel5[[#This Row],[Goals OffA]]</f>
        <v>0</v>
      </c>
      <c r="BJ62" s="112">
        <f>IF(Tabel5[[#This Row],[Aantal games Alg]]=0,0,Tabel5[[#This Row],[Goals Alg]]/Tabel5[[#This Row],[Aantal games Alg]])</f>
        <v>0</v>
      </c>
      <c r="BK62" s="148">
        <f>SUMIF(Tabel15[Team Rood],Tabel5[[#This Row],[Team]],Tabel15[ET])</f>
        <v>0</v>
      </c>
      <c r="BL62" s="150">
        <f>SUMIF(Tabel15[Team Groen],Tabel5[[#This Row],[Team]],Tabel15[ET])</f>
        <v>0</v>
      </c>
      <c r="BM62" s="153">
        <f>SUM(Tabel5[[#This Row],[ET Groen tot]],Tabel5[[#This Row],[ET Rood tot]])</f>
        <v>0</v>
      </c>
      <c r="BN62" s="155">
        <f>IF(Tabel5[[#This Row],[Aantal games Alg]]=0,0,Tabel5[[#This Row],[ET tot]]/Tabel5[[#This Row],[Aantal games Alg]])</f>
        <v>0</v>
      </c>
    </row>
    <row r="63" spans="1:66" ht="13.9" customHeight="1" x14ac:dyDescent="0.25">
      <c r="A63" s="215">
        <f ca="1">IF(Tabel15[[#This Row],[Rood Verdediging]]&lt;&gt;"",IF(A63="",NOW(),A63),"")</f>
        <v>44008.962835763887</v>
      </c>
      <c r="B63" s="128">
        <f ca="1">IF(Tabel15[[#This Row],[Rood Verdediging]]&lt;&gt;"",IF(B63="",NOW(),B63),"")</f>
        <v>44008.962835763887</v>
      </c>
      <c r="C63" s="126">
        <f ca="1">IF(Tabel15[[#This Row],[Score]]&lt;&gt;"",IF(C63="",NOW(),C63),"")</f>
        <v>44008.962866550923</v>
      </c>
      <c r="D63" s="217">
        <f ca="1">IF(OR(Tabel15[[#This Row],[Starttijd]]="",Tabel15[[#This Row],[Eindtijd]]=""),"",Tabel15[[#This Row],[Eindtijd]]-Tabel15[[#This Row],[Starttijd]])</f>
        <v>3.0787035939283669E-5</v>
      </c>
      <c r="E63" s="74">
        <v>63</v>
      </c>
      <c r="F63" s="40" t="s">
        <v>6</v>
      </c>
      <c r="G63" s="76">
        <v>2</v>
      </c>
      <c r="H63" s="40" t="s">
        <v>7</v>
      </c>
      <c r="I63" s="76">
        <v>3</v>
      </c>
      <c r="J63" s="41" t="s">
        <v>0</v>
      </c>
      <c r="K63" s="78">
        <v>1</v>
      </c>
      <c r="L63" s="41" t="s">
        <v>13</v>
      </c>
      <c r="M63" s="78">
        <v>10</v>
      </c>
      <c r="N63" s="81">
        <f t="shared" si="11"/>
        <v>5</v>
      </c>
      <c r="O63" s="82">
        <f t="shared" si="12"/>
        <v>11</v>
      </c>
      <c r="P6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Row],[Score4]]&lt;&gt;""),IF(AND(N63&gt;O63,N63&gt;=11),"ROOD",IF(AND(O63&gt;=11,N63&lt;&gt;O63),"GROEN","")),"")</f>
        <v>GROEN</v>
      </c>
      <c r="Q63" s="86" t="str">
        <f t="shared" si="0"/>
        <v>Jonas</v>
      </c>
      <c r="R63" s="87" t="str">
        <f t="shared" si="1"/>
        <v>Bert</v>
      </c>
      <c r="S63" s="293" t="str">
        <f>Tabel15[[#This Row],[Rood Verdediging]]&amp;Tabel15[[#This Row],[Rood Aanval]]</f>
        <v>Stef DTiemen</v>
      </c>
      <c r="T63" s="293" t="str">
        <f>Tabel15[[#This Row],[Groen Verdediging]]&amp;Tabel15[[#This Row],[Groen Aanval]]</f>
        <v>JonasBert</v>
      </c>
      <c r="U63" s="293" t="str">
        <f>Tabel15[[#This Row],[Winnaar 1]]&amp;Tabel15[[#This Row],[Winnaar 2]]</f>
        <v>JonasBert</v>
      </c>
      <c r="V63" s="147" t="b">
        <f>IF(Tabel15[[#This Row],[Team Rood]]=Tabel15[[#This Row],[Winnaars]],Tabel15[[#This Row],[Team Rood]])</f>
        <v>0</v>
      </c>
      <c r="W63" s="147" t="str">
        <f>IF(Tabel15[[#This Row],[Team Groen]]=Tabel15[[#This Row],[Winnaars]],Tabel15[[#This Row],[Team Groen]])</f>
        <v>JonasBert</v>
      </c>
      <c r="X63" s="283">
        <v>-5.3737944508262396</v>
      </c>
      <c r="Y63" s="283">
        <v>-4.7855536639341896</v>
      </c>
      <c r="Z63" s="283">
        <v>26.369946356669271</v>
      </c>
      <c r="AA63" s="283">
        <v>28.223207739241566</v>
      </c>
      <c r="AL63" s="251" t="s">
        <v>67</v>
      </c>
      <c r="AM63" s="233" t="s">
        <v>163</v>
      </c>
      <c r="AN63" s="140" t="str">
        <f t="shared" si="10"/>
        <v>LawrenceBert*</v>
      </c>
      <c r="AO63" s="160">
        <f>IF(Tabel5[[#This Row],[Aantal Games Rood]]=0,0,(Tabel5[[#This Row],[Wins Rood]])/Tabel5[[#This Row],[Aantal Games Rood]])</f>
        <v>0</v>
      </c>
      <c r="AP63" s="159">
        <f>IF(Tabel5[[#This Row],[Aantal Games Groen]]=0,0,(Tabel5[[#This Row],[Wins Groen]])/Tabel5[[#This Row],[Aantal Games Groen]])</f>
        <v>0</v>
      </c>
      <c r="AQ63" s="156">
        <f>IF(Tabel5[[#This Row],[Aantal games Alg]]=0,0,(Tabel5[[#This Row],[Wins Alg]])/Tabel5[[#This Row],[Aantal games Alg]])</f>
        <v>0</v>
      </c>
      <c r="AR63" s="133">
        <f>COUNTIF(Tabel15[Winaar rood],Tabel5[[#This Row],[Team]])</f>
        <v>0</v>
      </c>
      <c r="AS63" s="134">
        <f>COUNTIF(Tabel15[Winnaar Groen],Tabel5[[#This Row],[Team]])</f>
        <v>0</v>
      </c>
      <c r="AT63" s="293">
        <f>COUNTIF(Tabel15[Winnaars],Tabel5[[#This Row],[Team]])</f>
        <v>0</v>
      </c>
      <c r="AU63" s="135">
        <f>Tabel5[[#This Row],[Aantal Games Rood]]-Tabel5[[#This Row],[Wins Rood]]</f>
        <v>0</v>
      </c>
      <c r="AV63" s="136">
        <f>Tabel5[[#This Row],[Aantal Games Groen]]-Tabel5[[#This Row],[Wins Groen]]</f>
        <v>0</v>
      </c>
      <c r="AW63" s="137">
        <f>Tabel5[[#This Row],[Aantal games Alg]]-Tabel5[[#This Row],[Wins Alg]]</f>
        <v>0</v>
      </c>
      <c r="AX63" s="138">
        <f>COUNTIF(Tabel15[Team Rood],Tabel5[[#This Row],[Team]])</f>
        <v>0</v>
      </c>
      <c r="AY63" s="136">
        <f>COUNTIF(Tabel15[Team Groen],Tabel5[[#This Row],[Team]])</f>
        <v>0</v>
      </c>
      <c r="AZ63" s="214">
        <f>Tabel5[[#This Row],[Aantal Games Rood]]+Tabel5[[#This Row],[Aantal Games Groen]]</f>
        <v>0</v>
      </c>
      <c r="BA63" s="138">
        <f>SUMIF(Tabel15[Team Rood],Tabel5[[#This Row],[Team]],Tabel15[Score])</f>
        <v>0</v>
      </c>
      <c r="BB63" s="138">
        <f>SUMIF(Tabel15[Team Rood],Tabel5[[#This Row],[Team]],Tabel15[Score2])</f>
        <v>0</v>
      </c>
      <c r="BC63" s="134">
        <f>SUMIF(Tabel15[Team Groen],Tabel5[[#This Row],[Team]],Tabel15[Score3])</f>
        <v>0</v>
      </c>
      <c r="BD63" s="136">
        <f>SUMIF(Tabel15[Team Groen],Tabel5[[#This Row],[Team]],Tabel15[Score4])</f>
        <v>0</v>
      </c>
      <c r="BE63" s="293">
        <f>SUM(Tabel5[[#This Row],[Goals Verdediger]]+Tabel5[[#This Row],[Goals DefG]])</f>
        <v>0</v>
      </c>
      <c r="BF63" s="293">
        <f>IF(Tabel5[[#This Row],[Aantal games Alg]]=0,0,Tabel5[[#This Row],[Goals DefA]]/Tabel5[[#This Row],[Aantal games Alg]])</f>
        <v>0</v>
      </c>
      <c r="BG63" s="293">
        <f>SUM(Tabel5[[#This Row],[Goals Aanvaller]]+Tabel5[[#This Row],[Goals OffG]])</f>
        <v>0</v>
      </c>
      <c r="BH63" s="293">
        <f>IF(Tabel5[[#This Row],[Aantal games Alg]]=0,0,Tabel5[[#This Row],[Goals OffA]]/Tabel5[[#This Row],[Aantal games Alg]])</f>
        <v>0</v>
      </c>
      <c r="BI63" s="214">
        <f>Tabel5[[#This Row],[Goals DefA]]+Tabel5[[#This Row],[Goals OffA]]</f>
        <v>0</v>
      </c>
      <c r="BJ63" s="214">
        <f>IF(Tabel5[[#This Row],[Aantal games Alg]]=0,0,Tabel5[[#This Row],[Goals Alg]]/Tabel5[[#This Row],[Aantal games Alg]])</f>
        <v>0</v>
      </c>
      <c r="BK63" s="148">
        <f>SUMIF(Tabel15[Team Rood],Tabel5[[#This Row],[Team]],Tabel15[ET])</f>
        <v>0</v>
      </c>
      <c r="BL63" s="150">
        <f>SUMIF(Tabel15[Team Groen],Tabel5[[#This Row],[Team]],Tabel15[ET])</f>
        <v>0</v>
      </c>
      <c r="BM63" s="153">
        <f>SUM(Tabel5[[#This Row],[ET Groen tot]],Tabel5[[#This Row],[ET Rood tot]])</f>
        <v>0</v>
      </c>
      <c r="BN63" s="155">
        <f>IF(Tabel5[[#This Row],[Aantal games Alg]]=0,0,Tabel5[[#This Row],[ET tot]]/Tabel5[[#This Row],[Aantal games Alg]])</f>
        <v>0</v>
      </c>
    </row>
    <row r="64" spans="1:66" x14ac:dyDescent="0.25">
      <c r="A64" s="215">
        <f ca="1">IF(Tabel15[[#This Row],[Rood Verdediging]]&lt;&gt;"",IF(A64="",NOW(),A64),"")</f>
        <v>44009.891141550928</v>
      </c>
      <c r="B64" s="128">
        <f ca="1">IF(Tabel15[[#This Row],[Rood Verdediging]]&lt;&gt;"",IF(B64="",NOW(),B64),"")</f>
        <v>44009.891141550928</v>
      </c>
      <c r="C64" s="126">
        <f ca="1">IF(Tabel15[[#This Row],[Score]]&lt;&gt;"",IF(C64="",NOW(),C64),"")</f>
        <v>44009.903459027781</v>
      </c>
      <c r="D64" s="217">
        <f ca="1">IF(OR(Tabel15[[#This Row],[Starttijd]]="",Tabel15[[#This Row],[Eindtijd]]=""),"",Tabel15[[#This Row],[Eindtijd]]-Tabel15[[#This Row],[Starttijd]])</f>
        <v>1.2317476852331311E-2</v>
      </c>
      <c r="E64" s="74">
        <v>64</v>
      </c>
      <c r="F64" s="40" t="s">
        <v>71</v>
      </c>
      <c r="G64" s="76">
        <v>2</v>
      </c>
      <c r="H64" s="40" t="s">
        <v>6</v>
      </c>
      <c r="I64" s="76">
        <v>7</v>
      </c>
      <c r="J64" s="41" t="s">
        <v>8</v>
      </c>
      <c r="K64" s="78">
        <v>3</v>
      </c>
      <c r="L64" s="41" t="s">
        <v>3</v>
      </c>
      <c r="M64" s="78">
        <v>8</v>
      </c>
      <c r="N64" s="81">
        <f t="shared" si="11"/>
        <v>9</v>
      </c>
      <c r="O64" s="82">
        <f t="shared" si="12"/>
        <v>11</v>
      </c>
      <c r="P6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Row],[Score4]]&lt;&gt;""),IF(AND(N64&gt;O64,N64&gt;=11),"ROOD",IF(AND(O64&gt;=11,N64&lt;&gt;O64),"GROEN","")),"")</f>
        <v>GROEN</v>
      </c>
      <c r="Q64" s="86" t="str">
        <f t="shared" si="0"/>
        <v>Louis</v>
      </c>
      <c r="R64" s="87" t="str">
        <f t="shared" si="1"/>
        <v>Karel</v>
      </c>
      <c r="S64" s="293" t="str">
        <f>Tabel15[[#This Row],[Rood Verdediging]]&amp;Tabel15[[#This Row],[Rood Aanval]]</f>
        <v>Matthijs Stef D</v>
      </c>
      <c r="T64" s="293" t="str">
        <f>Tabel15[[#This Row],[Groen Verdediging]]&amp;Tabel15[[#This Row],[Groen Aanval]]</f>
        <v>LouisKarel</v>
      </c>
      <c r="U64" s="293" t="str">
        <f>Tabel15[[#This Row],[Winnaar 1]]&amp;Tabel15[[#This Row],[Winnaar 2]]</f>
        <v>LouisKarel</v>
      </c>
      <c r="V64" s="147" t="b">
        <f>IF(Tabel15[[#This Row],[Team Rood]]=Tabel15[[#This Row],[Winnaars]],Tabel15[[#This Row],[Team Rood]])</f>
        <v>0</v>
      </c>
      <c r="W64" s="147" t="str">
        <f>IF(Tabel15[[#This Row],[Team Groen]]=Tabel15[[#This Row],[Winnaars]],Tabel15[[#This Row],[Team Groen]])</f>
        <v>LouisKarel</v>
      </c>
      <c r="X64" s="283">
        <v>-6.9096001023575369</v>
      </c>
      <c r="Y64" s="283">
        <v>-9.2172968039269794</v>
      </c>
      <c r="Z64" s="283">
        <v>36.948435059936848</v>
      </c>
      <c r="AA64" s="283">
        <v>32.24284049100276</v>
      </c>
      <c r="AL64" s="251" t="s">
        <v>67</v>
      </c>
      <c r="AM64" s="233" t="s">
        <v>168</v>
      </c>
      <c r="AN64" s="140" t="str">
        <f t="shared" si="10"/>
        <v>LawrenceCoghe*</v>
      </c>
      <c r="AO64" s="160">
        <f>IF(Tabel5[[#This Row],[Aantal Games Rood]]=0,0,(Tabel5[[#This Row],[Wins Rood]])/Tabel5[[#This Row],[Aantal Games Rood]])</f>
        <v>0</v>
      </c>
      <c r="AP64" s="159">
        <f>IF(Tabel5[[#This Row],[Aantal Games Groen]]=0,0,(Tabel5[[#This Row],[Wins Groen]])/Tabel5[[#This Row],[Aantal Games Groen]])</f>
        <v>0</v>
      </c>
      <c r="AQ64" s="156">
        <f>IF(Tabel5[[#This Row],[Aantal games Alg]]=0,0,(Tabel5[[#This Row],[Wins Alg]])/Tabel5[[#This Row],[Aantal games Alg]])</f>
        <v>0</v>
      </c>
      <c r="AR64" s="133">
        <f>COUNTIF(Tabel15[Winaar rood],Tabel5[[#This Row],[Team]])</f>
        <v>0</v>
      </c>
      <c r="AS64" s="134">
        <f>COUNTIF(Tabel15[Winnaar Groen],Tabel5[[#This Row],[Team]])</f>
        <v>0</v>
      </c>
      <c r="AT64">
        <f>COUNTIF(Tabel15[Winnaars],Tabel5[[#This Row],[Team]])</f>
        <v>0</v>
      </c>
      <c r="AU64" s="135">
        <f>Tabel5[[#This Row],[Aantal Games Rood]]-Tabel5[[#This Row],[Wins Rood]]</f>
        <v>0</v>
      </c>
      <c r="AV64" s="136">
        <f>Tabel5[[#This Row],[Aantal Games Groen]]-Tabel5[[#This Row],[Wins Groen]]</f>
        <v>0</v>
      </c>
      <c r="AW64" s="137">
        <f>Tabel5[[#This Row],[Aantal games Alg]]-Tabel5[[#This Row],[Wins Alg]]</f>
        <v>0</v>
      </c>
      <c r="AX64" s="138">
        <f>COUNTIF(Tabel15[Team Rood],Tabel5[[#This Row],[Team]])</f>
        <v>0</v>
      </c>
      <c r="AY64" s="136">
        <f>COUNTIF(Tabel15[Team Groen],Tabel5[[#This Row],[Team]])</f>
        <v>0</v>
      </c>
      <c r="AZ64" s="112">
        <f>Tabel5[[#This Row],[Aantal Games Rood]]+Tabel5[[#This Row],[Aantal Games Groen]]</f>
        <v>0</v>
      </c>
      <c r="BA64" s="138">
        <f>SUMIF(Tabel15[Team Rood],Tabel5[[#This Row],[Team]],Tabel15[Score])</f>
        <v>0</v>
      </c>
      <c r="BB64" s="138">
        <f>SUMIF(Tabel15[Team Rood],Tabel5[[#This Row],[Team]],Tabel15[Score2])</f>
        <v>0</v>
      </c>
      <c r="BC64" s="134">
        <f>SUMIF(Tabel15[Team Groen],Tabel5[[#This Row],[Team]],Tabel15[Score3])</f>
        <v>0</v>
      </c>
      <c r="BD64" s="136">
        <f>SUMIF(Tabel15[Team Groen],Tabel5[[#This Row],[Team]],Tabel15[Score4])</f>
        <v>0</v>
      </c>
      <c r="BE64">
        <f>SUM(Tabel5[[#This Row],[Goals Verdediger]]+Tabel5[[#This Row],[Goals DefG]])</f>
        <v>0</v>
      </c>
      <c r="BF64">
        <f>IF(Tabel5[[#This Row],[Aantal games Alg]]=0,0,Tabel5[[#This Row],[Goals DefA]]/Tabel5[[#This Row],[Aantal games Alg]])</f>
        <v>0</v>
      </c>
      <c r="BG64">
        <f>SUM(Tabel5[[#This Row],[Goals Aanvaller]]+Tabel5[[#This Row],[Goals OffG]])</f>
        <v>0</v>
      </c>
      <c r="BH64">
        <f>IF(Tabel5[[#This Row],[Aantal games Alg]]=0,0,Tabel5[[#This Row],[Goals OffA]]/Tabel5[[#This Row],[Aantal games Alg]])</f>
        <v>0</v>
      </c>
      <c r="BI64" s="112">
        <f>Tabel5[[#This Row],[Goals DefA]]+Tabel5[[#This Row],[Goals OffA]]</f>
        <v>0</v>
      </c>
      <c r="BJ64" s="112">
        <f>IF(Tabel5[[#This Row],[Aantal games Alg]]=0,0,Tabel5[[#This Row],[Goals Alg]]/Tabel5[[#This Row],[Aantal games Alg]])</f>
        <v>0</v>
      </c>
      <c r="BK64" s="148">
        <f>SUMIF(Tabel15[Team Rood],Tabel5[[#This Row],[Team]],Tabel15[ET])</f>
        <v>0</v>
      </c>
      <c r="BL64" s="150">
        <f>SUMIF(Tabel15[Team Groen],Tabel5[[#This Row],[Team]],Tabel15[ET])</f>
        <v>0</v>
      </c>
      <c r="BM64" s="153">
        <f>SUM(Tabel5[[#This Row],[ET Groen tot]],Tabel5[[#This Row],[ET Rood tot]])</f>
        <v>0</v>
      </c>
      <c r="BN64" s="155">
        <f>IF(Tabel5[[#This Row],[Aantal games Alg]]=0,0,Tabel5[[#This Row],[ET tot]]/Tabel5[[#This Row],[Aantal games Alg]])</f>
        <v>0</v>
      </c>
    </row>
    <row r="65" spans="1:66" x14ac:dyDescent="0.25">
      <c r="A65" s="215">
        <f ca="1">IF(Tabel15[[#This Row],[Rood Verdediging]]&lt;&gt;"",IF(A65="",NOW(),A65),"")</f>
        <v>44009.920428124999</v>
      </c>
      <c r="B65" s="128">
        <f ca="1">IF(Tabel15[[#This Row],[Rood Verdediging]]&lt;&gt;"",IF(B65="",NOW(),B65),"")</f>
        <v>44009.920428124999</v>
      </c>
      <c r="C65" s="126">
        <f ca="1">IF(Tabel15[[#This Row],[Score]]&lt;&gt;"",IF(C65="",NOW(),C65),"")</f>
        <v>44009.929208333335</v>
      </c>
      <c r="D65" s="217">
        <f ca="1">IF(OR(Tabel15[[#This Row],[Starttijd]]="",Tabel15[[#This Row],[Eindtijd]]=""),"",Tabel15[[#This Row],[Eindtijd]]-Tabel15[[#This Row],[Starttijd]])</f>
        <v>8.7802083362475969E-3</v>
      </c>
      <c r="E65" s="74">
        <v>65</v>
      </c>
      <c r="F65" s="40" t="s">
        <v>6</v>
      </c>
      <c r="G65" s="76">
        <v>5</v>
      </c>
      <c r="H65" s="40" t="s">
        <v>3</v>
      </c>
      <c r="I65" s="76">
        <v>6</v>
      </c>
      <c r="J65" s="41" t="s">
        <v>8</v>
      </c>
      <c r="K65" s="78">
        <v>4</v>
      </c>
      <c r="L65" s="41" t="s">
        <v>11</v>
      </c>
      <c r="M65" s="78">
        <v>5</v>
      </c>
      <c r="N65" s="81">
        <f t="shared" si="11"/>
        <v>11</v>
      </c>
      <c r="O65" s="82">
        <f t="shared" si="12"/>
        <v>9</v>
      </c>
      <c r="P6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Row],[Score4]]&lt;&gt;""),IF(AND(N65&gt;O65,N65&gt;=11),"ROOD",IF(AND(O65&gt;=11,N65&lt;&gt;O65),"GROEN","")),"")</f>
        <v>ROOD</v>
      </c>
      <c r="Q65" s="86" t="str">
        <f t="shared" si="0"/>
        <v>Stef D</v>
      </c>
      <c r="R65" s="87" t="str">
        <f t="shared" si="1"/>
        <v>Karel</v>
      </c>
      <c r="S65" s="293" t="str">
        <f>Tabel15[[#This Row],[Rood Verdediging]]&amp;Tabel15[[#This Row],[Rood Aanval]]</f>
        <v>Stef DKarel</v>
      </c>
      <c r="T65" s="293" t="str">
        <f>Tabel15[[#This Row],[Groen Verdediging]]&amp;Tabel15[[#This Row],[Groen Aanval]]</f>
        <v>LouisMatthijs</v>
      </c>
      <c r="U65" s="293" t="str">
        <f>Tabel15[[#This Row],[Winnaar 1]]&amp;Tabel15[[#This Row],[Winnaar 2]]</f>
        <v>Stef DKarel</v>
      </c>
      <c r="V65" s="147" t="str">
        <f>IF(Tabel15[[#This Row],[Team Rood]]=Tabel15[[#This Row],[Winnaars]],Tabel15[[#This Row],[Team Rood]])</f>
        <v>Stef DKarel</v>
      </c>
      <c r="W65" s="147" t="b">
        <f>IF(Tabel15[[#This Row],[Team Groen]]=Tabel15[[#This Row],[Winnaars]],Tabel15[[#This Row],[Team Groen]])</f>
        <v>0</v>
      </c>
      <c r="X65" s="283">
        <v>9.9226356173454455</v>
      </c>
      <c r="Y65" s="283">
        <v>10.281045094725936</v>
      </c>
      <c r="Z65" s="283">
        <v>2.8479155369301137</v>
      </c>
      <c r="AA65" s="283">
        <v>3.7182561936753693</v>
      </c>
      <c r="AL65" s="251" t="s">
        <v>67</v>
      </c>
      <c r="AM65" s="233" t="s">
        <v>159</v>
      </c>
      <c r="AN65" s="140" t="str">
        <f t="shared" si="10"/>
        <v>LawrenceJonas*</v>
      </c>
      <c r="AO65" s="160">
        <f>IF(Tabel5[[#This Row],[Aantal Games Rood]]=0,0,(Tabel5[[#This Row],[Wins Rood]])/Tabel5[[#This Row],[Aantal Games Rood]])</f>
        <v>0</v>
      </c>
      <c r="AP65" s="159">
        <f>IF(Tabel5[[#This Row],[Aantal Games Groen]]=0,0,(Tabel5[[#This Row],[Wins Groen]])/Tabel5[[#This Row],[Aantal Games Groen]])</f>
        <v>0</v>
      </c>
      <c r="AQ65" s="156">
        <f>IF(Tabel5[[#This Row],[Aantal games Alg]]=0,0,(Tabel5[[#This Row],[Wins Alg]])/Tabel5[[#This Row],[Aantal games Alg]])</f>
        <v>0</v>
      </c>
      <c r="AR65" s="133">
        <f>COUNTIF(Tabel15[Winaar rood],Tabel5[[#This Row],[Team]])</f>
        <v>0</v>
      </c>
      <c r="AS65" s="134">
        <f>COUNTIF(Tabel15[Winnaar Groen],Tabel5[[#This Row],[Team]])</f>
        <v>0</v>
      </c>
      <c r="AT65">
        <f>COUNTIF(Tabel15[Winnaars],Tabel5[[#This Row],[Team]])</f>
        <v>0</v>
      </c>
      <c r="AU65" s="135">
        <f>Tabel5[[#This Row],[Aantal Games Rood]]-Tabel5[[#This Row],[Wins Rood]]</f>
        <v>0</v>
      </c>
      <c r="AV65" s="136">
        <f>Tabel5[[#This Row],[Aantal Games Groen]]-Tabel5[[#This Row],[Wins Groen]]</f>
        <v>0</v>
      </c>
      <c r="AW65" s="137">
        <f>Tabel5[[#This Row],[Aantal games Alg]]-Tabel5[[#This Row],[Wins Alg]]</f>
        <v>0</v>
      </c>
      <c r="AX65" s="138">
        <f>COUNTIF(Tabel15[Team Rood],Tabel5[[#This Row],[Team]])</f>
        <v>0</v>
      </c>
      <c r="AY65" s="136">
        <f>COUNTIF(Tabel15[Team Groen],Tabel5[[#This Row],[Team]])</f>
        <v>0</v>
      </c>
      <c r="AZ65" s="112">
        <f>Tabel5[[#This Row],[Aantal Games Rood]]+Tabel5[[#This Row],[Aantal Games Groen]]</f>
        <v>0</v>
      </c>
      <c r="BA65" s="138">
        <f>SUMIF(Tabel15[Team Rood],Tabel5[[#This Row],[Team]],Tabel15[Score])</f>
        <v>0</v>
      </c>
      <c r="BB65" s="138">
        <f>SUMIF(Tabel15[Team Rood],Tabel5[[#This Row],[Team]],Tabel15[Score2])</f>
        <v>0</v>
      </c>
      <c r="BC65" s="134">
        <f>SUMIF(Tabel15[Team Groen],Tabel5[[#This Row],[Team]],Tabel15[Score3])</f>
        <v>0</v>
      </c>
      <c r="BD65" s="136">
        <f>SUMIF(Tabel15[Team Groen],Tabel5[[#This Row],[Team]],Tabel15[Score4])</f>
        <v>0</v>
      </c>
      <c r="BE65">
        <f>SUM(Tabel5[[#This Row],[Goals Verdediger]]+Tabel5[[#This Row],[Goals DefG]])</f>
        <v>0</v>
      </c>
      <c r="BF65">
        <f>IF(Tabel5[[#This Row],[Aantal games Alg]]=0,0,Tabel5[[#This Row],[Goals DefA]]/Tabel5[[#This Row],[Aantal games Alg]])</f>
        <v>0</v>
      </c>
      <c r="BG65">
        <f>SUM(Tabel5[[#This Row],[Goals Aanvaller]]+Tabel5[[#This Row],[Goals OffG]])</f>
        <v>0</v>
      </c>
      <c r="BH65">
        <f>IF(Tabel5[[#This Row],[Aantal games Alg]]=0,0,Tabel5[[#This Row],[Goals OffA]]/Tabel5[[#This Row],[Aantal games Alg]])</f>
        <v>0</v>
      </c>
      <c r="BI65" s="112">
        <f>Tabel5[[#This Row],[Goals DefA]]+Tabel5[[#This Row],[Goals OffA]]</f>
        <v>0</v>
      </c>
      <c r="BJ65" s="112">
        <f>IF(Tabel5[[#This Row],[Aantal games Alg]]=0,0,Tabel5[[#This Row],[Goals Alg]]/Tabel5[[#This Row],[Aantal games Alg]])</f>
        <v>0</v>
      </c>
      <c r="BK65" s="148">
        <f>SUMIF(Tabel15[Team Rood],Tabel5[[#This Row],[Team]],Tabel15[ET])</f>
        <v>0</v>
      </c>
      <c r="BL65" s="150">
        <f>SUMIF(Tabel15[Team Groen],Tabel5[[#This Row],[Team]],Tabel15[ET])</f>
        <v>0</v>
      </c>
      <c r="BM65" s="153">
        <f>SUM(Tabel5[[#This Row],[ET Groen tot]],Tabel5[[#This Row],[ET Rood tot]])</f>
        <v>0</v>
      </c>
      <c r="BN65" s="155">
        <f>IF(Tabel5[[#This Row],[Aantal games Alg]]=0,0,Tabel5[[#This Row],[ET tot]]/Tabel5[[#This Row],[Aantal games Alg]])</f>
        <v>0</v>
      </c>
    </row>
    <row r="66" spans="1:66" x14ac:dyDescent="0.25">
      <c r="A66" s="215">
        <f ca="1">IF(Tabel15[[#This Row],[Rood Verdediging]]&lt;&gt;"",IF(A66="",NOW(),A66),"")</f>
        <v>44009.942076504631</v>
      </c>
      <c r="B66" s="128">
        <f ca="1">IF(Tabel15[[#This Row],[Rood Verdediging]]&lt;&gt;"",IF(B66="",NOW(),B66),"")</f>
        <v>44009.942076504631</v>
      </c>
      <c r="C66" s="126">
        <f ca="1">IF(Tabel15[[#This Row],[Score]]&lt;&gt;"",IF(C66="",NOW(),C66),"")</f>
        <v>44009.95606759259</v>
      </c>
      <c r="D66" s="217">
        <f ca="1">IF(OR(Tabel15[[#This Row],[Starttijd]]="",Tabel15[[#This Row],[Eindtijd]]=""),"",Tabel15[[#This Row],[Eindtijd]]-Tabel15[[#This Row],[Starttijd]])</f>
        <v>1.3991087958856951E-2</v>
      </c>
      <c r="E66" s="74">
        <v>66</v>
      </c>
      <c r="F66" s="40" t="s">
        <v>8</v>
      </c>
      <c r="G66" s="76">
        <v>7</v>
      </c>
      <c r="H66" s="40" t="s">
        <v>6</v>
      </c>
      <c r="I66" s="76">
        <v>6</v>
      </c>
      <c r="J66" s="41" t="s">
        <v>11</v>
      </c>
      <c r="K66" s="78">
        <v>3</v>
      </c>
      <c r="L66" s="41" t="s">
        <v>16</v>
      </c>
      <c r="M66" s="78">
        <v>8</v>
      </c>
      <c r="N66" s="81">
        <f t="shared" si="11"/>
        <v>13</v>
      </c>
      <c r="O66" s="82">
        <f t="shared" si="12"/>
        <v>11</v>
      </c>
      <c r="P6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Row],[Score4]]&lt;&gt;""),IF(AND(N66&gt;O66,N66&gt;=11),"ROOD",IF(AND(O66&gt;=11,N66&lt;&gt;O66),"GROEN","")),"")</f>
        <v>ROOD</v>
      </c>
      <c r="Q66" s="86" t="str">
        <f t="shared" ref="Q66:Q129" si="13">IF(N66&gt;O66,F66,IF(N66="","",J66))</f>
        <v>Louis</v>
      </c>
      <c r="R66" s="87" t="str">
        <f t="shared" ref="R66:R129" si="14">IF(N66&gt;O66,H66,IF(N66="","",L66))</f>
        <v>Stef D</v>
      </c>
      <c r="S66" s="293" t="str">
        <f>Tabel15[[#This Row],[Rood Verdediging]]&amp;Tabel15[[#This Row],[Rood Aanval]]</f>
        <v>LouisStef D</v>
      </c>
      <c r="T66" s="293" t="str">
        <f>Tabel15[[#This Row],[Groen Verdediging]]&amp;Tabel15[[#This Row],[Groen Aanval]]</f>
        <v xml:space="preserve">MatthijsKarel </v>
      </c>
      <c r="U66" s="293" t="str">
        <f>Tabel15[[#This Row],[Winnaar 1]]&amp;Tabel15[[#This Row],[Winnaar 2]]</f>
        <v>LouisStef D</v>
      </c>
      <c r="V66" s="147" t="str">
        <f>IF(Tabel15[[#This Row],[Team Rood]]=Tabel15[[#This Row],[Winnaars]],Tabel15[[#This Row],[Team Rood]])</f>
        <v>LouisStef D</v>
      </c>
      <c r="W66" s="147" t="b">
        <f>IF(Tabel15[[#This Row],[Team Groen]]=Tabel15[[#This Row],[Winnaars]],Tabel15[[#This Row],[Team Groen]])</f>
        <v>0</v>
      </c>
      <c r="X66" s="283">
        <v>19.050869191429186</v>
      </c>
      <c r="Y66" s="283">
        <v>13.9833104537935</v>
      </c>
      <c r="Z66" s="283">
        <v>-1.101635333982433E-3</v>
      </c>
      <c r="AA66" s="283">
        <v>-1.3058593961800095E-3</v>
      </c>
      <c r="AL66" s="251" t="s">
        <v>67</v>
      </c>
      <c r="AM66" s="233" t="s">
        <v>164</v>
      </c>
      <c r="AN66" s="140" t="str">
        <f t="shared" ref="AN66:AN97" si="15">AL66&amp;AM66</f>
        <v>LawrenceKarel*</v>
      </c>
      <c r="AO66" s="160">
        <f>IF(Tabel5[[#This Row],[Aantal Games Rood]]=0,0,(Tabel5[[#This Row],[Wins Rood]])/Tabel5[[#This Row],[Aantal Games Rood]])</f>
        <v>0</v>
      </c>
      <c r="AP66" s="159">
        <f>IF(Tabel5[[#This Row],[Aantal Games Groen]]=0,0,(Tabel5[[#This Row],[Wins Groen]])/Tabel5[[#This Row],[Aantal Games Groen]])</f>
        <v>0</v>
      </c>
      <c r="AQ66" s="156">
        <f>IF(Tabel5[[#This Row],[Aantal games Alg]]=0,0,(Tabel5[[#This Row],[Wins Alg]])/Tabel5[[#This Row],[Aantal games Alg]])</f>
        <v>0</v>
      </c>
      <c r="AR66" s="138">
        <f>COUNTIF(Tabel15[Winaar rood],Tabel5[[#This Row],[Team]])</f>
        <v>0</v>
      </c>
      <c r="AS66" s="134">
        <f>COUNTIF(Tabel15[Winnaar Groen],Tabel5[[#This Row],[Team]])</f>
        <v>0</v>
      </c>
      <c r="AT66">
        <f>COUNTIF(Tabel15[Winnaars],Tabel5[[#This Row],[Team]])</f>
        <v>0</v>
      </c>
      <c r="AU66" s="135">
        <f>Tabel5[[#This Row],[Aantal Games Rood]]-Tabel5[[#This Row],[Wins Rood]]</f>
        <v>0</v>
      </c>
      <c r="AV66" s="136">
        <f>Tabel5[[#This Row],[Aantal Games Groen]]-Tabel5[[#This Row],[Wins Groen]]</f>
        <v>0</v>
      </c>
      <c r="AW66" s="137">
        <f>Tabel5[[#This Row],[Aantal games Alg]]-Tabel5[[#This Row],[Wins Alg]]</f>
        <v>0</v>
      </c>
      <c r="AX66" s="138">
        <f>COUNTIF(Tabel15[Team Rood],Tabel5[[#This Row],[Team]])</f>
        <v>0</v>
      </c>
      <c r="AY66" s="136">
        <f>COUNTIF(Tabel15[Team Groen],Tabel5[[#This Row],[Team]])</f>
        <v>0</v>
      </c>
      <c r="AZ66" s="112">
        <f>Tabel5[[#This Row],[Aantal Games Rood]]+Tabel5[[#This Row],[Aantal Games Groen]]</f>
        <v>0</v>
      </c>
      <c r="BA66" s="138">
        <f>SUMIF(Tabel15[Team Rood],Tabel5[[#This Row],[Team]],Tabel15[Score])</f>
        <v>0</v>
      </c>
      <c r="BB66" s="138">
        <f>SUMIF(Tabel15[Team Rood],Tabel5[[#This Row],[Team]],Tabel15[Score2])</f>
        <v>0</v>
      </c>
      <c r="BC66" s="134">
        <f>SUMIF(Tabel15[Team Groen],Tabel5[[#This Row],[Team]],Tabel15[Score3])</f>
        <v>0</v>
      </c>
      <c r="BD66" s="136">
        <f>SUMIF(Tabel15[Team Groen],Tabel5[[#This Row],[Team]],Tabel15[Score4])</f>
        <v>0</v>
      </c>
      <c r="BE66">
        <f>SUM(Tabel5[[#This Row],[Goals Verdediger]]+Tabel5[[#This Row],[Goals DefG]])</f>
        <v>0</v>
      </c>
      <c r="BF66">
        <f>IF(Tabel5[[#This Row],[Aantal games Alg]]=0,0,Tabel5[[#This Row],[Goals DefA]]/Tabel5[[#This Row],[Aantal games Alg]])</f>
        <v>0</v>
      </c>
      <c r="BG66">
        <f>SUM(Tabel5[[#This Row],[Goals Aanvaller]]+Tabel5[[#This Row],[Goals OffG]])</f>
        <v>0</v>
      </c>
      <c r="BH66">
        <f>IF(Tabel5[[#This Row],[Aantal games Alg]]=0,0,Tabel5[[#This Row],[Goals OffA]]/Tabel5[[#This Row],[Aantal games Alg]])</f>
        <v>0</v>
      </c>
      <c r="BI66" s="112">
        <f>Tabel5[[#This Row],[Goals DefA]]+Tabel5[[#This Row],[Goals OffA]]</f>
        <v>0</v>
      </c>
      <c r="BJ66" s="112">
        <f>IF(Tabel5[[#This Row],[Aantal games Alg]]=0,0,Tabel5[[#This Row],[Goals Alg]]/Tabel5[[#This Row],[Aantal games Alg]])</f>
        <v>0</v>
      </c>
      <c r="BK66" s="148">
        <f>SUMIF(Tabel15[Team Rood],Tabel5[[#This Row],[Team]],Tabel15[ET])</f>
        <v>0</v>
      </c>
      <c r="BL66" s="150">
        <f>SUMIF(Tabel15[Team Groen],Tabel5[[#This Row],[Team]],Tabel15[ET])</f>
        <v>0</v>
      </c>
      <c r="BM66" s="153">
        <f>SUM(Tabel5[[#This Row],[ET Groen tot]],Tabel5[[#This Row],[ET Rood tot]])</f>
        <v>0</v>
      </c>
      <c r="BN66" s="155">
        <f>IF(Tabel5[[#This Row],[Aantal games Alg]]=0,0,Tabel5[[#This Row],[ET tot]]/Tabel5[[#This Row],[Aantal games Alg]])</f>
        <v>0</v>
      </c>
    </row>
    <row r="67" spans="1:66" x14ac:dyDescent="0.25">
      <c r="A67" s="215">
        <f ca="1">IF(Tabel15[[#This Row],[Rood Verdediging]]&lt;&gt;"",IF(A67="",NOW(),A67),"")</f>
        <v>44010.040672453702</v>
      </c>
      <c r="B67" s="128">
        <f ca="1">IF(Tabel15[[#This Row],[Rood Verdediging]]&lt;&gt;"",IF(B67="",NOW(),B67),"")</f>
        <v>44010.040672453702</v>
      </c>
      <c r="C67" s="126">
        <f ca="1">IF(Tabel15[[#This Row],[Score]]&lt;&gt;"",IF(C67="",NOW(),C67),"")</f>
        <v>44010.050220023149</v>
      </c>
      <c r="D67" s="217">
        <f ca="1">IF(OR(Tabel15[[#This Row],[Starttijd]]="",Tabel15[[#This Row],[Eindtijd]]=""),"",Tabel15[[#This Row],[Eindtijd]]-Tabel15[[#This Row],[Starttijd]])</f>
        <v>9.5475694470223971E-3</v>
      </c>
      <c r="E67" s="74">
        <v>67</v>
      </c>
      <c r="F67" s="40" t="s">
        <v>3</v>
      </c>
      <c r="G67" s="76">
        <v>3</v>
      </c>
      <c r="H67" s="40" t="s">
        <v>8</v>
      </c>
      <c r="I67" s="76">
        <v>8</v>
      </c>
      <c r="J67" s="41" t="s">
        <v>11</v>
      </c>
      <c r="K67" s="78">
        <v>0</v>
      </c>
      <c r="L67" s="41" t="s">
        <v>6</v>
      </c>
      <c r="M67" s="78">
        <v>4</v>
      </c>
      <c r="N67" s="81">
        <f t="shared" si="11"/>
        <v>11</v>
      </c>
      <c r="O67" s="82">
        <f t="shared" si="12"/>
        <v>4</v>
      </c>
      <c r="P6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Row],[Score4]]&lt;&gt;""),IF(AND(N67&gt;O67,N67&gt;=11),"ROOD",IF(AND(O67&gt;=11,N67&lt;&gt;O67),"GROEN","")),"")</f>
        <v>ROOD</v>
      </c>
      <c r="Q67" s="86" t="str">
        <f t="shared" si="13"/>
        <v>Karel</v>
      </c>
      <c r="R67" s="87" t="str">
        <f t="shared" si="14"/>
        <v>Louis</v>
      </c>
      <c r="S67" s="293" t="str">
        <f>Tabel15[[#This Row],[Rood Verdediging]]&amp;Tabel15[[#This Row],[Rood Aanval]]</f>
        <v>KarelLouis</v>
      </c>
      <c r="T67" s="293" t="str">
        <f>Tabel15[[#This Row],[Groen Verdediging]]&amp;Tabel15[[#This Row],[Groen Aanval]]</f>
        <v>MatthijsStef D</v>
      </c>
      <c r="U67" s="293" t="str">
        <f>Tabel15[[#This Row],[Winnaar 1]]&amp;Tabel15[[#This Row],[Winnaar 2]]</f>
        <v>KarelLouis</v>
      </c>
      <c r="V67" s="147" t="str">
        <f>IF(Tabel15[[#This Row],[Team Rood]]=Tabel15[[#This Row],[Winnaars]],Tabel15[[#This Row],[Team Rood]])</f>
        <v>KarelLouis</v>
      </c>
      <c r="W67" s="147" t="b">
        <f>IF(Tabel15[[#This Row],[Team Groen]]=Tabel15[[#This Row],[Winnaars]],Tabel15[[#This Row],[Team Groen]])</f>
        <v>0</v>
      </c>
      <c r="X67" s="283">
        <v>44.740160797938195</v>
      </c>
      <c r="Y67" s="283">
        <v>51.339824901224546</v>
      </c>
      <c r="Z67" s="283">
        <v>-12.478427976418994</v>
      </c>
      <c r="AA67" s="283">
        <v>-14.846829512245643</v>
      </c>
      <c r="AL67" s="251" t="s">
        <v>67</v>
      </c>
      <c r="AM67" s="233" t="s">
        <v>161</v>
      </c>
      <c r="AN67" s="140" t="str">
        <f t="shared" si="15"/>
        <v>LawrenceLouis*</v>
      </c>
      <c r="AO67" s="160">
        <f>IF(Tabel5[[#This Row],[Aantal Games Rood]]=0,0,(Tabel5[[#This Row],[Wins Rood]])/Tabel5[[#This Row],[Aantal Games Rood]])</f>
        <v>0</v>
      </c>
      <c r="AP67" s="159">
        <f>IF(Tabel5[[#This Row],[Aantal Games Groen]]=0,0,(Tabel5[[#This Row],[Wins Groen]])/Tabel5[[#This Row],[Aantal Games Groen]])</f>
        <v>0</v>
      </c>
      <c r="AQ67" s="156">
        <f>IF(Tabel5[[#This Row],[Aantal games Alg]]=0,0,(Tabel5[[#This Row],[Wins Alg]])/Tabel5[[#This Row],[Aantal games Alg]])</f>
        <v>0</v>
      </c>
      <c r="AR67" s="133">
        <f>COUNTIF(Tabel15[Winaar rood],Tabel5[[#This Row],[Team]])</f>
        <v>0</v>
      </c>
      <c r="AS67" s="134">
        <f>COUNTIF(Tabel15[Winnaar Groen],Tabel5[[#This Row],[Team]])</f>
        <v>0</v>
      </c>
      <c r="AT67">
        <f>COUNTIF(Tabel15[Winnaars],Tabel5[[#This Row],[Team]])</f>
        <v>0</v>
      </c>
      <c r="AU67" s="135">
        <f>Tabel5[[#This Row],[Aantal Games Rood]]-Tabel5[[#This Row],[Wins Rood]]</f>
        <v>0</v>
      </c>
      <c r="AV67" s="136">
        <f>Tabel5[[#This Row],[Aantal Games Groen]]-Tabel5[[#This Row],[Wins Groen]]</f>
        <v>0</v>
      </c>
      <c r="AW67" s="137">
        <f>Tabel5[[#This Row],[Aantal games Alg]]-Tabel5[[#This Row],[Wins Alg]]</f>
        <v>0</v>
      </c>
      <c r="AX67" s="138">
        <f>COUNTIF(Tabel15[Team Rood],Tabel5[[#This Row],[Team]])</f>
        <v>0</v>
      </c>
      <c r="AY67" s="136">
        <f>COUNTIF(Tabel15[Team Groen],Tabel5[[#This Row],[Team]])</f>
        <v>0</v>
      </c>
      <c r="AZ67" s="112">
        <f>Tabel5[[#This Row],[Aantal Games Rood]]+Tabel5[[#This Row],[Aantal Games Groen]]</f>
        <v>0</v>
      </c>
      <c r="BA67" s="138">
        <f>SUMIF(Tabel15[Team Rood],Tabel5[[#This Row],[Team]],Tabel15[Score])</f>
        <v>0</v>
      </c>
      <c r="BB67" s="138">
        <f>SUMIF(Tabel15[Team Rood],Tabel5[[#This Row],[Team]],Tabel15[Score2])</f>
        <v>0</v>
      </c>
      <c r="BC67" s="134">
        <f>SUMIF(Tabel15[Team Groen],Tabel5[[#This Row],[Team]],Tabel15[Score3])</f>
        <v>0</v>
      </c>
      <c r="BD67" s="136">
        <f>SUMIF(Tabel15[Team Groen],Tabel5[[#This Row],[Team]],Tabel15[Score4])</f>
        <v>0</v>
      </c>
      <c r="BE67">
        <f>SUM(Tabel5[[#This Row],[Goals Verdediger]]+Tabel5[[#This Row],[Goals DefG]])</f>
        <v>0</v>
      </c>
      <c r="BF67">
        <f>IF(Tabel5[[#This Row],[Aantal games Alg]]=0,0,Tabel5[[#This Row],[Goals DefA]]/Tabel5[[#This Row],[Aantal games Alg]])</f>
        <v>0</v>
      </c>
      <c r="BG67">
        <f>SUM(Tabel5[[#This Row],[Goals Aanvaller]]+Tabel5[[#This Row],[Goals OffG]])</f>
        <v>0</v>
      </c>
      <c r="BH67">
        <f>IF(Tabel5[[#This Row],[Aantal games Alg]]=0,0,Tabel5[[#This Row],[Goals OffA]]/Tabel5[[#This Row],[Aantal games Alg]])</f>
        <v>0</v>
      </c>
      <c r="BI67" s="112">
        <f>Tabel5[[#This Row],[Goals DefA]]+Tabel5[[#This Row],[Goals OffA]]</f>
        <v>0</v>
      </c>
      <c r="BJ67" s="112">
        <f>IF(Tabel5[[#This Row],[Aantal games Alg]]=0,0,Tabel5[[#This Row],[Goals Alg]]/Tabel5[[#This Row],[Aantal games Alg]])</f>
        <v>0</v>
      </c>
      <c r="BK67" s="148">
        <f>SUMIF(Tabel15[Team Rood],Tabel5[[#This Row],[Team]],Tabel15[ET])</f>
        <v>0</v>
      </c>
      <c r="BL67" s="150">
        <f>SUMIF(Tabel15[Team Groen],Tabel5[[#This Row],[Team]],Tabel15[ET])</f>
        <v>0</v>
      </c>
      <c r="BM67" s="153">
        <f>SUM(Tabel5[[#This Row],[ET Groen tot]],Tabel5[[#This Row],[ET Rood tot]])</f>
        <v>0</v>
      </c>
      <c r="BN67" s="155">
        <f>IF(Tabel5[[#This Row],[Aantal games Alg]]=0,0,Tabel5[[#This Row],[ET tot]]/Tabel5[[#This Row],[Aantal games Alg]])</f>
        <v>0</v>
      </c>
    </row>
    <row r="68" spans="1:66" x14ac:dyDescent="0.25">
      <c r="A68" s="215">
        <f ca="1">IF(Tabel15[[#This Row],[Rood Verdediging]]&lt;&gt;"",IF(A68="",NOW(),A68),"")</f>
        <v>44022.851485879626</v>
      </c>
      <c r="B68" s="128">
        <f ca="1">IF(Tabel15[[#This Row],[Rood Verdediging]]&lt;&gt;"",IF(B68="",NOW(),B68),"")</f>
        <v>44022.851485879626</v>
      </c>
      <c r="C68" s="126">
        <f ca="1">IF(Tabel15[[#This Row],[Score]]&lt;&gt;"",IF(C68="",NOW(),C68),"")</f>
        <v>44022.858899189814</v>
      </c>
      <c r="D68" s="217">
        <f ca="1">IF(OR(Tabel15[[#This Row],[Starttijd]]="",Tabel15[[#This Row],[Eindtijd]]=""),"",Tabel15[[#This Row],[Eindtijd]]-Tabel15[[#This Row],[Starttijd]])</f>
        <v>7.4133101879851893E-3</v>
      </c>
      <c r="E68" s="74">
        <v>68</v>
      </c>
      <c r="F68" s="40" t="s">
        <v>0</v>
      </c>
      <c r="G68" s="76">
        <v>1</v>
      </c>
      <c r="H68" s="40" t="s">
        <v>7</v>
      </c>
      <c r="I68" s="76">
        <v>4</v>
      </c>
      <c r="J68" s="41" t="s">
        <v>11</v>
      </c>
      <c r="K68" s="78">
        <v>3</v>
      </c>
      <c r="L68" s="41" t="s">
        <v>6</v>
      </c>
      <c r="M68" s="78">
        <v>8</v>
      </c>
      <c r="N68" s="81">
        <f t="shared" si="11"/>
        <v>5</v>
      </c>
      <c r="O68" s="82">
        <f t="shared" si="12"/>
        <v>11</v>
      </c>
      <c r="P6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Row],[Score4]]&lt;&gt;""),IF(AND(N68&gt;O68,N68&gt;=11),"ROOD",IF(AND(O68&gt;=11,N68&lt;&gt;O68),"GROEN","")),"")</f>
        <v>GROEN</v>
      </c>
      <c r="Q68" s="86" t="str">
        <f t="shared" si="13"/>
        <v>Matthijs</v>
      </c>
      <c r="R68" s="87" t="str">
        <f t="shared" si="14"/>
        <v>Stef D</v>
      </c>
      <c r="S68" s="293" t="str">
        <f>Tabel15[[#This Row],[Rood Verdediging]]&amp;Tabel15[[#This Row],[Rood Aanval]]</f>
        <v>JonasTiemen</v>
      </c>
      <c r="T68" s="293" t="str">
        <f>Tabel15[[#This Row],[Groen Verdediging]]&amp;Tabel15[[#This Row],[Groen Aanval]]</f>
        <v>MatthijsStef D</v>
      </c>
      <c r="U68" s="293" t="str">
        <f>Tabel15[[#This Row],[Winnaar 1]]&amp;Tabel15[[#This Row],[Winnaar 2]]</f>
        <v>MatthijsStef D</v>
      </c>
      <c r="V68" s="147" t="b">
        <f>IF(Tabel15[[#This Row],[Team Rood]]=Tabel15[[#This Row],[Winnaars]],Tabel15[[#This Row],[Team Rood]])</f>
        <v>0</v>
      </c>
      <c r="W68" s="147" t="str">
        <f>IF(Tabel15[[#This Row],[Team Groen]]=Tabel15[[#This Row],[Winnaars]],Tabel15[[#This Row],[Team Groen]])</f>
        <v>MatthijsStef D</v>
      </c>
      <c r="X68" s="283">
        <v>-3.4304324575103857</v>
      </c>
      <c r="Y68" s="283">
        <v>-3.5187106941867095</v>
      </c>
      <c r="Z68" s="283">
        <v>26.766331203885343</v>
      </c>
      <c r="AA68" s="283">
        <v>20.174580242389631</v>
      </c>
      <c r="AL68" s="251" t="s">
        <v>67</v>
      </c>
      <c r="AM68" s="233" t="s">
        <v>162</v>
      </c>
      <c r="AN68" s="140" t="str">
        <f t="shared" si="15"/>
        <v>LawrenceMatthijs*</v>
      </c>
      <c r="AO68" s="160">
        <f>IF(Tabel5[[#This Row],[Aantal Games Rood]]=0,0,(Tabel5[[#This Row],[Wins Rood]])/Tabel5[[#This Row],[Aantal Games Rood]])</f>
        <v>0</v>
      </c>
      <c r="AP68" s="159">
        <f>IF(Tabel5[[#This Row],[Aantal Games Groen]]=0,0,(Tabel5[[#This Row],[Wins Groen]])/Tabel5[[#This Row],[Aantal Games Groen]])</f>
        <v>0</v>
      </c>
      <c r="AQ68" s="156">
        <f>IF(Tabel5[[#This Row],[Aantal games Alg]]=0,0,(Tabel5[[#This Row],[Wins Alg]])/Tabel5[[#This Row],[Aantal games Alg]])</f>
        <v>0</v>
      </c>
      <c r="AR68" s="133">
        <f>COUNTIF(Tabel15[Winaar rood],Tabel5[[#This Row],[Team]])</f>
        <v>0</v>
      </c>
      <c r="AS68" s="134">
        <f>COUNTIF(Tabel15[Winnaar Groen],Tabel5[[#This Row],[Team]])</f>
        <v>0</v>
      </c>
      <c r="AT68">
        <f>COUNTIF(Tabel15[Winnaars],Tabel5[[#This Row],[Team]])</f>
        <v>0</v>
      </c>
      <c r="AU68" s="135">
        <f>Tabel5[[#This Row],[Aantal Games Rood]]-Tabel5[[#This Row],[Wins Rood]]</f>
        <v>0</v>
      </c>
      <c r="AV68" s="136">
        <f>Tabel5[[#This Row],[Aantal Games Groen]]-Tabel5[[#This Row],[Wins Groen]]</f>
        <v>0</v>
      </c>
      <c r="AW68" s="137">
        <f>Tabel5[[#This Row],[Aantal games Alg]]-Tabel5[[#This Row],[Wins Alg]]</f>
        <v>0</v>
      </c>
      <c r="AX68" s="138">
        <f>COUNTIF(Tabel15[Team Rood],Tabel5[[#This Row],[Team]])</f>
        <v>0</v>
      </c>
      <c r="AY68" s="136">
        <f>COUNTIF(Tabel15[Team Groen],Tabel5[[#This Row],[Team]])</f>
        <v>0</v>
      </c>
      <c r="AZ68" s="112">
        <f>Tabel5[[#This Row],[Aantal Games Rood]]+Tabel5[[#This Row],[Aantal Games Groen]]</f>
        <v>0</v>
      </c>
      <c r="BA68" s="138">
        <f>SUMIF(Tabel15[Team Rood],Tabel5[[#This Row],[Team]],Tabel15[Score])</f>
        <v>0</v>
      </c>
      <c r="BB68" s="138">
        <f>SUMIF(Tabel15[Team Rood],Tabel5[[#This Row],[Team]],Tabel15[Score2])</f>
        <v>0</v>
      </c>
      <c r="BC68" s="134">
        <f>SUMIF(Tabel15[Team Groen],Tabel5[[#This Row],[Team]],Tabel15[Score3])</f>
        <v>0</v>
      </c>
      <c r="BD68" s="136">
        <f>SUMIF(Tabel15[Team Groen],Tabel5[[#This Row],[Team]],Tabel15[Score4])</f>
        <v>0</v>
      </c>
      <c r="BE68">
        <f>SUM(Tabel5[[#This Row],[Goals Verdediger]]+Tabel5[[#This Row],[Goals DefG]])</f>
        <v>0</v>
      </c>
      <c r="BF68">
        <f>IF(Tabel5[[#This Row],[Aantal games Alg]]=0,0,Tabel5[[#This Row],[Goals DefA]]/Tabel5[[#This Row],[Aantal games Alg]])</f>
        <v>0</v>
      </c>
      <c r="BG68">
        <f>SUM(Tabel5[[#This Row],[Goals Aanvaller]]+Tabel5[[#This Row],[Goals OffG]])</f>
        <v>0</v>
      </c>
      <c r="BH68">
        <f>IF(Tabel5[[#This Row],[Aantal games Alg]]=0,0,Tabel5[[#This Row],[Goals OffA]]/Tabel5[[#This Row],[Aantal games Alg]])</f>
        <v>0</v>
      </c>
      <c r="BI68" s="112">
        <f>Tabel5[[#This Row],[Goals DefA]]+Tabel5[[#This Row],[Goals OffA]]</f>
        <v>0</v>
      </c>
      <c r="BJ68" s="112">
        <f>IF(Tabel5[[#This Row],[Aantal games Alg]]=0,0,Tabel5[[#This Row],[Goals Alg]]/Tabel5[[#This Row],[Aantal games Alg]])</f>
        <v>0</v>
      </c>
      <c r="BK68" s="148">
        <f>SUMIF(Tabel15[Team Rood],Tabel5[[#This Row],[Team]],Tabel15[ET])</f>
        <v>0</v>
      </c>
      <c r="BL68" s="150">
        <f>SUMIF(Tabel15[Team Groen],Tabel5[[#This Row],[Team]],Tabel15[ET])</f>
        <v>0</v>
      </c>
      <c r="BM68" s="153">
        <f>SUM(Tabel5[[#This Row],[ET Groen tot]],Tabel5[[#This Row],[ET Rood tot]])</f>
        <v>0</v>
      </c>
      <c r="BN68" s="155">
        <f>IF(Tabel5[[#This Row],[Aantal games Alg]]=0,0,Tabel5[[#This Row],[ET tot]]/Tabel5[[#This Row],[Aantal games Alg]])</f>
        <v>0</v>
      </c>
    </row>
    <row r="69" spans="1:66" x14ac:dyDescent="0.25">
      <c r="A69" s="215">
        <f ca="1">IF(Tabel15[[#This Row],[Rood Verdediging]]&lt;&gt;"",IF(A69="",NOW(),A69),"")</f>
        <v>44022.860131944442</v>
      </c>
      <c r="B69" s="128">
        <f ca="1">IF(Tabel15[[#This Row],[Rood Verdediging]]&lt;&gt;"",IF(B69="",NOW(),B69),"")</f>
        <v>44022.860131944442</v>
      </c>
      <c r="C69" s="126">
        <f ca="1">IF(Tabel15[[#This Row],[Score]]&lt;&gt;"",IF(C69="",NOW(),C69),"")</f>
        <v>44022.874760300925</v>
      </c>
      <c r="D69" s="217">
        <f ca="1">IF(OR(Tabel15[[#This Row],[Starttijd]]="",Tabel15[[#This Row],[Eindtijd]]=""),"",Tabel15[[#This Row],[Eindtijd]]-Tabel15[[#This Row],[Starttijd]])</f>
        <v>1.4628356482717209E-2</v>
      </c>
      <c r="E69" s="74">
        <v>69</v>
      </c>
      <c r="F69" s="40" t="s">
        <v>8</v>
      </c>
      <c r="G69" s="76">
        <v>2</v>
      </c>
      <c r="H69" s="40" t="s">
        <v>13</v>
      </c>
      <c r="I69" s="76">
        <v>5</v>
      </c>
      <c r="J69" s="41" t="s">
        <v>0</v>
      </c>
      <c r="K69" s="78">
        <v>5</v>
      </c>
      <c r="L69" s="41" t="s">
        <v>3</v>
      </c>
      <c r="M69" s="78">
        <v>7</v>
      </c>
      <c r="N69" s="81">
        <f t="shared" si="11"/>
        <v>7</v>
      </c>
      <c r="O69" s="82">
        <f t="shared" si="12"/>
        <v>12</v>
      </c>
      <c r="P6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Row],[Score4]]&lt;&gt;""),IF(AND(N69&gt;O69,N69&gt;=11),"ROOD",IF(AND(O69&gt;=11,N69&lt;&gt;O69),"GROEN","")),"")</f>
        <v>GROEN</v>
      </c>
      <c r="Q69" s="86" t="str">
        <f t="shared" si="13"/>
        <v>Jonas</v>
      </c>
      <c r="R69" s="87" t="str">
        <f t="shared" si="14"/>
        <v>Karel</v>
      </c>
      <c r="S69" s="293" t="str">
        <f>Tabel15[[#This Row],[Rood Verdediging]]&amp;Tabel15[[#This Row],[Rood Aanval]]</f>
        <v>LouisBert</v>
      </c>
      <c r="T69" s="293" t="str">
        <f>Tabel15[[#This Row],[Groen Verdediging]]&amp;Tabel15[[#This Row],[Groen Aanval]]</f>
        <v>JonasKarel</v>
      </c>
      <c r="U69" s="293" t="str">
        <f>Tabel15[[#This Row],[Winnaar 1]]&amp;Tabel15[[#This Row],[Winnaar 2]]</f>
        <v>JonasKarel</v>
      </c>
      <c r="V69" s="147" t="b">
        <f>IF(Tabel15[[#This Row],[Team Rood]]=Tabel15[[#This Row],[Winnaars]],Tabel15[[#This Row],[Team Rood]])</f>
        <v>0</v>
      </c>
      <c r="W69" s="147" t="str">
        <f>IF(Tabel15[[#This Row],[Team Groen]]=Tabel15[[#This Row],[Winnaars]],Tabel15[[#This Row],[Team Groen]])</f>
        <v>JonasKarel</v>
      </c>
      <c r="X69" s="283">
        <v>-1.4967680788474234</v>
      </c>
      <c r="Y69" s="283">
        <v>-1.4983164486449054</v>
      </c>
      <c r="Z69" s="283">
        <v>20.77442103637074</v>
      </c>
      <c r="AA69" s="283">
        <v>20.042009976650764</v>
      </c>
      <c r="AL69" s="251" t="s">
        <v>67</v>
      </c>
      <c r="AM69" s="233" t="s">
        <v>170</v>
      </c>
      <c r="AN69" s="140" t="str">
        <f t="shared" si="15"/>
        <v>LawrenceNico*</v>
      </c>
      <c r="AO69" s="160">
        <f>IF(Tabel5[[#This Row],[Aantal Games Rood]]=0,0,(Tabel5[[#This Row],[Wins Rood]])/Tabel5[[#This Row],[Aantal Games Rood]])</f>
        <v>0</v>
      </c>
      <c r="AP69" s="159">
        <f>IF(Tabel5[[#This Row],[Aantal Games Groen]]=0,0,(Tabel5[[#This Row],[Wins Groen]])/Tabel5[[#This Row],[Aantal Games Groen]])</f>
        <v>0</v>
      </c>
      <c r="AQ69" s="156">
        <f>IF(Tabel5[[#This Row],[Aantal games Alg]]=0,0,(Tabel5[[#This Row],[Wins Alg]])/Tabel5[[#This Row],[Aantal games Alg]])</f>
        <v>0</v>
      </c>
      <c r="AR69" s="171">
        <f>COUNTIF(Tabel15[Winaar rood],Tabel5[[#This Row],[Team]])</f>
        <v>0</v>
      </c>
      <c r="AS69" s="169">
        <f>COUNTIF(Tabel15[Winnaar Groen],Tabel5[[#This Row],[Team]])</f>
        <v>0</v>
      </c>
      <c r="AT69" s="170">
        <f>COUNTIF(Tabel15[Winnaars],Tabel5[[#This Row],[Team]])</f>
        <v>0</v>
      </c>
      <c r="AU69" s="163">
        <f>Tabel5[[#This Row],[Aantal Games Rood]]-Tabel5[[#This Row],[Wins Rood]]</f>
        <v>0</v>
      </c>
      <c r="AV69" s="169">
        <f>Tabel5[[#This Row],[Aantal Games Groen]]-Tabel5[[#This Row],[Wins Groen]]</f>
        <v>0</v>
      </c>
      <c r="AW69" s="165">
        <f>Tabel5[[#This Row],[Aantal games Alg]]-Tabel5[[#This Row],[Wins Alg]]</f>
        <v>0</v>
      </c>
      <c r="AX69" s="171">
        <f>COUNTIF(Tabel15[Team Rood],Tabel5[[#This Row],[Team]])</f>
        <v>0</v>
      </c>
      <c r="AY69" s="169">
        <f>COUNTIF(Tabel15[Team Groen],Tabel5[[#This Row],[Team]])</f>
        <v>0</v>
      </c>
      <c r="AZ69" s="170">
        <f>Tabel5[[#This Row],[Aantal Games Rood]]+Tabel5[[#This Row],[Aantal Games Groen]]</f>
        <v>0</v>
      </c>
      <c r="BA69" s="171">
        <f>SUMIF(Tabel15[Team Rood],Tabel5[[#This Row],[Team]],Tabel15[Score])</f>
        <v>0</v>
      </c>
      <c r="BB69" s="171">
        <f>SUMIF(Tabel15[Team Rood],Tabel5[[#This Row],[Team]],Tabel15[Score2])</f>
        <v>0</v>
      </c>
      <c r="BC69" s="136">
        <f>SUMIF(Tabel15[Team Groen],Tabel5[[#This Row],[Team]],Tabel15[Score3])</f>
        <v>0</v>
      </c>
      <c r="BD69" s="169">
        <f>SUMIF(Tabel15[Team Groen],Tabel5[[#This Row],[Team]],Tabel15[Score4])</f>
        <v>0</v>
      </c>
      <c r="BE69" s="172">
        <f>SUM(Tabel5[[#This Row],[Goals Verdediger]]+Tabel5[[#This Row],[Goals DefG]])</f>
        <v>0</v>
      </c>
      <c r="BF69" s="170">
        <f>IF(Tabel5[[#This Row],[Aantal games Alg]]=0,0,Tabel5[[#This Row],[Goals DefA]]/Tabel5[[#This Row],[Aantal games Alg]])</f>
        <v>0</v>
      </c>
      <c r="BG69" s="172">
        <f>SUM(Tabel5[[#This Row],[Goals Aanvaller]]+Tabel5[[#This Row],[Goals OffG]])</f>
        <v>0</v>
      </c>
      <c r="BH69" s="170">
        <f>IF(Tabel5[[#This Row],[Aantal games Alg]]=0,0,Tabel5[[#This Row],[Goals OffA]]/Tabel5[[#This Row],[Aantal games Alg]])</f>
        <v>0</v>
      </c>
      <c r="BI69" s="170">
        <f>Tabel5[[#This Row],[Goals DefA]]+Tabel5[[#This Row],[Goals OffA]]</f>
        <v>0</v>
      </c>
      <c r="BJ69" s="170">
        <f>IF(Tabel5[[#This Row],[Aantal games Alg]]=0,0,Tabel5[[#This Row],[Goals Alg]]/Tabel5[[#This Row],[Aantal games Alg]])</f>
        <v>0</v>
      </c>
      <c r="BK69" s="148">
        <f>SUMIF(Tabel15[Team Rood],Tabel5[[#This Row],[Team]],Tabel15[ET])</f>
        <v>0</v>
      </c>
      <c r="BL69" s="150">
        <f>SUMIF(Tabel15[Team Groen],Tabel5[[#This Row],[Team]],Tabel15[ET])</f>
        <v>0</v>
      </c>
      <c r="BM69" s="153">
        <f>SUM(Tabel5[[#This Row],[ET Groen tot]],Tabel5[[#This Row],[ET Rood tot]])</f>
        <v>0</v>
      </c>
      <c r="BN69" s="155">
        <f>IF(Tabel5[[#This Row],[Aantal games Alg]]=0,0,Tabel5[[#This Row],[ET tot]]/Tabel5[[#This Row],[Aantal games Alg]])</f>
        <v>0</v>
      </c>
    </row>
    <row r="70" spans="1:66" x14ac:dyDescent="0.25">
      <c r="A70" s="215">
        <f ca="1">IF(Tabel15[[#This Row],[Rood Verdediging]]&lt;&gt;"",IF(A70="",NOW(),A70),"")</f>
        <v>44022.880111805556</v>
      </c>
      <c r="B70" s="128">
        <f ca="1">IF(Tabel15[[#This Row],[Rood Verdediging]]&lt;&gt;"",IF(B70="",NOW(),B70),"")</f>
        <v>44022.880111805556</v>
      </c>
      <c r="C70" s="126">
        <f ca="1">IF(Tabel15[[#This Row],[Score]]&lt;&gt;"",IF(C70="",NOW(),C70),"")</f>
        <v>44022.88613136574</v>
      </c>
      <c r="D70" s="217">
        <f ca="1">IF(OR(Tabel15[[#This Row],[Starttijd]]="",Tabel15[[#This Row],[Eindtijd]]=""),"",Tabel15[[#This Row],[Eindtijd]]-Tabel15[[#This Row],[Starttijd]])</f>
        <v>6.0195601836312562E-3</v>
      </c>
      <c r="E70" s="74">
        <v>70</v>
      </c>
      <c r="F70" s="40" t="s">
        <v>3</v>
      </c>
      <c r="G70" s="76">
        <v>4</v>
      </c>
      <c r="H70" s="40" t="s">
        <v>11</v>
      </c>
      <c r="I70" s="76">
        <v>5</v>
      </c>
      <c r="J70" s="41" t="s">
        <v>7</v>
      </c>
      <c r="K70" s="78">
        <v>3</v>
      </c>
      <c r="L70" s="41" t="s">
        <v>6</v>
      </c>
      <c r="M70" s="78">
        <v>8</v>
      </c>
      <c r="N70" s="81">
        <f t="shared" si="11"/>
        <v>9</v>
      </c>
      <c r="O70" s="82">
        <f t="shared" si="12"/>
        <v>11</v>
      </c>
      <c r="P7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Row],[Score4]]&lt;&gt;""),IF(AND(N70&gt;O70,N70&gt;=11),"ROOD",IF(AND(O70&gt;=11,N70&lt;&gt;O70),"GROEN","")),"")</f>
        <v>GROEN</v>
      </c>
      <c r="Q70" s="86" t="str">
        <f t="shared" si="13"/>
        <v>Tiemen</v>
      </c>
      <c r="R70" s="87" t="str">
        <f t="shared" si="14"/>
        <v>Stef D</v>
      </c>
      <c r="S70" s="293" t="str">
        <f>Tabel15[[#This Row],[Rood Verdediging]]&amp;Tabel15[[#This Row],[Rood Aanval]]</f>
        <v>KarelMatthijs</v>
      </c>
      <c r="T70" s="293" t="str">
        <f>Tabel15[[#This Row],[Groen Verdediging]]&amp;Tabel15[[#This Row],[Groen Aanval]]</f>
        <v>TiemenStef D</v>
      </c>
      <c r="U70" s="293" t="str">
        <f>Tabel15[[#This Row],[Winnaar 1]]&amp;Tabel15[[#This Row],[Winnaar 2]]</f>
        <v>TiemenStef D</v>
      </c>
      <c r="V70" s="147" t="b">
        <f>IF(Tabel15[[#This Row],[Team Rood]]=Tabel15[[#This Row],[Winnaars]],Tabel15[[#This Row],[Team Rood]])</f>
        <v>0</v>
      </c>
      <c r="W70" s="147" t="str">
        <f>IF(Tabel15[[#This Row],[Team Groen]]=Tabel15[[#This Row],[Winnaars]],Tabel15[[#This Row],[Team Groen]])</f>
        <v>TiemenStef D</v>
      </c>
      <c r="X70" s="283">
        <v>2.8986770065959901</v>
      </c>
      <c r="Y70" s="283">
        <v>3.419308428840643</v>
      </c>
      <c r="Z70" s="283">
        <v>10.999259208227198</v>
      </c>
      <c r="AA70" s="283">
        <v>8.9354049891916461</v>
      </c>
      <c r="AL70" s="251" t="s">
        <v>67</v>
      </c>
      <c r="AM70" s="233" t="s">
        <v>169</v>
      </c>
      <c r="AN70" s="140" t="str">
        <f t="shared" si="15"/>
        <v>LawrenceStef*</v>
      </c>
      <c r="AO70" s="160">
        <f>IF(Tabel5[[#This Row],[Aantal Games Rood]]=0,0,(Tabel5[[#This Row],[Wins Rood]])/Tabel5[[#This Row],[Aantal Games Rood]])</f>
        <v>0</v>
      </c>
      <c r="AP70" s="159">
        <f>IF(Tabel5[[#This Row],[Aantal Games Groen]]=0,0,(Tabel5[[#This Row],[Wins Groen]])/Tabel5[[#This Row],[Aantal Games Groen]])</f>
        <v>0</v>
      </c>
      <c r="AQ70" s="156">
        <f>IF(Tabel5[[#This Row],[Aantal games Alg]]=0,0,(Tabel5[[#This Row],[Wins Alg]])/Tabel5[[#This Row],[Aantal games Alg]])</f>
        <v>0</v>
      </c>
      <c r="AR70" s="133">
        <f>COUNTIF(Tabel15[Winaar rood],Tabel5[[#This Row],[Team]])</f>
        <v>0</v>
      </c>
      <c r="AS70" s="134">
        <f>COUNTIF(Tabel15[Winnaar Groen],Tabel5[[#This Row],[Team]])</f>
        <v>0</v>
      </c>
      <c r="AT70">
        <f>COUNTIF(Tabel15[Winnaars],Tabel5[[#This Row],[Team]])</f>
        <v>0</v>
      </c>
      <c r="AU70" s="135">
        <f>Tabel5[[#This Row],[Aantal Games Rood]]-Tabel5[[#This Row],[Wins Rood]]</f>
        <v>0</v>
      </c>
      <c r="AV70" s="136">
        <f>Tabel5[[#This Row],[Aantal Games Groen]]-Tabel5[[#This Row],[Wins Groen]]</f>
        <v>0</v>
      </c>
      <c r="AW70" s="137">
        <f>Tabel5[[#This Row],[Aantal games Alg]]-Tabel5[[#This Row],[Wins Alg]]</f>
        <v>0</v>
      </c>
      <c r="AX70" s="138">
        <f>COUNTIF(Tabel15[Team Rood],Tabel5[[#This Row],[Team]])</f>
        <v>0</v>
      </c>
      <c r="AY70" s="136">
        <f>COUNTIF(Tabel15[Team Groen],Tabel5[[#This Row],[Team]])</f>
        <v>0</v>
      </c>
      <c r="AZ70" s="112">
        <f>Tabel5[[#This Row],[Aantal Games Rood]]+Tabel5[[#This Row],[Aantal Games Groen]]</f>
        <v>0</v>
      </c>
      <c r="BA70" s="138">
        <f>SUMIF(Tabel15[Team Rood],Tabel5[[#This Row],[Team]],Tabel15[Score])</f>
        <v>0</v>
      </c>
      <c r="BB70" s="138">
        <f>SUMIF(Tabel15[Team Rood],Tabel5[[#This Row],[Team]],Tabel15[Score2])</f>
        <v>0</v>
      </c>
      <c r="BC70" s="134">
        <f>SUMIF(Tabel15[Team Groen],Tabel5[[#This Row],[Team]],Tabel15[Score3])</f>
        <v>0</v>
      </c>
      <c r="BD70" s="136">
        <f>SUMIF(Tabel15[Team Groen],Tabel5[[#This Row],[Team]],Tabel15[Score4])</f>
        <v>0</v>
      </c>
      <c r="BE70">
        <f>SUM(Tabel5[[#This Row],[Goals Verdediger]]+Tabel5[[#This Row],[Goals DefG]])</f>
        <v>0</v>
      </c>
      <c r="BF70">
        <f>IF(Tabel5[[#This Row],[Aantal games Alg]]=0,0,Tabel5[[#This Row],[Goals DefA]]/Tabel5[[#This Row],[Aantal games Alg]])</f>
        <v>0</v>
      </c>
      <c r="BG70">
        <f>SUM(Tabel5[[#This Row],[Goals Aanvaller]]+Tabel5[[#This Row],[Goals OffG]])</f>
        <v>0</v>
      </c>
      <c r="BH70">
        <f>IF(Tabel5[[#This Row],[Aantal games Alg]]=0,0,Tabel5[[#This Row],[Goals OffA]]/Tabel5[[#This Row],[Aantal games Alg]])</f>
        <v>0</v>
      </c>
      <c r="BI70" s="112">
        <f>Tabel5[[#This Row],[Goals DefA]]+Tabel5[[#This Row],[Goals OffA]]</f>
        <v>0</v>
      </c>
      <c r="BJ70" s="112">
        <f>IF(Tabel5[[#This Row],[Aantal games Alg]]=0,0,Tabel5[[#This Row],[Goals Alg]]/Tabel5[[#This Row],[Aantal games Alg]])</f>
        <v>0</v>
      </c>
      <c r="BK70" s="148">
        <f>SUMIF(Tabel15[Team Rood],Tabel5[[#This Row],[Team]],Tabel15[ET])</f>
        <v>0</v>
      </c>
      <c r="BL70" s="150">
        <f>SUMIF(Tabel15[Team Groen],Tabel5[[#This Row],[Team]],Tabel15[ET])</f>
        <v>0</v>
      </c>
      <c r="BM70" s="153">
        <f>SUM(Tabel5[[#This Row],[ET Groen tot]],Tabel5[[#This Row],[ET Rood tot]])</f>
        <v>0</v>
      </c>
      <c r="BN70" s="155">
        <f>IF(Tabel5[[#This Row],[Aantal games Alg]]=0,0,Tabel5[[#This Row],[ET tot]]/Tabel5[[#This Row],[Aantal games Alg]])</f>
        <v>0</v>
      </c>
    </row>
    <row r="71" spans="1:66" x14ac:dyDescent="0.25">
      <c r="A71" s="215">
        <f ca="1">IF(Tabel15[[#This Row],[Rood Verdediging]]&lt;&gt;"",IF(A71="",NOW(),A71),"")</f>
        <v>44022.899579629629</v>
      </c>
      <c r="B71" s="128">
        <f ca="1">IF(Tabel15[[#This Row],[Rood Verdediging]]&lt;&gt;"",IF(B71="",NOW(),B71),"")</f>
        <v>44022.899579629629</v>
      </c>
      <c r="C71" s="126">
        <f ca="1">IF(Tabel15[[#This Row],[Score]]&lt;&gt;"",IF(C71="",NOW(),C71),"")</f>
        <v>44022.899662152777</v>
      </c>
      <c r="D71" s="217">
        <f ca="1">IF(OR(Tabel15[[#This Row],[Starttijd]]="",Tabel15[[#This Row],[Eindtijd]]=""),"",Tabel15[[#This Row],[Eindtijd]]-Tabel15[[#This Row],[Starttijd]])</f>
        <v>8.2523147284518927E-5</v>
      </c>
      <c r="E71" s="74">
        <v>71</v>
      </c>
      <c r="F71" s="40" t="s">
        <v>6</v>
      </c>
      <c r="G71" s="76">
        <v>1</v>
      </c>
      <c r="H71" s="40" t="s">
        <v>3</v>
      </c>
      <c r="I71" s="76">
        <v>10</v>
      </c>
      <c r="J71" s="41" t="s">
        <v>167</v>
      </c>
      <c r="K71" s="78">
        <v>2</v>
      </c>
      <c r="L71" s="41" t="s">
        <v>13</v>
      </c>
      <c r="M71" s="78">
        <v>7</v>
      </c>
      <c r="N71" s="81">
        <f t="shared" si="11"/>
        <v>11</v>
      </c>
      <c r="O71" s="82">
        <f t="shared" si="12"/>
        <v>9</v>
      </c>
      <c r="P7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Row],[Score4]]&lt;&gt;""),IF(AND(N71&gt;O71,N71&gt;=11),"ROOD",IF(AND(O71&gt;=11,N71&lt;&gt;O71),"GROEN","")),"")</f>
        <v>ROOD</v>
      </c>
      <c r="Q71" s="86" t="str">
        <f t="shared" si="13"/>
        <v>Stef D</v>
      </c>
      <c r="R71" s="87" t="str">
        <f t="shared" si="14"/>
        <v>Karel</v>
      </c>
      <c r="S71" s="293" t="str">
        <f>Tabel15[[#This Row],[Rood Verdediging]]&amp;Tabel15[[#This Row],[Rood Aanval]]</f>
        <v>Stef DKarel</v>
      </c>
      <c r="T71" s="293" t="str">
        <f>Tabel15[[#This Row],[Groen Verdediging]]&amp;Tabel15[[#This Row],[Groen Aanval]]</f>
        <v>CogheBert</v>
      </c>
      <c r="U71" s="293" t="str">
        <f>Tabel15[[#This Row],[Winnaar 1]]&amp;Tabel15[[#This Row],[Winnaar 2]]</f>
        <v>Stef DKarel</v>
      </c>
      <c r="V71" s="147" t="str">
        <f>IF(Tabel15[[#This Row],[Team Rood]]=Tabel15[[#This Row],[Winnaars]],Tabel15[[#This Row],[Team Rood]])</f>
        <v>Stef DKarel</v>
      </c>
      <c r="W71" s="147" t="b">
        <f>IF(Tabel15[[#This Row],[Team Groen]]=Tabel15[[#This Row],[Winnaars]],Tabel15[[#This Row],[Team Groen]])</f>
        <v>0</v>
      </c>
      <c r="X71" s="283">
        <v>16.651928209511574</v>
      </c>
      <c r="Y71" s="283">
        <v>17.697111024519199</v>
      </c>
      <c r="Z71" s="283">
        <v>0.41311691512573445</v>
      </c>
      <c r="AA71" s="283">
        <v>0.45615236956773653</v>
      </c>
      <c r="AL71" s="251" t="s">
        <v>67</v>
      </c>
      <c r="AM71" s="233" t="s">
        <v>166</v>
      </c>
      <c r="AN71" s="140" t="str">
        <f t="shared" si="15"/>
        <v>LawrenceStijn*</v>
      </c>
      <c r="AO71" s="160">
        <f>IF(Tabel5[[#This Row],[Aantal Games Rood]]=0,0,(Tabel5[[#This Row],[Wins Rood]])/Tabel5[[#This Row],[Aantal Games Rood]])</f>
        <v>0</v>
      </c>
      <c r="AP71" s="159">
        <f>IF(Tabel5[[#This Row],[Aantal Games Groen]]=0,0,(Tabel5[[#This Row],[Wins Groen]])/Tabel5[[#This Row],[Aantal Games Groen]])</f>
        <v>0</v>
      </c>
      <c r="AQ71" s="156">
        <f>IF(Tabel5[[#This Row],[Aantal games Alg]]=0,0,(Tabel5[[#This Row],[Wins Alg]])/Tabel5[[#This Row],[Aantal games Alg]])</f>
        <v>0</v>
      </c>
      <c r="AR71" s="138">
        <f>COUNTIF(Tabel15[Winaar rood],Tabel5[[#This Row],[Team]])</f>
        <v>0</v>
      </c>
      <c r="AS71" s="134">
        <f>COUNTIF(Tabel15[Winnaar Groen],Tabel5[[#This Row],[Team]])</f>
        <v>0</v>
      </c>
      <c r="AT71">
        <f>COUNTIF(Tabel15[Winnaars],Tabel5[[#This Row],[Team]])</f>
        <v>0</v>
      </c>
      <c r="AU71" s="135">
        <f>Tabel5[[#This Row],[Aantal Games Rood]]-Tabel5[[#This Row],[Wins Rood]]</f>
        <v>0</v>
      </c>
      <c r="AV71" s="136">
        <f>Tabel5[[#This Row],[Aantal Games Groen]]-Tabel5[[#This Row],[Wins Groen]]</f>
        <v>0</v>
      </c>
      <c r="AW71" s="137">
        <f>Tabel5[[#This Row],[Aantal games Alg]]-Tabel5[[#This Row],[Wins Alg]]</f>
        <v>0</v>
      </c>
      <c r="AX71" s="138">
        <f>COUNTIF(Tabel15[Team Rood],Tabel5[[#This Row],[Team]])</f>
        <v>0</v>
      </c>
      <c r="AY71" s="136">
        <f>COUNTIF(Tabel15[Team Groen],Tabel5[[#This Row],[Team]])</f>
        <v>0</v>
      </c>
      <c r="AZ71" s="214">
        <f>Tabel5[[#This Row],[Aantal Games Rood]]+Tabel5[[#This Row],[Aantal Games Groen]]</f>
        <v>0</v>
      </c>
      <c r="BA71" s="138">
        <f>SUMIF(Tabel15[Team Rood],Tabel5[[#This Row],[Team]],Tabel15[Score])</f>
        <v>0</v>
      </c>
      <c r="BB71" s="138">
        <f>SUMIF(Tabel15[Team Rood],Tabel5[[#This Row],[Team]],Tabel15[Score2])</f>
        <v>0</v>
      </c>
      <c r="BC71" s="134">
        <f>SUMIF(Tabel15[Team Groen],Tabel5[[#This Row],[Team]],Tabel15[Score3])</f>
        <v>0</v>
      </c>
      <c r="BD71" s="136">
        <f>SUMIF(Tabel15[Team Groen],Tabel5[[#This Row],[Team]],Tabel15[Score4])</f>
        <v>0</v>
      </c>
      <c r="BE71">
        <f>SUM(Tabel5[[#This Row],[Goals Verdediger]]+Tabel5[[#This Row],[Goals DefG]])</f>
        <v>0</v>
      </c>
      <c r="BF71">
        <f>IF(Tabel5[[#This Row],[Aantal games Alg]]=0,0,Tabel5[[#This Row],[Goals DefA]]/Tabel5[[#This Row],[Aantal games Alg]])</f>
        <v>0</v>
      </c>
      <c r="BG71">
        <f>SUM(Tabel5[[#This Row],[Goals Aanvaller]]+Tabel5[[#This Row],[Goals OffG]])</f>
        <v>0</v>
      </c>
      <c r="BH71">
        <f>IF(Tabel5[[#This Row],[Aantal games Alg]]=0,0,Tabel5[[#This Row],[Goals OffA]]/Tabel5[[#This Row],[Aantal games Alg]])</f>
        <v>0</v>
      </c>
      <c r="BI71" s="112">
        <f>Tabel5[[#This Row],[Goals DefA]]+Tabel5[[#This Row],[Goals OffA]]</f>
        <v>0</v>
      </c>
      <c r="BJ71" s="112">
        <f>IF(Tabel5[[#This Row],[Aantal games Alg]]=0,0,Tabel5[[#This Row],[Goals Alg]]/Tabel5[[#This Row],[Aantal games Alg]])</f>
        <v>0</v>
      </c>
      <c r="BK71" s="148">
        <f>SUMIF(Tabel15[Team Rood],Tabel5[[#This Row],[Team]],Tabel15[ET])</f>
        <v>0</v>
      </c>
      <c r="BL71" s="150">
        <f>SUMIF(Tabel15[Team Groen],Tabel5[[#This Row],[Team]],Tabel15[ET])</f>
        <v>0</v>
      </c>
      <c r="BM71" s="153">
        <f>SUM(Tabel5[[#This Row],[ET Groen tot]],Tabel5[[#This Row],[ET Rood tot]])</f>
        <v>0</v>
      </c>
      <c r="BN71" s="155">
        <f>IF(Tabel5[[#This Row],[Aantal games Alg]]=0,0,Tabel5[[#This Row],[ET tot]]/Tabel5[[#This Row],[Aantal games Alg]])</f>
        <v>0</v>
      </c>
    </row>
    <row r="72" spans="1:66" x14ac:dyDescent="0.25">
      <c r="A72" s="215">
        <f ca="1">IF(Tabel15[[#This Row],[Rood Verdediging]]&lt;&gt;"",IF(A72="",NOW(),A72),"")</f>
        <v>44022.909158796298</v>
      </c>
      <c r="B72" s="128">
        <f ca="1">IF(Tabel15[[#This Row],[Rood Verdediging]]&lt;&gt;"",IF(B72="",NOW(),B72),"")</f>
        <v>44022.909158796298</v>
      </c>
      <c r="C72" s="126">
        <f ca="1">IF(Tabel15[[#This Row],[Score]]&lt;&gt;"",IF(C72="",NOW(),C72),"")</f>
        <v>44022.920086921295</v>
      </c>
      <c r="D72" s="217">
        <f ca="1">IF(OR(Tabel15[[#This Row],[Starttijd]]="",Tabel15[[#This Row],[Eindtijd]]=""),"",Tabel15[[#This Row],[Eindtijd]]-Tabel15[[#This Row],[Starttijd]])</f>
        <v>1.0928124997008126E-2</v>
      </c>
      <c r="E72" s="74">
        <v>72</v>
      </c>
      <c r="F72" s="40" t="s">
        <v>8</v>
      </c>
      <c r="G72" s="76">
        <v>5</v>
      </c>
      <c r="H72" s="40" t="s">
        <v>13</v>
      </c>
      <c r="I72" s="76">
        <v>3</v>
      </c>
      <c r="J72" s="41" t="s">
        <v>0</v>
      </c>
      <c r="K72" s="78">
        <v>3</v>
      </c>
      <c r="L72" s="41" t="s">
        <v>7</v>
      </c>
      <c r="M72" s="78">
        <v>8</v>
      </c>
      <c r="N72" s="81">
        <f t="shared" si="11"/>
        <v>8</v>
      </c>
      <c r="O72" s="82">
        <f t="shared" si="12"/>
        <v>11</v>
      </c>
      <c r="P7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Row],[Score4]]&lt;&gt;""),IF(AND(N72&gt;O72,N72&gt;=11),"ROOD",IF(AND(O72&gt;=11,N72&lt;&gt;O72),"GROEN","")),"")</f>
        <v>GROEN</v>
      </c>
      <c r="Q72" s="86" t="str">
        <f t="shared" si="13"/>
        <v>Jonas</v>
      </c>
      <c r="R72" s="87" t="str">
        <f t="shared" si="14"/>
        <v>Tiemen</v>
      </c>
      <c r="S72" s="293" t="str">
        <f>Tabel15[[#This Row],[Rood Verdediging]]&amp;Tabel15[[#This Row],[Rood Aanval]]</f>
        <v>LouisBert</v>
      </c>
      <c r="T72" s="293" t="str">
        <f>Tabel15[[#This Row],[Groen Verdediging]]&amp;Tabel15[[#This Row],[Groen Aanval]]</f>
        <v>JonasTiemen</v>
      </c>
      <c r="U72" s="293" t="str">
        <f>Tabel15[[#This Row],[Winnaar 1]]&amp;Tabel15[[#This Row],[Winnaar 2]]</f>
        <v>JonasTiemen</v>
      </c>
      <c r="V72" s="147" t="b">
        <f>IF(Tabel15[[#This Row],[Team Rood]]=Tabel15[[#This Row],[Winnaars]],Tabel15[[#This Row],[Team Rood]])</f>
        <v>0</v>
      </c>
      <c r="W72" s="147" t="str">
        <f>IF(Tabel15[[#This Row],[Team Groen]]=Tabel15[[#This Row],[Winnaars]],Tabel15[[#This Row],[Team Groen]])</f>
        <v>JonasTiemen</v>
      </c>
      <c r="X72" s="283">
        <v>-3.4672270404967969</v>
      </c>
      <c r="Y72" s="283">
        <v>-3.4393899517111644</v>
      </c>
      <c r="Z72" s="283">
        <v>24.109661470764348</v>
      </c>
      <c r="AA72" s="283">
        <v>25.50546586066223</v>
      </c>
      <c r="AL72" s="251" t="s">
        <v>67</v>
      </c>
      <c r="AM72" s="233" t="s">
        <v>160</v>
      </c>
      <c r="AN72" s="140" t="str">
        <f t="shared" si="15"/>
        <v>LawrenceTiemen*</v>
      </c>
      <c r="AO72" s="160">
        <f>IF(Tabel5[[#This Row],[Aantal Games Rood]]=0,0,(Tabel5[[#This Row],[Wins Rood]])/Tabel5[[#This Row],[Aantal Games Rood]])</f>
        <v>0</v>
      </c>
      <c r="AP72" s="159">
        <f>IF(Tabel5[[#This Row],[Aantal Games Groen]]=0,0,(Tabel5[[#This Row],[Wins Groen]])/Tabel5[[#This Row],[Aantal Games Groen]])</f>
        <v>0</v>
      </c>
      <c r="AQ72" s="156">
        <f>IF(Tabel5[[#This Row],[Aantal games Alg]]=0,0,(Tabel5[[#This Row],[Wins Alg]])/Tabel5[[#This Row],[Aantal games Alg]])</f>
        <v>0</v>
      </c>
      <c r="AR72" s="133">
        <f>COUNTIF(Tabel15[Winaar rood],Tabel5[[#This Row],[Team]])</f>
        <v>0</v>
      </c>
      <c r="AS72" s="134">
        <f>COUNTIF(Tabel15[Winnaar Groen],Tabel5[[#This Row],[Team]])</f>
        <v>0</v>
      </c>
      <c r="AT72">
        <f>COUNTIF(Tabel15[Winnaars],Tabel5[[#This Row],[Team]])</f>
        <v>0</v>
      </c>
      <c r="AU72" s="135">
        <f>Tabel5[[#This Row],[Aantal Games Rood]]-Tabel5[[#This Row],[Wins Rood]]</f>
        <v>0</v>
      </c>
      <c r="AV72" s="136">
        <f>Tabel5[[#This Row],[Aantal Games Groen]]-Tabel5[[#This Row],[Wins Groen]]</f>
        <v>0</v>
      </c>
      <c r="AW72" s="137">
        <f>Tabel5[[#This Row],[Aantal games Alg]]-Tabel5[[#This Row],[Wins Alg]]</f>
        <v>0</v>
      </c>
      <c r="AX72" s="138">
        <f>COUNTIF(Tabel15[Team Rood],Tabel5[[#This Row],[Team]])</f>
        <v>0</v>
      </c>
      <c r="AY72" s="136">
        <f>COUNTIF(Tabel15[Team Groen],Tabel5[[#This Row],[Team]])</f>
        <v>0</v>
      </c>
      <c r="AZ72" s="112">
        <f>Tabel5[[#This Row],[Aantal Games Rood]]+Tabel5[[#This Row],[Aantal Games Groen]]</f>
        <v>0</v>
      </c>
      <c r="BA72" s="138">
        <f>SUMIF(Tabel15[Team Rood],Tabel5[[#This Row],[Team]],Tabel15[Score])</f>
        <v>0</v>
      </c>
      <c r="BB72" s="138">
        <f>SUMIF(Tabel15[Team Rood],Tabel5[[#This Row],[Team]],Tabel15[Score2])</f>
        <v>0</v>
      </c>
      <c r="BC72" s="134">
        <f>SUMIF(Tabel15[Team Groen],Tabel5[[#This Row],[Team]],Tabel15[Score3])</f>
        <v>0</v>
      </c>
      <c r="BD72" s="136">
        <f>SUMIF(Tabel15[Team Groen],Tabel5[[#This Row],[Team]],Tabel15[Score4])</f>
        <v>0</v>
      </c>
      <c r="BE72">
        <f>SUM(Tabel5[[#This Row],[Goals Verdediger]]+Tabel5[[#This Row],[Goals DefG]])</f>
        <v>0</v>
      </c>
      <c r="BF72">
        <f>IF(Tabel5[[#This Row],[Aantal games Alg]]=0,0,Tabel5[[#This Row],[Goals DefA]]/Tabel5[[#This Row],[Aantal games Alg]])</f>
        <v>0</v>
      </c>
      <c r="BG72">
        <f>SUM(Tabel5[[#This Row],[Goals Aanvaller]]+Tabel5[[#This Row],[Goals OffG]])</f>
        <v>0</v>
      </c>
      <c r="BH72">
        <f>IF(Tabel5[[#This Row],[Aantal games Alg]]=0,0,Tabel5[[#This Row],[Goals OffA]]/Tabel5[[#This Row],[Aantal games Alg]])</f>
        <v>0</v>
      </c>
      <c r="BI72" s="112">
        <f>Tabel5[[#This Row],[Goals DefA]]+Tabel5[[#This Row],[Goals OffA]]</f>
        <v>0</v>
      </c>
      <c r="BJ72" s="112">
        <f>IF(Tabel5[[#This Row],[Aantal games Alg]]=0,0,Tabel5[[#This Row],[Goals Alg]]/Tabel5[[#This Row],[Aantal games Alg]])</f>
        <v>0</v>
      </c>
      <c r="BK72" s="148">
        <f>SUMIF(Tabel15[Team Rood],Tabel5[[#This Row],[Team]],Tabel15[ET])</f>
        <v>0</v>
      </c>
      <c r="BL72" s="150">
        <f>SUMIF(Tabel15[Team Groen],Tabel5[[#This Row],[Team]],Tabel15[ET])</f>
        <v>0</v>
      </c>
      <c r="BM72" s="153">
        <f>SUM(Tabel5[[#This Row],[ET Groen tot]],Tabel5[[#This Row],[ET Rood tot]])</f>
        <v>0</v>
      </c>
      <c r="BN72" s="155">
        <f>IF(Tabel5[[#This Row],[Aantal games Alg]]=0,0,Tabel5[[#This Row],[ET tot]]/Tabel5[[#This Row],[Aantal games Alg]])</f>
        <v>0</v>
      </c>
    </row>
    <row r="73" spans="1:66" x14ac:dyDescent="0.25">
      <c r="A73" s="215">
        <f ca="1">IF(Tabel15[[#This Row],[Rood Verdediging]]&lt;&gt;"",IF(A73="",NOW(),A73),"")</f>
        <v>44022.933711111109</v>
      </c>
      <c r="B73" s="128">
        <f ca="1">IF(Tabel15[[#This Row],[Rood Verdediging]]&lt;&gt;"",IF(B73="",NOW(),B73),"")</f>
        <v>44022.933711111109</v>
      </c>
      <c r="C73" s="126">
        <f ca="1">IF(Tabel15[[#This Row],[Score]]&lt;&gt;"",IF(C73="",NOW(),C73),"")</f>
        <v>44022.933889120373</v>
      </c>
      <c r="D73" s="217">
        <f ca="1">IF(OR(Tabel15[[#This Row],[Starttijd]]="",Tabel15[[#This Row],[Eindtijd]]=""),"",Tabel15[[#This Row],[Eindtijd]]-Tabel15[[#This Row],[Starttijd]])</f>
        <v>1.7800926434574649E-4</v>
      </c>
      <c r="E73" s="74">
        <v>73</v>
      </c>
      <c r="F73" s="40" t="s">
        <v>11</v>
      </c>
      <c r="G73" s="76">
        <v>4</v>
      </c>
      <c r="H73" s="40" t="s">
        <v>167</v>
      </c>
      <c r="I73" s="76">
        <v>1</v>
      </c>
      <c r="J73" s="41" t="s">
        <v>3</v>
      </c>
      <c r="K73" s="78">
        <v>3</v>
      </c>
      <c r="L73" s="41" t="s">
        <v>6</v>
      </c>
      <c r="M73" s="78">
        <v>8</v>
      </c>
      <c r="N73" s="81">
        <f t="shared" si="11"/>
        <v>5</v>
      </c>
      <c r="O73" s="82">
        <f t="shared" si="12"/>
        <v>11</v>
      </c>
      <c r="P7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Row],[Score4]]&lt;&gt;""),IF(AND(N73&gt;O73,N73&gt;=11),"ROOD",IF(AND(O73&gt;=11,N73&lt;&gt;O73),"GROEN","")),"")</f>
        <v>GROEN</v>
      </c>
      <c r="Q73" s="86" t="str">
        <f t="shared" si="13"/>
        <v>Karel</v>
      </c>
      <c r="R73" s="87" t="str">
        <f t="shared" si="14"/>
        <v>Stef D</v>
      </c>
      <c r="S73" s="293" t="str">
        <f>Tabel15[[#This Row],[Rood Verdediging]]&amp;Tabel15[[#This Row],[Rood Aanval]]</f>
        <v>MatthijsCoghe</v>
      </c>
      <c r="T73" s="293" t="str">
        <f>Tabel15[[#This Row],[Groen Verdediging]]&amp;Tabel15[[#This Row],[Groen Aanval]]</f>
        <v>KarelStef D</v>
      </c>
      <c r="U73" s="293" t="str">
        <f>Tabel15[[#This Row],[Winnaar 1]]&amp;Tabel15[[#This Row],[Winnaar 2]]</f>
        <v>KarelStef D</v>
      </c>
      <c r="V73" s="147" t="b">
        <f>IF(Tabel15[[#This Row],[Team Rood]]=Tabel15[[#This Row],[Winnaars]],Tabel15[[#This Row],[Team Rood]])</f>
        <v>0</v>
      </c>
      <c r="W73" s="147" t="str">
        <f>IF(Tabel15[[#This Row],[Team Groen]]=Tabel15[[#This Row],[Winnaars]],Tabel15[[#This Row],[Team Groen]])</f>
        <v>KarelStef D</v>
      </c>
      <c r="X73" s="283">
        <v>7.3550447256227258</v>
      </c>
      <c r="Y73" s="283">
        <v>9.0176473505988302</v>
      </c>
      <c r="Z73" s="283">
        <v>4.5943543684051029</v>
      </c>
      <c r="AA73" s="283">
        <v>3.9840168597289578</v>
      </c>
      <c r="AL73" s="251" t="s">
        <v>67</v>
      </c>
      <c r="AM73" s="233" t="s">
        <v>157</v>
      </c>
      <c r="AN73" s="140" t="str">
        <f t="shared" si="15"/>
        <v>LawrenceTobi*</v>
      </c>
      <c r="AO73" s="160">
        <f>IF(Tabel5[[#This Row],[Aantal Games Rood]]=0,0,(Tabel5[[#This Row],[Wins Rood]])/Tabel5[[#This Row],[Aantal Games Rood]])</f>
        <v>0</v>
      </c>
      <c r="AP73" s="159">
        <f>IF(Tabel5[[#This Row],[Aantal Games Groen]]=0,0,(Tabel5[[#This Row],[Wins Groen]])/Tabel5[[#This Row],[Aantal Games Groen]])</f>
        <v>0</v>
      </c>
      <c r="AQ73" s="156">
        <f>IF(Tabel5[[#This Row],[Aantal games Alg]]=0,0,(Tabel5[[#This Row],[Wins Alg]])/Tabel5[[#This Row],[Aantal games Alg]])</f>
        <v>0</v>
      </c>
      <c r="AR73" s="133">
        <f>COUNTIF(Tabel15[Winaar rood],Tabel5[[#This Row],[Team]])</f>
        <v>0</v>
      </c>
      <c r="AS73" s="134">
        <f>COUNTIF(Tabel15[Winnaar Groen],Tabel5[[#This Row],[Team]])</f>
        <v>0</v>
      </c>
      <c r="AT73" s="293">
        <f>COUNTIF(Tabel15[Winnaars],Tabel5[[#This Row],[Team]])</f>
        <v>0</v>
      </c>
      <c r="AU73" s="135">
        <f>Tabel5[[#This Row],[Aantal Games Rood]]-Tabel5[[#This Row],[Wins Rood]]</f>
        <v>0</v>
      </c>
      <c r="AV73" s="136">
        <f>Tabel5[[#This Row],[Aantal Games Groen]]-Tabel5[[#This Row],[Wins Groen]]</f>
        <v>0</v>
      </c>
      <c r="AW73" s="137">
        <f>Tabel5[[#This Row],[Aantal games Alg]]-Tabel5[[#This Row],[Wins Alg]]</f>
        <v>0</v>
      </c>
      <c r="AX73" s="138">
        <f>COUNTIF(Tabel15[Team Rood],Tabel5[[#This Row],[Team]])</f>
        <v>0</v>
      </c>
      <c r="AY73" s="136">
        <f>COUNTIF(Tabel15[Team Groen],Tabel5[[#This Row],[Team]])</f>
        <v>0</v>
      </c>
      <c r="AZ73" s="214">
        <f>Tabel5[[#This Row],[Aantal Games Rood]]+Tabel5[[#This Row],[Aantal Games Groen]]</f>
        <v>0</v>
      </c>
      <c r="BA73" s="138">
        <f>SUMIF(Tabel15[Team Rood],Tabel5[[#This Row],[Team]],Tabel15[Score])</f>
        <v>0</v>
      </c>
      <c r="BB73" s="138">
        <f>SUMIF(Tabel15[Team Rood],Tabel5[[#This Row],[Team]],Tabel15[Score2])</f>
        <v>0</v>
      </c>
      <c r="BC73" s="134">
        <f>SUMIF(Tabel15[Team Groen],Tabel5[[#This Row],[Team]],Tabel15[Score3])</f>
        <v>0</v>
      </c>
      <c r="BD73" s="136">
        <f>SUMIF(Tabel15[Team Groen],Tabel5[[#This Row],[Team]],Tabel15[Score4])</f>
        <v>0</v>
      </c>
      <c r="BE73" s="293">
        <f>SUM(Tabel5[[#This Row],[Goals Verdediger]]+Tabel5[[#This Row],[Goals DefG]])</f>
        <v>0</v>
      </c>
      <c r="BF73" s="293">
        <f>IF(Tabel5[[#This Row],[Aantal games Alg]]=0,0,Tabel5[[#This Row],[Goals DefA]]/Tabel5[[#This Row],[Aantal games Alg]])</f>
        <v>0</v>
      </c>
      <c r="BG73" s="293">
        <f>SUM(Tabel5[[#This Row],[Goals Aanvaller]]+Tabel5[[#This Row],[Goals OffG]])</f>
        <v>0</v>
      </c>
      <c r="BH73" s="293">
        <f>IF(Tabel5[[#This Row],[Aantal games Alg]]=0,0,Tabel5[[#This Row],[Goals OffA]]/Tabel5[[#This Row],[Aantal games Alg]])</f>
        <v>0</v>
      </c>
      <c r="BI73" s="214">
        <f>Tabel5[[#This Row],[Goals DefA]]+Tabel5[[#This Row],[Goals OffA]]</f>
        <v>0</v>
      </c>
      <c r="BJ73" s="214">
        <f>IF(Tabel5[[#This Row],[Aantal games Alg]]=0,0,Tabel5[[#This Row],[Goals Alg]]/Tabel5[[#This Row],[Aantal games Alg]])</f>
        <v>0</v>
      </c>
      <c r="BK73" s="148">
        <f>SUMIF(Tabel15[Team Rood],Tabel5[[#This Row],[Team]],Tabel15[ET])</f>
        <v>0</v>
      </c>
      <c r="BL73" s="150">
        <f>SUMIF(Tabel15[Team Groen],Tabel5[[#This Row],[Team]],Tabel15[ET])</f>
        <v>0</v>
      </c>
      <c r="BM73" s="153">
        <f>SUM(Tabel5[[#This Row],[ET Groen tot]],Tabel5[[#This Row],[ET Rood tot]])</f>
        <v>0</v>
      </c>
      <c r="BN73" s="155">
        <f>IF(Tabel5[[#This Row],[Aantal games Alg]]=0,0,Tabel5[[#This Row],[ET tot]]/Tabel5[[#This Row],[Aantal games Alg]])</f>
        <v>0</v>
      </c>
    </row>
    <row r="74" spans="1:66" x14ac:dyDescent="0.25">
      <c r="A74" s="215">
        <f ca="1">IF(Tabel15[[#This Row],[Rood Verdediging]]&lt;&gt;"",IF(A74="",NOW(),A74),"")</f>
        <v>44022.944878240742</v>
      </c>
      <c r="B74" s="128">
        <f ca="1">IF(Tabel15[[#This Row],[Rood Verdediging]]&lt;&gt;"",IF(B74="",NOW(),B74),"")</f>
        <v>44022.944878240742</v>
      </c>
      <c r="C74" s="126">
        <f ca="1">IF(Tabel15[[#This Row],[Score]]&lt;&gt;"",IF(C74="",NOW(),C74),"")</f>
        <v>44022.955231944441</v>
      </c>
      <c r="D74" s="217">
        <f ca="1">IF(OR(Tabel15[[#This Row],[Starttijd]]="",Tabel15[[#This Row],[Eindtijd]]=""),"",Tabel15[[#This Row],[Eindtijd]]-Tabel15[[#This Row],[Starttijd]])</f>
        <v>1.0353703699365724E-2</v>
      </c>
      <c r="E74" s="74">
        <v>74</v>
      </c>
      <c r="F74" s="40" t="s">
        <v>11</v>
      </c>
      <c r="G74" s="76">
        <v>1</v>
      </c>
      <c r="H74" s="40" t="s">
        <v>6</v>
      </c>
      <c r="I74" s="76">
        <v>7</v>
      </c>
      <c r="J74" s="41" t="s">
        <v>7</v>
      </c>
      <c r="K74" s="78">
        <v>6</v>
      </c>
      <c r="L74" s="41" t="s">
        <v>13</v>
      </c>
      <c r="M74" s="78">
        <v>5</v>
      </c>
      <c r="N74" s="81">
        <f t="shared" si="11"/>
        <v>8</v>
      </c>
      <c r="O74" s="82">
        <f t="shared" si="12"/>
        <v>11</v>
      </c>
      <c r="P7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Row],[Score4]]&lt;&gt;""),IF(AND(N74&gt;O74,N74&gt;=11),"ROOD",IF(AND(O74&gt;=11,N74&lt;&gt;O74),"GROEN","")),"")</f>
        <v>GROEN</v>
      </c>
      <c r="Q74" s="86" t="str">
        <f t="shared" si="13"/>
        <v>Tiemen</v>
      </c>
      <c r="R74" s="87" t="str">
        <f t="shared" si="14"/>
        <v>Bert</v>
      </c>
      <c r="S74" s="293" t="str">
        <f>Tabel15[[#This Row],[Rood Verdediging]]&amp;Tabel15[[#This Row],[Rood Aanval]]</f>
        <v>MatthijsStef D</v>
      </c>
      <c r="T74" s="293" t="str">
        <f>Tabel15[[#This Row],[Groen Verdediging]]&amp;Tabel15[[#This Row],[Groen Aanval]]</f>
        <v>TiemenBert</v>
      </c>
      <c r="U74" s="293" t="str">
        <f>Tabel15[[#This Row],[Winnaar 1]]&amp;Tabel15[[#This Row],[Winnaar 2]]</f>
        <v>TiemenBert</v>
      </c>
      <c r="V74" s="147" t="b">
        <f>IF(Tabel15[[#This Row],[Team Rood]]=Tabel15[[#This Row],[Winnaars]],Tabel15[[#This Row],[Team Rood]])</f>
        <v>0</v>
      </c>
      <c r="W74" s="147" t="str">
        <f>IF(Tabel15[[#This Row],[Team Groen]]=Tabel15[[#This Row],[Winnaars]],Tabel15[[#This Row],[Team Groen]])</f>
        <v>TiemenBert</v>
      </c>
      <c r="X74" s="283">
        <v>-7.5139199506810952</v>
      </c>
      <c r="Y74" s="283">
        <v>-9.9229407138361516</v>
      </c>
      <c r="Z74" s="283">
        <v>38.009416202473069</v>
      </c>
      <c r="AA74" s="283">
        <v>34.505408286219378</v>
      </c>
      <c r="AL74" s="251" t="s">
        <v>161</v>
      </c>
      <c r="AM74" s="233" t="s">
        <v>158</v>
      </c>
      <c r="AN74" s="140" t="str">
        <f t="shared" si="15"/>
        <v>Louis*Arno*</v>
      </c>
      <c r="AO74" s="160">
        <f>IF(Tabel5[[#This Row],[Aantal Games Rood]]=0,0,(Tabel5[[#This Row],[Wins Rood]])/Tabel5[[#This Row],[Aantal Games Rood]])</f>
        <v>0</v>
      </c>
      <c r="AP74" s="159">
        <f>IF(Tabel5[[#This Row],[Aantal Games Groen]]=0,0,(Tabel5[[#This Row],[Wins Groen]])/Tabel5[[#This Row],[Aantal Games Groen]])</f>
        <v>0</v>
      </c>
      <c r="AQ74" s="156">
        <f>IF(Tabel5[[#This Row],[Aantal games Alg]]=0,0,(Tabel5[[#This Row],[Wins Alg]])/Tabel5[[#This Row],[Aantal games Alg]])</f>
        <v>0</v>
      </c>
      <c r="AR74" s="138">
        <f>COUNTIF(Tabel15[Winaar rood],Tabel5[[#This Row],[Team]])</f>
        <v>0</v>
      </c>
      <c r="AS74" s="134">
        <f>COUNTIF(Tabel15[Winnaar Groen],Tabel5[[#This Row],[Team]])</f>
        <v>0</v>
      </c>
      <c r="AT74">
        <f>COUNTIF(Tabel15[Winnaars],Tabel5[[#This Row],[Team]])</f>
        <v>0</v>
      </c>
      <c r="AU74" s="135">
        <f>Tabel5[[#This Row],[Aantal Games Rood]]-Tabel5[[#This Row],[Wins Rood]]</f>
        <v>0</v>
      </c>
      <c r="AV74" s="136">
        <f>Tabel5[[#This Row],[Aantal Games Groen]]-Tabel5[[#This Row],[Wins Groen]]</f>
        <v>0</v>
      </c>
      <c r="AW74" s="137">
        <f>Tabel5[[#This Row],[Aantal games Alg]]-Tabel5[[#This Row],[Wins Alg]]</f>
        <v>0</v>
      </c>
      <c r="AX74" s="138">
        <f>COUNTIF(Tabel15[Team Rood],Tabel5[[#This Row],[Team]])</f>
        <v>0</v>
      </c>
      <c r="AY74" s="136">
        <f>COUNTIF(Tabel15[Team Groen],Tabel5[[#This Row],[Team]])</f>
        <v>0</v>
      </c>
      <c r="AZ74" s="112">
        <f>Tabel5[[#This Row],[Aantal Games Rood]]+Tabel5[[#This Row],[Aantal Games Groen]]</f>
        <v>0</v>
      </c>
      <c r="BA74" s="138">
        <f>SUMIF(Tabel15[Team Rood],Tabel5[[#This Row],[Team]],Tabel15[Score])</f>
        <v>0</v>
      </c>
      <c r="BB74" s="138">
        <f>SUMIF(Tabel15[Team Rood],Tabel5[[#This Row],[Team]],Tabel15[Score2])</f>
        <v>0</v>
      </c>
      <c r="BC74" s="134">
        <f>SUMIF(Tabel15[Team Groen],Tabel5[[#This Row],[Team]],Tabel15[Score3])</f>
        <v>0</v>
      </c>
      <c r="BD74" s="136">
        <f>SUMIF(Tabel15[Team Groen],Tabel5[[#This Row],[Team]],Tabel15[Score4])</f>
        <v>0</v>
      </c>
      <c r="BE74">
        <f>SUM(Tabel5[[#This Row],[Goals Verdediger]]+Tabel5[[#This Row],[Goals DefG]])</f>
        <v>0</v>
      </c>
      <c r="BF74">
        <f>IF(Tabel5[[#This Row],[Aantal games Alg]]=0,0,Tabel5[[#This Row],[Goals DefA]]/Tabel5[[#This Row],[Aantal games Alg]])</f>
        <v>0</v>
      </c>
      <c r="BG74">
        <f>SUM(Tabel5[[#This Row],[Goals Aanvaller]]+Tabel5[[#This Row],[Goals OffG]])</f>
        <v>0</v>
      </c>
      <c r="BH74">
        <f>IF(Tabel5[[#This Row],[Aantal games Alg]]=0,0,Tabel5[[#This Row],[Goals OffA]]/Tabel5[[#This Row],[Aantal games Alg]])</f>
        <v>0</v>
      </c>
      <c r="BI74" s="112">
        <f>Tabel5[[#This Row],[Goals DefA]]+Tabel5[[#This Row],[Goals OffA]]</f>
        <v>0</v>
      </c>
      <c r="BJ74" s="112">
        <f>IF(Tabel5[[#This Row],[Aantal games Alg]]=0,0,Tabel5[[#This Row],[Goals Alg]]/Tabel5[[#This Row],[Aantal games Alg]])</f>
        <v>0</v>
      </c>
      <c r="BK74" s="148">
        <f>SUMIF(Tabel15[Team Rood],Tabel5[[#This Row],[Team]],Tabel15[ET])</f>
        <v>0</v>
      </c>
      <c r="BL74" s="150">
        <f>SUMIF(Tabel15[Team Groen],Tabel5[[#This Row],[Team]],Tabel15[ET])</f>
        <v>0</v>
      </c>
      <c r="BM74" s="153">
        <f>SUM(Tabel5[[#This Row],[ET Groen tot]],Tabel5[[#This Row],[ET Rood tot]])</f>
        <v>0</v>
      </c>
      <c r="BN74" s="155">
        <f>IF(Tabel5[[#This Row],[Aantal games Alg]]=0,0,Tabel5[[#This Row],[ET tot]]/Tabel5[[#This Row],[Aantal games Alg]])</f>
        <v>0</v>
      </c>
    </row>
    <row r="75" spans="1:66" x14ac:dyDescent="0.25">
      <c r="A75" s="215">
        <f ca="1">IF(Tabel15[[#This Row],[Rood Verdediging]]&lt;&gt;"",IF(A75="",NOW(),A75),"")</f>
        <v>44022.969087268517</v>
      </c>
      <c r="B75" s="128">
        <f ca="1">IF(Tabel15[[#This Row],[Rood Verdediging]]&lt;&gt;"",IF(B75="",NOW(),B75),"")</f>
        <v>44022.969087268517</v>
      </c>
      <c r="C75" s="126">
        <f ca="1">IF(Tabel15[[#This Row],[Score]]&lt;&gt;"",IF(C75="",NOW(),C75),"")</f>
        <v>44022.96913946759</v>
      </c>
      <c r="D75" s="217">
        <f ca="1">IF(OR(Tabel15[[#This Row],[Starttijd]]="",Tabel15[[#This Row],[Eindtijd]]=""),"",Tabel15[[#This Row],[Eindtijd]]-Tabel15[[#This Row],[Starttijd]])</f>
        <v>5.2199073252268136E-5</v>
      </c>
      <c r="E75" s="74">
        <v>75</v>
      </c>
      <c r="F75" s="40" t="s">
        <v>13</v>
      </c>
      <c r="G75" s="76">
        <v>2</v>
      </c>
      <c r="H75" s="40" t="s">
        <v>6</v>
      </c>
      <c r="I75" s="76">
        <v>8</v>
      </c>
      <c r="J75" s="41" t="s">
        <v>3</v>
      </c>
      <c r="K75" s="78">
        <v>6</v>
      </c>
      <c r="L75" s="41" t="s">
        <v>0</v>
      </c>
      <c r="M75" s="78">
        <v>6</v>
      </c>
      <c r="N75" s="81">
        <f t="shared" si="11"/>
        <v>10</v>
      </c>
      <c r="O75" s="82">
        <f t="shared" si="12"/>
        <v>12</v>
      </c>
      <c r="P7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Row],[Score4]]&lt;&gt;""),IF(AND(N75&gt;O75,N75&gt;=11),"ROOD",IF(AND(O75&gt;=11,N75&lt;&gt;O75),"GROEN","")),"")</f>
        <v>GROEN</v>
      </c>
      <c r="Q75" s="86" t="str">
        <f t="shared" si="13"/>
        <v>Karel</v>
      </c>
      <c r="R75" s="87" t="str">
        <f t="shared" si="14"/>
        <v>Jonas</v>
      </c>
      <c r="S75" s="293" t="str">
        <f>Tabel15[[#This Row],[Rood Verdediging]]&amp;Tabel15[[#This Row],[Rood Aanval]]</f>
        <v>BertStef D</v>
      </c>
      <c r="T75" s="293" t="str">
        <f>Tabel15[[#This Row],[Groen Verdediging]]&amp;Tabel15[[#This Row],[Groen Aanval]]</f>
        <v>KarelJonas</v>
      </c>
      <c r="U75" s="293" t="str">
        <f>Tabel15[[#This Row],[Winnaar 1]]&amp;Tabel15[[#This Row],[Winnaar 2]]</f>
        <v>KarelJonas</v>
      </c>
      <c r="V75" s="147" t="b">
        <f>IF(Tabel15[[#This Row],[Team Rood]]=Tabel15[[#This Row],[Winnaars]],Tabel15[[#This Row],[Team Rood]])</f>
        <v>0</v>
      </c>
      <c r="W75" s="147" t="str">
        <f>IF(Tabel15[[#This Row],[Team Groen]]=Tabel15[[#This Row],[Winnaars]],Tabel15[[#This Row],[Team Groen]])</f>
        <v>KarelJonas</v>
      </c>
      <c r="X75" s="283">
        <v>-11.839672836424867</v>
      </c>
      <c r="Y75" s="283">
        <v>-13.774627577871209</v>
      </c>
      <c r="Z75" s="283">
        <v>43.881401322068243</v>
      </c>
      <c r="AA75" s="283">
        <v>47.939579174000642</v>
      </c>
      <c r="AL75" s="251" t="s">
        <v>161</v>
      </c>
      <c r="AM75" s="233" t="s">
        <v>163</v>
      </c>
      <c r="AN75" s="140" t="str">
        <f t="shared" si="15"/>
        <v>Louis*Bert*</v>
      </c>
      <c r="AO75" s="160">
        <f>IF(Tabel5[[#This Row],[Aantal Games Rood]]=0,0,(Tabel5[[#This Row],[Wins Rood]])/Tabel5[[#This Row],[Aantal Games Rood]])</f>
        <v>0.5</v>
      </c>
      <c r="AP75" s="159">
        <f>IF(Tabel5[[#This Row],[Aantal Games Groen]]=0,0,(Tabel5[[#This Row],[Wins Groen]])/Tabel5[[#This Row],[Aantal Games Groen]])</f>
        <v>0</v>
      </c>
      <c r="AQ75" s="156">
        <f>IF(Tabel5[[#This Row],[Aantal games Alg]]=0,0,(Tabel5[[#This Row],[Wins Alg]])/Tabel5[[#This Row],[Aantal games Alg]])</f>
        <v>0.2857142857142857</v>
      </c>
      <c r="AR75" s="133">
        <f>COUNTIF(Tabel15[Winaar rood],Tabel5[[#This Row],[Team]])</f>
        <v>2</v>
      </c>
      <c r="AS75" s="134">
        <f>COUNTIF(Tabel15[Winnaar Groen],Tabel5[[#This Row],[Team]])</f>
        <v>0</v>
      </c>
      <c r="AT75">
        <f>COUNTIF(Tabel15[Winnaars],Tabel5[[#This Row],[Team]])</f>
        <v>2</v>
      </c>
      <c r="AU75" s="135">
        <f>Tabel5[[#This Row],[Aantal Games Rood]]-Tabel5[[#This Row],[Wins Rood]]</f>
        <v>2</v>
      </c>
      <c r="AV75" s="136">
        <f>Tabel5[[#This Row],[Aantal Games Groen]]-Tabel5[[#This Row],[Wins Groen]]</f>
        <v>3</v>
      </c>
      <c r="AW75" s="137">
        <f>Tabel5[[#This Row],[Aantal games Alg]]-Tabel5[[#This Row],[Wins Alg]]</f>
        <v>5</v>
      </c>
      <c r="AX75" s="138">
        <f>COUNTIF(Tabel15[Team Rood],Tabel5[[#This Row],[Team]])</f>
        <v>4</v>
      </c>
      <c r="AY75" s="136">
        <f>COUNTIF(Tabel15[Team Groen],Tabel5[[#This Row],[Team]])</f>
        <v>3</v>
      </c>
      <c r="AZ75" s="112">
        <f>Tabel5[[#This Row],[Aantal Games Rood]]+Tabel5[[#This Row],[Aantal Games Groen]]</f>
        <v>7</v>
      </c>
      <c r="BA75" s="138">
        <f>SUMIF(Tabel15[Team Rood],Tabel5[[#This Row],[Team]],Tabel15[Score])</f>
        <v>10</v>
      </c>
      <c r="BB75" s="138">
        <f>SUMIF(Tabel15[Team Rood],Tabel5[[#This Row],[Team]],Tabel15[Score2])</f>
        <v>27</v>
      </c>
      <c r="BC75" s="134">
        <f>SUMIF(Tabel15[Team Groen],Tabel5[[#This Row],[Team]],Tabel15[Score3])</f>
        <v>10</v>
      </c>
      <c r="BD75" s="136">
        <f>SUMIF(Tabel15[Team Groen],Tabel5[[#This Row],[Team]],Tabel15[Score4])</f>
        <v>21</v>
      </c>
      <c r="BE75">
        <f>SUM(Tabel5[[#This Row],[Goals Verdediger]]+Tabel5[[#This Row],[Goals DefG]])</f>
        <v>20</v>
      </c>
      <c r="BF75">
        <f>IF(Tabel5[[#This Row],[Aantal games Alg]]=0,0,Tabel5[[#This Row],[Goals DefA]]/Tabel5[[#This Row],[Aantal games Alg]])</f>
        <v>2.8571428571428572</v>
      </c>
      <c r="BG75">
        <f>SUM(Tabel5[[#This Row],[Goals Aanvaller]]+Tabel5[[#This Row],[Goals OffG]])</f>
        <v>48</v>
      </c>
      <c r="BH75">
        <f>IF(Tabel5[[#This Row],[Aantal games Alg]]=0,0,Tabel5[[#This Row],[Goals OffA]]/Tabel5[[#This Row],[Aantal games Alg]])</f>
        <v>6.8571428571428568</v>
      </c>
      <c r="BI75" s="112">
        <f>Tabel5[[#This Row],[Goals DefA]]+Tabel5[[#This Row],[Goals OffA]]</f>
        <v>68</v>
      </c>
      <c r="BJ75" s="112">
        <f>IF(Tabel5[[#This Row],[Aantal games Alg]]=0,0,Tabel5[[#This Row],[Goals Alg]]/Tabel5[[#This Row],[Aantal games Alg]])</f>
        <v>9.7142857142857135</v>
      </c>
      <c r="BK75" s="148">
        <f ca="1">SUMIF(Tabel15[Team Rood],Tabel5[[#This Row],[Team]],Tabel15[ET])</f>
        <v>3.4227546289912425E-2</v>
      </c>
      <c r="BL75" s="150">
        <f ca="1">SUMIF(Tabel15[Team Groen],Tabel5[[#This Row],[Team]],Tabel15[ET])</f>
        <v>1.0682870197342709E-4</v>
      </c>
      <c r="BM75" s="153">
        <f ca="1">SUM(Tabel5[[#This Row],[ET Groen tot]],Tabel5[[#This Row],[ET Rood tot]])</f>
        <v>3.4334374991885852E-2</v>
      </c>
      <c r="BN75" s="155">
        <f ca="1">IF(Tabel5[[#This Row],[Aantal games Alg]]=0,0,Tabel5[[#This Row],[ET tot]]/Tabel5[[#This Row],[Aantal games Alg]])</f>
        <v>4.9049107131265502E-3</v>
      </c>
    </row>
    <row r="76" spans="1:66" x14ac:dyDescent="0.25">
      <c r="A76" s="215">
        <f ca="1">IF(Tabel15[[#This Row],[Rood Verdediging]]&lt;&gt;"",IF(A76="",NOW(),A76),"")</f>
        <v>44022.980291087966</v>
      </c>
      <c r="B76" s="128">
        <f ca="1">IF(Tabel15[[#This Row],[Rood Verdediging]]&lt;&gt;"",IF(B76="",NOW(),B76),"")</f>
        <v>44022.980291087966</v>
      </c>
      <c r="C76" s="126">
        <f ca="1">IF(Tabel15[[#This Row],[Score]]&lt;&gt;"",IF(C76="",NOW(),C76),"")</f>
        <v>44022.980342129631</v>
      </c>
      <c r="D76" s="217">
        <f ca="1">IF(OR(Tabel15[[#This Row],[Starttijd]]="",Tabel15[[#This Row],[Eindtijd]]=""),"",Tabel15[[#This Row],[Eindtijd]]-Tabel15[[#This Row],[Starttijd]])</f>
        <v>5.1041664846707135E-5</v>
      </c>
      <c r="E76" s="74">
        <v>76</v>
      </c>
      <c r="F76" s="40" t="s">
        <v>8</v>
      </c>
      <c r="G76" s="76">
        <v>3</v>
      </c>
      <c r="H76" s="40" t="s">
        <v>13</v>
      </c>
      <c r="I76" s="76">
        <v>8</v>
      </c>
      <c r="J76" s="41" t="s">
        <v>6</v>
      </c>
      <c r="K76" s="78">
        <v>4</v>
      </c>
      <c r="L76" s="41" t="s">
        <v>7</v>
      </c>
      <c r="M76" s="78">
        <v>5</v>
      </c>
      <c r="N76" s="81">
        <f t="shared" si="11"/>
        <v>11</v>
      </c>
      <c r="O76" s="82">
        <f t="shared" si="12"/>
        <v>9</v>
      </c>
      <c r="P7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Row],[Score4]]&lt;&gt;""),IF(AND(N76&gt;O76,N76&gt;=11),"ROOD",IF(AND(O76&gt;=11,N76&lt;&gt;O76),"GROEN","")),"")</f>
        <v>ROOD</v>
      </c>
      <c r="Q76" s="86" t="str">
        <f t="shared" si="13"/>
        <v>Louis</v>
      </c>
      <c r="R76" s="87" t="str">
        <f t="shared" si="14"/>
        <v>Bert</v>
      </c>
      <c r="S76" s="293" t="str">
        <f>Tabel15[[#This Row],[Rood Verdediging]]&amp;Tabel15[[#This Row],[Rood Aanval]]</f>
        <v>LouisBert</v>
      </c>
      <c r="T76" s="293" t="str">
        <f>Tabel15[[#This Row],[Groen Verdediging]]&amp;Tabel15[[#This Row],[Groen Aanval]]</f>
        <v>Stef DTiemen</v>
      </c>
      <c r="U76" s="293" t="str">
        <f>Tabel15[[#This Row],[Winnaar 1]]&amp;Tabel15[[#This Row],[Winnaar 2]]</f>
        <v>LouisBert</v>
      </c>
      <c r="V76" s="147" t="str">
        <f>IF(Tabel15[[#This Row],[Team Rood]]=Tabel15[[#This Row],[Winnaars]],Tabel15[[#This Row],[Team Rood]])</f>
        <v>LouisBert</v>
      </c>
      <c r="W76" s="147" t="b">
        <f>IF(Tabel15[[#This Row],[Team Groen]]=Tabel15[[#This Row],[Winnaars]],Tabel15[[#This Row],[Team Groen]])</f>
        <v>0</v>
      </c>
      <c r="X76" s="283">
        <v>31.23248143107061</v>
      </c>
      <c r="Y76" s="283">
        <v>32.328005971973063</v>
      </c>
      <c r="Z76" s="283">
        <v>-7.6839898063723968</v>
      </c>
      <c r="AA76" s="283">
        <v>-7.0388741768865613</v>
      </c>
      <c r="AL76" s="251" t="s">
        <v>161</v>
      </c>
      <c r="AM76" s="233" t="s">
        <v>168</v>
      </c>
      <c r="AN76" s="140" t="str">
        <f t="shared" si="15"/>
        <v>Louis*Coghe*</v>
      </c>
      <c r="AO76" s="160">
        <f>IF(Tabel5[[#This Row],[Aantal Games Rood]]=0,0,(Tabel5[[#This Row],[Wins Rood]])/Tabel5[[#This Row],[Aantal Games Rood]])</f>
        <v>0</v>
      </c>
      <c r="AP76" s="159">
        <f>IF(Tabel5[[#This Row],[Aantal Games Groen]]=0,0,(Tabel5[[#This Row],[Wins Groen]])/Tabel5[[#This Row],[Aantal Games Groen]])</f>
        <v>0</v>
      </c>
      <c r="AQ76" s="156">
        <f>IF(Tabel5[[#This Row],[Aantal games Alg]]=0,0,(Tabel5[[#This Row],[Wins Alg]])/Tabel5[[#This Row],[Aantal games Alg]])</f>
        <v>0</v>
      </c>
      <c r="AR76" s="138">
        <f>COUNTIF(Tabel15[Winaar rood],Tabel5[[#This Row],[Team]])</f>
        <v>0</v>
      </c>
      <c r="AS76" s="134">
        <f>COUNTIF(Tabel15[Winnaar Groen],Tabel5[[#This Row],[Team]])</f>
        <v>0</v>
      </c>
      <c r="AT76">
        <f>COUNTIF(Tabel15[Winnaars],Tabel5[[#This Row],[Team]])</f>
        <v>0</v>
      </c>
      <c r="AU76" s="135">
        <f>Tabel5[[#This Row],[Aantal Games Rood]]-Tabel5[[#This Row],[Wins Rood]]</f>
        <v>0</v>
      </c>
      <c r="AV76" s="136">
        <f>Tabel5[[#This Row],[Aantal Games Groen]]-Tabel5[[#This Row],[Wins Groen]]</f>
        <v>0</v>
      </c>
      <c r="AW76" s="137">
        <f>Tabel5[[#This Row],[Aantal games Alg]]-Tabel5[[#This Row],[Wins Alg]]</f>
        <v>0</v>
      </c>
      <c r="AX76" s="138">
        <f>COUNTIF(Tabel15[Team Rood],Tabel5[[#This Row],[Team]])</f>
        <v>0</v>
      </c>
      <c r="AY76" s="136">
        <f>COUNTIF(Tabel15[Team Groen],Tabel5[[#This Row],[Team]])</f>
        <v>0</v>
      </c>
      <c r="AZ76" s="112">
        <f>Tabel5[[#This Row],[Aantal Games Rood]]+Tabel5[[#This Row],[Aantal Games Groen]]</f>
        <v>0</v>
      </c>
      <c r="BA76" s="138">
        <f>SUMIF(Tabel15[Team Rood],Tabel5[[#This Row],[Team]],Tabel15[Score])</f>
        <v>0</v>
      </c>
      <c r="BB76" s="138">
        <f>SUMIF(Tabel15[Team Rood],Tabel5[[#This Row],[Team]],Tabel15[Score2])</f>
        <v>0</v>
      </c>
      <c r="BC76" s="134">
        <f>SUMIF(Tabel15[Team Groen],Tabel5[[#This Row],[Team]],Tabel15[Score3])</f>
        <v>0</v>
      </c>
      <c r="BD76" s="136">
        <f>SUMIF(Tabel15[Team Groen],Tabel5[[#This Row],[Team]],Tabel15[Score4])</f>
        <v>0</v>
      </c>
      <c r="BE76">
        <f>SUM(Tabel5[[#This Row],[Goals Verdediger]]+Tabel5[[#This Row],[Goals DefG]])</f>
        <v>0</v>
      </c>
      <c r="BF76">
        <f>IF(Tabel5[[#This Row],[Aantal games Alg]]=0,0,Tabel5[[#This Row],[Goals DefA]]/Tabel5[[#This Row],[Aantal games Alg]])</f>
        <v>0</v>
      </c>
      <c r="BG76">
        <f>SUM(Tabel5[[#This Row],[Goals Aanvaller]]+Tabel5[[#This Row],[Goals OffG]])</f>
        <v>0</v>
      </c>
      <c r="BH76">
        <f>IF(Tabel5[[#This Row],[Aantal games Alg]]=0,0,Tabel5[[#This Row],[Goals OffA]]/Tabel5[[#This Row],[Aantal games Alg]])</f>
        <v>0</v>
      </c>
      <c r="BI76" s="112">
        <f>Tabel5[[#This Row],[Goals DefA]]+Tabel5[[#This Row],[Goals OffA]]</f>
        <v>0</v>
      </c>
      <c r="BJ76" s="112">
        <f>IF(Tabel5[[#This Row],[Aantal games Alg]]=0,0,Tabel5[[#This Row],[Goals Alg]]/Tabel5[[#This Row],[Aantal games Alg]])</f>
        <v>0</v>
      </c>
      <c r="BK76" s="148">
        <f>SUMIF(Tabel15[Team Rood],Tabel5[[#This Row],[Team]],Tabel15[ET])</f>
        <v>0</v>
      </c>
      <c r="BL76" s="150">
        <f>SUMIF(Tabel15[Team Groen],Tabel5[[#This Row],[Team]],Tabel15[ET])</f>
        <v>0</v>
      </c>
      <c r="BM76" s="153">
        <f>SUM(Tabel5[[#This Row],[ET Groen tot]],Tabel5[[#This Row],[ET Rood tot]])</f>
        <v>0</v>
      </c>
      <c r="BN76" s="155">
        <f>IF(Tabel5[[#This Row],[Aantal games Alg]]=0,0,Tabel5[[#This Row],[ET tot]]/Tabel5[[#This Row],[Aantal games Alg]])</f>
        <v>0</v>
      </c>
    </row>
    <row r="77" spans="1:66" x14ac:dyDescent="0.25">
      <c r="A77" s="215">
        <f ca="1">IF(Tabel15[[#This Row],[Rood Verdediging]]&lt;&gt;"",IF(A77="",NOW(),A77),"")</f>
        <v>44023.013881018516</v>
      </c>
      <c r="B77" s="128">
        <f ca="1">IF(Tabel15[[#This Row],[Rood Verdediging]]&lt;&gt;"",IF(B77="",NOW(),B77),"")</f>
        <v>44023.013881018516</v>
      </c>
      <c r="C77" s="126">
        <f ca="1">IF(Tabel15[[#This Row],[Score]]&lt;&gt;"",IF(C77="",NOW(),C77),"")</f>
        <v>44023.030356712959</v>
      </c>
      <c r="D77" s="217">
        <f ca="1">IF(OR(Tabel15[[#This Row],[Starttijd]]="",Tabel15[[#This Row],[Eindtijd]]=""),"",Tabel15[[#This Row],[Eindtijd]]-Tabel15[[#This Row],[Starttijd]])</f>
        <v>1.6475694443215616E-2</v>
      </c>
      <c r="E77" s="74">
        <v>77</v>
      </c>
      <c r="F77" s="40" t="s">
        <v>3</v>
      </c>
      <c r="G77" s="76">
        <v>3</v>
      </c>
      <c r="H77" s="40" t="s">
        <v>13</v>
      </c>
      <c r="I77" s="76">
        <v>8</v>
      </c>
      <c r="J77" s="41" t="s">
        <v>8</v>
      </c>
      <c r="K77" s="78">
        <v>5</v>
      </c>
      <c r="L77" s="41" t="s">
        <v>11</v>
      </c>
      <c r="M77" s="78">
        <v>2</v>
      </c>
      <c r="N77" s="81">
        <f t="shared" si="11"/>
        <v>11</v>
      </c>
      <c r="O77" s="82">
        <f t="shared" si="12"/>
        <v>7</v>
      </c>
      <c r="P7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Row],[Score4]]&lt;&gt;""),IF(AND(N77&gt;O77,N77&gt;=11),"ROOD",IF(AND(O77&gt;=11,N77&lt;&gt;O77),"GROEN","")),"")</f>
        <v>ROOD</v>
      </c>
      <c r="Q77" s="86" t="str">
        <f t="shared" si="13"/>
        <v>Karel</v>
      </c>
      <c r="R77" s="87" t="str">
        <f t="shared" si="14"/>
        <v>Bert</v>
      </c>
      <c r="S77" s="293" t="str">
        <f>Tabel15[[#This Row],[Rood Verdediging]]&amp;Tabel15[[#This Row],[Rood Aanval]]</f>
        <v>KarelBert</v>
      </c>
      <c r="T77" s="293" t="str">
        <f>Tabel15[[#This Row],[Groen Verdediging]]&amp;Tabel15[[#This Row],[Groen Aanval]]</f>
        <v>LouisMatthijs</v>
      </c>
      <c r="U77" s="293" t="str">
        <f>Tabel15[[#This Row],[Winnaar 1]]&amp;Tabel15[[#This Row],[Winnaar 2]]</f>
        <v>KarelBert</v>
      </c>
      <c r="V77" s="147" t="str">
        <f>IF(Tabel15[[#This Row],[Team Rood]]=Tabel15[[#This Row],[Winnaars]],Tabel15[[#This Row],[Team Rood]])</f>
        <v>KarelBert</v>
      </c>
      <c r="W77" s="147" t="b">
        <f>IF(Tabel15[[#This Row],[Team Groen]]=Tabel15[[#This Row],[Winnaars]],Tabel15[[#This Row],[Team Groen]])</f>
        <v>0</v>
      </c>
      <c r="X77" s="283">
        <v>15.470488465469732</v>
      </c>
      <c r="Y77" s="283">
        <v>15.25555028203968</v>
      </c>
      <c r="Z77" s="283">
        <v>-0.28962555969294634</v>
      </c>
      <c r="AA77" s="283">
        <v>-0.20506471902871826</v>
      </c>
      <c r="AL77" s="251" t="s">
        <v>161</v>
      </c>
      <c r="AM77" s="233" t="s">
        <v>159</v>
      </c>
      <c r="AN77" s="140" t="str">
        <f t="shared" si="15"/>
        <v>Louis*Jonas*</v>
      </c>
      <c r="AO77" s="160">
        <f>IF(Tabel5[[#This Row],[Aantal Games Rood]]=0,0,(Tabel5[[#This Row],[Wins Rood]])/Tabel5[[#This Row],[Aantal Games Rood]])</f>
        <v>0.66666666666666663</v>
      </c>
      <c r="AP77" s="159">
        <f>IF(Tabel5[[#This Row],[Aantal Games Groen]]=0,0,(Tabel5[[#This Row],[Wins Groen]])/Tabel5[[#This Row],[Aantal Games Groen]])</f>
        <v>0.2</v>
      </c>
      <c r="AQ77" s="156">
        <f>IF(Tabel5[[#This Row],[Aantal games Alg]]=0,0,(Tabel5[[#This Row],[Wins Alg]])/Tabel5[[#This Row],[Aantal games Alg]])</f>
        <v>0.375</v>
      </c>
      <c r="AR77" s="138">
        <f>COUNTIF(Tabel15[Winaar rood],Tabel5[[#This Row],[Team]])</f>
        <v>2</v>
      </c>
      <c r="AS77" s="134">
        <f>COUNTIF(Tabel15[Winnaar Groen],Tabel5[[#This Row],[Team]])</f>
        <v>1</v>
      </c>
      <c r="AT77">
        <f>COUNTIF(Tabel15[Winnaars],Tabel5[[#This Row],[Team]])</f>
        <v>3</v>
      </c>
      <c r="AU77" s="135">
        <f>Tabel5[[#This Row],[Aantal Games Rood]]-Tabel5[[#This Row],[Wins Rood]]</f>
        <v>1</v>
      </c>
      <c r="AV77" s="136">
        <f>Tabel5[[#This Row],[Aantal Games Groen]]-Tabel5[[#This Row],[Wins Groen]]</f>
        <v>4</v>
      </c>
      <c r="AW77" s="137">
        <f>Tabel5[[#This Row],[Aantal games Alg]]-Tabel5[[#This Row],[Wins Alg]]</f>
        <v>5</v>
      </c>
      <c r="AX77" s="138">
        <f>COUNTIF(Tabel15[Team Rood],Tabel5[[#This Row],[Team]])</f>
        <v>3</v>
      </c>
      <c r="AY77" s="136">
        <f>COUNTIF(Tabel15[Team Groen],Tabel5[[#This Row],[Team]])</f>
        <v>5</v>
      </c>
      <c r="AZ77" s="112">
        <f>Tabel5[[#This Row],[Aantal Games Rood]]+Tabel5[[#This Row],[Aantal Games Groen]]</f>
        <v>8</v>
      </c>
      <c r="BA77" s="138">
        <f>SUMIF(Tabel15[Team Rood],Tabel5[[#This Row],[Team]],Tabel15[Score])</f>
        <v>10</v>
      </c>
      <c r="BB77" s="138">
        <f>SUMIF(Tabel15[Team Rood],Tabel5[[#This Row],[Team]],Tabel15[Score2])</f>
        <v>19</v>
      </c>
      <c r="BC77" s="134">
        <f>SUMIF(Tabel15[Team Groen],Tabel5[[#This Row],[Team]],Tabel15[Score3])</f>
        <v>21</v>
      </c>
      <c r="BD77" s="136">
        <f>SUMIF(Tabel15[Team Groen],Tabel5[[#This Row],[Team]],Tabel15[Score4])</f>
        <v>24</v>
      </c>
      <c r="BE77">
        <f>SUM(Tabel5[[#This Row],[Goals Verdediger]]+Tabel5[[#This Row],[Goals DefG]])</f>
        <v>31</v>
      </c>
      <c r="BF77">
        <f>IF(Tabel5[[#This Row],[Aantal games Alg]]=0,0,Tabel5[[#This Row],[Goals DefA]]/Tabel5[[#This Row],[Aantal games Alg]])</f>
        <v>3.875</v>
      </c>
      <c r="BG77">
        <f>SUM(Tabel5[[#This Row],[Goals Aanvaller]]+Tabel5[[#This Row],[Goals OffG]])</f>
        <v>43</v>
      </c>
      <c r="BH77">
        <f>IF(Tabel5[[#This Row],[Aantal games Alg]]=0,0,Tabel5[[#This Row],[Goals OffA]]/Tabel5[[#This Row],[Aantal games Alg]])</f>
        <v>5.375</v>
      </c>
      <c r="BI77" s="112">
        <f>Tabel5[[#This Row],[Goals DefA]]+Tabel5[[#This Row],[Goals OffA]]</f>
        <v>74</v>
      </c>
      <c r="BJ77" s="112">
        <f>IF(Tabel5[[#This Row],[Aantal games Alg]]=0,0,Tabel5[[#This Row],[Goals Alg]]/Tabel5[[#This Row],[Aantal games Alg]])</f>
        <v>9.25</v>
      </c>
      <c r="BK77" s="148">
        <f ca="1">SUMIF(Tabel15[Team Rood],Tabel5[[#This Row],[Team]],Tabel15[ET])</f>
        <v>1.2436226850011112E-2</v>
      </c>
      <c r="BL77" s="150">
        <f ca="1">SUMIF(Tabel15[Team Groen],Tabel5[[#This Row],[Team]],Tabel15[ET])</f>
        <v>1.6804976854473352E-2</v>
      </c>
      <c r="BM77" s="153">
        <f ca="1">SUM(Tabel5[[#This Row],[ET Groen tot]],Tabel5[[#This Row],[ET Rood tot]])</f>
        <v>2.9241203704484464E-2</v>
      </c>
      <c r="BN77" s="155">
        <f ca="1">IF(Tabel5[[#This Row],[Aantal games Alg]]=0,0,Tabel5[[#This Row],[ET tot]]/Tabel5[[#This Row],[Aantal games Alg]])</f>
        <v>3.655150463060558E-3</v>
      </c>
    </row>
    <row r="78" spans="1:66" x14ac:dyDescent="0.25">
      <c r="A78" s="215">
        <f ca="1">IF(Tabel15[[#This Row],[Rood Verdediging]]&lt;&gt;"",IF(A78="",NOW(),A78),"")</f>
        <v>44023.137067824071</v>
      </c>
      <c r="B78" s="128">
        <f ca="1">IF(Tabel15[[#This Row],[Rood Verdediging]]&lt;&gt;"",IF(B78="",NOW(),B78),"")</f>
        <v>44023.137067824071</v>
      </c>
      <c r="C78" s="126">
        <f ca="1">IF(Tabel15[[#This Row],[Score]]&lt;&gt;"",IF(C78="",NOW(),C78),"")</f>
        <v>44023.137099074076</v>
      </c>
      <c r="D78" s="217">
        <f ca="1">IF(OR(Tabel15[[#This Row],[Starttijd]]="",Tabel15[[#This Row],[Eindtijd]]=""),"",Tabel15[[#This Row],[Eindtijd]]-Tabel15[[#This Row],[Starttijd]])</f>
        <v>3.125000512227416E-5</v>
      </c>
      <c r="E78" s="74">
        <v>78</v>
      </c>
      <c r="F78" s="205" t="s">
        <v>19</v>
      </c>
      <c r="G78" s="210">
        <v>0</v>
      </c>
      <c r="H78" s="205" t="s">
        <v>6</v>
      </c>
      <c r="I78" s="210">
        <v>11</v>
      </c>
      <c r="J78" s="206" t="s">
        <v>11</v>
      </c>
      <c r="K78" s="212">
        <v>2</v>
      </c>
      <c r="L78" s="206" t="s">
        <v>3</v>
      </c>
      <c r="M78" s="212">
        <v>6</v>
      </c>
      <c r="N78" s="81">
        <f t="shared" si="11"/>
        <v>11</v>
      </c>
      <c r="O78" s="82">
        <f t="shared" si="12"/>
        <v>8</v>
      </c>
      <c r="P7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Row],[Score4]]&lt;&gt;""),IF(AND(N78&gt;O78,N78&gt;=11),"ROOD",IF(AND(O78&gt;=11,N78&lt;&gt;O78),"GROEN","")),"")</f>
        <v>ROOD</v>
      </c>
      <c r="Q78" s="86" t="str">
        <f t="shared" si="13"/>
        <v>Nicolas</v>
      </c>
      <c r="R78" s="87" t="str">
        <f t="shared" si="14"/>
        <v>Stef D</v>
      </c>
      <c r="S78" s="293" t="str">
        <f>Tabel15[[#This Row],[Rood Verdediging]]&amp;Tabel15[[#This Row],[Rood Aanval]]</f>
        <v>NicolasStef D</v>
      </c>
      <c r="T78" s="293" t="str">
        <f>Tabel15[[#This Row],[Groen Verdediging]]&amp;Tabel15[[#This Row],[Groen Aanval]]</f>
        <v>MatthijsKarel</v>
      </c>
      <c r="U78" s="293" t="str">
        <f>Tabel15[[#This Row],[Winnaar 1]]&amp;Tabel15[[#This Row],[Winnaar 2]]</f>
        <v>NicolasStef D</v>
      </c>
      <c r="V78" s="147" t="str">
        <f>IF(Tabel15[[#This Row],[Team Rood]]=Tabel15[[#This Row],[Winnaars]],Tabel15[[#This Row],[Team Rood]])</f>
        <v>NicolasStef D</v>
      </c>
      <c r="W78" s="147" t="b">
        <f>IF(Tabel15[[#This Row],[Team Groen]]=Tabel15[[#This Row],[Winnaars]],Tabel15[[#This Row],[Team Groen]])</f>
        <v>0</v>
      </c>
      <c r="X78" s="283">
        <v>43.082102831116096</v>
      </c>
      <c r="Y78" s="283">
        <v>25.514409478722555</v>
      </c>
      <c r="Z78" s="283">
        <v>-6.6098676540474308</v>
      </c>
      <c r="AA78" s="283">
        <v>-9.7469160440970182</v>
      </c>
      <c r="AL78" s="251" t="s">
        <v>161</v>
      </c>
      <c r="AM78" s="233" t="s">
        <v>164</v>
      </c>
      <c r="AN78" s="140" t="str">
        <f t="shared" si="15"/>
        <v>Louis*Karel*</v>
      </c>
      <c r="AO78" s="160">
        <f>IF(Tabel5[[#This Row],[Aantal Games Rood]]=0,0,(Tabel5[[#This Row],[Wins Rood]])/Tabel5[[#This Row],[Aantal Games Rood]])</f>
        <v>0.75</v>
      </c>
      <c r="AP78" s="159">
        <f>IF(Tabel5[[#This Row],[Aantal Games Groen]]=0,0,(Tabel5[[#This Row],[Wins Groen]])/Tabel5[[#This Row],[Aantal Games Groen]])</f>
        <v>0.8</v>
      </c>
      <c r="AQ78" s="156">
        <f>IF(Tabel5[[#This Row],[Aantal games Alg]]=0,0,(Tabel5[[#This Row],[Wins Alg]])/Tabel5[[#This Row],[Aantal games Alg]])</f>
        <v>0.77777777777777779</v>
      </c>
      <c r="AR78" s="138">
        <f>COUNTIF(Tabel15[Winaar rood],Tabel5[[#This Row],[Team]])</f>
        <v>3</v>
      </c>
      <c r="AS78" s="134">
        <f>COUNTIF(Tabel15[Winnaar Groen],Tabel5[[#This Row],[Team]])</f>
        <v>4</v>
      </c>
      <c r="AT78">
        <f>COUNTIF(Tabel15[Winnaars],Tabel5[[#This Row],[Team]])</f>
        <v>7</v>
      </c>
      <c r="AU78" s="135">
        <f>Tabel5[[#This Row],[Aantal Games Rood]]-Tabel5[[#This Row],[Wins Rood]]</f>
        <v>1</v>
      </c>
      <c r="AV78" s="136">
        <f>Tabel5[[#This Row],[Aantal Games Groen]]-Tabel5[[#This Row],[Wins Groen]]</f>
        <v>1</v>
      </c>
      <c r="AW78" s="137">
        <f>Tabel5[[#This Row],[Aantal games Alg]]-Tabel5[[#This Row],[Wins Alg]]</f>
        <v>2</v>
      </c>
      <c r="AX78" s="138">
        <f>COUNTIF(Tabel15[Team Rood],Tabel5[[#This Row],[Team]])</f>
        <v>4</v>
      </c>
      <c r="AY78" s="136">
        <f>COUNTIF(Tabel15[Team Groen],Tabel5[[#This Row],[Team]])</f>
        <v>5</v>
      </c>
      <c r="AZ78" s="214">
        <f>Tabel5[[#This Row],[Aantal Games Rood]]+Tabel5[[#This Row],[Aantal Games Groen]]</f>
        <v>9</v>
      </c>
      <c r="BA78" s="138">
        <f>SUMIF(Tabel15[Team Rood],Tabel5[[#This Row],[Team]],Tabel15[Score])</f>
        <v>9</v>
      </c>
      <c r="BB78" s="138">
        <f>SUMIF(Tabel15[Team Rood],Tabel5[[#This Row],[Team]],Tabel15[Score2])</f>
        <v>38</v>
      </c>
      <c r="BC78" s="134">
        <f>SUMIF(Tabel15[Team Groen],Tabel5[[#This Row],[Team]],Tabel15[Score3])</f>
        <v>16</v>
      </c>
      <c r="BD78" s="136">
        <f>SUMIF(Tabel15[Team Groen],Tabel5[[#This Row],[Team]],Tabel15[Score4])</f>
        <v>38</v>
      </c>
      <c r="BE78">
        <f>SUM(Tabel5[[#This Row],[Goals Verdediger]]+Tabel5[[#This Row],[Goals DefG]])</f>
        <v>25</v>
      </c>
      <c r="BF78">
        <f>IF(Tabel5[[#This Row],[Aantal games Alg]]=0,0,Tabel5[[#This Row],[Goals DefA]]/Tabel5[[#This Row],[Aantal games Alg]])</f>
        <v>2.7777777777777777</v>
      </c>
      <c r="BG78">
        <f>SUM(Tabel5[[#This Row],[Goals Aanvaller]]+Tabel5[[#This Row],[Goals OffG]])</f>
        <v>76</v>
      </c>
      <c r="BH78">
        <f>IF(Tabel5[[#This Row],[Aantal games Alg]]=0,0,Tabel5[[#This Row],[Goals OffA]]/Tabel5[[#This Row],[Aantal games Alg]])</f>
        <v>8.4444444444444446</v>
      </c>
      <c r="BI78" s="112">
        <f>Tabel5[[#This Row],[Goals DefA]]+Tabel5[[#This Row],[Goals OffA]]</f>
        <v>101</v>
      </c>
      <c r="BJ78" s="112">
        <f>IF(Tabel5[[#This Row],[Aantal games Alg]]=0,0,Tabel5[[#This Row],[Goals Alg]]/Tabel5[[#This Row],[Aantal games Alg]])</f>
        <v>11.222222222222221</v>
      </c>
      <c r="BK78" s="148">
        <f ca="1">SUMIF(Tabel15[Team Rood],Tabel5[[#This Row],[Team]],Tabel15[ET])</f>
        <v>3.296261573996162E-2</v>
      </c>
      <c r="BL78" s="150">
        <f ca="1">SUMIF(Tabel15[Team Groen],Tabel5[[#This Row],[Team]],Tabel15[ET])</f>
        <v>1.8685995368286967E-2</v>
      </c>
      <c r="BM78" s="153">
        <f ca="1">SUM(Tabel5[[#This Row],[ET Groen tot]],Tabel5[[#This Row],[ET Rood tot]])</f>
        <v>5.1648611108248588E-2</v>
      </c>
      <c r="BN78" s="155">
        <f ca="1">IF(Tabel5[[#This Row],[Aantal games Alg]]=0,0,Tabel5[[#This Row],[ET tot]]/Tabel5[[#This Row],[Aantal games Alg]])</f>
        <v>5.7387345675831763E-3</v>
      </c>
    </row>
    <row r="79" spans="1:66" x14ac:dyDescent="0.25">
      <c r="A79" s="215">
        <f ca="1">IF(Tabel15[[#This Row],[Rood Verdediging]]&lt;&gt;"",IF(A79="",NOW(),A79),"")</f>
        <v>44029.946596527778</v>
      </c>
      <c r="B79" s="128">
        <f ca="1">IF(Tabel15[[#This Row],[Rood Verdediging]]&lt;&gt;"",IF(B79="",NOW(),B79),"")</f>
        <v>44029.946596527778</v>
      </c>
      <c r="C79" s="126">
        <f ca="1">IF(Tabel15[[#This Row],[Score]]&lt;&gt;"",IF(C79="",NOW(),C79),"")</f>
        <v>44029.946630439816</v>
      </c>
      <c r="D79" s="217">
        <f ca="1">IF(OR(Tabel15[[#This Row],[Starttijd]]="",Tabel15[[#This Row],[Eindtijd]]=""),"",Tabel15[[#This Row],[Eindtijd]]-Tabel15[[#This Row],[Starttijd]])</f>
        <v>3.3912037906702608E-5</v>
      </c>
      <c r="E79" s="74">
        <v>79</v>
      </c>
      <c r="F79" s="205" t="s">
        <v>6</v>
      </c>
      <c r="G79" s="76">
        <v>1</v>
      </c>
      <c r="H79" s="205" t="s">
        <v>13</v>
      </c>
      <c r="I79" s="76">
        <v>10</v>
      </c>
      <c r="J79" s="206" t="s">
        <v>8</v>
      </c>
      <c r="K79" s="78">
        <v>3</v>
      </c>
      <c r="L79" s="206" t="s">
        <v>0</v>
      </c>
      <c r="M79" s="78">
        <v>3</v>
      </c>
      <c r="N79" s="81">
        <v>11</v>
      </c>
      <c r="O79" s="82">
        <f t="shared" si="12"/>
        <v>6</v>
      </c>
      <c r="P7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Row],[Score4]]&lt;&gt;""),IF(AND(N79&gt;O79,N79&gt;=11),"ROOD",IF(AND(O79&gt;=11,N79&lt;&gt;O79),"GROEN","")),"")</f>
        <v>ROOD</v>
      </c>
      <c r="Q79" s="86" t="str">
        <f t="shared" si="13"/>
        <v>Stef D</v>
      </c>
      <c r="R79" s="87" t="str">
        <f t="shared" si="14"/>
        <v>Bert</v>
      </c>
      <c r="S79" s="293" t="str">
        <f>Tabel15[[#This Row],[Rood Verdediging]]&amp;Tabel15[[#This Row],[Rood Aanval]]</f>
        <v>Stef DBert</v>
      </c>
      <c r="T79" s="293" t="str">
        <f>Tabel15[[#This Row],[Groen Verdediging]]&amp;Tabel15[[#This Row],[Groen Aanval]]</f>
        <v>LouisJonas</v>
      </c>
      <c r="U79" s="293" t="str">
        <f>Tabel15[[#This Row],[Winnaar 1]]&amp;Tabel15[[#This Row],[Winnaar 2]]</f>
        <v>Stef DBert</v>
      </c>
      <c r="V79" s="147" t="str">
        <f>IF(Tabel15[[#This Row],[Team Rood]]=Tabel15[[#This Row],[Winnaars]],Tabel15[[#This Row],[Team Rood]])</f>
        <v>Stef DBert</v>
      </c>
      <c r="W79" s="147" t="b">
        <f>IF(Tabel15[[#This Row],[Team Groen]]=Tabel15[[#This Row],[Winnaars]],Tabel15[[#This Row],[Team Groen]])</f>
        <v>0</v>
      </c>
      <c r="X79" s="283">
        <v>16.223765898103565</v>
      </c>
      <c r="Y79" s="283">
        <v>17.298280513821215</v>
      </c>
      <c r="Z79" s="283">
        <v>-0.55325285102046573</v>
      </c>
      <c r="AA79" s="283">
        <v>-0.43658030697537048</v>
      </c>
      <c r="AL79" s="251" t="s">
        <v>161</v>
      </c>
      <c r="AM79" s="233" t="s">
        <v>67</v>
      </c>
      <c r="AN79" s="140" t="str">
        <f t="shared" si="15"/>
        <v>Louis*Lawrence</v>
      </c>
      <c r="AO79" s="160">
        <f>IF(Tabel5[[#This Row],[Aantal Games Rood]]=0,0,(Tabel5[[#This Row],[Wins Rood]])/Tabel5[[#This Row],[Aantal Games Rood]])</f>
        <v>0</v>
      </c>
      <c r="AP79" s="159">
        <f>IF(Tabel5[[#This Row],[Aantal Games Groen]]=0,0,(Tabel5[[#This Row],[Wins Groen]])/Tabel5[[#This Row],[Aantal Games Groen]])</f>
        <v>0</v>
      </c>
      <c r="AQ79" s="156">
        <f>IF(Tabel5[[#This Row],[Aantal games Alg]]=0,0,(Tabel5[[#This Row],[Wins Alg]])/Tabel5[[#This Row],[Aantal games Alg]])</f>
        <v>0</v>
      </c>
      <c r="AR79" s="138">
        <f>COUNTIF(Tabel15[Winaar rood],Tabel5[[#This Row],[Team]])</f>
        <v>0</v>
      </c>
      <c r="AS79" s="134">
        <f>COUNTIF(Tabel15[Winnaar Groen],Tabel5[[#This Row],[Team]])</f>
        <v>0</v>
      </c>
      <c r="AT79">
        <f>COUNTIF(Tabel15[Winnaars],Tabel5[[#This Row],[Team]])</f>
        <v>0</v>
      </c>
      <c r="AU79" s="135">
        <f>Tabel5[[#This Row],[Aantal Games Rood]]-Tabel5[[#This Row],[Wins Rood]]</f>
        <v>0</v>
      </c>
      <c r="AV79" s="136">
        <f>Tabel5[[#This Row],[Aantal Games Groen]]-Tabel5[[#This Row],[Wins Groen]]</f>
        <v>0</v>
      </c>
      <c r="AW79" s="137">
        <f>Tabel5[[#This Row],[Aantal games Alg]]-Tabel5[[#This Row],[Wins Alg]]</f>
        <v>0</v>
      </c>
      <c r="AX79" s="138">
        <f>COUNTIF(Tabel15[Team Rood],Tabel5[[#This Row],[Team]])</f>
        <v>0</v>
      </c>
      <c r="AY79" s="136">
        <f>COUNTIF(Tabel15[Team Groen],Tabel5[[#This Row],[Team]])</f>
        <v>0</v>
      </c>
      <c r="AZ79" s="112">
        <f>Tabel5[[#This Row],[Aantal Games Rood]]+Tabel5[[#This Row],[Aantal Games Groen]]</f>
        <v>0</v>
      </c>
      <c r="BA79" s="138">
        <f>SUMIF(Tabel15[Team Rood],Tabel5[[#This Row],[Team]],Tabel15[Score])</f>
        <v>0</v>
      </c>
      <c r="BB79" s="138">
        <f>SUMIF(Tabel15[Team Rood],Tabel5[[#This Row],[Team]],Tabel15[Score2])</f>
        <v>0</v>
      </c>
      <c r="BC79" s="134">
        <f>SUMIF(Tabel15[Team Groen],Tabel5[[#This Row],[Team]],Tabel15[Score3])</f>
        <v>0</v>
      </c>
      <c r="BD79" s="136">
        <f>SUMIF(Tabel15[Team Groen],Tabel5[[#This Row],[Team]],Tabel15[Score4])</f>
        <v>0</v>
      </c>
      <c r="BE79">
        <f>SUM(Tabel5[[#This Row],[Goals Verdediger]]+Tabel5[[#This Row],[Goals DefG]])</f>
        <v>0</v>
      </c>
      <c r="BF79">
        <f>IF(Tabel5[[#This Row],[Aantal games Alg]]=0,0,Tabel5[[#This Row],[Goals DefA]]/Tabel5[[#This Row],[Aantal games Alg]])</f>
        <v>0</v>
      </c>
      <c r="BG79">
        <f>SUM(Tabel5[[#This Row],[Goals Aanvaller]]+Tabel5[[#This Row],[Goals OffG]])</f>
        <v>0</v>
      </c>
      <c r="BH79">
        <f>IF(Tabel5[[#This Row],[Aantal games Alg]]=0,0,Tabel5[[#This Row],[Goals OffA]]/Tabel5[[#This Row],[Aantal games Alg]])</f>
        <v>0</v>
      </c>
      <c r="BI79" s="112">
        <f>Tabel5[[#This Row],[Goals DefA]]+Tabel5[[#This Row],[Goals OffA]]</f>
        <v>0</v>
      </c>
      <c r="BJ79" s="112">
        <f>IF(Tabel5[[#This Row],[Aantal games Alg]]=0,0,Tabel5[[#This Row],[Goals Alg]]/Tabel5[[#This Row],[Aantal games Alg]])</f>
        <v>0</v>
      </c>
      <c r="BK79" s="148">
        <f>SUMIF(Tabel15[Team Rood],Tabel5[[#This Row],[Team]],Tabel15[ET])</f>
        <v>0</v>
      </c>
      <c r="BL79" s="150">
        <f>SUMIF(Tabel15[Team Groen],Tabel5[[#This Row],[Team]],Tabel15[ET])</f>
        <v>0</v>
      </c>
      <c r="BM79" s="153">
        <f>SUM(Tabel5[[#This Row],[ET Groen tot]],Tabel5[[#This Row],[ET Rood tot]])</f>
        <v>0</v>
      </c>
      <c r="BN79" s="155">
        <f>IF(Tabel5[[#This Row],[Aantal games Alg]]=0,0,Tabel5[[#This Row],[ET tot]]/Tabel5[[#This Row],[Aantal games Alg]])</f>
        <v>0</v>
      </c>
    </row>
    <row r="80" spans="1:66" x14ac:dyDescent="0.25">
      <c r="A80" s="215">
        <f ca="1">IF(Tabel15[[#This Row],[Rood Verdediging]]&lt;&gt;"",IF(A80="",NOW(),A80),"")</f>
        <v>44029.956967245373</v>
      </c>
      <c r="B80" s="128">
        <f ca="1">IF(Tabel15[[#This Row],[Rood Verdediging]]&lt;&gt;"",IF(B80="",NOW(),B80),"")</f>
        <v>44029.956967245373</v>
      </c>
      <c r="C80" s="126">
        <f ca="1">IF(Tabel15[[#This Row],[Score]]&lt;&gt;"",IF(C80="",NOW(),C80),"")</f>
        <v>44029.957021412039</v>
      </c>
      <c r="D80" s="217">
        <f ca="1">IF(OR(Tabel15[[#This Row],[Starttijd]]="",Tabel15[[#This Row],[Eindtijd]]=""),"",Tabel15[[#This Row],[Eindtijd]]-Tabel15[[#This Row],[Starttijd]])</f>
        <v>5.4166666814126074E-5</v>
      </c>
      <c r="E80" s="74">
        <v>80</v>
      </c>
      <c r="F80" s="205" t="s">
        <v>13</v>
      </c>
      <c r="G80" s="76">
        <v>1</v>
      </c>
      <c r="H80" s="205" t="s">
        <v>6</v>
      </c>
      <c r="I80" s="76">
        <v>10</v>
      </c>
      <c r="J80" s="206" t="s">
        <v>0</v>
      </c>
      <c r="K80" s="78">
        <v>0</v>
      </c>
      <c r="L80" s="206" t="s">
        <v>8</v>
      </c>
      <c r="M80" s="78">
        <v>1</v>
      </c>
      <c r="N80" s="81">
        <f t="shared" si="11"/>
        <v>11</v>
      </c>
      <c r="O80" s="82">
        <f t="shared" si="12"/>
        <v>1</v>
      </c>
      <c r="P8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Row],[Score4]]&lt;&gt;""),IF(AND(N80&gt;O80,N80&gt;=11),"ROOD",IF(AND(O80&gt;=11,N80&lt;&gt;O80),"GROEN","")),"")</f>
        <v>ROOD</v>
      </c>
      <c r="Q80" s="86" t="str">
        <f t="shared" si="13"/>
        <v>Bert</v>
      </c>
      <c r="R80" s="87" t="str">
        <f t="shared" si="14"/>
        <v>Stef D</v>
      </c>
      <c r="S80" s="293" t="str">
        <f>Tabel15[[#This Row],[Rood Verdediging]]&amp;Tabel15[[#This Row],[Rood Aanval]]</f>
        <v>BertStef D</v>
      </c>
      <c r="T80" s="293" t="str">
        <f>Tabel15[[#This Row],[Groen Verdediging]]&amp;Tabel15[[#This Row],[Groen Aanval]]</f>
        <v>JonasLouis</v>
      </c>
      <c r="U80" s="293" t="str">
        <f>Tabel15[[#This Row],[Winnaar 1]]&amp;Tabel15[[#This Row],[Winnaar 2]]</f>
        <v>BertStef D</v>
      </c>
      <c r="V80" s="147" t="str">
        <f>IF(Tabel15[[#This Row],[Team Rood]]=Tabel15[[#This Row],[Winnaars]],Tabel15[[#This Row],[Team Rood]])</f>
        <v>BertStef D</v>
      </c>
      <c r="W80" s="147" t="b">
        <f>IF(Tabel15[[#This Row],[Team Groen]]=Tabel15[[#This Row],[Winnaars]],Tabel15[[#This Row],[Team Groen]])</f>
        <v>0</v>
      </c>
      <c r="X80" s="283">
        <v>15.730903501407052</v>
      </c>
      <c r="Y80" s="283">
        <v>13.503557128216006</v>
      </c>
      <c r="Z80" s="283">
        <v>-0.71469453656170201</v>
      </c>
      <c r="AA80" s="283">
        <v>-0.50502985887430851</v>
      </c>
      <c r="AL80" s="251" t="s">
        <v>161</v>
      </c>
      <c r="AM80" s="233" t="s">
        <v>162</v>
      </c>
      <c r="AN80" s="140" t="str">
        <f t="shared" si="15"/>
        <v>Louis*Matthijs*</v>
      </c>
      <c r="AO80" s="160">
        <f>IF(Tabel5[[#This Row],[Aantal Games Rood]]=0,0,(Tabel5[[#This Row],[Wins Rood]])/Tabel5[[#This Row],[Aantal Games Rood]])</f>
        <v>0</v>
      </c>
      <c r="AP80" s="159">
        <f>IF(Tabel5[[#This Row],[Aantal Games Groen]]=0,0,(Tabel5[[#This Row],[Wins Groen]])/Tabel5[[#This Row],[Aantal Games Groen]])</f>
        <v>0</v>
      </c>
      <c r="AQ80" s="156">
        <f>IF(Tabel5[[#This Row],[Aantal games Alg]]=0,0,(Tabel5[[#This Row],[Wins Alg]])/Tabel5[[#This Row],[Aantal games Alg]])</f>
        <v>0</v>
      </c>
      <c r="AR80" s="138">
        <f>COUNTIF(Tabel15[Winaar rood],Tabel5[[#This Row],[Team]])</f>
        <v>0</v>
      </c>
      <c r="AS80" s="134">
        <f>COUNTIF(Tabel15[Winnaar Groen],Tabel5[[#This Row],[Team]])</f>
        <v>0</v>
      </c>
      <c r="AT80">
        <f>COUNTIF(Tabel15[Winnaars],Tabel5[[#This Row],[Team]])</f>
        <v>0</v>
      </c>
      <c r="AU80" s="135">
        <f>Tabel5[[#This Row],[Aantal Games Rood]]-Tabel5[[#This Row],[Wins Rood]]</f>
        <v>0</v>
      </c>
      <c r="AV80" s="136">
        <f>Tabel5[[#This Row],[Aantal Games Groen]]-Tabel5[[#This Row],[Wins Groen]]</f>
        <v>2</v>
      </c>
      <c r="AW80" s="137">
        <f>Tabel5[[#This Row],[Aantal games Alg]]-Tabel5[[#This Row],[Wins Alg]]</f>
        <v>2</v>
      </c>
      <c r="AX80" s="138">
        <f>COUNTIF(Tabel15[Team Rood],Tabel5[[#This Row],[Team]])</f>
        <v>0</v>
      </c>
      <c r="AY80" s="136">
        <f>COUNTIF(Tabel15[Team Groen],Tabel5[[#This Row],[Team]])</f>
        <v>2</v>
      </c>
      <c r="AZ80" s="214">
        <f>Tabel5[[#This Row],[Aantal Games Rood]]+Tabel5[[#This Row],[Aantal Games Groen]]</f>
        <v>2</v>
      </c>
      <c r="BA80" s="138">
        <f>SUMIF(Tabel15[Team Rood],Tabel5[[#This Row],[Team]],Tabel15[Score])</f>
        <v>0</v>
      </c>
      <c r="BB80" s="138">
        <f>SUMIF(Tabel15[Team Rood],Tabel5[[#This Row],[Team]],Tabel15[Score2])</f>
        <v>0</v>
      </c>
      <c r="BC80" s="134">
        <f>SUMIF(Tabel15[Team Groen],Tabel5[[#This Row],[Team]],Tabel15[Score3])</f>
        <v>9</v>
      </c>
      <c r="BD80" s="136">
        <f>SUMIF(Tabel15[Team Groen],Tabel5[[#This Row],[Team]],Tabel15[Score4])</f>
        <v>7</v>
      </c>
      <c r="BE80">
        <f>SUM(Tabel5[[#This Row],[Goals Verdediger]]+Tabel5[[#This Row],[Goals DefG]])</f>
        <v>9</v>
      </c>
      <c r="BF80">
        <f>IF(Tabel5[[#This Row],[Aantal games Alg]]=0,0,Tabel5[[#This Row],[Goals DefA]]/Tabel5[[#This Row],[Aantal games Alg]])</f>
        <v>4.5</v>
      </c>
      <c r="BG80">
        <f>SUM(Tabel5[[#This Row],[Goals Aanvaller]]+Tabel5[[#This Row],[Goals OffG]])</f>
        <v>7</v>
      </c>
      <c r="BH80">
        <f>IF(Tabel5[[#This Row],[Aantal games Alg]]=0,0,Tabel5[[#This Row],[Goals OffA]]/Tabel5[[#This Row],[Aantal games Alg]])</f>
        <v>3.5</v>
      </c>
      <c r="BI80" s="112">
        <f>Tabel5[[#This Row],[Goals DefA]]+Tabel5[[#This Row],[Goals OffA]]</f>
        <v>16</v>
      </c>
      <c r="BJ80" s="112">
        <f>IF(Tabel5[[#This Row],[Aantal games Alg]]=0,0,Tabel5[[#This Row],[Goals Alg]]/Tabel5[[#This Row],[Aantal games Alg]])</f>
        <v>8</v>
      </c>
      <c r="BK80" s="148">
        <f>SUMIF(Tabel15[Team Rood],Tabel5[[#This Row],[Team]],Tabel15[ET])</f>
        <v>0</v>
      </c>
      <c r="BL80" s="150">
        <f ca="1">SUMIF(Tabel15[Team Groen],Tabel5[[#This Row],[Team]],Tabel15[ET])</f>
        <v>2.5255902779463213E-2</v>
      </c>
      <c r="BM80" s="153">
        <f ca="1">SUM(Tabel5[[#This Row],[ET Groen tot]],Tabel5[[#This Row],[ET Rood tot]])</f>
        <v>2.5255902779463213E-2</v>
      </c>
      <c r="BN80" s="155">
        <f ca="1">IF(Tabel5[[#This Row],[Aantal games Alg]]=0,0,Tabel5[[#This Row],[ET tot]]/Tabel5[[#This Row],[Aantal games Alg]])</f>
        <v>1.2627951389731606E-2</v>
      </c>
    </row>
    <row r="81" spans="1:66" x14ac:dyDescent="0.25">
      <c r="A81" s="215">
        <f ca="1">IF(Tabel15[[#This Row],[Rood Verdediging]]&lt;&gt;"",IF(A81="",NOW(),A81),"")</f>
        <v>44029.979688194442</v>
      </c>
      <c r="B81" s="128">
        <f ca="1">IF(Tabel15[[#This Row],[Rood Verdediging]]&lt;&gt;"",IF(B81="",NOW(),B81),"")</f>
        <v>44029.979688194442</v>
      </c>
      <c r="C81" s="126">
        <f ca="1">IF(Tabel15[[#This Row],[Score]]&lt;&gt;"",IF(C81="",NOW(),C81),"")</f>
        <v>44029.979709375002</v>
      </c>
      <c r="D81" s="217">
        <f ca="1">IF(OR(Tabel15[[#This Row],[Starttijd]]="",Tabel15[[#This Row],[Eindtijd]]=""),"",Tabel15[[#This Row],[Eindtijd]]-Tabel15[[#This Row],[Starttijd]])</f>
        <v>2.1180559997446835E-5</v>
      </c>
      <c r="E81" s="74">
        <v>81</v>
      </c>
      <c r="F81" s="205" t="s">
        <v>0</v>
      </c>
      <c r="G81" s="76">
        <v>0</v>
      </c>
      <c r="H81" s="205" t="s">
        <v>13</v>
      </c>
      <c r="I81" s="76">
        <v>2</v>
      </c>
      <c r="J81" s="206" t="s">
        <v>8</v>
      </c>
      <c r="K81" s="78">
        <v>2</v>
      </c>
      <c r="L81" s="206" t="s">
        <v>6</v>
      </c>
      <c r="M81" s="78">
        <v>9</v>
      </c>
      <c r="N81" s="81">
        <f t="shared" si="11"/>
        <v>2</v>
      </c>
      <c r="O81" s="82">
        <f t="shared" si="12"/>
        <v>11</v>
      </c>
      <c r="P8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Row],[Score4]]&lt;&gt;""),IF(AND(N81&gt;O81,N81&gt;=11),"ROOD",IF(AND(O81&gt;=11,N81&lt;&gt;O81),"GROEN","")),"")</f>
        <v>GROEN</v>
      </c>
      <c r="Q81" s="86" t="str">
        <f t="shared" si="13"/>
        <v>Louis</v>
      </c>
      <c r="R81" s="87" t="str">
        <f t="shared" si="14"/>
        <v>Stef D</v>
      </c>
      <c r="S81" s="293" t="str">
        <f>Tabel15[[#This Row],[Rood Verdediging]]&amp;Tabel15[[#This Row],[Rood Aanval]]</f>
        <v>JonasBert</v>
      </c>
      <c r="T81" s="293" t="str">
        <f>Tabel15[[#This Row],[Groen Verdediging]]&amp;Tabel15[[#This Row],[Groen Aanval]]</f>
        <v>LouisStef D</v>
      </c>
      <c r="U81" s="293" t="str">
        <f>Tabel15[[#This Row],[Winnaar 1]]&amp;Tabel15[[#This Row],[Winnaar 2]]</f>
        <v>LouisStef D</v>
      </c>
      <c r="V81" s="147" t="b">
        <f>IF(Tabel15[[#This Row],[Team Rood]]=Tabel15[[#This Row],[Winnaars]],Tabel15[[#This Row],[Team Rood]])</f>
        <v>0</v>
      </c>
      <c r="W81" s="147" t="str">
        <f>IF(Tabel15[[#This Row],[Team Groen]]=Tabel15[[#This Row],[Winnaars]],Tabel15[[#This Row],[Team Groen]])</f>
        <v>LouisStef D</v>
      </c>
      <c r="X81" s="283">
        <v>-1.3346003612878601</v>
      </c>
      <c r="Y81" s="283">
        <v>-1.352010101883542</v>
      </c>
      <c r="Z81" s="283">
        <v>21.338197725627378</v>
      </c>
      <c r="AA81" s="283">
        <v>17.19066129406983</v>
      </c>
      <c r="AL81" s="251" t="s">
        <v>161</v>
      </c>
      <c r="AM81" s="233" t="s">
        <v>170</v>
      </c>
      <c r="AN81" s="140" t="str">
        <f t="shared" si="15"/>
        <v>Louis*Nico*</v>
      </c>
      <c r="AO81" s="160">
        <f>IF(Tabel5[[#This Row],[Aantal Games Rood]]=0,0,(Tabel5[[#This Row],[Wins Rood]])/Tabel5[[#This Row],[Aantal Games Rood]])</f>
        <v>0</v>
      </c>
      <c r="AP81" s="159">
        <f>IF(Tabel5[[#This Row],[Aantal Games Groen]]=0,0,(Tabel5[[#This Row],[Wins Groen]])/Tabel5[[#This Row],[Aantal Games Groen]])</f>
        <v>0</v>
      </c>
      <c r="AQ81" s="156">
        <f>IF(Tabel5[[#This Row],[Aantal games Alg]]=0,0,(Tabel5[[#This Row],[Wins Alg]])/Tabel5[[#This Row],[Aantal games Alg]])</f>
        <v>0</v>
      </c>
      <c r="AR81" s="171">
        <f>COUNTIF(Tabel15[Winaar rood],Tabel5[[#This Row],[Team]])</f>
        <v>0</v>
      </c>
      <c r="AS81" s="169">
        <f>COUNTIF(Tabel15[Winnaar Groen],Tabel5[[#This Row],[Team]])</f>
        <v>0</v>
      </c>
      <c r="AT81" s="170">
        <f>COUNTIF(Tabel15[Winnaars],Tabel5[[#This Row],[Team]])</f>
        <v>0</v>
      </c>
      <c r="AU81" s="163">
        <f>Tabel5[[#This Row],[Aantal Games Rood]]-Tabel5[[#This Row],[Wins Rood]]</f>
        <v>0</v>
      </c>
      <c r="AV81" s="169">
        <f>Tabel5[[#This Row],[Aantal Games Groen]]-Tabel5[[#This Row],[Wins Groen]]</f>
        <v>0</v>
      </c>
      <c r="AW81" s="165">
        <f>Tabel5[[#This Row],[Aantal games Alg]]-Tabel5[[#This Row],[Wins Alg]]</f>
        <v>0</v>
      </c>
      <c r="AX81" s="171">
        <f>COUNTIF(Tabel15[Team Rood],Tabel5[[#This Row],[Team]])</f>
        <v>0</v>
      </c>
      <c r="AY81" s="169">
        <f>COUNTIF(Tabel15[Team Groen],Tabel5[[#This Row],[Team]])</f>
        <v>0</v>
      </c>
      <c r="AZ81" s="170">
        <f>Tabel5[[#This Row],[Aantal Games Rood]]+Tabel5[[#This Row],[Aantal Games Groen]]</f>
        <v>0</v>
      </c>
      <c r="BA81" s="171">
        <f>SUMIF(Tabel15[Team Rood],Tabel5[[#This Row],[Team]],Tabel15[Score])</f>
        <v>0</v>
      </c>
      <c r="BB81" s="171">
        <f>SUMIF(Tabel15[Team Rood],Tabel5[[#This Row],[Team]],Tabel15[Score2])</f>
        <v>0</v>
      </c>
      <c r="BC81" s="136">
        <f>SUMIF(Tabel15[Team Groen],Tabel5[[#This Row],[Team]],Tabel15[Score3])</f>
        <v>0</v>
      </c>
      <c r="BD81" s="169">
        <f>SUMIF(Tabel15[Team Groen],Tabel5[[#This Row],[Team]],Tabel15[Score4])</f>
        <v>0</v>
      </c>
      <c r="BE81" s="172">
        <f>SUM(Tabel5[[#This Row],[Goals Verdediger]]+Tabel5[[#This Row],[Goals DefG]])</f>
        <v>0</v>
      </c>
      <c r="BF81" s="170">
        <f>IF(Tabel5[[#This Row],[Aantal games Alg]]=0,0,Tabel5[[#This Row],[Goals DefA]]/Tabel5[[#This Row],[Aantal games Alg]])</f>
        <v>0</v>
      </c>
      <c r="BG81" s="172">
        <f>SUM(Tabel5[[#This Row],[Goals Aanvaller]]+Tabel5[[#This Row],[Goals OffG]])</f>
        <v>0</v>
      </c>
      <c r="BH81" s="170">
        <f>IF(Tabel5[[#This Row],[Aantal games Alg]]=0,0,Tabel5[[#This Row],[Goals OffA]]/Tabel5[[#This Row],[Aantal games Alg]])</f>
        <v>0</v>
      </c>
      <c r="BI81" s="170">
        <f>Tabel5[[#This Row],[Goals DefA]]+Tabel5[[#This Row],[Goals OffA]]</f>
        <v>0</v>
      </c>
      <c r="BJ81" s="170">
        <f>IF(Tabel5[[#This Row],[Aantal games Alg]]=0,0,Tabel5[[#This Row],[Goals Alg]]/Tabel5[[#This Row],[Aantal games Alg]])</f>
        <v>0</v>
      </c>
      <c r="BK81" s="148">
        <f>SUMIF(Tabel15[Team Rood],Tabel5[[#This Row],[Team]],Tabel15[ET])</f>
        <v>0</v>
      </c>
      <c r="BL81" s="150">
        <f>SUMIF(Tabel15[Team Groen],Tabel5[[#This Row],[Team]],Tabel15[ET])</f>
        <v>0</v>
      </c>
      <c r="BM81" s="153">
        <f>SUM(Tabel5[[#This Row],[ET Groen tot]],Tabel5[[#This Row],[ET Rood tot]])</f>
        <v>0</v>
      </c>
      <c r="BN81" s="155">
        <f>IF(Tabel5[[#This Row],[Aantal games Alg]]=0,0,Tabel5[[#This Row],[ET tot]]/Tabel5[[#This Row],[Aantal games Alg]])</f>
        <v>0</v>
      </c>
    </row>
    <row r="82" spans="1:66" x14ac:dyDescent="0.25">
      <c r="A82" s="215">
        <f ca="1">IF(Tabel15[[#This Row],[Rood Verdediging]]&lt;&gt;"",IF(A82="",NOW(),A82),"")</f>
        <v>44029.996093865739</v>
      </c>
      <c r="B82" s="128">
        <f ca="1">IF(Tabel15[[#This Row],[Rood Verdediging]]&lt;&gt;"",IF(B82="",NOW(),B82),"")</f>
        <v>44029.996093865739</v>
      </c>
      <c r="C82" s="126">
        <f ca="1">IF(Tabel15[[#This Row],[Score]]&lt;&gt;"",IF(C82="",NOW(),C82),"")</f>
        <v>44030.01065300926</v>
      </c>
      <c r="D82" s="217">
        <f ca="1">IF(OR(Tabel15[[#This Row],[Starttijd]]="",Tabel15[[#This Row],[Eindtijd]]=""),"",Tabel15[[#This Row],[Eindtijd]]-Tabel15[[#This Row],[Starttijd]])</f>
        <v>1.4559143521182705E-2</v>
      </c>
      <c r="E82" s="74">
        <v>82</v>
      </c>
      <c r="F82" s="205" t="s">
        <v>6</v>
      </c>
      <c r="G82" s="76">
        <v>5</v>
      </c>
      <c r="H82" s="205" t="s">
        <v>8</v>
      </c>
      <c r="I82" s="76">
        <v>6</v>
      </c>
      <c r="J82" s="206" t="s">
        <v>13</v>
      </c>
      <c r="K82" s="78">
        <v>1</v>
      </c>
      <c r="L82" s="206" t="s">
        <v>0</v>
      </c>
      <c r="M82" s="78">
        <v>8</v>
      </c>
      <c r="N82" s="81">
        <f t="shared" si="11"/>
        <v>11</v>
      </c>
      <c r="O82" s="82">
        <f t="shared" si="12"/>
        <v>9</v>
      </c>
      <c r="P8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Row],[Score4]]&lt;&gt;""),IF(AND(N82&gt;O82,N82&gt;=11),"ROOD",IF(AND(O82&gt;=11,N82&lt;&gt;O82),"GROEN","")),"")</f>
        <v>ROOD</v>
      </c>
      <c r="Q82" s="86" t="str">
        <f t="shared" si="13"/>
        <v>Stef D</v>
      </c>
      <c r="R82" s="87" t="str">
        <f t="shared" si="14"/>
        <v>Louis</v>
      </c>
      <c r="S82" s="293" t="str">
        <f>Tabel15[[#This Row],[Rood Verdediging]]&amp;Tabel15[[#This Row],[Rood Aanval]]</f>
        <v>Stef DLouis</v>
      </c>
      <c r="T82" s="293" t="str">
        <f>Tabel15[[#This Row],[Groen Verdediging]]&amp;Tabel15[[#This Row],[Groen Aanval]]</f>
        <v>BertJonas</v>
      </c>
      <c r="U82" s="293" t="str">
        <f>Tabel15[[#This Row],[Winnaar 1]]&amp;Tabel15[[#This Row],[Winnaar 2]]</f>
        <v>Stef DLouis</v>
      </c>
      <c r="V82" s="147" t="str">
        <f>IF(Tabel15[[#This Row],[Team Rood]]=Tabel15[[#This Row],[Winnaars]],Tabel15[[#This Row],[Team Rood]])</f>
        <v>Stef DLouis</v>
      </c>
      <c r="W82" s="147" t="b">
        <f>IF(Tabel15[[#This Row],[Team Groen]]=Tabel15[[#This Row],[Winnaars]],Tabel15[[#This Row],[Team Groen]])</f>
        <v>0</v>
      </c>
      <c r="X82" s="283">
        <v>17.681915888004159</v>
      </c>
      <c r="Y82" s="283">
        <v>26.254161366080623</v>
      </c>
      <c r="Z82" s="283">
        <v>-1.8196944882436346</v>
      </c>
      <c r="AA82" s="283">
        <v>-1.4270258865175409</v>
      </c>
      <c r="AL82" s="251" t="s">
        <v>161</v>
      </c>
      <c r="AM82" s="233" t="s">
        <v>169</v>
      </c>
      <c r="AN82" s="140" t="str">
        <f t="shared" si="15"/>
        <v>Louis*Stef*</v>
      </c>
      <c r="AO82" s="160">
        <f>IF(Tabel5[[#This Row],[Aantal Games Rood]]=0,0,(Tabel5[[#This Row],[Wins Rood]])/Tabel5[[#This Row],[Aantal Games Rood]])</f>
        <v>1</v>
      </c>
      <c r="AP82" s="159">
        <f>IF(Tabel5[[#This Row],[Aantal Games Groen]]=0,0,(Tabel5[[#This Row],[Wins Groen]])/Tabel5[[#This Row],[Aantal Games Groen]])</f>
        <v>1</v>
      </c>
      <c r="AQ82" s="156">
        <f>IF(Tabel5[[#This Row],[Aantal games Alg]]=0,0,(Tabel5[[#This Row],[Wins Alg]])/Tabel5[[#This Row],[Aantal games Alg]])</f>
        <v>1</v>
      </c>
      <c r="AR82" s="133">
        <f>COUNTIF(Tabel15[Winaar rood],Tabel5[[#This Row],[Team]])</f>
        <v>4</v>
      </c>
      <c r="AS82" s="134">
        <f>COUNTIF(Tabel15[Winnaar Groen],Tabel5[[#This Row],[Team]])</f>
        <v>2</v>
      </c>
      <c r="AT82">
        <f>COUNTIF(Tabel15[Winnaars],Tabel5[[#This Row],[Team]])</f>
        <v>6</v>
      </c>
      <c r="AU82" s="135">
        <f>Tabel5[[#This Row],[Aantal Games Rood]]-Tabel5[[#This Row],[Wins Rood]]</f>
        <v>0</v>
      </c>
      <c r="AV82" s="136">
        <f>Tabel5[[#This Row],[Aantal Games Groen]]-Tabel5[[#This Row],[Wins Groen]]</f>
        <v>0</v>
      </c>
      <c r="AW82" s="137">
        <f>Tabel5[[#This Row],[Aantal games Alg]]-Tabel5[[#This Row],[Wins Alg]]</f>
        <v>0</v>
      </c>
      <c r="AX82" s="138">
        <f>COUNTIF(Tabel15[Team Rood],Tabel5[[#This Row],[Team]])</f>
        <v>4</v>
      </c>
      <c r="AY82" s="136">
        <f>COUNTIF(Tabel15[Team Groen],Tabel5[[#This Row],[Team]])</f>
        <v>2</v>
      </c>
      <c r="AZ82" s="112">
        <f>Tabel5[[#This Row],[Aantal Games Rood]]+Tabel5[[#This Row],[Aantal Games Groen]]</f>
        <v>6</v>
      </c>
      <c r="BA82" s="138">
        <f>SUMIF(Tabel15[Team Rood],Tabel5[[#This Row],[Team]],Tabel15[Score])</f>
        <v>12</v>
      </c>
      <c r="BB82" s="138">
        <f>SUMIF(Tabel15[Team Rood],Tabel5[[#This Row],[Team]],Tabel15[Score2])</f>
        <v>36</v>
      </c>
      <c r="BC82" s="134">
        <f>SUMIF(Tabel15[Team Groen],Tabel5[[#This Row],[Team]],Tabel15[Score3])</f>
        <v>9</v>
      </c>
      <c r="BD82" s="136">
        <f>SUMIF(Tabel15[Team Groen],Tabel5[[#This Row],[Team]],Tabel15[Score4])</f>
        <v>13</v>
      </c>
      <c r="BE82">
        <f>SUM(Tabel5[[#This Row],[Goals Verdediger]]+Tabel5[[#This Row],[Goals DefG]])</f>
        <v>21</v>
      </c>
      <c r="BF82">
        <f>IF(Tabel5[[#This Row],[Aantal games Alg]]=0,0,Tabel5[[#This Row],[Goals DefA]]/Tabel5[[#This Row],[Aantal games Alg]])</f>
        <v>3.5</v>
      </c>
      <c r="BG82">
        <f>SUM(Tabel5[[#This Row],[Goals Aanvaller]]+Tabel5[[#This Row],[Goals OffG]])</f>
        <v>49</v>
      </c>
      <c r="BH82">
        <f>IF(Tabel5[[#This Row],[Aantal games Alg]]=0,0,Tabel5[[#This Row],[Goals OffA]]/Tabel5[[#This Row],[Aantal games Alg]])</f>
        <v>8.1666666666666661</v>
      </c>
      <c r="BI82" s="112">
        <f>Tabel5[[#This Row],[Goals DefA]]+Tabel5[[#This Row],[Goals OffA]]</f>
        <v>70</v>
      </c>
      <c r="BJ82" s="112">
        <f>IF(Tabel5[[#This Row],[Aantal games Alg]]=0,0,Tabel5[[#This Row],[Goals Alg]]/Tabel5[[#This Row],[Aantal games Alg]])</f>
        <v>11.666666666666666</v>
      </c>
      <c r="BK82" s="148">
        <f ca="1">SUMIF(Tabel15[Team Rood],Tabel5[[#This Row],[Team]],Tabel15[ET])</f>
        <v>4.9207638876396231E-2</v>
      </c>
      <c r="BL82" s="150">
        <f ca="1">SUMIF(Tabel15[Team Groen],Tabel5[[#This Row],[Team]],Tabel15[ET])</f>
        <v>2.1180559997446835E-5</v>
      </c>
      <c r="BM82" s="153">
        <f ca="1">SUM(Tabel5[[#This Row],[ET Groen tot]],Tabel5[[#This Row],[ET Rood tot]])</f>
        <v>4.9228819436393678E-2</v>
      </c>
      <c r="BN82" s="155">
        <f ca="1">IF(Tabel5[[#This Row],[Aantal games Alg]]=0,0,Tabel5[[#This Row],[ET tot]]/Tabel5[[#This Row],[Aantal games Alg]])</f>
        <v>8.2048032393989469E-3</v>
      </c>
    </row>
    <row r="83" spans="1:66" x14ac:dyDescent="0.25">
      <c r="A83" s="215">
        <f ca="1">IF(Tabel15[[#This Row],[Rood Verdediging]]&lt;&gt;"",IF(A83="",NOW(),A83),"")</f>
        <v>44030.027633912039</v>
      </c>
      <c r="B83" s="128">
        <f ca="1">IF(Tabel15[[#This Row],[Rood Verdediging]]&lt;&gt;"",IF(B83="",NOW(),B83),"")</f>
        <v>44030.027633912039</v>
      </c>
      <c r="C83" s="126">
        <f ca="1">IF(Tabel15[[#This Row],[Score]]&lt;&gt;"",IF(C83="",NOW(),C83),"")</f>
        <v>44030.027658101855</v>
      </c>
      <c r="D83" s="217">
        <f ca="1">IF(OR(Tabel15[[#This Row],[Starttijd]]="",Tabel15[[#This Row],[Eindtijd]]=""),"",Tabel15[[#This Row],[Eindtijd]]-Tabel15[[#This Row],[Starttijd]])</f>
        <v>2.4189816031139344E-5</v>
      </c>
      <c r="E83" s="74">
        <v>83</v>
      </c>
      <c r="F83" s="205" t="s">
        <v>0</v>
      </c>
      <c r="G83" s="76">
        <v>2</v>
      </c>
      <c r="H83" s="205" t="s">
        <v>6</v>
      </c>
      <c r="I83" s="76">
        <v>10</v>
      </c>
      <c r="J83" s="206" t="s">
        <v>8</v>
      </c>
      <c r="K83" s="78">
        <v>3</v>
      </c>
      <c r="L83" s="206" t="s">
        <v>13</v>
      </c>
      <c r="M83" s="78">
        <v>7</v>
      </c>
      <c r="N83" s="81">
        <f t="shared" si="11"/>
        <v>12</v>
      </c>
      <c r="O83" s="82">
        <f t="shared" si="12"/>
        <v>10</v>
      </c>
      <c r="P8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Row],[Score4]]&lt;&gt;""),IF(AND(N83&gt;O83,N83&gt;=11),"ROOD",IF(AND(O83&gt;=11,N83&lt;&gt;O83),"GROEN","")),"")</f>
        <v>ROOD</v>
      </c>
      <c r="Q83" s="86" t="str">
        <f t="shared" si="13"/>
        <v>Jonas</v>
      </c>
      <c r="R83" s="87" t="str">
        <f t="shared" si="14"/>
        <v>Stef D</v>
      </c>
      <c r="S83" s="293" t="str">
        <f>Tabel15[[#This Row],[Rood Verdediging]]&amp;Tabel15[[#This Row],[Rood Aanval]]</f>
        <v>JonasStef D</v>
      </c>
      <c r="T83" s="293" t="str">
        <f>Tabel15[[#This Row],[Groen Verdediging]]&amp;Tabel15[[#This Row],[Groen Aanval]]</f>
        <v>LouisBert</v>
      </c>
      <c r="U83" s="293" t="str">
        <f>Tabel15[[#This Row],[Winnaar 1]]&amp;Tabel15[[#This Row],[Winnaar 2]]</f>
        <v>JonasStef D</v>
      </c>
      <c r="V83" s="147" t="str">
        <f>IF(Tabel15[[#This Row],[Team Rood]]=Tabel15[[#This Row],[Winnaars]],Tabel15[[#This Row],[Team Rood]])</f>
        <v>JonasStef D</v>
      </c>
      <c r="W83" s="147" t="b">
        <f>IF(Tabel15[[#This Row],[Team Groen]]=Tabel15[[#This Row],[Winnaars]],Tabel15[[#This Row],[Team Groen]])</f>
        <v>0</v>
      </c>
      <c r="X83" s="283">
        <v>17.068454792961365</v>
      </c>
      <c r="Y83" s="283">
        <v>13.807165355004228</v>
      </c>
      <c r="Z83" s="283">
        <v>0.57236539749206139</v>
      </c>
      <c r="AA83" s="283">
        <v>0.56407485085604447</v>
      </c>
      <c r="AL83" s="251" t="s">
        <v>161</v>
      </c>
      <c r="AM83" s="233" t="s">
        <v>166</v>
      </c>
      <c r="AN83" s="140" t="str">
        <f t="shared" si="15"/>
        <v>Louis*Stijn*</v>
      </c>
      <c r="AO83" s="160">
        <f>IF(Tabel5[[#This Row],[Aantal Games Rood]]=0,0,(Tabel5[[#This Row],[Wins Rood]])/Tabel5[[#This Row],[Aantal Games Rood]])</f>
        <v>0</v>
      </c>
      <c r="AP83" s="159">
        <f>IF(Tabel5[[#This Row],[Aantal Games Groen]]=0,0,(Tabel5[[#This Row],[Wins Groen]])/Tabel5[[#This Row],[Aantal Games Groen]])</f>
        <v>0</v>
      </c>
      <c r="AQ83" s="156">
        <f>IF(Tabel5[[#This Row],[Aantal games Alg]]=0,0,(Tabel5[[#This Row],[Wins Alg]])/Tabel5[[#This Row],[Aantal games Alg]])</f>
        <v>0</v>
      </c>
      <c r="AR83" s="133">
        <f>COUNTIF(Tabel15[Winaar rood],Tabel5[[#This Row],[Team]])</f>
        <v>0</v>
      </c>
      <c r="AS83" s="134">
        <f>COUNTIF(Tabel15[Winnaar Groen],Tabel5[[#This Row],[Team]])</f>
        <v>0</v>
      </c>
      <c r="AT83">
        <f>COUNTIF(Tabel15[Winnaars],Tabel5[[#This Row],[Team]])</f>
        <v>0</v>
      </c>
      <c r="AU83" s="135">
        <f>Tabel5[[#This Row],[Aantal Games Rood]]-Tabel5[[#This Row],[Wins Rood]]</f>
        <v>0</v>
      </c>
      <c r="AV83" s="136">
        <f>Tabel5[[#This Row],[Aantal Games Groen]]-Tabel5[[#This Row],[Wins Groen]]</f>
        <v>0</v>
      </c>
      <c r="AW83" s="137">
        <f>Tabel5[[#This Row],[Aantal games Alg]]-Tabel5[[#This Row],[Wins Alg]]</f>
        <v>0</v>
      </c>
      <c r="AX83" s="138">
        <f>COUNTIF(Tabel15[Team Rood],Tabel5[[#This Row],[Team]])</f>
        <v>0</v>
      </c>
      <c r="AY83" s="136">
        <f>COUNTIF(Tabel15[Team Groen],Tabel5[[#This Row],[Team]])</f>
        <v>0</v>
      </c>
      <c r="AZ83" s="112">
        <f>Tabel5[[#This Row],[Aantal Games Rood]]+Tabel5[[#This Row],[Aantal Games Groen]]</f>
        <v>0</v>
      </c>
      <c r="BA83" s="138">
        <f>SUMIF(Tabel15[Team Rood],Tabel5[[#This Row],[Team]],Tabel15[Score])</f>
        <v>0</v>
      </c>
      <c r="BB83" s="138">
        <f>SUMIF(Tabel15[Team Rood],Tabel5[[#This Row],[Team]],Tabel15[Score2])</f>
        <v>0</v>
      </c>
      <c r="BC83" s="134">
        <f>SUMIF(Tabel15[Team Groen],Tabel5[[#This Row],[Team]],Tabel15[Score3])</f>
        <v>0</v>
      </c>
      <c r="BD83" s="136">
        <f>SUMIF(Tabel15[Team Groen],Tabel5[[#This Row],[Team]],Tabel15[Score4])</f>
        <v>0</v>
      </c>
      <c r="BE83">
        <f>SUM(Tabel5[[#This Row],[Goals Verdediger]]+Tabel5[[#This Row],[Goals DefG]])</f>
        <v>0</v>
      </c>
      <c r="BF83">
        <f>IF(Tabel5[[#This Row],[Aantal games Alg]]=0,0,Tabel5[[#This Row],[Goals DefA]]/Tabel5[[#This Row],[Aantal games Alg]])</f>
        <v>0</v>
      </c>
      <c r="BG83">
        <f>SUM(Tabel5[[#This Row],[Goals Aanvaller]]+Tabel5[[#This Row],[Goals OffG]])</f>
        <v>0</v>
      </c>
      <c r="BH83">
        <f>IF(Tabel5[[#This Row],[Aantal games Alg]]=0,0,Tabel5[[#This Row],[Goals OffA]]/Tabel5[[#This Row],[Aantal games Alg]])</f>
        <v>0</v>
      </c>
      <c r="BI83" s="112">
        <f>Tabel5[[#This Row],[Goals DefA]]+Tabel5[[#This Row],[Goals OffA]]</f>
        <v>0</v>
      </c>
      <c r="BJ83" s="112">
        <f>IF(Tabel5[[#This Row],[Aantal games Alg]]=0,0,Tabel5[[#This Row],[Goals Alg]]/Tabel5[[#This Row],[Aantal games Alg]])</f>
        <v>0</v>
      </c>
      <c r="BK83" s="148">
        <f>SUMIF(Tabel15[Team Rood],Tabel5[[#This Row],[Team]],Tabel15[ET])</f>
        <v>0</v>
      </c>
      <c r="BL83" s="150">
        <f>SUMIF(Tabel15[Team Groen],Tabel5[[#This Row],[Team]],Tabel15[ET])</f>
        <v>0</v>
      </c>
      <c r="BM83" s="153">
        <f>SUM(Tabel5[[#This Row],[ET Groen tot]],Tabel5[[#This Row],[ET Rood tot]])</f>
        <v>0</v>
      </c>
      <c r="BN83" s="155">
        <f>IF(Tabel5[[#This Row],[Aantal games Alg]]=0,0,Tabel5[[#This Row],[ET tot]]/Tabel5[[#This Row],[Aantal games Alg]])</f>
        <v>0</v>
      </c>
    </row>
    <row r="84" spans="1:66" x14ac:dyDescent="0.25">
      <c r="A84" s="215">
        <f ca="1">IF(Tabel15[[#This Row],[Rood Verdediging]]&lt;&gt;"",IF(A84="",NOW(),A84),"")</f>
        <v>44036.880295370371</v>
      </c>
      <c r="B84" s="128">
        <f ca="1">IF(Tabel15[[#This Row],[Rood Verdediging]]&lt;&gt;"",IF(B84="",NOW(),B84),"")</f>
        <v>44036.880295370371</v>
      </c>
      <c r="C84" s="126">
        <f ca="1">IF(Tabel15[[#This Row],[Score]]&lt;&gt;"",IF(C84="",NOW(),C84),"")</f>
        <v>44036.885143518521</v>
      </c>
      <c r="D84" s="217">
        <f ca="1">IF(OR(Tabel15[[#This Row],[Starttijd]]="",Tabel15[[#This Row],[Eindtijd]]=""),"",Tabel15[[#This Row],[Eindtijd]]-Tabel15[[#This Row],[Starttijd]])</f>
        <v>4.8481481499038637E-3</v>
      </c>
      <c r="E84" s="74">
        <v>84</v>
      </c>
      <c r="F84" s="205" t="s">
        <v>11</v>
      </c>
      <c r="G84" s="76">
        <v>2</v>
      </c>
      <c r="H84" s="205" t="s">
        <v>6</v>
      </c>
      <c r="I84" s="76">
        <v>9</v>
      </c>
      <c r="J84" s="206" t="s">
        <v>3</v>
      </c>
      <c r="K84" s="78">
        <v>2</v>
      </c>
      <c r="L84" s="206" t="s">
        <v>0</v>
      </c>
      <c r="M84" s="78">
        <v>1</v>
      </c>
      <c r="N84" s="81">
        <f t="shared" si="11"/>
        <v>11</v>
      </c>
      <c r="O84" s="82">
        <f t="shared" si="12"/>
        <v>3</v>
      </c>
      <c r="P8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Row],[Score4]]&lt;&gt;""),IF(AND(N84&gt;O84,N84&gt;=11),"ROOD",IF(AND(O84&gt;=11,N84&lt;&gt;O84),"GROEN","")),"")</f>
        <v>ROOD</v>
      </c>
      <c r="Q84" s="86" t="str">
        <f t="shared" si="13"/>
        <v>Matthijs</v>
      </c>
      <c r="R84" s="87" t="str">
        <f t="shared" si="14"/>
        <v>Stef D</v>
      </c>
      <c r="S84" s="293" t="str">
        <f>Tabel15[[#This Row],[Rood Verdediging]]&amp;Tabel15[[#This Row],[Rood Aanval]]</f>
        <v>MatthijsStef D</v>
      </c>
      <c r="T84" s="293" t="str">
        <f>Tabel15[[#This Row],[Groen Verdediging]]&amp;Tabel15[[#This Row],[Groen Aanval]]</f>
        <v>KarelJonas</v>
      </c>
      <c r="U84" s="293" t="str">
        <f>Tabel15[[#This Row],[Winnaar 1]]&amp;Tabel15[[#This Row],[Winnaar 2]]</f>
        <v>MatthijsStef D</v>
      </c>
      <c r="V84" s="147" t="str">
        <f>IF(Tabel15[[#This Row],[Team Rood]]=Tabel15[[#This Row],[Winnaars]],Tabel15[[#This Row],[Team Rood]])</f>
        <v>MatthijsStef D</v>
      </c>
      <c r="W84" s="147" t="b">
        <f>IF(Tabel15[[#This Row],[Team Groen]]=Tabel15[[#This Row],[Winnaars]],Tabel15[[#This Row],[Team Groen]])</f>
        <v>0</v>
      </c>
      <c r="X84" s="283">
        <v>19.572838209636359</v>
      </c>
      <c r="Y84" s="283">
        <v>14.234338145202607</v>
      </c>
      <c r="Z84" s="283">
        <v>-0.86539871745698416</v>
      </c>
      <c r="AA84" s="283">
        <v>-0.80998506268800108</v>
      </c>
      <c r="AL84" s="251" t="s">
        <v>161</v>
      </c>
      <c r="AM84" s="233" t="s">
        <v>160</v>
      </c>
      <c r="AN84" s="140" t="str">
        <f t="shared" si="15"/>
        <v>Louis*Tiemen*</v>
      </c>
      <c r="AO84" s="160">
        <f>IF(Tabel5[[#This Row],[Aantal Games Rood]]=0,0,(Tabel5[[#This Row],[Wins Rood]])/Tabel5[[#This Row],[Aantal Games Rood]])</f>
        <v>0</v>
      </c>
      <c r="AP84" s="159">
        <f>IF(Tabel5[[#This Row],[Aantal Games Groen]]=0,0,(Tabel5[[#This Row],[Wins Groen]])/Tabel5[[#This Row],[Aantal Games Groen]])</f>
        <v>0</v>
      </c>
      <c r="AQ84" s="156">
        <f>IF(Tabel5[[#This Row],[Aantal games Alg]]=0,0,(Tabel5[[#This Row],[Wins Alg]])/Tabel5[[#This Row],[Aantal games Alg]])</f>
        <v>0</v>
      </c>
      <c r="AR84" s="133">
        <f>COUNTIF(Tabel15[Winaar rood],Tabel5[[#This Row],[Team]])</f>
        <v>0</v>
      </c>
      <c r="AS84" s="134">
        <f>COUNTIF(Tabel15[Winnaar Groen],Tabel5[[#This Row],[Team]])</f>
        <v>0</v>
      </c>
      <c r="AT84" s="293">
        <f>COUNTIF(Tabel15[Winnaars],Tabel5[[#This Row],[Team]])</f>
        <v>0</v>
      </c>
      <c r="AU84" s="135">
        <f>Tabel5[[#This Row],[Aantal Games Rood]]-Tabel5[[#This Row],[Wins Rood]]</f>
        <v>1</v>
      </c>
      <c r="AV84" s="136">
        <f>Tabel5[[#This Row],[Aantal Games Groen]]-Tabel5[[#This Row],[Wins Groen]]</f>
        <v>0</v>
      </c>
      <c r="AW84" s="137">
        <f>Tabel5[[#This Row],[Aantal games Alg]]-Tabel5[[#This Row],[Wins Alg]]</f>
        <v>1</v>
      </c>
      <c r="AX84" s="138">
        <f>COUNTIF(Tabel15[Team Rood],Tabel5[[#This Row],[Team]])</f>
        <v>1</v>
      </c>
      <c r="AY84" s="136">
        <f>COUNTIF(Tabel15[Team Groen],Tabel5[[#This Row],[Team]])</f>
        <v>0</v>
      </c>
      <c r="AZ84" s="214">
        <f>Tabel5[[#This Row],[Aantal Games Rood]]+Tabel5[[#This Row],[Aantal Games Groen]]</f>
        <v>1</v>
      </c>
      <c r="BA84" s="138">
        <f>SUMIF(Tabel15[Team Rood],Tabel5[[#This Row],[Team]],Tabel15[Score])</f>
        <v>3</v>
      </c>
      <c r="BB84" s="138">
        <f>SUMIF(Tabel15[Team Rood],Tabel5[[#This Row],[Team]],Tabel15[Score2])</f>
        <v>4</v>
      </c>
      <c r="BC84" s="134">
        <f>SUMIF(Tabel15[Team Groen],Tabel5[[#This Row],[Team]],Tabel15[Score3])</f>
        <v>0</v>
      </c>
      <c r="BD84" s="136">
        <f>SUMIF(Tabel15[Team Groen],Tabel5[[#This Row],[Team]],Tabel15[Score4])</f>
        <v>0</v>
      </c>
      <c r="BE84" s="293">
        <f>SUM(Tabel5[[#This Row],[Goals Verdediger]]+Tabel5[[#This Row],[Goals DefG]])</f>
        <v>3</v>
      </c>
      <c r="BF84" s="293">
        <f>IF(Tabel5[[#This Row],[Aantal games Alg]]=0,0,Tabel5[[#This Row],[Goals DefA]]/Tabel5[[#This Row],[Aantal games Alg]])</f>
        <v>3</v>
      </c>
      <c r="BG84" s="293">
        <f>SUM(Tabel5[[#This Row],[Goals Aanvaller]]+Tabel5[[#This Row],[Goals OffG]])</f>
        <v>4</v>
      </c>
      <c r="BH84" s="293">
        <f>IF(Tabel5[[#This Row],[Aantal games Alg]]=0,0,Tabel5[[#This Row],[Goals OffA]]/Tabel5[[#This Row],[Aantal games Alg]])</f>
        <v>4</v>
      </c>
      <c r="BI84" s="214">
        <f>Tabel5[[#This Row],[Goals DefA]]+Tabel5[[#This Row],[Goals OffA]]</f>
        <v>7</v>
      </c>
      <c r="BJ84" s="214">
        <f>IF(Tabel5[[#This Row],[Aantal games Alg]]=0,0,Tabel5[[#This Row],[Goals Alg]]/Tabel5[[#This Row],[Aantal games Alg]])</f>
        <v>7</v>
      </c>
      <c r="BK84" s="148">
        <f ca="1">SUMIF(Tabel15[Team Rood],Tabel5[[#This Row],[Team]],Tabel15[ET])</f>
        <v>1.3206018775235862E-4</v>
      </c>
      <c r="BL84" s="150">
        <f>SUMIF(Tabel15[Team Groen],Tabel5[[#This Row],[Team]],Tabel15[ET])</f>
        <v>0</v>
      </c>
      <c r="BM84" s="153">
        <f ca="1">SUM(Tabel5[[#This Row],[ET Groen tot]],Tabel5[[#This Row],[ET Rood tot]])</f>
        <v>1.3206018775235862E-4</v>
      </c>
      <c r="BN84" s="155">
        <f ca="1">IF(Tabel5[[#This Row],[Aantal games Alg]]=0,0,Tabel5[[#This Row],[ET tot]]/Tabel5[[#This Row],[Aantal games Alg]])</f>
        <v>1.3206018775235862E-4</v>
      </c>
    </row>
    <row r="85" spans="1:66" x14ac:dyDescent="0.25">
      <c r="A85" s="215">
        <f ca="1">IF(Tabel15[[#This Row],[Rood Verdediging]]&lt;&gt;"",IF(A85="",NOW(),A85),"")</f>
        <v>44036.887954166668</v>
      </c>
      <c r="B85" s="128">
        <f ca="1">IF(Tabel15[[#This Row],[Rood Verdediging]]&lt;&gt;"",IF(B85="",NOW(),B85),"")</f>
        <v>44036.887954166668</v>
      </c>
      <c r="C85" s="126">
        <f ca="1">IF(Tabel15[[#This Row],[Score]]&lt;&gt;"",IF(C85="",NOW(),C85),"")</f>
        <v>44036.894260416666</v>
      </c>
      <c r="D85" s="217">
        <f ca="1">IF(OR(Tabel15[[#This Row],[Starttijd]]="",Tabel15[[#This Row],[Eindtijd]]=""),"",Tabel15[[#This Row],[Eindtijd]]-Tabel15[[#This Row],[Starttijd]])</f>
        <v>6.3062499975785613E-3</v>
      </c>
      <c r="E85" s="74">
        <v>85</v>
      </c>
      <c r="F85" s="205" t="s">
        <v>11</v>
      </c>
      <c r="G85" s="76">
        <v>0</v>
      </c>
      <c r="H85" s="205" t="s">
        <v>13</v>
      </c>
      <c r="I85" s="76">
        <v>4</v>
      </c>
      <c r="J85" s="206" t="s">
        <v>8</v>
      </c>
      <c r="K85" s="78">
        <v>6</v>
      </c>
      <c r="L85" s="206" t="s">
        <v>3</v>
      </c>
      <c r="M85" s="78">
        <v>5</v>
      </c>
      <c r="N85" s="81">
        <f t="shared" si="11"/>
        <v>4</v>
      </c>
      <c r="O85" s="82">
        <f t="shared" si="12"/>
        <v>11</v>
      </c>
      <c r="P8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Row],[Score4]]&lt;&gt;""),IF(AND(N85&gt;O85,N85&gt;=11),"ROOD",IF(AND(O85&gt;=11,N85&lt;&gt;O85),"GROEN","")),"")</f>
        <v>GROEN</v>
      </c>
      <c r="Q85" s="86" t="str">
        <f t="shared" si="13"/>
        <v>Louis</v>
      </c>
      <c r="R85" s="87" t="str">
        <f t="shared" si="14"/>
        <v>Karel</v>
      </c>
      <c r="S85" s="293" t="str">
        <f>Tabel15[[#This Row],[Rood Verdediging]]&amp;Tabel15[[#This Row],[Rood Aanval]]</f>
        <v>MatthijsBert</v>
      </c>
      <c r="T85" s="293" t="str">
        <f>Tabel15[[#This Row],[Groen Verdediging]]&amp;Tabel15[[#This Row],[Groen Aanval]]</f>
        <v>LouisKarel</v>
      </c>
      <c r="U85" s="293" t="str">
        <f>Tabel15[[#This Row],[Winnaar 1]]&amp;Tabel15[[#This Row],[Winnaar 2]]</f>
        <v>LouisKarel</v>
      </c>
      <c r="V85" s="147" t="b">
        <f>IF(Tabel15[[#This Row],[Team Rood]]=Tabel15[[#This Row],[Winnaars]],Tabel15[[#This Row],[Team Rood]])</f>
        <v>0</v>
      </c>
      <c r="W85" s="147" t="str">
        <f>IF(Tabel15[[#This Row],[Team Groen]]=Tabel15[[#This Row],[Winnaars]],Tabel15[[#This Row],[Team Groen]])</f>
        <v>LouisKarel</v>
      </c>
      <c r="X85" s="283">
        <v>-4.7396893039776744</v>
      </c>
      <c r="Y85" s="283">
        <v>-5.2613551210869831</v>
      </c>
      <c r="Z85" s="283">
        <v>28.449841493125685</v>
      </c>
      <c r="AA85" s="283">
        <v>24.935520661285342</v>
      </c>
      <c r="AL85" s="251" t="s">
        <v>161</v>
      </c>
      <c r="AM85" s="233" t="s">
        <v>157</v>
      </c>
      <c r="AN85" s="140" t="str">
        <f t="shared" si="15"/>
        <v>Louis*Tobi*</v>
      </c>
      <c r="AO85" s="160">
        <f>IF(Tabel5[[#This Row],[Aantal Games Rood]]=0,0,(Tabel5[[#This Row],[Wins Rood]])/Tabel5[[#This Row],[Aantal Games Rood]])</f>
        <v>0</v>
      </c>
      <c r="AP85" s="159">
        <f>IF(Tabel5[[#This Row],[Aantal Games Groen]]=0,0,(Tabel5[[#This Row],[Wins Groen]])/Tabel5[[#This Row],[Aantal Games Groen]])</f>
        <v>0</v>
      </c>
      <c r="AQ85" s="156">
        <f>IF(Tabel5[[#This Row],[Aantal games Alg]]=0,0,(Tabel5[[#This Row],[Wins Alg]])/Tabel5[[#This Row],[Aantal games Alg]])</f>
        <v>0</v>
      </c>
      <c r="AR85" s="133">
        <f>COUNTIF(Tabel15[Winaar rood],Tabel5[[#This Row],[Team]])</f>
        <v>0</v>
      </c>
      <c r="AS85" s="134">
        <f>COUNTIF(Tabel15[Winnaar Groen],Tabel5[[#This Row],[Team]])</f>
        <v>0</v>
      </c>
      <c r="AT85">
        <f>COUNTIF(Tabel15[Winnaars],Tabel5[[#This Row],[Team]])</f>
        <v>0</v>
      </c>
      <c r="AU85" s="135">
        <f>Tabel5[[#This Row],[Aantal Games Rood]]-Tabel5[[#This Row],[Wins Rood]]</f>
        <v>0</v>
      </c>
      <c r="AV85" s="136">
        <f>Tabel5[[#This Row],[Aantal Games Groen]]-Tabel5[[#This Row],[Wins Groen]]</f>
        <v>0</v>
      </c>
      <c r="AW85" s="137">
        <f>Tabel5[[#This Row],[Aantal games Alg]]-Tabel5[[#This Row],[Wins Alg]]</f>
        <v>0</v>
      </c>
      <c r="AX85" s="138">
        <f>COUNTIF(Tabel15[Team Rood],Tabel5[[#This Row],[Team]])</f>
        <v>0</v>
      </c>
      <c r="AY85" s="136">
        <f>COUNTIF(Tabel15[Team Groen],Tabel5[[#This Row],[Team]])</f>
        <v>0</v>
      </c>
      <c r="AZ85" s="112">
        <f>Tabel5[[#This Row],[Aantal Games Rood]]+Tabel5[[#This Row],[Aantal Games Groen]]</f>
        <v>0</v>
      </c>
      <c r="BA85" s="138">
        <f>SUMIF(Tabel15[Team Rood],Tabel5[[#This Row],[Team]],Tabel15[Score])</f>
        <v>0</v>
      </c>
      <c r="BB85" s="138">
        <f>SUMIF(Tabel15[Team Rood],Tabel5[[#This Row],[Team]],Tabel15[Score2])</f>
        <v>0</v>
      </c>
      <c r="BC85" s="134">
        <f>SUMIF(Tabel15[Team Groen],Tabel5[[#This Row],[Team]],Tabel15[Score3])</f>
        <v>0</v>
      </c>
      <c r="BD85" s="136">
        <f>SUMIF(Tabel15[Team Groen],Tabel5[[#This Row],[Team]],Tabel15[Score4])</f>
        <v>0</v>
      </c>
      <c r="BE85">
        <f>SUM(Tabel5[[#This Row],[Goals Verdediger]]+Tabel5[[#This Row],[Goals DefG]])</f>
        <v>0</v>
      </c>
      <c r="BF85">
        <f>IF(Tabel5[[#This Row],[Aantal games Alg]]=0,0,Tabel5[[#This Row],[Goals DefA]]/Tabel5[[#This Row],[Aantal games Alg]])</f>
        <v>0</v>
      </c>
      <c r="BG85">
        <f>SUM(Tabel5[[#This Row],[Goals Aanvaller]]+Tabel5[[#This Row],[Goals OffG]])</f>
        <v>0</v>
      </c>
      <c r="BH85">
        <f>IF(Tabel5[[#This Row],[Aantal games Alg]]=0,0,Tabel5[[#This Row],[Goals OffA]]/Tabel5[[#This Row],[Aantal games Alg]])</f>
        <v>0</v>
      </c>
      <c r="BI85" s="112">
        <f>Tabel5[[#This Row],[Goals DefA]]+Tabel5[[#This Row],[Goals OffA]]</f>
        <v>0</v>
      </c>
      <c r="BJ85" s="112">
        <f>IF(Tabel5[[#This Row],[Aantal games Alg]]=0,0,Tabel5[[#This Row],[Goals Alg]]/Tabel5[[#This Row],[Aantal games Alg]])</f>
        <v>0</v>
      </c>
      <c r="BK85" s="148">
        <f>SUMIF(Tabel15[Team Rood],Tabel5[[#This Row],[Team]],Tabel15[ET])</f>
        <v>0</v>
      </c>
      <c r="BL85" s="150">
        <f>SUMIF(Tabel15[Team Groen],Tabel5[[#This Row],[Team]],Tabel15[ET])</f>
        <v>0</v>
      </c>
      <c r="BM85" s="153">
        <f>SUM(Tabel5[[#This Row],[ET Groen tot]],Tabel5[[#This Row],[ET Rood tot]])</f>
        <v>0</v>
      </c>
      <c r="BN85" s="155">
        <f>IF(Tabel5[[#This Row],[Aantal games Alg]]=0,0,Tabel5[[#This Row],[ET tot]]/Tabel5[[#This Row],[Aantal games Alg]])</f>
        <v>0</v>
      </c>
    </row>
    <row r="86" spans="1:66" x14ac:dyDescent="0.25">
      <c r="A86" s="215">
        <f ca="1">IF(Tabel15[[#This Row],[Rood Verdediging]]&lt;&gt;"",IF(A86="",NOW(),A86),"")</f>
        <v>44036.90522453704</v>
      </c>
      <c r="B86" s="128">
        <f ca="1">IF(Tabel15[[#This Row],[Rood Verdediging]]&lt;&gt;"",IF(B86="",NOW(),B86),"")</f>
        <v>44036.90522453704</v>
      </c>
      <c r="C86" s="126">
        <f ca="1">IF(Tabel15[[#This Row],[Score]]&lt;&gt;"",IF(C86="",NOW(),C86),"")</f>
        <v>44036.905243171299</v>
      </c>
      <c r="D86" s="217">
        <f ca="1">IF(OR(Tabel15[[#This Row],[Starttijd]]="",Tabel15[[#This Row],[Eindtijd]]=""),"",Tabel15[[#This Row],[Eindtijd]]-Tabel15[[#This Row],[Starttijd]])</f>
        <v>1.8634258594829589E-5</v>
      </c>
      <c r="E86" s="74">
        <v>86</v>
      </c>
      <c r="F86" s="205" t="s">
        <v>6</v>
      </c>
      <c r="G86" s="76">
        <v>3</v>
      </c>
      <c r="H86" s="205" t="s">
        <v>3</v>
      </c>
      <c r="I86" s="76">
        <v>8</v>
      </c>
      <c r="J86" s="206" t="s">
        <v>0</v>
      </c>
      <c r="K86" s="78">
        <v>1</v>
      </c>
      <c r="L86" s="206" t="s">
        <v>13</v>
      </c>
      <c r="M86" s="78">
        <v>7</v>
      </c>
      <c r="N86" s="81">
        <f t="shared" si="11"/>
        <v>11</v>
      </c>
      <c r="O86" s="82">
        <f t="shared" si="12"/>
        <v>8</v>
      </c>
      <c r="P8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Row],[Score4]]&lt;&gt;""),IF(AND(N86&gt;O86,N86&gt;=11),"ROOD",IF(AND(O86&gt;=11,N86&lt;&gt;O86),"GROEN","")),"")</f>
        <v>ROOD</v>
      </c>
      <c r="Q86" s="86" t="str">
        <f t="shared" si="13"/>
        <v>Stef D</v>
      </c>
      <c r="R86" s="87" t="str">
        <f t="shared" si="14"/>
        <v>Karel</v>
      </c>
      <c r="S86" s="293" t="str">
        <f>Tabel15[[#This Row],[Rood Verdediging]]&amp;Tabel15[[#This Row],[Rood Aanval]]</f>
        <v>Stef DKarel</v>
      </c>
      <c r="T86" s="293" t="str">
        <f>Tabel15[[#This Row],[Groen Verdediging]]&amp;Tabel15[[#This Row],[Groen Aanval]]</f>
        <v>JonasBert</v>
      </c>
      <c r="U86" s="293" t="str">
        <f>Tabel15[[#This Row],[Winnaar 1]]&amp;Tabel15[[#This Row],[Winnaar 2]]</f>
        <v>Stef DKarel</v>
      </c>
      <c r="V86" s="147" t="str">
        <f>IF(Tabel15[[#This Row],[Team Rood]]=Tabel15[[#This Row],[Winnaars]],Tabel15[[#This Row],[Team Rood]])</f>
        <v>Stef DKarel</v>
      </c>
      <c r="W86" s="147" t="b">
        <f>IF(Tabel15[[#This Row],[Team Groen]]=Tabel15[[#This Row],[Winnaars]],Tabel15[[#This Row],[Team Groen]])</f>
        <v>0</v>
      </c>
      <c r="X86" s="283">
        <v>19.676536067652716</v>
      </c>
      <c r="Y86" s="283">
        <v>20.17046808795245</v>
      </c>
      <c r="Z86" s="283">
        <v>-1.301236915053527</v>
      </c>
      <c r="AA86" s="283">
        <v>-1.2258795647722818</v>
      </c>
      <c r="AL86" s="251" t="s">
        <v>162</v>
      </c>
      <c r="AM86" s="233" t="s">
        <v>158</v>
      </c>
      <c r="AN86" s="140" t="str">
        <f t="shared" si="15"/>
        <v>Matthijs*Arno*</v>
      </c>
      <c r="AO86" s="160">
        <f>IF(Tabel5[[#This Row],[Aantal Games Rood]]=0,0,(Tabel5[[#This Row],[Wins Rood]])/Tabel5[[#This Row],[Aantal Games Rood]])</f>
        <v>0</v>
      </c>
      <c r="AP86" s="159">
        <f>IF(Tabel5[[#This Row],[Aantal Games Groen]]=0,0,(Tabel5[[#This Row],[Wins Groen]])/Tabel5[[#This Row],[Aantal Games Groen]])</f>
        <v>1</v>
      </c>
      <c r="AQ86" s="156">
        <f>IF(Tabel5[[#This Row],[Aantal games Alg]]=0,0,(Tabel5[[#This Row],[Wins Alg]])/Tabel5[[#This Row],[Aantal games Alg]])</f>
        <v>1</v>
      </c>
      <c r="AR86" s="138">
        <f>COUNTIF(Tabel15[Winaar rood],Tabel5[[#This Row],[Team]])</f>
        <v>0</v>
      </c>
      <c r="AS86" s="134">
        <f>COUNTIF(Tabel15[Winnaar Groen],Tabel5[[#This Row],[Team]])</f>
        <v>1</v>
      </c>
      <c r="AT86">
        <f>COUNTIF(Tabel15[Winnaars],Tabel5[[#This Row],[Team]])</f>
        <v>1</v>
      </c>
      <c r="AU86" s="135">
        <f>Tabel5[[#This Row],[Aantal Games Rood]]-Tabel5[[#This Row],[Wins Rood]]</f>
        <v>0</v>
      </c>
      <c r="AV86" s="136">
        <f>Tabel5[[#This Row],[Aantal Games Groen]]-Tabel5[[#This Row],[Wins Groen]]</f>
        <v>0</v>
      </c>
      <c r="AW86" s="137">
        <f>Tabel5[[#This Row],[Aantal games Alg]]-Tabel5[[#This Row],[Wins Alg]]</f>
        <v>0</v>
      </c>
      <c r="AX86" s="138">
        <f>COUNTIF(Tabel15[Team Rood],Tabel5[[#This Row],[Team]])</f>
        <v>0</v>
      </c>
      <c r="AY86" s="136">
        <f>COUNTIF(Tabel15[Team Groen],Tabel5[[#This Row],[Team]])</f>
        <v>1</v>
      </c>
      <c r="AZ86" s="112">
        <f>Tabel5[[#This Row],[Aantal Games Rood]]+Tabel5[[#This Row],[Aantal Games Groen]]</f>
        <v>1</v>
      </c>
      <c r="BA86" s="138">
        <f>SUMIF(Tabel15[Team Rood],Tabel5[[#This Row],[Team]],Tabel15[Score])</f>
        <v>0</v>
      </c>
      <c r="BB86" s="138">
        <f>SUMIF(Tabel15[Team Rood],Tabel5[[#This Row],[Team]],Tabel15[Score2])</f>
        <v>0</v>
      </c>
      <c r="BC86" s="134">
        <f>SUMIF(Tabel15[Team Groen],Tabel5[[#This Row],[Team]],Tabel15[Score3])</f>
        <v>1</v>
      </c>
      <c r="BD86" s="136">
        <f>SUMIF(Tabel15[Team Groen],Tabel5[[#This Row],[Team]],Tabel15[Score4])</f>
        <v>10</v>
      </c>
      <c r="BE86">
        <f>SUM(Tabel5[[#This Row],[Goals Verdediger]]+Tabel5[[#This Row],[Goals DefG]])</f>
        <v>1</v>
      </c>
      <c r="BF86">
        <f>IF(Tabel5[[#This Row],[Aantal games Alg]]=0,0,Tabel5[[#This Row],[Goals DefA]]/Tabel5[[#This Row],[Aantal games Alg]])</f>
        <v>1</v>
      </c>
      <c r="BG86">
        <f>SUM(Tabel5[[#This Row],[Goals Aanvaller]]+Tabel5[[#This Row],[Goals OffG]])</f>
        <v>10</v>
      </c>
      <c r="BH86">
        <f>IF(Tabel5[[#This Row],[Aantal games Alg]]=0,0,Tabel5[[#This Row],[Goals OffA]]/Tabel5[[#This Row],[Aantal games Alg]])</f>
        <v>10</v>
      </c>
      <c r="BI86" s="112">
        <f>Tabel5[[#This Row],[Goals DefA]]+Tabel5[[#This Row],[Goals OffA]]</f>
        <v>11</v>
      </c>
      <c r="BJ86" s="112">
        <f>IF(Tabel5[[#This Row],[Aantal games Alg]]=0,0,Tabel5[[#This Row],[Goals Alg]]/Tabel5[[#This Row],[Aantal games Alg]])</f>
        <v>11</v>
      </c>
      <c r="BK86" s="148">
        <f>SUMIF(Tabel15[Team Rood],Tabel5[[#This Row],[Team]],Tabel15[ET])</f>
        <v>0</v>
      </c>
      <c r="BL86" s="150">
        <f>SUMIF(Tabel15[Team Groen],Tabel5[[#This Row],[Team]],Tabel15[ET])</f>
        <v>0</v>
      </c>
      <c r="BM86" s="153">
        <f>SUM(Tabel5[[#This Row],[ET Groen tot]],Tabel5[[#This Row],[ET Rood tot]])</f>
        <v>0</v>
      </c>
      <c r="BN86" s="155">
        <f>IF(Tabel5[[#This Row],[Aantal games Alg]]=0,0,Tabel5[[#This Row],[ET tot]]/Tabel5[[#This Row],[Aantal games Alg]])</f>
        <v>0</v>
      </c>
    </row>
    <row r="87" spans="1:66" x14ac:dyDescent="0.25">
      <c r="A87" s="215">
        <f ca="1">IF(Tabel15[[#This Row],[Rood Verdediging]]&lt;&gt;"",IF(A87="",NOW(),A87),"")</f>
        <v>44036.922766550924</v>
      </c>
      <c r="B87" s="128">
        <f ca="1">IF(Tabel15[[#This Row],[Rood Verdediging]]&lt;&gt;"",IF(B87="",NOW(),B87),"")</f>
        <v>44036.922766550924</v>
      </c>
      <c r="C87" s="126">
        <f ca="1">IF(Tabel15[[#This Row],[Score]]&lt;&gt;"",IF(C87="",NOW(),C87),"")</f>
        <v>44036.922787847223</v>
      </c>
      <c r="D87" s="217">
        <f ca="1">IF(OR(Tabel15[[#This Row],[Starttijd]]="",Tabel15[[#This Row],[Eindtijd]]=""),"",Tabel15[[#This Row],[Eindtijd]]-Tabel15[[#This Row],[Starttijd]])</f>
        <v>2.1296298655215651E-5</v>
      </c>
      <c r="E87" s="74">
        <v>87</v>
      </c>
      <c r="F87" s="205" t="s">
        <v>0</v>
      </c>
      <c r="G87" s="76">
        <v>3</v>
      </c>
      <c r="H87" s="205" t="s">
        <v>6</v>
      </c>
      <c r="I87" s="76">
        <v>8</v>
      </c>
      <c r="J87" s="206" t="s">
        <v>3</v>
      </c>
      <c r="K87" s="78">
        <v>0</v>
      </c>
      <c r="L87" s="206" t="s">
        <v>11</v>
      </c>
      <c r="M87" s="78">
        <v>5</v>
      </c>
      <c r="N87" s="81">
        <v>11</v>
      </c>
      <c r="O87" s="82">
        <f t="shared" si="12"/>
        <v>5</v>
      </c>
      <c r="P8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Row],[Score4]]&lt;&gt;""),IF(AND(N87&gt;O87,N87&gt;=11),"ROOD",IF(AND(O87&gt;=11,N87&lt;&gt;O87),"GROEN","")),"")</f>
        <v>ROOD</v>
      </c>
      <c r="Q87" s="86" t="str">
        <f t="shared" si="13"/>
        <v>Jonas</v>
      </c>
      <c r="R87" s="87" t="str">
        <f t="shared" si="14"/>
        <v>Stef D</v>
      </c>
      <c r="S87" s="293" t="str">
        <f>Tabel15[[#This Row],[Rood Verdediging]]&amp;Tabel15[[#This Row],[Rood Aanval]]</f>
        <v>JonasStef D</v>
      </c>
      <c r="T87" s="293" t="str">
        <f>Tabel15[[#This Row],[Groen Verdediging]]&amp;Tabel15[[#This Row],[Groen Aanval]]</f>
        <v>KarelMatthijs</v>
      </c>
      <c r="U87" s="293" t="str">
        <f>Tabel15[[#This Row],[Winnaar 1]]&amp;Tabel15[[#This Row],[Winnaar 2]]</f>
        <v>JonasStef D</v>
      </c>
      <c r="V87" s="147" t="str">
        <f>IF(Tabel15[[#This Row],[Team Rood]]=Tabel15[[#This Row],[Winnaars]],Tabel15[[#This Row],[Team Rood]])</f>
        <v>JonasStef D</v>
      </c>
      <c r="W87" s="147" t="b">
        <f>IF(Tabel15[[#This Row],[Team Groen]]=Tabel15[[#This Row],[Winnaars]],Tabel15[[#This Row],[Team Groen]])</f>
        <v>0</v>
      </c>
      <c r="X87" s="283">
        <v>8.3981338860829418</v>
      </c>
      <c r="Y87" s="283">
        <v>7.0876189957006419</v>
      </c>
      <c r="Z87" s="283">
        <v>4.6987966529167773</v>
      </c>
      <c r="AA87" s="283">
        <v>5.5968156123773127</v>
      </c>
      <c r="AL87" s="251" t="s">
        <v>162</v>
      </c>
      <c r="AM87" s="233" t="s">
        <v>163</v>
      </c>
      <c r="AN87" s="140" t="str">
        <f t="shared" si="15"/>
        <v>Matthijs*Bert*</v>
      </c>
      <c r="AO87" s="160">
        <f>IF(Tabel5[[#This Row],[Aantal Games Rood]]=0,0,(Tabel5[[#This Row],[Wins Rood]])/Tabel5[[#This Row],[Aantal Games Rood]])</f>
        <v>0.5</v>
      </c>
      <c r="AP87" s="159">
        <f>IF(Tabel5[[#This Row],[Aantal Games Groen]]=0,0,(Tabel5[[#This Row],[Wins Groen]])/Tabel5[[#This Row],[Aantal Games Groen]])</f>
        <v>0</v>
      </c>
      <c r="AQ87" s="156">
        <f>IF(Tabel5[[#This Row],[Aantal games Alg]]=0,0,(Tabel5[[#This Row],[Wins Alg]])/Tabel5[[#This Row],[Aantal games Alg]])</f>
        <v>0.5</v>
      </c>
      <c r="AR87" s="138">
        <f>COUNTIF(Tabel15[Winaar rood],Tabel5[[#This Row],[Team]])</f>
        <v>1</v>
      </c>
      <c r="AS87" s="134">
        <f>COUNTIF(Tabel15[Winnaar Groen],Tabel5[[#This Row],[Team]])</f>
        <v>0</v>
      </c>
      <c r="AT87">
        <f>COUNTIF(Tabel15[Winnaars],Tabel5[[#This Row],[Team]])</f>
        <v>1</v>
      </c>
      <c r="AU87" s="135">
        <f>Tabel5[[#This Row],[Aantal Games Rood]]-Tabel5[[#This Row],[Wins Rood]]</f>
        <v>1</v>
      </c>
      <c r="AV87" s="136">
        <f>Tabel5[[#This Row],[Aantal Games Groen]]-Tabel5[[#This Row],[Wins Groen]]</f>
        <v>0</v>
      </c>
      <c r="AW87" s="137">
        <f>Tabel5[[#This Row],[Aantal games Alg]]-Tabel5[[#This Row],[Wins Alg]]</f>
        <v>1</v>
      </c>
      <c r="AX87" s="138">
        <f>COUNTIF(Tabel15[Team Rood],Tabel5[[#This Row],[Team]])</f>
        <v>2</v>
      </c>
      <c r="AY87" s="136">
        <f>COUNTIF(Tabel15[Team Groen],Tabel5[[#This Row],[Team]])</f>
        <v>0</v>
      </c>
      <c r="AZ87" s="112">
        <f>Tabel5[[#This Row],[Aantal Games Rood]]+Tabel5[[#This Row],[Aantal Games Groen]]</f>
        <v>2</v>
      </c>
      <c r="BA87" s="138">
        <f>SUMIF(Tabel15[Team Rood],Tabel5[[#This Row],[Team]],Tabel15[Score])</f>
        <v>2</v>
      </c>
      <c r="BB87" s="138">
        <f>SUMIF(Tabel15[Team Rood],Tabel5[[#This Row],[Team]],Tabel15[Score2])</f>
        <v>13</v>
      </c>
      <c r="BC87" s="134">
        <f>SUMIF(Tabel15[Team Groen],Tabel5[[#This Row],[Team]],Tabel15[Score3])</f>
        <v>0</v>
      </c>
      <c r="BD87" s="136">
        <f>SUMIF(Tabel15[Team Groen],Tabel5[[#This Row],[Team]],Tabel15[Score4])</f>
        <v>0</v>
      </c>
      <c r="BE87">
        <f>SUM(Tabel5[[#This Row],[Goals Verdediger]]+Tabel5[[#This Row],[Goals DefG]])</f>
        <v>2</v>
      </c>
      <c r="BF87">
        <f>IF(Tabel5[[#This Row],[Aantal games Alg]]=0,0,Tabel5[[#This Row],[Goals DefA]]/Tabel5[[#This Row],[Aantal games Alg]])</f>
        <v>1</v>
      </c>
      <c r="BG87">
        <f>SUM(Tabel5[[#This Row],[Goals Aanvaller]]+Tabel5[[#This Row],[Goals OffG]])</f>
        <v>13</v>
      </c>
      <c r="BH87">
        <f>IF(Tabel5[[#This Row],[Aantal games Alg]]=0,0,Tabel5[[#This Row],[Goals OffA]]/Tabel5[[#This Row],[Aantal games Alg]])</f>
        <v>6.5</v>
      </c>
      <c r="BI87" s="112">
        <f>Tabel5[[#This Row],[Goals DefA]]+Tabel5[[#This Row],[Goals OffA]]</f>
        <v>15</v>
      </c>
      <c r="BJ87" s="112">
        <f>IF(Tabel5[[#This Row],[Aantal games Alg]]=0,0,Tabel5[[#This Row],[Goals Alg]]/Tabel5[[#This Row],[Aantal games Alg]])</f>
        <v>7.5</v>
      </c>
      <c r="BK87" s="148">
        <f ca="1">SUMIF(Tabel15[Team Rood],Tabel5[[#This Row],[Team]],Tabel15[ET])</f>
        <v>6.3062499975785613E-3</v>
      </c>
      <c r="BL87" s="150">
        <f>SUMIF(Tabel15[Team Groen],Tabel5[[#This Row],[Team]],Tabel15[ET])</f>
        <v>0</v>
      </c>
      <c r="BM87" s="153">
        <f ca="1">SUM(Tabel5[[#This Row],[ET Groen tot]],Tabel5[[#This Row],[ET Rood tot]])</f>
        <v>6.3062499975785613E-3</v>
      </c>
      <c r="BN87" s="155">
        <f ca="1">IF(Tabel5[[#This Row],[Aantal games Alg]]=0,0,Tabel5[[#This Row],[ET tot]]/Tabel5[[#This Row],[Aantal games Alg]])</f>
        <v>3.1531249987892807E-3</v>
      </c>
    </row>
    <row r="88" spans="1:66" x14ac:dyDescent="0.25">
      <c r="A88" s="215">
        <f ca="1">IF(Tabel15[[#This Row],[Rood Verdediging]]&lt;&gt;"",IF(A88="",NOW(),A88),"")</f>
        <v>44036.927999074076</v>
      </c>
      <c r="B88" s="128">
        <f ca="1">IF(Tabel15[[#This Row],[Rood Verdediging]]&lt;&gt;"",IF(B88="",NOW(),B88),"")</f>
        <v>44036.927999074076</v>
      </c>
      <c r="C88" s="126">
        <f ca="1">IF(Tabel15[[#This Row],[Score]]&lt;&gt;"",IF(C88="",NOW(),C88),"")</f>
        <v>44036.936619097221</v>
      </c>
      <c r="D88" s="217">
        <f ca="1">IF(OR(Tabel15[[#This Row],[Starttijd]]="",Tabel15[[#This Row],[Eindtijd]]=""),"",Tabel15[[#This Row],[Eindtijd]]-Tabel15[[#This Row],[Starttijd]])</f>
        <v>8.6200231453403831E-3</v>
      </c>
      <c r="E88" s="74">
        <v>88</v>
      </c>
      <c r="F88" s="205" t="s">
        <v>8</v>
      </c>
      <c r="G88" s="76">
        <v>0</v>
      </c>
      <c r="H88" s="205" t="s">
        <v>13</v>
      </c>
      <c r="I88" s="76">
        <v>11</v>
      </c>
      <c r="J88" s="206" t="s">
        <v>11</v>
      </c>
      <c r="K88" s="78">
        <v>1</v>
      </c>
      <c r="L88" s="206" t="s">
        <v>3</v>
      </c>
      <c r="M88" s="78">
        <v>5</v>
      </c>
      <c r="N88" s="81">
        <f t="shared" si="11"/>
        <v>11</v>
      </c>
      <c r="O88" s="82">
        <f t="shared" si="12"/>
        <v>6</v>
      </c>
      <c r="P8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Row],[Score4]]&lt;&gt;""),IF(AND(N88&gt;O88,N88&gt;=11),"ROOD",IF(AND(O88&gt;=11,N88&lt;&gt;O88),"GROEN","")),"")</f>
        <v>ROOD</v>
      </c>
      <c r="Q88" s="86" t="str">
        <f t="shared" si="13"/>
        <v>Louis</v>
      </c>
      <c r="R88" s="87" t="str">
        <f t="shared" si="14"/>
        <v>Bert</v>
      </c>
      <c r="S88" s="293" t="str">
        <f>Tabel15[[#This Row],[Rood Verdediging]]&amp;Tabel15[[#This Row],[Rood Aanval]]</f>
        <v>LouisBert</v>
      </c>
      <c r="T88" s="293" t="str">
        <f>Tabel15[[#This Row],[Groen Verdediging]]&amp;Tabel15[[#This Row],[Groen Aanval]]</f>
        <v>MatthijsKarel</v>
      </c>
      <c r="U88" s="293" t="str">
        <f>Tabel15[[#This Row],[Winnaar 1]]&amp;Tabel15[[#This Row],[Winnaar 2]]</f>
        <v>LouisBert</v>
      </c>
      <c r="V88" s="147" t="str">
        <f>IF(Tabel15[[#This Row],[Team Rood]]=Tabel15[[#This Row],[Winnaars]],Tabel15[[#This Row],[Team Rood]])</f>
        <v>LouisBert</v>
      </c>
      <c r="W88" s="147" t="b">
        <f>IF(Tabel15[[#This Row],[Team Groen]]=Tabel15[[#This Row],[Winnaars]],Tabel15[[#This Row],[Team Groen]])</f>
        <v>0</v>
      </c>
      <c r="X88" s="283">
        <v>29.706096097467366</v>
      </c>
      <c r="Y88" s="283">
        <v>27.200118578479138</v>
      </c>
      <c r="Z88" s="283">
        <v>-5.1257838238454401</v>
      </c>
      <c r="AA88" s="283">
        <v>-5.8979977971648818</v>
      </c>
      <c r="AL88" s="251" t="s">
        <v>162</v>
      </c>
      <c r="AM88" s="233" t="s">
        <v>168</v>
      </c>
      <c r="AN88" s="140" t="str">
        <f t="shared" si="15"/>
        <v>Matthijs*Coghe*</v>
      </c>
      <c r="AO88" s="160">
        <f>IF(Tabel5[[#This Row],[Aantal Games Rood]]=0,0,(Tabel5[[#This Row],[Wins Rood]])/Tabel5[[#This Row],[Aantal Games Rood]])</f>
        <v>0</v>
      </c>
      <c r="AP88" s="159">
        <f>IF(Tabel5[[#This Row],[Aantal Games Groen]]=0,0,(Tabel5[[#This Row],[Wins Groen]])/Tabel5[[#This Row],[Aantal Games Groen]])</f>
        <v>0</v>
      </c>
      <c r="AQ88" s="156">
        <f>IF(Tabel5[[#This Row],[Aantal games Alg]]=0,0,(Tabel5[[#This Row],[Wins Alg]])/Tabel5[[#This Row],[Aantal games Alg]])</f>
        <v>0</v>
      </c>
      <c r="AR88" s="138">
        <f>COUNTIF(Tabel15[Winaar rood],Tabel5[[#This Row],[Team]])</f>
        <v>0</v>
      </c>
      <c r="AS88" s="134">
        <f>COUNTIF(Tabel15[Winnaar Groen],Tabel5[[#This Row],[Team]])</f>
        <v>0</v>
      </c>
      <c r="AT88">
        <f>COUNTIF(Tabel15[Winnaars],Tabel5[[#This Row],[Team]])</f>
        <v>0</v>
      </c>
      <c r="AU88" s="135">
        <f>Tabel5[[#This Row],[Aantal Games Rood]]-Tabel5[[#This Row],[Wins Rood]]</f>
        <v>1</v>
      </c>
      <c r="AV88" s="136">
        <f>Tabel5[[#This Row],[Aantal Games Groen]]-Tabel5[[#This Row],[Wins Groen]]</f>
        <v>0</v>
      </c>
      <c r="AW88" s="137">
        <f>Tabel5[[#This Row],[Aantal games Alg]]-Tabel5[[#This Row],[Wins Alg]]</f>
        <v>1</v>
      </c>
      <c r="AX88" s="138">
        <f>COUNTIF(Tabel15[Team Rood],Tabel5[[#This Row],[Team]])</f>
        <v>1</v>
      </c>
      <c r="AY88" s="136">
        <f>COUNTIF(Tabel15[Team Groen],Tabel5[[#This Row],[Team]])</f>
        <v>0</v>
      </c>
      <c r="AZ88" s="112">
        <f>Tabel5[[#This Row],[Aantal Games Rood]]+Tabel5[[#This Row],[Aantal Games Groen]]</f>
        <v>1</v>
      </c>
      <c r="BA88" s="138">
        <f>SUMIF(Tabel15[Team Rood],Tabel5[[#This Row],[Team]],Tabel15[Score])</f>
        <v>4</v>
      </c>
      <c r="BB88" s="138">
        <f>SUMIF(Tabel15[Team Rood],Tabel5[[#This Row],[Team]],Tabel15[Score2])</f>
        <v>1</v>
      </c>
      <c r="BC88" s="134">
        <f>SUMIF(Tabel15[Team Groen],Tabel5[[#This Row],[Team]],Tabel15[Score3])</f>
        <v>0</v>
      </c>
      <c r="BD88" s="136">
        <f>SUMIF(Tabel15[Team Groen],Tabel5[[#This Row],[Team]],Tabel15[Score4])</f>
        <v>0</v>
      </c>
      <c r="BE88">
        <f>SUM(Tabel5[[#This Row],[Goals Verdediger]]+Tabel5[[#This Row],[Goals DefG]])</f>
        <v>4</v>
      </c>
      <c r="BF88">
        <f>IF(Tabel5[[#This Row],[Aantal games Alg]]=0,0,Tabel5[[#This Row],[Goals DefA]]/Tabel5[[#This Row],[Aantal games Alg]])</f>
        <v>4</v>
      </c>
      <c r="BG88">
        <f>SUM(Tabel5[[#This Row],[Goals Aanvaller]]+Tabel5[[#This Row],[Goals OffG]])</f>
        <v>1</v>
      </c>
      <c r="BH88">
        <f>IF(Tabel5[[#This Row],[Aantal games Alg]]=0,0,Tabel5[[#This Row],[Goals OffA]]/Tabel5[[#This Row],[Aantal games Alg]])</f>
        <v>1</v>
      </c>
      <c r="BI88" s="112">
        <f>Tabel5[[#This Row],[Goals DefA]]+Tabel5[[#This Row],[Goals OffA]]</f>
        <v>5</v>
      </c>
      <c r="BJ88" s="112">
        <f>IF(Tabel5[[#This Row],[Aantal games Alg]]=0,0,Tabel5[[#This Row],[Goals Alg]]/Tabel5[[#This Row],[Aantal games Alg]])</f>
        <v>5</v>
      </c>
      <c r="BK88" s="148">
        <f ca="1">SUMIF(Tabel15[Team Rood],Tabel5[[#This Row],[Team]],Tabel15[ET])</f>
        <v>1.7800926434574649E-4</v>
      </c>
      <c r="BL88" s="150">
        <f>SUMIF(Tabel15[Team Groen],Tabel5[[#This Row],[Team]],Tabel15[ET])</f>
        <v>0</v>
      </c>
      <c r="BM88" s="153">
        <f ca="1">SUM(Tabel5[[#This Row],[ET Groen tot]],Tabel5[[#This Row],[ET Rood tot]])</f>
        <v>1.7800926434574649E-4</v>
      </c>
      <c r="BN88" s="155">
        <f ca="1">IF(Tabel5[[#This Row],[Aantal games Alg]]=0,0,Tabel5[[#This Row],[ET tot]]/Tabel5[[#This Row],[Aantal games Alg]])</f>
        <v>1.7800926434574649E-4</v>
      </c>
    </row>
    <row r="89" spans="1:66" x14ac:dyDescent="0.25">
      <c r="A89" s="215">
        <f ca="1">IF(Tabel15[[#This Row],[Rood Verdediging]]&lt;&gt;"",IF(A89="",NOW(),A89),"")</f>
        <v>44036.938574884261</v>
      </c>
      <c r="B89" s="128">
        <f ca="1">IF(Tabel15[[#This Row],[Rood Verdediging]]&lt;&gt;"",IF(B89="",NOW(),B89),"")</f>
        <v>44036.938574884261</v>
      </c>
      <c r="C89" s="126">
        <f ca="1">IF(Tabel15[[#This Row],[Score]]&lt;&gt;"",IF(C89="",NOW(),C89),"")</f>
        <v>44036.947640162034</v>
      </c>
      <c r="D89" s="217">
        <f ca="1">IF(OR(Tabel15[[#This Row],[Starttijd]]="",Tabel15[[#This Row],[Eindtijd]]=""),"",Tabel15[[#This Row],[Eindtijd]]-Tabel15[[#This Row],[Starttijd]])</f>
        <v>9.0652777726063505E-3</v>
      </c>
      <c r="E89" s="74">
        <v>89</v>
      </c>
      <c r="F89" s="205" t="s">
        <v>8</v>
      </c>
      <c r="G89" s="76">
        <v>2</v>
      </c>
      <c r="H89" s="205" t="s">
        <v>6</v>
      </c>
      <c r="I89" s="76">
        <v>9</v>
      </c>
      <c r="J89" s="206" t="s">
        <v>0</v>
      </c>
      <c r="K89" s="78">
        <v>0</v>
      </c>
      <c r="L89" s="206" t="s">
        <v>11</v>
      </c>
      <c r="M89" s="78">
        <v>2</v>
      </c>
      <c r="N89" s="81">
        <f t="shared" si="11"/>
        <v>11</v>
      </c>
      <c r="O89" s="82">
        <f t="shared" si="12"/>
        <v>2</v>
      </c>
      <c r="P8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Row],[Score4]]&lt;&gt;""),IF(AND(N89&gt;O89,N89&gt;=11),"ROOD",IF(AND(O89&gt;=11,N89&lt;&gt;O89),"GROEN","")),"")</f>
        <v>ROOD</v>
      </c>
      <c r="Q89" s="86" t="str">
        <f t="shared" si="13"/>
        <v>Louis</v>
      </c>
      <c r="R89" s="87" t="str">
        <f t="shared" si="14"/>
        <v>Stef D</v>
      </c>
      <c r="S89" s="293" t="str">
        <f>Tabel15[[#This Row],[Rood Verdediging]]&amp;Tabel15[[#This Row],[Rood Aanval]]</f>
        <v>LouisStef D</v>
      </c>
      <c r="T89" s="293" t="str">
        <f>Tabel15[[#This Row],[Groen Verdediging]]&amp;Tabel15[[#This Row],[Groen Aanval]]</f>
        <v>JonasMatthijs</v>
      </c>
      <c r="U89" s="293" t="str">
        <f>Tabel15[[#This Row],[Winnaar 1]]&amp;Tabel15[[#This Row],[Winnaar 2]]</f>
        <v>LouisStef D</v>
      </c>
      <c r="V89" s="147" t="str">
        <f>IF(Tabel15[[#This Row],[Team Rood]]=Tabel15[[#This Row],[Winnaars]],Tabel15[[#This Row],[Team Rood]])</f>
        <v>LouisStef D</v>
      </c>
      <c r="W89" s="147" t="b">
        <f>IF(Tabel15[[#This Row],[Team Groen]]=Tabel15[[#This Row],[Winnaars]],Tabel15[[#This Row],[Team Groen]])</f>
        <v>0</v>
      </c>
      <c r="X89" s="283">
        <v>9.5022893706874356</v>
      </c>
      <c r="Y89" s="283">
        <v>8.0805766456349311</v>
      </c>
      <c r="Z89" s="283">
        <v>3.8546593085212213</v>
      </c>
      <c r="AA89" s="283">
        <v>4.7827813260125236</v>
      </c>
      <c r="AL89" s="251" t="s">
        <v>162</v>
      </c>
      <c r="AM89" s="233" t="s">
        <v>159</v>
      </c>
      <c r="AN89" s="140" t="str">
        <f t="shared" si="15"/>
        <v>Matthijs*Jonas*</v>
      </c>
      <c r="AO89" s="160">
        <f>IF(Tabel5[[#This Row],[Aantal Games Rood]]=0,0,(Tabel5[[#This Row],[Wins Rood]])/Tabel5[[#This Row],[Aantal Games Rood]])</f>
        <v>0</v>
      </c>
      <c r="AP89" s="159">
        <f>IF(Tabel5[[#This Row],[Aantal Games Groen]]=0,0,(Tabel5[[#This Row],[Wins Groen]])/Tabel5[[#This Row],[Aantal Games Groen]])</f>
        <v>0.33333333333333331</v>
      </c>
      <c r="AQ89" s="156">
        <f>IF(Tabel5[[#This Row],[Aantal games Alg]]=0,0,(Tabel5[[#This Row],[Wins Alg]])/Tabel5[[#This Row],[Aantal games Alg]])</f>
        <v>0.33333333333333331</v>
      </c>
      <c r="AR89" s="133">
        <f>COUNTIF(Tabel15[Winaar rood],Tabel5[[#This Row],[Team]])</f>
        <v>0</v>
      </c>
      <c r="AS89" s="134">
        <f>COUNTIF(Tabel15[Winnaar Groen],Tabel5[[#This Row],[Team]])</f>
        <v>1</v>
      </c>
      <c r="AT89">
        <f>COUNTIF(Tabel15[Winnaars],Tabel5[[#This Row],[Team]])</f>
        <v>1</v>
      </c>
      <c r="AU89" s="135">
        <f>Tabel5[[#This Row],[Aantal Games Rood]]-Tabel5[[#This Row],[Wins Rood]]</f>
        <v>0</v>
      </c>
      <c r="AV89" s="136">
        <f>Tabel5[[#This Row],[Aantal Games Groen]]-Tabel5[[#This Row],[Wins Groen]]</f>
        <v>2</v>
      </c>
      <c r="AW89" s="137">
        <f>Tabel5[[#This Row],[Aantal games Alg]]-Tabel5[[#This Row],[Wins Alg]]</f>
        <v>2</v>
      </c>
      <c r="AX89" s="138">
        <f>COUNTIF(Tabel15[Team Rood],Tabel5[[#This Row],[Team]])</f>
        <v>0</v>
      </c>
      <c r="AY89" s="136">
        <f>COUNTIF(Tabel15[Team Groen],Tabel5[[#This Row],[Team]])</f>
        <v>3</v>
      </c>
      <c r="AZ89" s="112">
        <f>Tabel5[[#This Row],[Aantal Games Rood]]+Tabel5[[#This Row],[Aantal Games Groen]]</f>
        <v>3</v>
      </c>
      <c r="BA89" s="138">
        <f>SUMIF(Tabel15[Team Rood],Tabel5[[#This Row],[Team]],Tabel15[Score])</f>
        <v>0</v>
      </c>
      <c r="BB89" s="138">
        <f>SUMIF(Tabel15[Team Rood],Tabel5[[#This Row],[Team]],Tabel15[Score2])</f>
        <v>0</v>
      </c>
      <c r="BC89" s="134">
        <f>SUMIF(Tabel15[Team Groen],Tabel5[[#This Row],[Team]],Tabel15[Score3])</f>
        <v>10</v>
      </c>
      <c r="BD89" s="136">
        <f>SUMIF(Tabel15[Team Groen],Tabel5[[#This Row],[Team]],Tabel15[Score4])</f>
        <v>20</v>
      </c>
      <c r="BE89">
        <f>SUM(Tabel5[[#This Row],[Goals Verdediger]]+Tabel5[[#This Row],[Goals DefG]])</f>
        <v>10</v>
      </c>
      <c r="BF89">
        <f>IF(Tabel5[[#This Row],[Aantal games Alg]]=0,0,Tabel5[[#This Row],[Goals DefA]]/Tabel5[[#This Row],[Aantal games Alg]])</f>
        <v>3.3333333333333335</v>
      </c>
      <c r="BG89">
        <f>SUM(Tabel5[[#This Row],[Goals Aanvaller]]+Tabel5[[#This Row],[Goals OffG]])</f>
        <v>20</v>
      </c>
      <c r="BH89">
        <f>IF(Tabel5[[#This Row],[Aantal games Alg]]=0,0,Tabel5[[#This Row],[Goals OffA]]/Tabel5[[#This Row],[Aantal games Alg]])</f>
        <v>6.666666666666667</v>
      </c>
      <c r="BI89" s="112">
        <f>Tabel5[[#This Row],[Goals DefA]]+Tabel5[[#This Row],[Goals OffA]]</f>
        <v>30</v>
      </c>
      <c r="BJ89" s="112">
        <f>IF(Tabel5[[#This Row],[Aantal games Alg]]=0,0,Tabel5[[#This Row],[Goals Alg]]/Tabel5[[#This Row],[Aantal games Alg]])</f>
        <v>10</v>
      </c>
      <c r="BK89" s="148">
        <f>SUMIF(Tabel15[Team Rood],Tabel5[[#This Row],[Team]],Tabel15[ET])</f>
        <v>0</v>
      </c>
      <c r="BL89" s="150">
        <f ca="1">SUMIF(Tabel15[Team Groen],Tabel5[[#This Row],[Team]],Tabel15[ET])</f>
        <v>8.0958333346643485E-3</v>
      </c>
      <c r="BM89" s="153">
        <f ca="1">SUM(Tabel5[[#This Row],[ET Groen tot]],Tabel5[[#This Row],[ET Rood tot]])</f>
        <v>8.0958333346643485E-3</v>
      </c>
      <c r="BN89" s="155">
        <f ca="1">IF(Tabel5[[#This Row],[Aantal games Alg]]=0,0,Tabel5[[#This Row],[ET tot]]/Tabel5[[#This Row],[Aantal games Alg]])</f>
        <v>2.6986111115547828E-3</v>
      </c>
    </row>
    <row r="90" spans="1:66" x14ac:dyDescent="0.25">
      <c r="A90" s="215">
        <f ca="1">IF(Tabel15[[#This Row],[Rood Verdediging]]&lt;&gt;"",IF(A90="",NOW(),A90),"")</f>
        <v>44036.961997337959</v>
      </c>
      <c r="B90" s="128">
        <f ca="1">IF(Tabel15[[#This Row],[Rood Verdediging]]&lt;&gt;"",IF(B90="",NOW(),B90),"")</f>
        <v>44036.961997337959</v>
      </c>
      <c r="C90" s="126">
        <f ca="1">IF(Tabel15[[#This Row],[Score]]&lt;&gt;"",IF(C90="",NOW(),C90),"")</f>
        <v>44036.962017824073</v>
      </c>
      <c r="D90" s="217">
        <f ca="1">IF(OR(Tabel15[[#This Row],[Starttijd]]="",Tabel15[[#This Row],[Eindtijd]]=""),"",Tabel15[[#This Row],[Eindtijd]]-Tabel15[[#This Row],[Starttijd]])</f>
        <v>2.0486113498918712E-5</v>
      </c>
      <c r="E90" s="74">
        <v>90</v>
      </c>
      <c r="F90" s="205" t="s">
        <v>3</v>
      </c>
      <c r="G90" s="76">
        <v>2</v>
      </c>
      <c r="H90" s="205" t="s">
        <v>13</v>
      </c>
      <c r="I90" s="76">
        <v>7</v>
      </c>
      <c r="J90" s="206" t="s">
        <v>8</v>
      </c>
      <c r="K90" s="78">
        <v>5</v>
      </c>
      <c r="L90" s="206" t="s">
        <v>0</v>
      </c>
      <c r="M90" s="78">
        <v>6</v>
      </c>
      <c r="N90" s="81">
        <f t="shared" si="11"/>
        <v>9</v>
      </c>
      <c r="O90" s="82">
        <f t="shared" si="12"/>
        <v>11</v>
      </c>
      <c r="P9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Row],[Score4]]&lt;&gt;""),IF(AND(N90&gt;O90,N90&gt;=11),"ROOD",IF(AND(O90&gt;=11,N90&lt;&gt;O90),"GROEN","")),"")</f>
        <v>GROEN</v>
      </c>
      <c r="Q90" s="86" t="str">
        <f t="shared" si="13"/>
        <v>Louis</v>
      </c>
      <c r="R90" s="87" t="str">
        <f t="shared" si="14"/>
        <v>Jonas</v>
      </c>
      <c r="S90" s="293" t="str">
        <f>Tabel15[[#This Row],[Rood Verdediging]]&amp;Tabel15[[#This Row],[Rood Aanval]]</f>
        <v>KarelBert</v>
      </c>
      <c r="T90" s="293" t="str">
        <f>Tabel15[[#This Row],[Groen Verdediging]]&amp;Tabel15[[#This Row],[Groen Aanval]]</f>
        <v>LouisJonas</v>
      </c>
      <c r="U90" s="293" t="str">
        <f>Tabel15[[#This Row],[Winnaar 1]]&amp;Tabel15[[#This Row],[Winnaar 2]]</f>
        <v>LouisJonas</v>
      </c>
      <c r="V90" s="147" t="b">
        <f>IF(Tabel15[[#This Row],[Team Rood]]=Tabel15[[#This Row],[Winnaars]],Tabel15[[#This Row],[Team Rood]])</f>
        <v>0</v>
      </c>
      <c r="W90" s="147" t="str">
        <f>IF(Tabel15[[#This Row],[Team Groen]]=Tabel15[[#This Row],[Winnaars]],Tabel15[[#This Row],[Team Groen]])</f>
        <v>LouisJonas</v>
      </c>
      <c r="X90" s="283">
        <v>-9.9900897331736012</v>
      </c>
      <c r="Y90" s="283">
        <v>-10.276952804872554</v>
      </c>
      <c r="Z90" s="283">
        <v>35.818203092689728</v>
      </c>
      <c r="AA90" s="283">
        <v>40.8623459280562</v>
      </c>
      <c r="AL90" s="251" t="s">
        <v>162</v>
      </c>
      <c r="AM90" s="233" t="s">
        <v>164</v>
      </c>
      <c r="AN90" s="140" t="str">
        <f t="shared" si="15"/>
        <v>Matthijs*Karel*</v>
      </c>
      <c r="AO90" s="160">
        <f>IF(Tabel5[[#This Row],[Aantal Games Rood]]=0,0,(Tabel5[[#This Row],[Wins Rood]])/Tabel5[[#This Row],[Aantal Games Rood]])</f>
        <v>0</v>
      </c>
      <c r="AP90" s="159">
        <f>IF(Tabel5[[#This Row],[Aantal Games Groen]]=0,0,(Tabel5[[#This Row],[Wins Groen]])/Tabel5[[#This Row],[Aantal Games Groen]])</f>
        <v>0.4</v>
      </c>
      <c r="AQ90" s="156">
        <f>IF(Tabel5[[#This Row],[Aantal games Alg]]=0,0,(Tabel5[[#This Row],[Wins Alg]])/Tabel5[[#This Row],[Aantal games Alg]])</f>
        <v>0.2</v>
      </c>
      <c r="AR90" s="133">
        <f>COUNTIF(Tabel15[Winaar rood],Tabel5[[#This Row],[Team]])</f>
        <v>0</v>
      </c>
      <c r="AS90" s="134">
        <f>COUNTIF(Tabel15[Winnaar Groen],Tabel5[[#This Row],[Team]])</f>
        <v>2</v>
      </c>
      <c r="AT90">
        <f>COUNTIF(Tabel15[Winnaars],Tabel5[[#This Row],[Team]])</f>
        <v>2</v>
      </c>
      <c r="AU90" s="135">
        <f>Tabel5[[#This Row],[Aantal Games Rood]]-Tabel5[[#This Row],[Wins Rood]]</f>
        <v>5</v>
      </c>
      <c r="AV90" s="136">
        <f>Tabel5[[#This Row],[Aantal Games Groen]]-Tabel5[[#This Row],[Wins Groen]]</f>
        <v>3</v>
      </c>
      <c r="AW90" s="137">
        <f>Tabel5[[#This Row],[Aantal games Alg]]-Tabel5[[#This Row],[Wins Alg]]</f>
        <v>8</v>
      </c>
      <c r="AX90" s="138">
        <f>COUNTIF(Tabel15[Team Rood],Tabel5[[#This Row],[Team]])</f>
        <v>5</v>
      </c>
      <c r="AY90" s="136">
        <f>COUNTIF(Tabel15[Team Groen],Tabel5[[#This Row],[Team]])</f>
        <v>5</v>
      </c>
      <c r="AZ90" s="112">
        <f>Tabel5[[#This Row],[Aantal Games Rood]]+Tabel5[[#This Row],[Aantal Games Groen]]</f>
        <v>10</v>
      </c>
      <c r="BA90" s="138">
        <f>SUMIF(Tabel15[Team Rood],Tabel5[[#This Row],[Team]],Tabel15[Score])</f>
        <v>14</v>
      </c>
      <c r="BB90" s="138">
        <f>SUMIF(Tabel15[Team Rood],Tabel5[[#This Row],[Team]],Tabel15[Score2])</f>
        <v>27</v>
      </c>
      <c r="BC90" s="134">
        <f>SUMIF(Tabel15[Team Groen],Tabel5[[#This Row],[Team]],Tabel15[Score3])</f>
        <v>13</v>
      </c>
      <c r="BD90" s="136">
        <f>SUMIF(Tabel15[Team Groen],Tabel5[[#This Row],[Team]],Tabel15[Score4])</f>
        <v>34</v>
      </c>
      <c r="BE90">
        <f>SUM(Tabel5[[#This Row],[Goals Verdediger]]+Tabel5[[#This Row],[Goals DefG]])</f>
        <v>27</v>
      </c>
      <c r="BF90">
        <f>IF(Tabel5[[#This Row],[Aantal games Alg]]=0,0,Tabel5[[#This Row],[Goals DefA]]/Tabel5[[#This Row],[Aantal games Alg]])</f>
        <v>2.7</v>
      </c>
      <c r="BG90">
        <f>SUM(Tabel5[[#This Row],[Goals Aanvaller]]+Tabel5[[#This Row],[Goals OffG]])</f>
        <v>61</v>
      </c>
      <c r="BH90">
        <f>IF(Tabel5[[#This Row],[Aantal games Alg]]=0,0,Tabel5[[#This Row],[Goals OffA]]/Tabel5[[#This Row],[Aantal games Alg]])</f>
        <v>6.1</v>
      </c>
      <c r="BI90" s="112">
        <f>Tabel5[[#This Row],[Goals DefA]]+Tabel5[[#This Row],[Goals OffA]]</f>
        <v>88</v>
      </c>
      <c r="BJ90" s="112">
        <f>IF(Tabel5[[#This Row],[Aantal games Alg]]=0,0,Tabel5[[#This Row],[Goals Alg]]/Tabel5[[#This Row],[Aantal games Alg]])</f>
        <v>8.8000000000000007</v>
      </c>
      <c r="BK90" s="148">
        <f ca="1">SUMIF(Tabel15[Team Rood],Tabel5[[#This Row],[Team]],Tabel15[ET])</f>
        <v>2.3490625011618249E-2</v>
      </c>
      <c r="BL90" s="150">
        <f ca="1">SUMIF(Tabel15[Team Groen],Tabel5[[#This Row],[Team]],Tabel15[ET])</f>
        <v>3.7000810181780253E-2</v>
      </c>
      <c r="BM90" s="153">
        <f ca="1">SUM(Tabel5[[#This Row],[ET Groen tot]],Tabel5[[#This Row],[ET Rood tot]])</f>
        <v>6.0491435193398502E-2</v>
      </c>
      <c r="BN90" s="155">
        <f ca="1">IF(Tabel5[[#This Row],[Aantal games Alg]]=0,0,Tabel5[[#This Row],[ET tot]]/Tabel5[[#This Row],[Aantal games Alg]])</f>
        <v>6.0491435193398505E-3</v>
      </c>
    </row>
    <row r="91" spans="1:66" x14ac:dyDescent="0.25">
      <c r="A91" s="215">
        <f ca="1">IF(Tabel15[[#This Row],[Rood Verdediging]]&lt;&gt;"",IF(A91="",NOW(),A91),"")</f>
        <v>44036.971842476851</v>
      </c>
      <c r="B91" s="128">
        <f ca="1">IF(Tabel15[[#This Row],[Rood Verdediging]]&lt;&gt;"",IF(B91="",NOW(),B91),"")</f>
        <v>44036.971842476851</v>
      </c>
      <c r="C91" s="126">
        <f ca="1">IF(Tabel15[[#This Row],[Score]]&lt;&gt;"",IF(C91="",NOW(),C91),"")</f>
        <v>44036.986036111113</v>
      </c>
      <c r="D91" s="217">
        <f ca="1">IF(OR(Tabel15[[#This Row],[Starttijd]]="",Tabel15[[#This Row],[Eindtijd]]=""),"",Tabel15[[#This Row],[Eindtijd]]-Tabel15[[#This Row],[Starttijd]])</f>
        <v>1.4193634262483101E-2</v>
      </c>
      <c r="E91" s="74">
        <v>91</v>
      </c>
      <c r="F91" s="205" t="s">
        <v>13</v>
      </c>
      <c r="G91" s="76">
        <v>3</v>
      </c>
      <c r="H91" s="205" t="s">
        <v>6</v>
      </c>
      <c r="I91" s="76">
        <v>11</v>
      </c>
      <c r="J91" s="206" t="s">
        <v>0</v>
      </c>
      <c r="K91" s="78">
        <v>2</v>
      </c>
      <c r="L91" s="206" t="s">
        <v>3</v>
      </c>
      <c r="M91" s="78">
        <v>10</v>
      </c>
      <c r="N91" s="81">
        <f t="shared" si="11"/>
        <v>14</v>
      </c>
      <c r="O91" s="82">
        <f t="shared" si="12"/>
        <v>12</v>
      </c>
      <c r="P9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Row],[Score4]]&lt;&gt;""),IF(AND(N91&gt;O91,N91&gt;=11),"ROOD",IF(AND(O91&gt;=11,N91&lt;&gt;O91),"GROEN","")),"")</f>
        <v>ROOD</v>
      </c>
      <c r="Q91" s="86" t="str">
        <f t="shared" si="13"/>
        <v>Bert</v>
      </c>
      <c r="R91" s="87" t="str">
        <f t="shared" si="14"/>
        <v>Stef D</v>
      </c>
      <c r="S91" s="293" t="str">
        <f>Tabel15[[#This Row],[Rood Verdediging]]&amp;Tabel15[[#This Row],[Rood Aanval]]</f>
        <v>BertStef D</v>
      </c>
      <c r="T91" s="293" t="str">
        <f>Tabel15[[#This Row],[Groen Verdediging]]&amp;Tabel15[[#This Row],[Groen Aanval]]</f>
        <v>JonasKarel</v>
      </c>
      <c r="U91" s="293" t="str">
        <f>Tabel15[[#This Row],[Winnaar 1]]&amp;Tabel15[[#This Row],[Winnaar 2]]</f>
        <v>BertStef D</v>
      </c>
      <c r="V91" s="147" t="str">
        <f>IF(Tabel15[[#This Row],[Team Rood]]=Tabel15[[#This Row],[Winnaars]],Tabel15[[#This Row],[Team Rood]])</f>
        <v>BertStef D</v>
      </c>
      <c r="W91" s="147" t="b">
        <f>IF(Tabel15[[#This Row],[Team Groen]]=Tabel15[[#This Row],[Winnaars]],Tabel15[[#This Row],[Team Groen]])</f>
        <v>0</v>
      </c>
      <c r="X91" s="283">
        <v>26.15304986925106</v>
      </c>
      <c r="Y91" s="283">
        <v>21.270625347667366</v>
      </c>
      <c r="Z91" s="283">
        <v>-3.4853483632061852</v>
      </c>
      <c r="AA91" s="283">
        <v>-3.6577257751459085</v>
      </c>
      <c r="AL91" s="251" t="s">
        <v>162</v>
      </c>
      <c r="AM91" s="233" t="s">
        <v>67</v>
      </c>
      <c r="AN91" s="140" t="str">
        <f t="shared" si="15"/>
        <v>Matthijs*Lawrence</v>
      </c>
      <c r="AO91" s="160">
        <f>IF(Tabel5[[#This Row],[Aantal Games Rood]]=0,0,(Tabel5[[#This Row],[Wins Rood]])/Tabel5[[#This Row],[Aantal Games Rood]])</f>
        <v>0</v>
      </c>
      <c r="AP91" s="159">
        <f>IF(Tabel5[[#This Row],[Aantal Games Groen]]=0,0,(Tabel5[[#This Row],[Wins Groen]])/Tabel5[[#This Row],[Aantal Games Groen]])</f>
        <v>0</v>
      </c>
      <c r="AQ91" s="156">
        <f>IF(Tabel5[[#This Row],[Aantal games Alg]]=0,0,(Tabel5[[#This Row],[Wins Alg]])/Tabel5[[#This Row],[Aantal games Alg]])</f>
        <v>0</v>
      </c>
      <c r="AR91" s="138">
        <f>COUNTIF(Tabel15[Winaar rood],Tabel5[[#This Row],[Team]])</f>
        <v>0</v>
      </c>
      <c r="AS91" s="134">
        <f>COUNTIF(Tabel15[Winnaar Groen],Tabel5[[#This Row],[Team]])</f>
        <v>0</v>
      </c>
      <c r="AT91">
        <f>COUNTIF(Tabel15[Winnaars],Tabel5[[#This Row],[Team]])</f>
        <v>0</v>
      </c>
      <c r="AU91" s="135">
        <f>Tabel5[[#This Row],[Aantal Games Rood]]-Tabel5[[#This Row],[Wins Rood]]</f>
        <v>0</v>
      </c>
      <c r="AV91" s="136">
        <f>Tabel5[[#This Row],[Aantal Games Groen]]-Tabel5[[#This Row],[Wins Groen]]</f>
        <v>0</v>
      </c>
      <c r="AW91" s="137">
        <f>Tabel5[[#This Row],[Aantal games Alg]]-Tabel5[[#This Row],[Wins Alg]]</f>
        <v>0</v>
      </c>
      <c r="AX91" s="138">
        <f>COUNTIF(Tabel15[Team Rood],Tabel5[[#This Row],[Team]])</f>
        <v>0</v>
      </c>
      <c r="AY91" s="136">
        <f>COUNTIF(Tabel15[Team Groen],Tabel5[[#This Row],[Team]])</f>
        <v>0</v>
      </c>
      <c r="AZ91" s="214">
        <f>Tabel5[[#This Row],[Aantal Games Rood]]+Tabel5[[#This Row],[Aantal Games Groen]]</f>
        <v>0</v>
      </c>
      <c r="BA91" s="138">
        <f>SUMIF(Tabel15[Team Rood],Tabel5[[#This Row],[Team]],Tabel15[Score])</f>
        <v>0</v>
      </c>
      <c r="BB91" s="138">
        <f>SUMIF(Tabel15[Team Rood],Tabel5[[#This Row],[Team]],Tabel15[Score2])</f>
        <v>0</v>
      </c>
      <c r="BC91" s="134">
        <f>SUMIF(Tabel15[Team Groen],Tabel5[[#This Row],[Team]],Tabel15[Score3])</f>
        <v>0</v>
      </c>
      <c r="BD91" s="136">
        <f>SUMIF(Tabel15[Team Groen],Tabel5[[#This Row],[Team]],Tabel15[Score4])</f>
        <v>0</v>
      </c>
      <c r="BE91">
        <f>SUM(Tabel5[[#This Row],[Goals Verdediger]]+Tabel5[[#This Row],[Goals DefG]])</f>
        <v>0</v>
      </c>
      <c r="BF91">
        <f>IF(Tabel5[[#This Row],[Aantal games Alg]]=0,0,Tabel5[[#This Row],[Goals DefA]]/Tabel5[[#This Row],[Aantal games Alg]])</f>
        <v>0</v>
      </c>
      <c r="BG91">
        <f>SUM(Tabel5[[#This Row],[Goals Aanvaller]]+Tabel5[[#This Row],[Goals OffG]])</f>
        <v>0</v>
      </c>
      <c r="BH91">
        <f>IF(Tabel5[[#This Row],[Aantal games Alg]]=0,0,Tabel5[[#This Row],[Goals OffA]]/Tabel5[[#This Row],[Aantal games Alg]])</f>
        <v>0</v>
      </c>
      <c r="BI91" s="112">
        <f>Tabel5[[#This Row],[Goals DefA]]+Tabel5[[#This Row],[Goals OffA]]</f>
        <v>0</v>
      </c>
      <c r="BJ91" s="112">
        <f>IF(Tabel5[[#This Row],[Aantal games Alg]]=0,0,Tabel5[[#This Row],[Goals Alg]]/Tabel5[[#This Row],[Aantal games Alg]])</f>
        <v>0</v>
      </c>
      <c r="BK91" s="148">
        <f>SUMIF(Tabel15[Team Rood],Tabel5[[#This Row],[Team]],Tabel15[ET])</f>
        <v>0</v>
      </c>
      <c r="BL91" s="150">
        <f>SUMIF(Tabel15[Team Groen],Tabel5[[#This Row],[Team]],Tabel15[ET])</f>
        <v>0</v>
      </c>
      <c r="BM91" s="153">
        <f>SUM(Tabel5[[#This Row],[ET Groen tot]],Tabel5[[#This Row],[ET Rood tot]])</f>
        <v>0</v>
      </c>
      <c r="BN91" s="155">
        <f>IF(Tabel5[[#This Row],[Aantal games Alg]]=0,0,Tabel5[[#This Row],[ET tot]]/Tabel5[[#This Row],[Aantal games Alg]])</f>
        <v>0</v>
      </c>
    </row>
    <row r="92" spans="1:66" x14ac:dyDescent="0.25">
      <c r="A92" s="215">
        <f ca="1">IF(Tabel15[[#This Row],[Rood Verdediging]]&lt;&gt;"",IF(A92="",NOW(),A92),"")</f>
        <v>44085.874473842596</v>
      </c>
      <c r="B92" s="128">
        <f ca="1">IF(Tabel15[[#This Row],[Rood Verdediging]]&lt;&gt;"",IF(B92="",NOW(),B92),"")</f>
        <v>44085.874473842596</v>
      </c>
      <c r="C92" s="126">
        <f ca="1">IF(Tabel15[[#This Row],[Score]]&lt;&gt;"",IF(C92="",NOW(),C92),"")</f>
        <v>44085.882353472225</v>
      </c>
      <c r="D92" s="217">
        <f ca="1">IF(OR(Tabel15[[#This Row],[Starttijd]]="",Tabel15[[#This Row],[Eindtijd]]=""),"",Tabel15[[#This Row],[Eindtijd]]-Tabel15[[#This Row],[Starttijd]])</f>
        <v>7.8796296293148771E-3</v>
      </c>
      <c r="E92" s="74">
        <v>92</v>
      </c>
      <c r="F92" s="205" t="s">
        <v>167</v>
      </c>
      <c r="G92" s="76">
        <v>0</v>
      </c>
      <c r="H92" s="205" t="s">
        <v>6</v>
      </c>
      <c r="I92" s="76">
        <v>5</v>
      </c>
      <c r="J92" s="206" t="s">
        <v>0</v>
      </c>
      <c r="K92" s="78">
        <v>4</v>
      </c>
      <c r="L92" s="206" t="s">
        <v>3</v>
      </c>
      <c r="M92" s="78">
        <v>7</v>
      </c>
      <c r="N92" s="81">
        <f t="shared" si="11"/>
        <v>5</v>
      </c>
      <c r="O92" s="82">
        <f t="shared" si="12"/>
        <v>11</v>
      </c>
      <c r="P9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Row],[Score4]]&lt;&gt;""),IF(AND(N92&gt;O92,N92&gt;=11),"ROOD",IF(AND(O92&gt;=11,N92&lt;&gt;O92),"GROEN","")),"")</f>
        <v>GROEN</v>
      </c>
      <c r="Q92" s="86" t="str">
        <f t="shared" si="13"/>
        <v>Jonas</v>
      </c>
      <c r="R92" s="87" t="str">
        <f t="shared" si="14"/>
        <v>Karel</v>
      </c>
      <c r="S92" s="293" t="str">
        <f>Tabel15[[#This Row],[Rood Verdediging]]&amp;Tabel15[[#This Row],[Rood Aanval]]</f>
        <v>CogheStef D</v>
      </c>
      <c r="T92" s="293" t="str">
        <f>Tabel15[[#This Row],[Groen Verdediging]]&amp;Tabel15[[#This Row],[Groen Aanval]]</f>
        <v>JonasKarel</v>
      </c>
      <c r="U92" s="293" t="str">
        <f>Tabel15[[#This Row],[Winnaar 1]]&amp;Tabel15[[#This Row],[Winnaar 2]]</f>
        <v>JonasKarel</v>
      </c>
      <c r="V92" s="147" t="b">
        <f>IF(Tabel15[[#This Row],[Team Rood]]=Tabel15[[#This Row],[Winnaars]],Tabel15[[#This Row],[Team Rood]])</f>
        <v>0</v>
      </c>
      <c r="W92" s="147" t="str">
        <f>IF(Tabel15[[#This Row],[Team Groen]]=Tabel15[[#This Row],[Winnaars]],Tabel15[[#This Row],[Team Groen]])</f>
        <v>JonasKarel</v>
      </c>
      <c r="X92" s="283">
        <v>-1.9076422765424743</v>
      </c>
      <c r="Y92" s="283">
        <v>-2.1442317094596</v>
      </c>
      <c r="Z92" s="283">
        <v>23.975570768177683</v>
      </c>
      <c r="AA92" s="283">
        <v>24.123903886766708</v>
      </c>
      <c r="AL92" s="251" t="s">
        <v>162</v>
      </c>
      <c r="AM92" s="233" t="s">
        <v>161</v>
      </c>
      <c r="AN92" s="140" t="str">
        <f t="shared" si="15"/>
        <v>Matthijs*Louis*</v>
      </c>
      <c r="AO92" s="160">
        <f>IF(Tabel5[[#This Row],[Aantal Games Rood]]=0,0,(Tabel5[[#This Row],[Wins Rood]])/Tabel5[[#This Row],[Aantal Games Rood]])</f>
        <v>0</v>
      </c>
      <c r="AP92" s="159">
        <f>IF(Tabel5[[#This Row],[Aantal Games Groen]]=0,0,(Tabel5[[#This Row],[Wins Groen]])/Tabel5[[#This Row],[Aantal Games Groen]])</f>
        <v>0.5</v>
      </c>
      <c r="AQ92" s="156">
        <f>IF(Tabel5[[#This Row],[Aantal games Alg]]=0,0,(Tabel5[[#This Row],[Wins Alg]])/Tabel5[[#This Row],[Aantal games Alg]])</f>
        <v>0.33333333333333331</v>
      </c>
      <c r="AR92" s="138">
        <f>COUNTIF(Tabel15[Winaar rood],Tabel5[[#This Row],[Team]])</f>
        <v>0</v>
      </c>
      <c r="AS92" s="134">
        <f>COUNTIF(Tabel15[Winnaar Groen],Tabel5[[#This Row],[Team]])</f>
        <v>1</v>
      </c>
      <c r="AT92">
        <f>COUNTIF(Tabel15[Winnaars],Tabel5[[#This Row],[Team]])</f>
        <v>1</v>
      </c>
      <c r="AU92" s="135">
        <f>Tabel5[[#This Row],[Aantal Games Rood]]-Tabel5[[#This Row],[Wins Rood]]</f>
        <v>1</v>
      </c>
      <c r="AV92" s="136">
        <f>Tabel5[[#This Row],[Aantal Games Groen]]-Tabel5[[#This Row],[Wins Groen]]</f>
        <v>1</v>
      </c>
      <c r="AW92" s="137">
        <f>Tabel5[[#This Row],[Aantal games Alg]]-Tabel5[[#This Row],[Wins Alg]]</f>
        <v>2</v>
      </c>
      <c r="AX92" s="138">
        <f>COUNTIF(Tabel15[Team Rood],Tabel5[[#This Row],[Team]])</f>
        <v>1</v>
      </c>
      <c r="AY92" s="136">
        <f>COUNTIF(Tabel15[Team Groen],Tabel5[[#This Row],[Team]])</f>
        <v>2</v>
      </c>
      <c r="AZ92" s="214">
        <f>Tabel5[[#This Row],[Aantal Games Rood]]+Tabel5[[#This Row],[Aantal Games Groen]]</f>
        <v>3</v>
      </c>
      <c r="BA92" s="138">
        <f>SUMIF(Tabel15[Team Rood],Tabel5[[#This Row],[Team]],Tabel15[Score])</f>
        <v>5</v>
      </c>
      <c r="BB92" s="138">
        <f>SUMIF(Tabel15[Team Rood],Tabel5[[#This Row],[Team]],Tabel15[Score2])</f>
        <v>1</v>
      </c>
      <c r="BC92" s="134">
        <f>SUMIF(Tabel15[Team Groen],Tabel5[[#This Row],[Team]],Tabel15[Score3])</f>
        <v>5</v>
      </c>
      <c r="BD92" s="136">
        <f>SUMIF(Tabel15[Team Groen],Tabel5[[#This Row],[Team]],Tabel15[Score4])</f>
        <v>14</v>
      </c>
      <c r="BE92">
        <f>SUM(Tabel5[[#This Row],[Goals Verdediger]]+Tabel5[[#This Row],[Goals DefG]])</f>
        <v>10</v>
      </c>
      <c r="BF92">
        <f>IF(Tabel5[[#This Row],[Aantal games Alg]]=0,0,Tabel5[[#This Row],[Goals DefA]]/Tabel5[[#This Row],[Aantal games Alg]])</f>
        <v>3.3333333333333335</v>
      </c>
      <c r="BG92">
        <f>SUM(Tabel5[[#This Row],[Goals Aanvaller]]+Tabel5[[#This Row],[Goals OffG]])</f>
        <v>15</v>
      </c>
      <c r="BH92">
        <f>IF(Tabel5[[#This Row],[Aantal games Alg]]=0,0,Tabel5[[#This Row],[Goals OffA]]/Tabel5[[#This Row],[Aantal games Alg]])</f>
        <v>5</v>
      </c>
      <c r="BI92" s="112">
        <f>Tabel5[[#This Row],[Goals DefA]]+Tabel5[[#This Row],[Goals OffA]]</f>
        <v>25</v>
      </c>
      <c r="BJ92" s="112">
        <f>IF(Tabel5[[#This Row],[Aantal games Alg]]=0,0,Tabel5[[#This Row],[Goals Alg]]/Tabel5[[#This Row],[Aantal games Alg]])</f>
        <v>8.3333333333333339</v>
      </c>
      <c r="BK92" s="148">
        <f>SUMIF(Tabel15[Team Rood],Tabel5[[#This Row],[Team]],Tabel15[ET])</f>
        <v>1.0444675921462476E-2</v>
      </c>
      <c r="BL92" s="150">
        <f>SUMIF(Tabel15[Team Groen],Tabel5[[#This Row],[Team]],Tabel15[ET])</f>
        <v>9.628935185901355E-3</v>
      </c>
      <c r="BM92" s="153">
        <f>SUM(Tabel5[[#This Row],[ET Groen tot]],Tabel5[[#This Row],[ET Rood tot]])</f>
        <v>2.0073611107363831E-2</v>
      </c>
      <c r="BN92" s="155">
        <f>IF(Tabel5[[#This Row],[Aantal games Alg]]=0,0,Tabel5[[#This Row],[ET tot]]/Tabel5[[#This Row],[Aantal games Alg]])</f>
        <v>6.6912037024546107E-3</v>
      </c>
    </row>
    <row r="93" spans="1:66" x14ac:dyDescent="0.25">
      <c r="A93" s="215">
        <f ca="1">IF(Tabel15[[#This Row],[Rood Verdediging]]&lt;&gt;"",IF(A93="",NOW(),A93),"")</f>
        <v>44085.897418749999</v>
      </c>
      <c r="B93" s="128">
        <f ca="1">IF(Tabel15[[#This Row],[Rood Verdediging]]&lt;&gt;"",IF(B93="",NOW(),B93),"")</f>
        <v>44085.897418749999</v>
      </c>
      <c r="C93" s="126">
        <f ca="1">IF(Tabel15[[#This Row],[Score]]&lt;&gt;"",IF(C93="",NOW(),C93),"")</f>
        <v>44085.897460763888</v>
      </c>
      <c r="D93" s="217">
        <f ca="1">IF(OR(Tabel15[[#This Row],[Starttijd]]="",Tabel15[[#This Row],[Eindtijd]]=""),"",Tabel15[[#This Row],[Eindtijd]]-Tabel15[[#This Row],[Starttijd]])</f>
        <v>4.2013889469671994E-5</v>
      </c>
      <c r="E93" s="74">
        <v>93</v>
      </c>
      <c r="F93" s="205" t="s">
        <v>0</v>
      </c>
      <c r="G93" s="76">
        <v>1</v>
      </c>
      <c r="H93" s="205" t="s">
        <v>6</v>
      </c>
      <c r="I93" s="76">
        <v>5</v>
      </c>
      <c r="J93" s="206" t="s">
        <v>8</v>
      </c>
      <c r="K93" s="78">
        <v>3</v>
      </c>
      <c r="L93" s="206" t="s">
        <v>3</v>
      </c>
      <c r="M93" s="78">
        <v>8</v>
      </c>
      <c r="N93" s="81">
        <v>6</v>
      </c>
      <c r="O93" s="82">
        <f t="shared" si="12"/>
        <v>11</v>
      </c>
      <c r="P9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Row],[Score4]]&lt;&gt;""),IF(AND(N93&gt;O93,N93&gt;=11),"ROOD",IF(AND(O93&gt;=11,N93&lt;&gt;O93),"GROEN","")),"")</f>
        <v>GROEN</v>
      </c>
      <c r="Q93" s="86" t="str">
        <f t="shared" si="13"/>
        <v>Louis</v>
      </c>
      <c r="R93" s="87" t="str">
        <f t="shared" si="14"/>
        <v>Karel</v>
      </c>
      <c r="S93" s="293" t="str">
        <f>Tabel15[[#This Row],[Rood Verdediging]]&amp;Tabel15[[#This Row],[Rood Aanval]]</f>
        <v>JonasStef D</v>
      </c>
      <c r="T93" s="293" t="str">
        <f>Tabel15[[#This Row],[Groen Verdediging]]&amp;Tabel15[[#This Row],[Groen Aanval]]</f>
        <v>LouisKarel</v>
      </c>
      <c r="U93" s="293" t="str">
        <f>Tabel15[[#This Row],[Winnaar 1]]&amp;Tabel15[[#This Row],[Winnaar 2]]</f>
        <v>LouisKarel</v>
      </c>
      <c r="V93" s="147" t="b">
        <f>IF(Tabel15[[#This Row],[Team Rood]]=Tabel15[[#This Row],[Winnaars]],Tabel15[[#This Row],[Team Rood]])</f>
        <v>0</v>
      </c>
      <c r="W93" s="147" t="str">
        <f>IF(Tabel15[[#This Row],[Team Groen]]=Tabel15[[#This Row],[Winnaars]],Tabel15[[#This Row],[Team Groen]])</f>
        <v>LouisKarel</v>
      </c>
      <c r="X93" s="283">
        <v>-10.454287382753686</v>
      </c>
      <c r="Y93" s="283">
        <v>-12.507250644524605</v>
      </c>
      <c r="Z93" s="283">
        <v>42.708808723352895</v>
      </c>
      <c r="AA93" s="283">
        <v>40.51555238848276</v>
      </c>
      <c r="AL93" s="251" t="s">
        <v>162</v>
      </c>
      <c r="AM93" s="233" t="s">
        <v>170</v>
      </c>
      <c r="AN93" s="140" t="str">
        <f t="shared" si="15"/>
        <v>Matthijs*Nico*</v>
      </c>
      <c r="AO93" s="160">
        <f>IF(Tabel5[[#This Row],[Aantal Games Rood]]=0,0,(Tabel5[[#This Row],[Wins Rood]])/Tabel5[[#This Row],[Aantal Games Rood]])</f>
        <v>0</v>
      </c>
      <c r="AP93" s="159">
        <f>IF(Tabel5[[#This Row],[Aantal Games Groen]]=0,0,(Tabel5[[#This Row],[Wins Groen]])/Tabel5[[#This Row],[Aantal Games Groen]])</f>
        <v>0</v>
      </c>
      <c r="AQ93" s="156">
        <f>IF(Tabel5[[#This Row],[Aantal games Alg]]=0,0,(Tabel5[[#This Row],[Wins Alg]])/Tabel5[[#This Row],[Aantal games Alg]])</f>
        <v>0</v>
      </c>
      <c r="AR93" s="171">
        <f>COUNTIF(Tabel15[Winaar rood],Tabel5[[#This Row],[Team]])</f>
        <v>0</v>
      </c>
      <c r="AS93" s="169">
        <f>COUNTIF(Tabel15[Winnaar Groen],Tabel5[[#This Row],[Team]])</f>
        <v>0</v>
      </c>
      <c r="AT93" s="170">
        <f>COUNTIF(Tabel15[Winnaars],Tabel5[[#This Row],[Team]])</f>
        <v>0</v>
      </c>
      <c r="AU93" s="163">
        <f>Tabel5[[#This Row],[Aantal Games Rood]]-Tabel5[[#This Row],[Wins Rood]]</f>
        <v>0</v>
      </c>
      <c r="AV93" s="169">
        <f>Tabel5[[#This Row],[Aantal Games Groen]]-Tabel5[[#This Row],[Wins Groen]]</f>
        <v>1</v>
      </c>
      <c r="AW93" s="165">
        <f>Tabel5[[#This Row],[Aantal games Alg]]-Tabel5[[#This Row],[Wins Alg]]</f>
        <v>1</v>
      </c>
      <c r="AX93" s="171">
        <f>COUNTIF(Tabel15[Team Rood],Tabel5[[#This Row],[Team]])</f>
        <v>0</v>
      </c>
      <c r="AY93" s="169">
        <f>COUNTIF(Tabel15[Team Groen],Tabel5[[#This Row],[Team]])</f>
        <v>1</v>
      </c>
      <c r="AZ93" s="170">
        <f>Tabel5[[#This Row],[Aantal Games Rood]]+Tabel5[[#This Row],[Aantal Games Groen]]</f>
        <v>1</v>
      </c>
      <c r="BA93" s="171">
        <f>SUMIF(Tabel15[Team Rood],Tabel5[[#This Row],[Team]],Tabel15[Score])</f>
        <v>0</v>
      </c>
      <c r="BB93" s="171">
        <f>SUMIF(Tabel15[Team Rood],Tabel5[[#This Row],[Team]],Tabel15[Score2])</f>
        <v>0</v>
      </c>
      <c r="BC93" s="136">
        <f>SUMIF(Tabel15[Team Groen],Tabel5[[#This Row],[Team]],Tabel15[Score3])</f>
        <v>2</v>
      </c>
      <c r="BD93" s="169">
        <f>SUMIF(Tabel15[Team Groen],Tabel5[[#This Row],[Team]],Tabel15[Score4])</f>
        <v>2</v>
      </c>
      <c r="BE93" s="172">
        <f>SUM(Tabel5[[#This Row],[Goals Verdediger]]+Tabel5[[#This Row],[Goals DefG]])</f>
        <v>2</v>
      </c>
      <c r="BF93" s="170">
        <f>IF(Tabel5[[#This Row],[Aantal games Alg]]=0,0,Tabel5[[#This Row],[Goals DefA]]/Tabel5[[#This Row],[Aantal games Alg]])</f>
        <v>2</v>
      </c>
      <c r="BG93" s="172">
        <f>SUM(Tabel5[[#This Row],[Goals Aanvaller]]+Tabel5[[#This Row],[Goals OffG]])</f>
        <v>2</v>
      </c>
      <c r="BH93" s="170">
        <f>IF(Tabel5[[#This Row],[Aantal games Alg]]=0,0,Tabel5[[#This Row],[Goals OffA]]/Tabel5[[#This Row],[Aantal games Alg]])</f>
        <v>2</v>
      </c>
      <c r="BI93" s="170">
        <f>Tabel5[[#This Row],[Goals DefA]]+Tabel5[[#This Row],[Goals OffA]]</f>
        <v>4</v>
      </c>
      <c r="BJ93" s="170">
        <f>IF(Tabel5[[#This Row],[Aantal games Alg]]=0,0,Tabel5[[#This Row],[Goals Alg]]/Tabel5[[#This Row],[Aantal games Alg]])</f>
        <v>4</v>
      </c>
      <c r="BK93" s="148">
        <f>SUMIF(Tabel15[Team Rood],Tabel5[[#This Row],[Team]],Tabel15[ET])</f>
        <v>0</v>
      </c>
      <c r="BL93" s="150">
        <f>SUMIF(Tabel15[Team Groen],Tabel5[[#This Row],[Team]],Tabel15[ET])</f>
        <v>0</v>
      </c>
      <c r="BM93" s="153">
        <f>SUM(Tabel5[[#This Row],[ET Groen tot]],Tabel5[[#This Row],[ET Rood tot]])</f>
        <v>0</v>
      </c>
      <c r="BN93" s="155">
        <f>IF(Tabel5[[#This Row],[Aantal games Alg]]=0,0,Tabel5[[#This Row],[ET tot]]/Tabel5[[#This Row],[Aantal games Alg]])</f>
        <v>0</v>
      </c>
    </row>
    <row r="94" spans="1:66" x14ac:dyDescent="0.25">
      <c r="A94" s="215">
        <f ca="1">IF(Tabel15[[#This Row],[Rood Verdediging]]&lt;&gt;"",IF(A94="",NOW(),A94),"")</f>
        <v>44085.912450810189</v>
      </c>
      <c r="B94" s="128">
        <f ca="1">IF(Tabel15[[#This Row],[Rood Verdediging]]&lt;&gt;"",IF(B94="",NOW(),B94),"")</f>
        <v>44085.912450810189</v>
      </c>
      <c r="C94" s="126">
        <f ca="1">IF(Tabel15[[#This Row],[Score]]&lt;&gt;"",IF(C94="",NOW(),C94),"")</f>
        <v>44085.922357754629</v>
      </c>
      <c r="D94" s="217">
        <f ca="1">IF(OR(Tabel15[[#This Row],[Starttijd]]="",Tabel15[[#This Row],[Eindtijd]]=""),"",Tabel15[[#This Row],[Eindtijd]]-Tabel15[[#This Row],[Starttijd]])</f>
        <v>9.9069444404449314E-3</v>
      </c>
      <c r="E94" s="74">
        <v>94</v>
      </c>
      <c r="F94" s="205" t="s">
        <v>3</v>
      </c>
      <c r="G94" s="76">
        <v>4</v>
      </c>
      <c r="H94" s="205" t="s">
        <v>8</v>
      </c>
      <c r="I94" s="76">
        <v>5</v>
      </c>
      <c r="J94" s="206" t="s">
        <v>167</v>
      </c>
      <c r="K94" s="78">
        <v>4</v>
      </c>
      <c r="L94" s="206" t="s">
        <v>0</v>
      </c>
      <c r="M94" s="78">
        <v>7</v>
      </c>
      <c r="N94" s="81">
        <f t="shared" si="11"/>
        <v>9</v>
      </c>
      <c r="O94" s="82">
        <f t="shared" si="12"/>
        <v>11</v>
      </c>
      <c r="P9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Row],[Score4]]&lt;&gt;""),IF(AND(N94&gt;O94,N94&gt;=11),"ROOD",IF(AND(O94&gt;=11,N94&lt;&gt;O94),"GROEN","")),"")</f>
        <v>GROEN</v>
      </c>
      <c r="Q94" s="86" t="str">
        <f t="shared" si="13"/>
        <v>Coghe</v>
      </c>
      <c r="R94" s="87" t="str">
        <f t="shared" si="14"/>
        <v>Jonas</v>
      </c>
      <c r="S94" s="293" t="str">
        <f>Tabel15[[#This Row],[Rood Verdediging]]&amp;Tabel15[[#This Row],[Rood Aanval]]</f>
        <v>KarelLouis</v>
      </c>
      <c r="T94" s="293" t="str">
        <f>Tabel15[[#This Row],[Groen Verdediging]]&amp;Tabel15[[#This Row],[Groen Aanval]]</f>
        <v>CogheJonas</v>
      </c>
      <c r="U94" s="293" t="str">
        <f>Tabel15[[#This Row],[Winnaar 1]]&amp;Tabel15[[#This Row],[Winnaar 2]]</f>
        <v>CogheJonas</v>
      </c>
      <c r="V94" s="147" t="b">
        <f>IF(Tabel15[[#This Row],[Team Rood]]=Tabel15[[#This Row],[Winnaars]],Tabel15[[#This Row],[Team Rood]])</f>
        <v>0</v>
      </c>
      <c r="W94" s="147" t="str">
        <f>IF(Tabel15[[#This Row],[Team Groen]]=Tabel15[[#This Row],[Winnaars]],Tabel15[[#This Row],[Team Groen]])</f>
        <v>CogheJonas</v>
      </c>
      <c r="X94" s="283">
        <v>-1.2502531505802053</v>
      </c>
      <c r="Y94" s="283">
        <v>-0.83424739625660815</v>
      </c>
      <c r="Z94" s="283">
        <v>15.243559575095137</v>
      </c>
      <c r="AA94" s="283">
        <v>20.022663672521091</v>
      </c>
      <c r="AL94" s="251" t="s">
        <v>162</v>
      </c>
      <c r="AM94" s="233" t="s">
        <v>169</v>
      </c>
      <c r="AN94" s="140" t="str">
        <f t="shared" si="15"/>
        <v>Matthijs*Stef*</v>
      </c>
      <c r="AO94" s="160">
        <f>IF(Tabel5[[#This Row],[Aantal Games Rood]]=0,0,(Tabel5[[#This Row],[Wins Rood]])/Tabel5[[#This Row],[Aantal Games Rood]])</f>
        <v>0.42857142857142855</v>
      </c>
      <c r="AP94" s="159">
        <f>IF(Tabel5[[#This Row],[Aantal Games Groen]]=0,0,(Tabel5[[#This Row],[Wins Groen]])/Tabel5[[#This Row],[Aantal Games Groen]])</f>
        <v>0.5</v>
      </c>
      <c r="AQ94" s="156">
        <f>IF(Tabel5[[#This Row],[Aantal games Alg]]=0,0,(Tabel5[[#This Row],[Wins Alg]])/Tabel5[[#This Row],[Aantal games Alg]])</f>
        <v>0.45454545454545453</v>
      </c>
      <c r="AR94" s="138">
        <f>COUNTIF(Tabel15[Winaar rood],Tabel5[[#This Row],[Team]])</f>
        <v>3</v>
      </c>
      <c r="AS94" s="134">
        <f>COUNTIF(Tabel15[Winnaar Groen],Tabel5[[#This Row],[Team]])</f>
        <v>2</v>
      </c>
      <c r="AT94" s="293">
        <f>COUNTIF(Tabel15[Winnaars],Tabel5[[#This Row],[Team]])</f>
        <v>5</v>
      </c>
      <c r="AU94" s="135">
        <f>Tabel5[[#This Row],[Aantal Games Rood]]-Tabel5[[#This Row],[Wins Rood]]</f>
        <v>4</v>
      </c>
      <c r="AV94" s="136">
        <f>Tabel5[[#This Row],[Aantal Games Groen]]-Tabel5[[#This Row],[Wins Groen]]</f>
        <v>2</v>
      </c>
      <c r="AW94" s="137">
        <f>Tabel5[[#This Row],[Aantal games Alg]]-Tabel5[[#This Row],[Wins Alg]]</f>
        <v>6</v>
      </c>
      <c r="AX94" s="138">
        <f>COUNTIF(Tabel15[Team Rood],Tabel5[[#This Row],[Team]])</f>
        <v>7</v>
      </c>
      <c r="AY94" s="136">
        <f>COUNTIF(Tabel15[Team Groen],Tabel5[[#This Row],[Team]])</f>
        <v>4</v>
      </c>
      <c r="AZ94" s="214">
        <f>Tabel5[[#This Row],[Aantal Games Rood]]+Tabel5[[#This Row],[Aantal Games Groen]]</f>
        <v>11</v>
      </c>
      <c r="BA94" s="138">
        <f>SUMIF(Tabel15[Team Rood],Tabel5[[#This Row],[Team]],Tabel15[Score])</f>
        <v>24</v>
      </c>
      <c r="BB94" s="138">
        <f>SUMIF(Tabel15[Team Rood],Tabel5[[#This Row],[Team]],Tabel15[Score2])</f>
        <v>46</v>
      </c>
      <c r="BC94" s="134">
        <f>SUMIF(Tabel15[Team Groen],Tabel5[[#This Row],[Team]],Tabel15[Score3])</f>
        <v>8</v>
      </c>
      <c r="BD94" s="136">
        <f>SUMIF(Tabel15[Team Groen],Tabel5[[#This Row],[Team]],Tabel15[Score4])</f>
        <v>30</v>
      </c>
      <c r="BE94" s="293">
        <f>SUM(Tabel5[[#This Row],[Goals Verdediger]]+Tabel5[[#This Row],[Goals DefG]])</f>
        <v>32</v>
      </c>
      <c r="BF94" s="293">
        <f>IF(Tabel5[[#This Row],[Aantal games Alg]]=0,0,Tabel5[[#This Row],[Goals DefA]]/Tabel5[[#This Row],[Aantal games Alg]])</f>
        <v>2.9090909090909092</v>
      </c>
      <c r="BG94" s="293">
        <f>SUM(Tabel5[[#This Row],[Goals Aanvaller]]+Tabel5[[#This Row],[Goals OffG]])</f>
        <v>76</v>
      </c>
      <c r="BH94" s="293">
        <f>IF(Tabel5[[#This Row],[Aantal games Alg]]=0,0,Tabel5[[#This Row],[Goals OffA]]/Tabel5[[#This Row],[Aantal games Alg]])</f>
        <v>6.9090909090909092</v>
      </c>
      <c r="BI94" s="214">
        <f>Tabel5[[#This Row],[Goals DefA]]+Tabel5[[#This Row],[Goals OffA]]</f>
        <v>108</v>
      </c>
      <c r="BJ94" s="214">
        <f>IF(Tabel5[[#This Row],[Aantal games Alg]]=0,0,Tabel5[[#This Row],[Goals Alg]]/Tabel5[[#This Row],[Aantal games Alg]])</f>
        <v>9.8181818181818183</v>
      </c>
      <c r="BK94" s="148">
        <f ca="1">SUMIF(Tabel15[Team Rood],Tabel5[[#This Row],[Team]],Tabel15[ET])</f>
        <v>2.7549305552383885E-2</v>
      </c>
      <c r="BL94" s="150">
        <f ca="1">SUMIF(Tabel15[Team Groen],Tabel5[[#This Row],[Team]],Tabel15[ET])</f>
        <v>4.0763425939076114E-2</v>
      </c>
      <c r="BM94" s="153">
        <f ca="1">SUM(Tabel5[[#This Row],[ET Groen tot]],Tabel5[[#This Row],[ET Rood tot]])</f>
        <v>6.8312731491459999E-2</v>
      </c>
      <c r="BN94" s="155">
        <f ca="1">IF(Tabel5[[#This Row],[Aantal games Alg]]=0,0,Tabel5[[#This Row],[ET tot]]/Tabel5[[#This Row],[Aantal games Alg]])</f>
        <v>6.2102483174054542E-3</v>
      </c>
    </row>
    <row r="95" spans="1:66" x14ac:dyDescent="0.25">
      <c r="A95" s="215">
        <f ca="1">IF(Tabel15[[#This Row],[Rood Verdediging]]&lt;&gt;"",IF(A95="",NOW(),A95),"")</f>
        <v>44085.97158125</v>
      </c>
      <c r="B95" s="128">
        <f ca="1">IF(Tabel15[[#This Row],[Rood Verdediging]]&lt;&gt;"",IF(B95="",NOW(),B95),"")</f>
        <v>44085.97158125</v>
      </c>
      <c r="C95" s="126">
        <f ca="1">IF(Tabel15[[#This Row],[Score]]&lt;&gt;"",IF(C95="",NOW(),C95),"")</f>
        <v>44085.971601504629</v>
      </c>
      <c r="D95" s="217">
        <f ca="1">IF(OR(Tabel15[[#This Row],[Starttijd]]="",Tabel15[[#This Row],[Eindtijd]]=""),"",Tabel15[[#This Row],[Eindtijd]]-Tabel15[[#This Row],[Starttijd]])</f>
        <v>2.0254628907423466E-5</v>
      </c>
      <c r="E95" s="74">
        <v>95</v>
      </c>
      <c r="F95" s="205" t="s">
        <v>6</v>
      </c>
      <c r="G95" s="210">
        <v>6</v>
      </c>
      <c r="H95" s="205" t="s">
        <v>0</v>
      </c>
      <c r="I95" s="210">
        <v>6</v>
      </c>
      <c r="J95" s="206" t="s">
        <v>8</v>
      </c>
      <c r="K95" s="212">
        <v>2</v>
      </c>
      <c r="L95" s="206" t="s">
        <v>3</v>
      </c>
      <c r="M95" s="212">
        <v>8</v>
      </c>
      <c r="N95" s="81">
        <v>12</v>
      </c>
      <c r="O95" s="82">
        <f t="shared" si="12"/>
        <v>10</v>
      </c>
      <c r="P9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Row],[Score4]]&lt;&gt;""),IF(AND(N95&gt;O95,N95&gt;=11),"ROOD",IF(AND(O95&gt;=11,N95&lt;&gt;O95),"GROEN","")),"")</f>
        <v>ROOD</v>
      </c>
      <c r="Q95" s="86" t="str">
        <f t="shared" si="13"/>
        <v>Stef D</v>
      </c>
      <c r="R95" s="87" t="str">
        <f t="shared" si="14"/>
        <v>Jonas</v>
      </c>
      <c r="S95" s="293" t="str">
        <f>Tabel15[[#This Row],[Rood Verdediging]]&amp;Tabel15[[#This Row],[Rood Aanval]]</f>
        <v>Stef DJonas</v>
      </c>
      <c r="T95" s="293" t="str">
        <f>Tabel15[[#This Row],[Groen Verdediging]]&amp;Tabel15[[#This Row],[Groen Aanval]]</f>
        <v>LouisKarel</v>
      </c>
      <c r="U95" s="293" t="str">
        <f>Tabel15[[#This Row],[Winnaar 1]]&amp;Tabel15[[#This Row],[Winnaar 2]]</f>
        <v>Stef DJonas</v>
      </c>
      <c r="V95" s="147" t="str">
        <f>IF(Tabel15[[#This Row],[Team Rood]]=Tabel15[[#This Row],[Winnaars]],Tabel15[[#This Row],[Team Rood]])</f>
        <v>Stef DJonas</v>
      </c>
      <c r="W95" s="147" t="b">
        <f>IF(Tabel15[[#This Row],[Team Groen]]=Tabel15[[#This Row],[Winnaars]],Tabel15[[#This Row],[Team Groen]])</f>
        <v>0</v>
      </c>
      <c r="X95" s="283">
        <v>23.763059299618874</v>
      </c>
      <c r="Y95" s="283">
        <v>29.124568879744629</v>
      </c>
      <c r="Z95" s="283">
        <v>-3.6325105508103577</v>
      </c>
      <c r="AA95" s="283">
        <v>-3.6145877812642002</v>
      </c>
      <c r="AL95" s="251" t="s">
        <v>162</v>
      </c>
      <c r="AM95" s="233" t="s">
        <v>166</v>
      </c>
      <c r="AN95" s="140" t="str">
        <f t="shared" si="15"/>
        <v>Matthijs*Stijn*</v>
      </c>
      <c r="AO95" s="160">
        <f>IF(Tabel5[[#This Row],[Aantal Games Rood]]=0,0,(Tabel5[[#This Row],[Wins Rood]])/Tabel5[[#This Row],[Aantal Games Rood]])</f>
        <v>0</v>
      </c>
      <c r="AP95" s="159">
        <f>IF(Tabel5[[#This Row],[Aantal Games Groen]]=0,0,(Tabel5[[#This Row],[Wins Groen]])/Tabel5[[#This Row],[Aantal Games Groen]])</f>
        <v>0</v>
      </c>
      <c r="AQ95" s="156">
        <f>IF(Tabel5[[#This Row],[Aantal games Alg]]=0,0,(Tabel5[[#This Row],[Wins Alg]])/Tabel5[[#This Row],[Aantal games Alg]])</f>
        <v>0</v>
      </c>
      <c r="AR95" s="133">
        <f>COUNTIF(Tabel15[Winaar rood],Tabel5[[#This Row],[Team]])</f>
        <v>0</v>
      </c>
      <c r="AS95" s="134">
        <f>COUNTIF(Tabel15[Winnaar Groen],Tabel5[[#This Row],[Team]])</f>
        <v>0</v>
      </c>
      <c r="AT95">
        <f>COUNTIF(Tabel15[Winnaars],Tabel5[[#This Row],[Team]])</f>
        <v>0</v>
      </c>
      <c r="AU95" s="135">
        <f>Tabel5[[#This Row],[Aantal Games Rood]]-Tabel5[[#This Row],[Wins Rood]]</f>
        <v>0</v>
      </c>
      <c r="AV95" s="136">
        <f>Tabel5[[#This Row],[Aantal Games Groen]]-Tabel5[[#This Row],[Wins Groen]]</f>
        <v>0</v>
      </c>
      <c r="AW95" s="137">
        <f>Tabel5[[#This Row],[Aantal games Alg]]-Tabel5[[#This Row],[Wins Alg]]</f>
        <v>0</v>
      </c>
      <c r="AX95" s="138">
        <f>COUNTIF(Tabel15[Team Rood],Tabel5[[#This Row],[Team]])</f>
        <v>0</v>
      </c>
      <c r="AY95" s="136">
        <f>COUNTIF(Tabel15[Team Groen],Tabel5[[#This Row],[Team]])</f>
        <v>0</v>
      </c>
      <c r="AZ95" s="112">
        <f>Tabel5[[#This Row],[Aantal Games Rood]]+Tabel5[[#This Row],[Aantal Games Groen]]</f>
        <v>0</v>
      </c>
      <c r="BA95" s="138">
        <f>SUMIF(Tabel15[Team Rood],Tabel5[[#This Row],[Team]],Tabel15[Score])</f>
        <v>0</v>
      </c>
      <c r="BB95" s="138">
        <f>SUMIF(Tabel15[Team Rood],Tabel5[[#This Row],[Team]],Tabel15[Score2])</f>
        <v>0</v>
      </c>
      <c r="BC95" s="134">
        <f>SUMIF(Tabel15[Team Groen],Tabel5[[#This Row],[Team]],Tabel15[Score3])</f>
        <v>0</v>
      </c>
      <c r="BD95" s="136">
        <f>SUMIF(Tabel15[Team Groen],Tabel5[[#This Row],[Team]],Tabel15[Score4])</f>
        <v>0</v>
      </c>
      <c r="BE95">
        <f>SUM(Tabel5[[#This Row],[Goals Verdediger]]+Tabel5[[#This Row],[Goals DefG]])</f>
        <v>0</v>
      </c>
      <c r="BF95">
        <f>IF(Tabel5[[#This Row],[Aantal games Alg]]=0,0,Tabel5[[#This Row],[Goals DefA]]/Tabel5[[#This Row],[Aantal games Alg]])</f>
        <v>0</v>
      </c>
      <c r="BG95">
        <f>SUM(Tabel5[[#This Row],[Goals Aanvaller]]+Tabel5[[#This Row],[Goals OffG]])</f>
        <v>0</v>
      </c>
      <c r="BH95">
        <f>IF(Tabel5[[#This Row],[Aantal games Alg]]=0,0,Tabel5[[#This Row],[Goals OffA]]/Tabel5[[#This Row],[Aantal games Alg]])</f>
        <v>0</v>
      </c>
      <c r="BI95" s="112">
        <f>Tabel5[[#This Row],[Goals DefA]]+Tabel5[[#This Row],[Goals OffA]]</f>
        <v>0</v>
      </c>
      <c r="BJ95" s="112">
        <f>IF(Tabel5[[#This Row],[Aantal games Alg]]=0,0,Tabel5[[#This Row],[Goals Alg]]/Tabel5[[#This Row],[Aantal games Alg]])</f>
        <v>0</v>
      </c>
      <c r="BK95" s="148">
        <f>SUMIF(Tabel15[Team Rood],Tabel5[[#This Row],[Team]],Tabel15[ET])</f>
        <v>0</v>
      </c>
      <c r="BL95" s="150">
        <f>SUMIF(Tabel15[Team Groen],Tabel5[[#This Row],[Team]],Tabel15[ET])</f>
        <v>0</v>
      </c>
      <c r="BM95" s="153">
        <f>SUM(Tabel5[[#This Row],[ET Groen tot]],Tabel5[[#This Row],[ET Rood tot]])</f>
        <v>0</v>
      </c>
      <c r="BN95" s="155">
        <f>IF(Tabel5[[#This Row],[Aantal games Alg]]=0,0,Tabel5[[#This Row],[ET tot]]/Tabel5[[#This Row],[Aantal games Alg]])</f>
        <v>0</v>
      </c>
    </row>
    <row r="96" spans="1:66" x14ac:dyDescent="0.25">
      <c r="A96" s="215">
        <f ca="1">IF(Tabel15[[#This Row],[Rood Verdediging]]&lt;&gt;"",IF(A96="",NOW(),A96),"")</f>
        <v>44085.973492824072</v>
      </c>
      <c r="B96" s="128">
        <f ca="1">IF(Tabel15[[#This Row],[Rood Verdediging]]&lt;&gt;"",IF(B96="",NOW(),B96),"")</f>
        <v>44085.973492824072</v>
      </c>
      <c r="C96" s="126">
        <f ca="1">IF(Tabel15[[#This Row],[Score]]&lt;&gt;"",IF(C96="",NOW(),C96),"")</f>
        <v>44085.990181597219</v>
      </c>
      <c r="D96" s="217">
        <f ca="1">IF(OR(Tabel15[[#This Row],[Starttijd]]="",Tabel15[[#This Row],[Eindtijd]]=""),"",Tabel15[[#This Row],[Eindtijd]]-Tabel15[[#This Row],[Starttijd]])</f>
        <v>1.6688773146597669E-2</v>
      </c>
      <c r="E96" s="74">
        <v>96</v>
      </c>
      <c r="F96" s="40" t="s">
        <v>3</v>
      </c>
      <c r="G96" s="76">
        <v>3</v>
      </c>
      <c r="H96" s="40" t="s">
        <v>6</v>
      </c>
      <c r="I96" s="76">
        <v>8</v>
      </c>
      <c r="J96" s="41" t="s">
        <v>8</v>
      </c>
      <c r="K96" s="78">
        <v>2</v>
      </c>
      <c r="L96" s="41" t="s">
        <v>0</v>
      </c>
      <c r="M96" s="78">
        <v>4</v>
      </c>
      <c r="N96" s="81">
        <f t="shared" si="11"/>
        <v>11</v>
      </c>
      <c r="O96" s="82">
        <f t="shared" si="12"/>
        <v>6</v>
      </c>
      <c r="P9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Row],[Score4]]&lt;&gt;""),IF(AND(N96&gt;O96,N96&gt;=11),"ROOD",IF(AND(O96&gt;=11,N96&lt;&gt;O96),"GROEN","")),"")</f>
        <v>ROOD</v>
      </c>
      <c r="Q96" s="86" t="str">
        <f t="shared" si="13"/>
        <v>Karel</v>
      </c>
      <c r="R96" s="87" t="str">
        <f t="shared" si="14"/>
        <v>Stef D</v>
      </c>
      <c r="S96" s="293" t="str">
        <f>Tabel15[[#This Row],[Rood Verdediging]]&amp;Tabel15[[#This Row],[Rood Aanval]]</f>
        <v>KarelStef D</v>
      </c>
      <c r="T96" s="293" t="str">
        <f>Tabel15[[#This Row],[Groen Verdediging]]&amp;Tabel15[[#This Row],[Groen Aanval]]</f>
        <v>LouisJonas</v>
      </c>
      <c r="U96" s="293" t="str">
        <f>Tabel15[[#This Row],[Winnaar 1]]&amp;Tabel15[[#This Row],[Winnaar 2]]</f>
        <v>KarelStef D</v>
      </c>
      <c r="V96" s="147" t="str">
        <f>IF(Tabel15[[#This Row],[Team Rood]]=Tabel15[[#This Row],[Winnaars]],Tabel15[[#This Row],[Team Rood]])</f>
        <v>KarelStef D</v>
      </c>
      <c r="W96" s="147" t="b">
        <f>IF(Tabel15[[#This Row],[Team Groen]]=Tabel15[[#This Row],[Winnaars]],Tabel15[[#This Row],[Team Groen]])</f>
        <v>0</v>
      </c>
      <c r="X96" s="283">
        <v>12.862584446203849</v>
      </c>
      <c r="Y96" s="283">
        <v>10.008811128071477</v>
      </c>
      <c r="Z96" s="283">
        <v>2.7353854594335729</v>
      </c>
      <c r="AA96" s="283">
        <v>2.9957622319403927</v>
      </c>
      <c r="AL96" s="251" t="s">
        <v>162</v>
      </c>
      <c r="AM96" s="233" t="s">
        <v>160</v>
      </c>
      <c r="AN96" s="140" t="str">
        <f t="shared" si="15"/>
        <v>Matthijs*Tiemen*</v>
      </c>
      <c r="AO96" s="160">
        <f>IF(Tabel5[[#This Row],[Aantal Games Rood]]=0,0,(Tabel5[[#This Row],[Wins Rood]])/Tabel5[[#This Row],[Aantal Games Rood]])</f>
        <v>0</v>
      </c>
      <c r="AP96" s="159">
        <f>IF(Tabel5[[#This Row],[Aantal Games Groen]]=0,0,(Tabel5[[#This Row],[Wins Groen]])/Tabel5[[#This Row],[Aantal Games Groen]])</f>
        <v>0</v>
      </c>
      <c r="AQ96" s="156">
        <f>IF(Tabel5[[#This Row],[Aantal games Alg]]=0,0,(Tabel5[[#This Row],[Wins Alg]])/Tabel5[[#This Row],[Aantal games Alg]])</f>
        <v>0</v>
      </c>
      <c r="AR96" s="138">
        <f>COUNTIF(Tabel15[Winaar rood],Tabel5[[#This Row],[Team]])</f>
        <v>0</v>
      </c>
      <c r="AS96" s="134">
        <f>COUNTIF(Tabel15[Winnaar Groen],Tabel5[[#This Row],[Team]])</f>
        <v>0</v>
      </c>
      <c r="AT96">
        <f>COUNTIF(Tabel15[Winnaars],Tabel5[[#This Row],[Team]])</f>
        <v>0</v>
      </c>
      <c r="AU96" s="135">
        <f>Tabel5[[#This Row],[Aantal Games Rood]]-Tabel5[[#This Row],[Wins Rood]]</f>
        <v>0</v>
      </c>
      <c r="AV96" s="136">
        <f>Tabel5[[#This Row],[Aantal Games Groen]]-Tabel5[[#This Row],[Wins Groen]]</f>
        <v>1</v>
      </c>
      <c r="AW96" s="137">
        <f>Tabel5[[#This Row],[Aantal games Alg]]-Tabel5[[#This Row],[Wins Alg]]</f>
        <v>1</v>
      </c>
      <c r="AX96" s="138">
        <f>COUNTIF(Tabel15[Team Rood],Tabel5[[#This Row],[Team]])</f>
        <v>0</v>
      </c>
      <c r="AY96" s="136">
        <f>COUNTIF(Tabel15[Team Groen],Tabel5[[#This Row],[Team]])</f>
        <v>1</v>
      </c>
      <c r="AZ96" s="112">
        <f>Tabel5[[#This Row],[Aantal Games Rood]]+Tabel5[[#This Row],[Aantal Games Groen]]</f>
        <v>1</v>
      </c>
      <c r="BA96" s="138">
        <f>SUMIF(Tabel15[Team Rood],Tabel5[[#This Row],[Team]],Tabel15[Score])</f>
        <v>0</v>
      </c>
      <c r="BB96" s="138">
        <f>SUMIF(Tabel15[Team Rood],Tabel5[[#This Row],[Team]],Tabel15[Score2])</f>
        <v>0</v>
      </c>
      <c r="BC96" s="134">
        <f>SUMIF(Tabel15[Team Groen],Tabel5[[#This Row],[Team]],Tabel15[Score3])</f>
        <v>1</v>
      </c>
      <c r="BD96" s="136">
        <f>SUMIF(Tabel15[Team Groen],Tabel5[[#This Row],[Team]],Tabel15[Score4])</f>
        <v>8</v>
      </c>
      <c r="BE96">
        <f>SUM(Tabel5[[#This Row],[Goals Verdediger]]+Tabel5[[#This Row],[Goals DefG]])</f>
        <v>1</v>
      </c>
      <c r="BF96">
        <f>IF(Tabel5[[#This Row],[Aantal games Alg]]=0,0,Tabel5[[#This Row],[Goals DefA]]/Tabel5[[#This Row],[Aantal games Alg]])</f>
        <v>1</v>
      </c>
      <c r="BG96">
        <f>SUM(Tabel5[[#This Row],[Goals Aanvaller]]+Tabel5[[#This Row],[Goals OffG]])</f>
        <v>8</v>
      </c>
      <c r="BH96">
        <f>IF(Tabel5[[#This Row],[Aantal games Alg]]=0,0,Tabel5[[#This Row],[Goals OffA]]/Tabel5[[#This Row],[Aantal games Alg]])</f>
        <v>8</v>
      </c>
      <c r="BI96" s="112">
        <f>Tabel5[[#This Row],[Goals DefA]]+Tabel5[[#This Row],[Goals OffA]]</f>
        <v>9</v>
      </c>
      <c r="BJ96" s="112">
        <f>IF(Tabel5[[#This Row],[Aantal games Alg]]=0,0,Tabel5[[#This Row],[Goals Alg]]/Tabel5[[#This Row],[Aantal games Alg]])</f>
        <v>9</v>
      </c>
      <c r="BK96" s="148">
        <f>SUMIF(Tabel15[Team Rood],Tabel5[[#This Row],[Team]],Tabel15[ET])</f>
        <v>0</v>
      </c>
      <c r="BL96" s="150">
        <f>SUMIF(Tabel15[Team Groen],Tabel5[[#This Row],[Team]],Tabel15[ET])</f>
        <v>0</v>
      </c>
      <c r="BM96" s="153">
        <f>SUM(Tabel5[[#This Row],[ET Groen tot]],Tabel5[[#This Row],[ET Rood tot]])</f>
        <v>0</v>
      </c>
      <c r="BN96" s="155">
        <f>IF(Tabel5[[#This Row],[Aantal games Alg]]=0,0,Tabel5[[#This Row],[ET tot]]/Tabel5[[#This Row],[Aantal games Alg]])</f>
        <v>0</v>
      </c>
    </row>
    <row r="97" spans="1:66" x14ac:dyDescent="0.25">
      <c r="A97" s="215">
        <f ca="1">IF(Tabel15[[#This Row],[Rood Verdediging]]&lt;&gt;"",IF(A97="",NOW(),A97),"")</f>
        <v>44093.911871643519</v>
      </c>
      <c r="B97" s="128">
        <f ca="1">IF(Tabel15[[#This Row],[Rood Verdediging]]&lt;&gt;"",IF(B97="",NOW(),B97),"")</f>
        <v>44093.911871643519</v>
      </c>
      <c r="C97" s="126">
        <f ca="1">IF(Tabel15[[#This Row],[Score]]&lt;&gt;"",IF(C97="",NOW(),C97),"")</f>
        <v>44093.911893518518</v>
      </c>
      <c r="D97" s="217">
        <f ca="1">IF(OR(Tabel15[[#This Row],[Starttijd]]="",Tabel15[[#This Row],[Eindtijd]]=""),"",Tabel15[[#This Row],[Eindtijd]]-Tabel15[[#This Row],[Starttijd]])</f>
        <v>2.1874999220017344E-5</v>
      </c>
      <c r="E97" s="74">
        <v>97</v>
      </c>
      <c r="F97" s="40" t="s">
        <v>6</v>
      </c>
      <c r="G97" s="76">
        <v>5</v>
      </c>
      <c r="H97" s="40" t="s">
        <v>13</v>
      </c>
      <c r="I97" s="76">
        <v>6</v>
      </c>
      <c r="J97" s="41" t="s">
        <v>0</v>
      </c>
      <c r="K97" s="78">
        <v>2</v>
      </c>
      <c r="L97" s="41" t="s">
        <v>8</v>
      </c>
      <c r="M97" s="78">
        <v>2</v>
      </c>
      <c r="N97" s="81">
        <f t="shared" si="11"/>
        <v>11</v>
      </c>
      <c r="O97" s="82">
        <f t="shared" si="12"/>
        <v>4</v>
      </c>
      <c r="P9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Row],[Score4]]&lt;&gt;""),IF(AND(N97&gt;O97,N97&gt;=11),"ROOD",IF(AND(O97&gt;=11,N97&lt;&gt;O97),"GROEN","")),"")</f>
        <v>ROOD</v>
      </c>
      <c r="Q97" s="86" t="str">
        <f t="shared" si="13"/>
        <v>Stef D</v>
      </c>
      <c r="R97" s="87" t="str">
        <f t="shared" si="14"/>
        <v>Bert</v>
      </c>
      <c r="S97" s="293" t="str">
        <f>Tabel15[[#This Row],[Rood Verdediging]]&amp;Tabel15[[#This Row],[Rood Aanval]]</f>
        <v>Stef DBert</v>
      </c>
      <c r="T97" s="293" t="str">
        <f>Tabel15[[#This Row],[Groen Verdediging]]&amp;Tabel15[[#This Row],[Groen Aanval]]</f>
        <v>JonasLouis</v>
      </c>
      <c r="U97" s="293" t="str">
        <f>Tabel15[[#This Row],[Winnaar 1]]&amp;Tabel15[[#This Row],[Winnaar 2]]</f>
        <v>Stef DBert</v>
      </c>
      <c r="V97" s="147" t="str">
        <f>IF(Tabel15[[#This Row],[Team Rood]]=Tabel15[[#This Row],[Winnaars]],Tabel15[[#This Row],[Team Rood]])</f>
        <v>Stef DBert</v>
      </c>
      <c r="W97" s="147" t="b">
        <f>IF(Tabel15[[#This Row],[Team Groen]]=Tabel15[[#This Row],[Winnaars]],Tabel15[[#This Row],[Team Groen]])</f>
        <v>0</v>
      </c>
      <c r="X97" s="283">
        <v>17.755481416642201</v>
      </c>
      <c r="Y97" s="283">
        <v>19.78999549121685</v>
      </c>
      <c r="Z97" s="283">
        <v>-2.9119562345244443</v>
      </c>
      <c r="AA97" s="283">
        <v>-1.8956170024414039</v>
      </c>
      <c r="AL97" s="251" t="s">
        <v>162</v>
      </c>
      <c r="AM97" s="233" t="s">
        <v>157</v>
      </c>
      <c r="AN97" s="140" t="str">
        <f t="shared" si="15"/>
        <v>Matthijs*Tobi*</v>
      </c>
      <c r="AO97" s="160">
        <f>IF(Tabel5[[#This Row],[Aantal Games Rood]]=0,0,(Tabel5[[#This Row],[Wins Rood]])/Tabel5[[#This Row],[Aantal Games Rood]])</f>
        <v>0</v>
      </c>
      <c r="AP97" s="159">
        <f>IF(Tabel5[[#This Row],[Aantal Games Groen]]=0,0,(Tabel5[[#This Row],[Wins Groen]])/Tabel5[[#This Row],[Aantal Games Groen]])</f>
        <v>0</v>
      </c>
      <c r="AQ97" s="156">
        <f>IF(Tabel5[[#This Row],[Aantal games Alg]]=0,0,(Tabel5[[#This Row],[Wins Alg]])/Tabel5[[#This Row],[Aantal games Alg]])</f>
        <v>0</v>
      </c>
      <c r="AR97" s="133">
        <f>COUNTIF(Tabel15[Winaar rood],Tabel5[[#This Row],[Team]])</f>
        <v>0</v>
      </c>
      <c r="AS97" s="134">
        <f>COUNTIF(Tabel15[Winnaar Groen],Tabel5[[#This Row],[Team]])</f>
        <v>0</v>
      </c>
      <c r="AT97">
        <f>COUNTIF(Tabel15[Winnaars],Tabel5[[#This Row],[Team]])</f>
        <v>0</v>
      </c>
      <c r="AU97" s="135">
        <f>Tabel5[[#This Row],[Aantal Games Rood]]-Tabel5[[#This Row],[Wins Rood]]</f>
        <v>0</v>
      </c>
      <c r="AV97" s="136">
        <f>Tabel5[[#This Row],[Aantal Games Groen]]-Tabel5[[#This Row],[Wins Groen]]</f>
        <v>0</v>
      </c>
      <c r="AW97" s="137">
        <f>Tabel5[[#This Row],[Aantal games Alg]]-Tabel5[[#This Row],[Wins Alg]]</f>
        <v>0</v>
      </c>
      <c r="AX97" s="138">
        <f>COUNTIF(Tabel15[Team Rood],Tabel5[[#This Row],[Team]])</f>
        <v>0</v>
      </c>
      <c r="AY97" s="136">
        <f>COUNTIF(Tabel15[Team Groen],Tabel5[[#This Row],[Team]])</f>
        <v>0</v>
      </c>
      <c r="AZ97" s="112">
        <f>Tabel5[[#This Row],[Aantal Games Rood]]+Tabel5[[#This Row],[Aantal Games Groen]]</f>
        <v>0</v>
      </c>
      <c r="BA97" s="138">
        <f>SUMIF(Tabel15[Team Rood],Tabel5[[#This Row],[Team]],Tabel15[Score])</f>
        <v>0</v>
      </c>
      <c r="BB97" s="138">
        <f>SUMIF(Tabel15[Team Rood],Tabel5[[#This Row],[Team]],Tabel15[Score2])</f>
        <v>0</v>
      </c>
      <c r="BC97" s="134">
        <f>SUMIF(Tabel15[Team Groen],Tabel5[[#This Row],[Team]],Tabel15[Score3])</f>
        <v>0</v>
      </c>
      <c r="BD97" s="136">
        <f>SUMIF(Tabel15[Team Groen],Tabel5[[#This Row],[Team]],Tabel15[Score4])</f>
        <v>0</v>
      </c>
      <c r="BE97">
        <f>SUM(Tabel5[[#This Row],[Goals Verdediger]]+Tabel5[[#This Row],[Goals DefG]])</f>
        <v>0</v>
      </c>
      <c r="BF97">
        <f>IF(Tabel5[[#This Row],[Aantal games Alg]]=0,0,Tabel5[[#This Row],[Goals DefA]]/Tabel5[[#This Row],[Aantal games Alg]])</f>
        <v>0</v>
      </c>
      <c r="BG97">
        <f>SUM(Tabel5[[#This Row],[Goals Aanvaller]]+Tabel5[[#This Row],[Goals OffG]])</f>
        <v>0</v>
      </c>
      <c r="BH97">
        <f>IF(Tabel5[[#This Row],[Aantal games Alg]]=0,0,Tabel5[[#This Row],[Goals OffA]]/Tabel5[[#This Row],[Aantal games Alg]])</f>
        <v>0</v>
      </c>
      <c r="BI97" s="112">
        <f>Tabel5[[#This Row],[Goals DefA]]+Tabel5[[#This Row],[Goals OffA]]</f>
        <v>0</v>
      </c>
      <c r="BJ97" s="112">
        <f>IF(Tabel5[[#This Row],[Aantal games Alg]]=0,0,Tabel5[[#This Row],[Goals Alg]]/Tabel5[[#This Row],[Aantal games Alg]])</f>
        <v>0</v>
      </c>
      <c r="BK97" s="148">
        <f>SUMIF(Tabel15[Team Rood],Tabel5[[#This Row],[Team]],Tabel15[ET])</f>
        <v>0</v>
      </c>
      <c r="BL97" s="150">
        <f>SUMIF(Tabel15[Team Groen],Tabel5[[#This Row],[Team]],Tabel15[ET])</f>
        <v>0</v>
      </c>
      <c r="BM97" s="153">
        <f>SUM(Tabel5[[#This Row],[ET Groen tot]],Tabel5[[#This Row],[ET Rood tot]])</f>
        <v>0</v>
      </c>
      <c r="BN97" s="155">
        <f>IF(Tabel5[[#This Row],[Aantal games Alg]]=0,0,Tabel5[[#This Row],[ET tot]]/Tabel5[[#This Row],[Aantal games Alg]])</f>
        <v>0</v>
      </c>
    </row>
    <row r="98" spans="1:66" x14ac:dyDescent="0.25">
      <c r="A98" s="215">
        <f ca="1">IF(Tabel15[[#This Row],[Rood Verdediging]]&lt;&gt;"",IF(A98="",NOW(),A98),"")</f>
        <v>44093.940342476853</v>
      </c>
      <c r="B98" s="128">
        <f ca="1">IF(Tabel15[[#This Row],[Rood Verdediging]]&lt;&gt;"",IF(B98="",NOW(),B98),"")</f>
        <v>44093.940342476853</v>
      </c>
      <c r="C98" s="126">
        <f ca="1">IF(Tabel15[[#This Row],[Score]]&lt;&gt;"",IF(C98="",NOW(),C98),"")</f>
        <v>44093.940355902778</v>
      </c>
      <c r="D98" s="217">
        <f ca="1">IF(OR(Tabel15[[#This Row],[Starttijd]]="",Tabel15[[#This Row],[Eindtijd]]=""),"",Tabel15[[#This Row],[Eindtijd]]-Tabel15[[#This Row],[Starttijd]])</f>
        <v>1.3425924407783896E-5</v>
      </c>
      <c r="E98" s="74">
        <v>98</v>
      </c>
      <c r="F98" s="40" t="s">
        <v>13</v>
      </c>
      <c r="G98" s="76">
        <v>4</v>
      </c>
      <c r="H98" s="40" t="s">
        <v>6</v>
      </c>
      <c r="I98" s="76">
        <v>13</v>
      </c>
      <c r="J98" s="41" t="s">
        <v>8</v>
      </c>
      <c r="K98" s="78">
        <v>6</v>
      </c>
      <c r="L98" s="41" t="s">
        <v>0</v>
      </c>
      <c r="M98" s="78">
        <v>9</v>
      </c>
      <c r="N98" s="81">
        <f t="shared" si="11"/>
        <v>17</v>
      </c>
      <c r="O98" s="82">
        <f t="shared" si="12"/>
        <v>15</v>
      </c>
      <c r="P9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Row],[Score4]]&lt;&gt;""),IF(AND(N98&gt;O98,N98&gt;=11),"ROOD",IF(AND(O98&gt;=11,N98&lt;&gt;O98),"GROEN","")),"")</f>
        <v>ROOD</v>
      </c>
      <c r="Q98" s="86" t="str">
        <f t="shared" si="13"/>
        <v>Bert</v>
      </c>
      <c r="R98" s="87" t="str">
        <f t="shared" si="14"/>
        <v>Stef D</v>
      </c>
      <c r="S98" s="293" t="str">
        <f>Tabel15[[#This Row],[Rood Verdediging]]&amp;Tabel15[[#This Row],[Rood Aanval]]</f>
        <v>BertStef D</v>
      </c>
      <c r="T98" s="293" t="str">
        <f>Tabel15[[#This Row],[Groen Verdediging]]&amp;Tabel15[[#This Row],[Groen Aanval]]</f>
        <v>LouisJonas</v>
      </c>
      <c r="U98" s="293" t="str">
        <f>Tabel15[[#This Row],[Winnaar 1]]&amp;Tabel15[[#This Row],[Winnaar 2]]</f>
        <v>BertStef D</v>
      </c>
      <c r="V98" s="147" t="str">
        <f>IF(Tabel15[[#This Row],[Team Rood]]=Tabel15[[#This Row],[Winnaars]],Tabel15[[#This Row],[Team Rood]])</f>
        <v>BertStef D</v>
      </c>
      <c r="W98" s="147" t="b">
        <f>IF(Tabel15[[#This Row],[Team Groen]]=Tabel15[[#This Row],[Winnaars]],Tabel15[[#This Row],[Team Groen]])</f>
        <v>0</v>
      </c>
      <c r="X98" s="283">
        <v>14.104465506498387</v>
      </c>
      <c r="Y98" s="283">
        <v>11.45096257222122</v>
      </c>
      <c r="Z98" s="283">
        <v>1.4939990595181585</v>
      </c>
      <c r="AA98" s="283">
        <v>1.6685058895910667</v>
      </c>
      <c r="AL98" s="251" t="s">
        <v>170</v>
      </c>
      <c r="AM98" s="233" t="s">
        <v>158</v>
      </c>
      <c r="AN98" s="140" t="str">
        <f t="shared" ref="AN98:AN129" si="16">AL98&amp;AM98</f>
        <v>Nico*Arno*</v>
      </c>
      <c r="AO98" s="160">
        <f>IF(Tabel5[[#This Row],[Aantal Games Rood]]=0,0,(Tabel5[[#This Row],[Wins Rood]])/Tabel5[[#This Row],[Aantal Games Rood]])</f>
        <v>0</v>
      </c>
      <c r="AP98" s="162">
        <f>IF(Tabel5[[#This Row],[Aantal Games Groen]]=0,0,(Tabel5[[#This Row],[Wins Groen]])/Tabel5[[#This Row],[Aantal Games Groen]])</f>
        <v>0</v>
      </c>
      <c r="AQ98" s="156">
        <f>IF(Tabel5[[#This Row],[Aantal games Alg]]=0,0,(Tabel5[[#This Row],[Wins Alg]])/Tabel5[[#This Row],[Aantal games Alg]])</f>
        <v>0</v>
      </c>
      <c r="AR98" s="171">
        <f>COUNTIF(Tabel15[Winaar rood],Tabel5[[#This Row],[Team]])</f>
        <v>0</v>
      </c>
      <c r="AS98" s="164">
        <f>COUNTIF(Tabel15[Winnaar Groen],Tabel5[[#This Row],[Team]])</f>
        <v>0</v>
      </c>
      <c r="AT98" s="147">
        <f>COUNTIF(Tabel15[Winnaars],Tabel5[[#This Row],[Team]])</f>
        <v>0</v>
      </c>
      <c r="AU98" s="163">
        <f>Tabel5[[#This Row],[Aantal Games Rood]]-Tabel5[[#This Row],[Wins Rood]]</f>
        <v>0</v>
      </c>
      <c r="AV98" s="164">
        <f>Tabel5[[#This Row],[Aantal Games Groen]]-Tabel5[[#This Row],[Wins Groen]]</f>
        <v>0</v>
      </c>
      <c r="AW98" s="165">
        <f>Tabel5[[#This Row],[Aantal games Alg]]-Tabel5[[#This Row],[Wins Alg]]</f>
        <v>0</v>
      </c>
      <c r="AX98" s="166">
        <f>COUNTIF(Tabel15[Team Rood],Tabel5[[#This Row],[Team]])</f>
        <v>0</v>
      </c>
      <c r="AY98" s="164">
        <f>COUNTIF(Tabel15[Team Groen],Tabel5[[#This Row],[Team]])</f>
        <v>0</v>
      </c>
      <c r="AZ98" s="170">
        <f>Tabel5[[#This Row],[Aantal Games Rood]]+Tabel5[[#This Row],[Aantal Games Groen]]</f>
        <v>0</v>
      </c>
      <c r="BA98" s="166">
        <f>SUMIF(Tabel15[Team Rood],Tabel5[[#This Row],[Team]],Tabel15[Score])</f>
        <v>0</v>
      </c>
      <c r="BB98" s="166">
        <f>SUMIF(Tabel15[Team Rood],Tabel5[[#This Row],[Team]],Tabel15[Score2])</f>
        <v>0</v>
      </c>
      <c r="BC98" s="134">
        <f>SUMIF(Tabel15[Team Groen],Tabel5[[#This Row],[Team]],Tabel15[Score3])</f>
        <v>0</v>
      </c>
      <c r="BD98" s="164">
        <f>SUMIF(Tabel15[Team Groen],Tabel5[[#This Row],[Team]],Tabel15[Score4])</f>
        <v>0</v>
      </c>
      <c r="BE98" s="167">
        <f>SUM(Tabel5[[#This Row],[Goals Verdediger]]+Tabel5[[#This Row],[Goals DefG]])</f>
        <v>0</v>
      </c>
      <c r="BF98" s="147">
        <f>IF(Tabel5[[#This Row],[Aantal games Alg]]=0,0,Tabel5[[#This Row],[Goals DefA]]/Tabel5[[#This Row],[Aantal games Alg]])</f>
        <v>0</v>
      </c>
      <c r="BG98" s="167">
        <f>SUM(Tabel5[[#This Row],[Goals Aanvaller]]+Tabel5[[#This Row],[Goals OffG]])</f>
        <v>0</v>
      </c>
      <c r="BH98" s="147">
        <f>IF(Tabel5[[#This Row],[Aantal games Alg]]=0,0,Tabel5[[#This Row],[Goals OffA]]/Tabel5[[#This Row],[Aantal games Alg]])</f>
        <v>0</v>
      </c>
      <c r="BI98" s="147">
        <f>Tabel5[[#This Row],[Goals DefA]]+Tabel5[[#This Row],[Goals OffA]]</f>
        <v>0</v>
      </c>
      <c r="BJ98" s="147">
        <f>IF(Tabel5[[#This Row],[Aantal games Alg]]=0,0,Tabel5[[#This Row],[Goals Alg]]/Tabel5[[#This Row],[Aantal games Alg]])</f>
        <v>0</v>
      </c>
      <c r="BK98" s="148">
        <f>SUMIF(Tabel15[Team Rood],Tabel5[[#This Row],[Team]],Tabel15[ET])</f>
        <v>0</v>
      </c>
      <c r="BL98" s="168">
        <f>SUMIF(Tabel15[Team Groen],Tabel5[[#This Row],[Team]],Tabel15[ET])</f>
        <v>0</v>
      </c>
      <c r="BM98" s="221">
        <f>SUM(Tabel5[[#This Row],[ET Groen tot]],Tabel5[[#This Row],[ET Rood tot]])</f>
        <v>0</v>
      </c>
      <c r="BN98" s="155">
        <f>IF(Tabel5[[#This Row],[Aantal games Alg]]=0,0,Tabel5[[#This Row],[ET tot]]/Tabel5[[#This Row],[Aantal games Alg]])</f>
        <v>0</v>
      </c>
    </row>
    <row r="99" spans="1:66" x14ac:dyDescent="0.25">
      <c r="A99" s="215">
        <f ca="1">IF(Tabel15[[#This Row],[Rood Verdediging]]&lt;&gt;"",IF(A99="",NOW(),A99),"")</f>
        <v>44093.96592372685</v>
      </c>
      <c r="B99" s="128">
        <f ca="1">IF(Tabel15[[#This Row],[Rood Verdediging]]&lt;&gt;"",IF(B99="",NOW(),B99),"")</f>
        <v>44093.96592372685</v>
      </c>
      <c r="C99" s="126">
        <f ca="1">IF(Tabel15[[#This Row],[Score]]&lt;&gt;"",IF(C99="",NOW(),C99),"")</f>
        <v>44093.965962037037</v>
      </c>
      <c r="D99" s="217">
        <f ca="1">IF(OR(Tabel15[[#This Row],[Starttijd]]="",Tabel15[[#This Row],[Eindtijd]]=""),"",Tabel15[[#This Row],[Eindtijd]]-Tabel15[[#This Row],[Starttijd]])</f>
        <v>3.8310186937451363E-5</v>
      </c>
      <c r="E99" s="74">
        <v>99</v>
      </c>
      <c r="F99" s="40" t="s">
        <v>0</v>
      </c>
      <c r="G99" s="76">
        <v>5</v>
      </c>
      <c r="H99" s="40" t="s">
        <v>6</v>
      </c>
      <c r="I99" s="76">
        <v>7</v>
      </c>
      <c r="J99" s="41" t="s">
        <v>8</v>
      </c>
      <c r="K99" s="78">
        <v>2</v>
      </c>
      <c r="L99" s="41" t="s">
        <v>13</v>
      </c>
      <c r="M99" s="78">
        <v>8</v>
      </c>
      <c r="N99" s="81">
        <f t="shared" si="11"/>
        <v>12</v>
      </c>
      <c r="O99" s="82">
        <f t="shared" si="12"/>
        <v>10</v>
      </c>
      <c r="P9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Row],[Score4]]&lt;&gt;""),IF(AND(N99&gt;O99,N99&gt;=11),"ROOD",IF(AND(O99&gt;=11,N99&lt;&gt;O99),"GROEN","")),"")</f>
        <v>ROOD</v>
      </c>
      <c r="Q99" s="86" t="str">
        <f t="shared" si="13"/>
        <v>Jonas</v>
      </c>
      <c r="R99" s="87" t="str">
        <f t="shared" si="14"/>
        <v>Stef D</v>
      </c>
      <c r="S99" s="293" t="str">
        <f>Tabel15[[#This Row],[Rood Verdediging]]&amp;Tabel15[[#This Row],[Rood Aanval]]</f>
        <v>JonasStef D</v>
      </c>
      <c r="T99" s="293" t="str">
        <f>Tabel15[[#This Row],[Groen Verdediging]]&amp;Tabel15[[#This Row],[Groen Aanval]]</f>
        <v>LouisBert</v>
      </c>
      <c r="U99" s="293" t="str">
        <f>Tabel15[[#This Row],[Winnaar 1]]&amp;Tabel15[[#This Row],[Winnaar 2]]</f>
        <v>JonasStef D</v>
      </c>
      <c r="V99" s="147" t="str">
        <f>IF(Tabel15[[#This Row],[Team Rood]]=Tabel15[[#This Row],[Winnaars]],Tabel15[[#This Row],[Team Rood]])</f>
        <v>JonasStef D</v>
      </c>
      <c r="W99" s="147" t="b">
        <f>IF(Tabel15[[#This Row],[Team Groen]]=Tabel15[[#This Row],[Winnaars]],Tabel15[[#This Row],[Team Groen]])</f>
        <v>0</v>
      </c>
      <c r="X99" s="283">
        <v>17.068454792961365</v>
      </c>
      <c r="Y99" s="283">
        <v>13.807165355004228</v>
      </c>
      <c r="Z99" s="283">
        <v>0.57236539749206139</v>
      </c>
      <c r="AA99" s="283">
        <v>0.56407485085604447</v>
      </c>
      <c r="AL99" s="251" t="s">
        <v>170</v>
      </c>
      <c r="AM99" s="233" t="s">
        <v>163</v>
      </c>
      <c r="AN99" s="140" t="str">
        <f t="shared" si="16"/>
        <v>Nico*Bert*</v>
      </c>
      <c r="AO99" s="160">
        <f>IF(Tabel5[[#This Row],[Aantal Games Rood]]=0,0,(Tabel5[[#This Row],[Wins Rood]])/Tabel5[[#This Row],[Aantal Games Rood]])</f>
        <v>0</v>
      </c>
      <c r="AP99" s="162">
        <f>IF(Tabel5[[#This Row],[Aantal Games Groen]]=0,0,(Tabel5[[#This Row],[Wins Groen]])/Tabel5[[#This Row],[Aantal Games Groen]])</f>
        <v>0</v>
      </c>
      <c r="AQ99" s="156">
        <f>IF(Tabel5[[#This Row],[Aantal games Alg]]=0,0,(Tabel5[[#This Row],[Wins Alg]])/Tabel5[[#This Row],[Aantal games Alg]])</f>
        <v>0</v>
      </c>
      <c r="AR99" s="171">
        <f>COUNTIF(Tabel15[Winaar rood],Tabel5[[#This Row],[Team]])</f>
        <v>0</v>
      </c>
      <c r="AS99" s="164">
        <f>COUNTIF(Tabel15[Winnaar Groen],Tabel5[[#This Row],[Team]])</f>
        <v>0</v>
      </c>
      <c r="AT99" s="147">
        <f>COUNTIF(Tabel15[Winnaars],Tabel5[[#This Row],[Team]])</f>
        <v>0</v>
      </c>
      <c r="AU99" s="163">
        <f>Tabel5[[#This Row],[Aantal Games Rood]]-Tabel5[[#This Row],[Wins Rood]]</f>
        <v>0</v>
      </c>
      <c r="AV99" s="164">
        <f>Tabel5[[#This Row],[Aantal Games Groen]]-Tabel5[[#This Row],[Wins Groen]]</f>
        <v>0</v>
      </c>
      <c r="AW99" s="165">
        <f>Tabel5[[#This Row],[Aantal games Alg]]-Tabel5[[#This Row],[Wins Alg]]</f>
        <v>0</v>
      </c>
      <c r="AX99" s="166">
        <f>COUNTIF(Tabel15[Team Rood],Tabel5[[#This Row],[Team]])</f>
        <v>0</v>
      </c>
      <c r="AY99" s="164">
        <f>COUNTIF(Tabel15[Team Groen],Tabel5[[#This Row],[Team]])</f>
        <v>0</v>
      </c>
      <c r="AZ99" s="170">
        <f>Tabel5[[#This Row],[Aantal Games Rood]]+Tabel5[[#This Row],[Aantal Games Groen]]</f>
        <v>0</v>
      </c>
      <c r="BA99" s="166">
        <f>SUMIF(Tabel15[Team Rood],Tabel5[[#This Row],[Team]],Tabel15[Score])</f>
        <v>0</v>
      </c>
      <c r="BB99" s="166">
        <f>SUMIF(Tabel15[Team Rood],Tabel5[[#This Row],[Team]],Tabel15[Score2])</f>
        <v>0</v>
      </c>
      <c r="BC99" s="134">
        <f>SUMIF(Tabel15[Team Groen],Tabel5[[#This Row],[Team]],Tabel15[Score3])</f>
        <v>0</v>
      </c>
      <c r="BD99" s="164">
        <f>SUMIF(Tabel15[Team Groen],Tabel5[[#This Row],[Team]],Tabel15[Score4])</f>
        <v>0</v>
      </c>
      <c r="BE99" s="167">
        <f>SUM(Tabel5[[#This Row],[Goals Verdediger]]+Tabel5[[#This Row],[Goals DefG]])</f>
        <v>0</v>
      </c>
      <c r="BF99" s="147">
        <f>IF(Tabel5[[#This Row],[Aantal games Alg]]=0,0,Tabel5[[#This Row],[Goals DefA]]/Tabel5[[#This Row],[Aantal games Alg]])</f>
        <v>0</v>
      </c>
      <c r="BG99" s="167">
        <f>SUM(Tabel5[[#This Row],[Goals Aanvaller]]+Tabel5[[#This Row],[Goals OffG]])</f>
        <v>0</v>
      </c>
      <c r="BH99" s="147">
        <f>IF(Tabel5[[#This Row],[Aantal games Alg]]=0,0,Tabel5[[#This Row],[Goals OffA]]/Tabel5[[#This Row],[Aantal games Alg]])</f>
        <v>0</v>
      </c>
      <c r="BI99" s="147">
        <f>Tabel5[[#This Row],[Goals DefA]]+Tabel5[[#This Row],[Goals OffA]]</f>
        <v>0</v>
      </c>
      <c r="BJ99" s="147">
        <f>IF(Tabel5[[#This Row],[Aantal games Alg]]=0,0,Tabel5[[#This Row],[Goals Alg]]/Tabel5[[#This Row],[Aantal games Alg]])</f>
        <v>0</v>
      </c>
      <c r="BK99" s="148">
        <f>SUMIF(Tabel15[Team Rood],Tabel5[[#This Row],[Team]],Tabel15[ET])</f>
        <v>0</v>
      </c>
      <c r="BL99" s="168">
        <f>SUMIF(Tabel15[Team Groen],Tabel5[[#This Row],[Team]],Tabel15[ET])</f>
        <v>0</v>
      </c>
      <c r="BM99" s="221">
        <f>SUM(Tabel5[[#This Row],[ET Groen tot]],Tabel5[[#This Row],[ET Rood tot]])</f>
        <v>0</v>
      </c>
      <c r="BN99" s="155">
        <f>IF(Tabel5[[#This Row],[Aantal games Alg]]=0,0,Tabel5[[#This Row],[ET tot]]/Tabel5[[#This Row],[Aantal games Alg]])</f>
        <v>0</v>
      </c>
    </row>
    <row r="100" spans="1:66" x14ac:dyDescent="0.25">
      <c r="A100" s="215">
        <f ca="1">IF(Tabel15[[#This Row],[Rood Verdediging]]&lt;&gt;"",IF(A100="",NOW(),A100),"")</f>
        <v>44093.967769675925</v>
      </c>
      <c r="B100" s="128">
        <f ca="1">IF(Tabel15[[#This Row],[Rood Verdediging]]&lt;&gt;"",IF(B100="",NOW(),B100),"")</f>
        <v>44093.967769675925</v>
      </c>
      <c r="C100" s="126">
        <f ca="1">IF(Tabel15[[#This Row],[Score]]&lt;&gt;"",IF(C100="",NOW(),C100),"")</f>
        <v>44093.975307291665</v>
      </c>
      <c r="D100" s="217">
        <f ca="1">IF(OR(Tabel15[[#This Row],[Starttijd]]="",Tabel15[[#This Row],[Eindtijd]]=""),"",Tabel15[[#This Row],[Eindtijd]]-Tabel15[[#This Row],[Starttijd]])</f>
        <v>7.5376157401478849E-3</v>
      </c>
      <c r="E100" s="74">
        <v>100</v>
      </c>
      <c r="F100" s="40" t="s">
        <v>6</v>
      </c>
      <c r="G100" s="76">
        <v>4</v>
      </c>
      <c r="H100" s="40" t="s">
        <v>0</v>
      </c>
      <c r="I100" s="76">
        <v>7</v>
      </c>
      <c r="J100" s="41" t="s">
        <v>13</v>
      </c>
      <c r="K100" s="78">
        <v>1</v>
      </c>
      <c r="L100" s="41" t="s">
        <v>8</v>
      </c>
      <c r="M100" s="78">
        <v>4</v>
      </c>
      <c r="N100" s="81">
        <v>11</v>
      </c>
      <c r="O100" s="82">
        <f t="shared" si="12"/>
        <v>5</v>
      </c>
      <c r="P10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Row],[Score4]]&lt;&gt;""),IF(AND(N100&gt;O100,N100&gt;=11),"ROOD",IF(AND(O100&gt;=11,N100&lt;&gt;O100),"GROEN","")),"")</f>
        <v>ROOD</v>
      </c>
      <c r="Q100" s="86" t="str">
        <f t="shared" si="13"/>
        <v>Stef D</v>
      </c>
      <c r="R100" s="87" t="str">
        <f t="shared" si="14"/>
        <v>Jonas</v>
      </c>
      <c r="S100" s="293" t="str">
        <f>Tabel15[[#This Row],[Rood Verdediging]]&amp;Tabel15[[#This Row],[Rood Aanval]]</f>
        <v>Stef DJonas</v>
      </c>
      <c r="T100" s="293" t="str">
        <f>Tabel15[[#This Row],[Groen Verdediging]]&amp;Tabel15[[#This Row],[Groen Aanval]]</f>
        <v>BertLouis</v>
      </c>
      <c r="U100" s="293" t="str">
        <f>Tabel15[[#This Row],[Winnaar 1]]&amp;Tabel15[[#This Row],[Winnaar 2]]</f>
        <v>Stef DJonas</v>
      </c>
      <c r="V100" s="147" t="str">
        <f>IF(Tabel15[[#This Row],[Team Rood]]=Tabel15[[#This Row],[Winnaars]],Tabel15[[#This Row],[Team Rood]])</f>
        <v>Stef DJonas</v>
      </c>
      <c r="W100" s="147" t="b">
        <f>IF(Tabel15[[#This Row],[Team Groen]]=Tabel15[[#This Row],[Winnaars]],Tabel15[[#This Row],[Team Groen]])</f>
        <v>0</v>
      </c>
      <c r="X100" s="283">
        <v>8.6182838897873815</v>
      </c>
      <c r="Y100" s="283">
        <v>11.573359996528431</v>
      </c>
      <c r="Z100" s="283">
        <v>3.3309745733801419</v>
      </c>
      <c r="AA100" s="283">
        <v>4.7967224807032354</v>
      </c>
      <c r="AL100" s="251" t="s">
        <v>170</v>
      </c>
      <c r="AM100" s="233" t="s">
        <v>168</v>
      </c>
      <c r="AN100" s="140" t="str">
        <f t="shared" si="16"/>
        <v>Nico*Coghe*</v>
      </c>
      <c r="AO100" s="160">
        <f>IF(Tabel5[[#This Row],[Aantal Games Rood]]=0,0,(Tabel5[[#This Row],[Wins Rood]])/Tabel5[[#This Row],[Aantal Games Rood]])</f>
        <v>0</v>
      </c>
      <c r="AP100" s="162">
        <f>IF(Tabel5[[#This Row],[Aantal Games Groen]]=0,0,(Tabel5[[#This Row],[Wins Groen]])/Tabel5[[#This Row],[Aantal Games Groen]])</f>
        <v>0</v>
      </c>
      <c r="AQ100" s="156">
        <f>IF(Tabel5[[#This Row],[Aantal games Alg]]=0,0,(Tabel5[[#This Row],[Wins Alg]])/Tabel5[[#This Row],[Aantal games Alg]])</f>
        <v>0</v>
      </c>
      <c r="AR100" s="171">
        <f>COUNTIF(Tabel15[Winaar rood],Tabel5[[#This Row],[Team]])</f>
        <v>0</v>
      </c>
      <c r="AS100" s="164">
        <f>COUNTIF(Tabel15[Winnaar Groen],Tabel5[[#This Row],[Team]])</f>
        <v>0</v>
      </c>
      <c r="AT100" s="147">
        <f>COUNTIF(Tabel15[Winnaars],Tabel5[[#This Row],[Team]])</f>
        <v>0</v>
      </c>
      <c r="AU100" s="163">
        <f>Tabel5[[#This Row],[Aantal Games Rood]]-Tabel5[[#This Row],[Wins Rood]]</f>
        <v>0</v>
      </c>
      <c r="AV100" s="164">
        <f>Tabel5[[#This Row],[Aantal Games Groen]]-Tabel5[[#This Row],[Wins Groen]]</f>
        <v>0</v>
      </c>
      <c r="AW100" s="165">
        <f>Tabel5[[#This Row],[Aantal games Alg]]-Tabel5[[#This Row],[Wins Alg]]</f>
        <v>0</v>
      </c>
      <c r="AX100" s="166">
        <f>COUNTIF(Tabel15[Team Rood],Tabel5[[#This Row],[Team]])</f>
        <v>0</v>
      </c>
      <c r="AY100" s="164">
        <f>COUNTIF(Tabel15[Team Groen],Tabel5[[#This Row],[Team]])</f>
        <v>0</v>
      </c>
      <c r="AZ100" s="170">
        <f>Tabel5[[#This Row],[Aantal Games Rood]]+Tabel5[[#This Row],[Aantal Games Groen]]</f>
        <v>0</v>
      </c>
      <c r="BA100" s="166">
        <f>SUMIF(Tabel15[Team Rood],Tabel5[[#This Row],[Team]],Tabel15[Score])</f>
        <v>0</v>
      </c>
      <c r="BB100" s="166">
        <f>SUMIF(Tabel15[Team Rood],Tabel5[[#This Row],[Team]],Tabel15[Score2])</f>
        <v>0</v>
      </c>
      <c r="BC100" s="134">
        <f>SUMIF(Tabel15[Team Groen],Tabel5[[#This Row],[Team]],Tabel15[Score3])</f>
        <v>0</v>
      </c>
      <c r="BD100" s="164">
        <f>SUMIF(Tabel15[Team Groen],Tabel5[[#This Row],[Team]],Tabel15[Score4])</f>
        <v>0</v>
      </c>
      <c r="BE100" s="167">
        <f>SUM(Tabel5[[#This Row],[Goals Verdediger]]+Tabel5[[#This Row],[Goals DefG]])</f>
        <v>0</v>
      </c>
      <c r="BF100" s="147">
        <f>IF(Tabel5[[#This Row],[Aantal games Alg]]=0,0,Tabel5[[#This Row],[Goals DefA]]/Tabel5[[#This Row],[Aantal games Alg]])</f>
        <v>0</v>
      </c>
      <c r="BG100" s="167">
        <f>SUM(Tabel5[[#This Row],[Goals Aanvaller]]+Tabel5[[#This Row],[Goals OffG]])</f>
        <v>0</v>
      </c>
      <c r="BH100" s="147">
        <f>IF(Tabel5[[#This Row],[Aantal games Alg]]=0,0,Tabel5[[#This Row],[Goals OffA]]/Tabel5[[#This Row],[Aantal games Alg]])</f>
        <v>0</v>
      </c>
      <c r="BI100" s="147">
        <f>Tabel5[[#This Row],[Goals DefA]]+Tabel5[[#This Row],[Goals OffA]]</f>
        <v>0</v>
      </c>
      <c r="BJ100" s="147">
        <f>IF(Tabel5[[#This Row],[Aantal games Alg]]=0,0,Tabel5[[#This Row],[Goals Alg]]/Tabel5[[#This Row],[Aantal games Alg]])</f>
        <v>0</v>
      </c>
      <c r="BK100" s="148">
        <f>SUMIF(Tabel15[Team Rood],Tabel5[[#This Row],[Team]],Tabel15[ET])</f>
        <v>0</v>
      </c>
      <c r="BL100" s="168">
        <f>SUMIF(Tabel15[Team Groen],Tabel5[[#This Row],[Team]],Tabel15[ET])</f>
        <v>0</v>
      </c>
      <c r="BM100" s="221">
        <f>SUM(Tabel5[[#This Row],[ET Groen tot]],Tabel5[[#This Row],[ET Rood tot]])</f>
        <v>0</v>
      </c>
      <c r="BN100" s="155">
        <f>IF(Tabel5[[#This Row],[Aantal games Alg]]=0,0,Tabel5[[#This Row],[ET tot]]/Tabel5[[#This Row],[Aantal games Alg]])</f>
        <v>0</v>
      </c>
    </row>
    <row r="101" spans="1:66" x14ac:dyDescent="0.25">
      <c r="A101" s="215">
        <f ca="1">IF(Tabel15[[#This Row],[Rood Verdediging]]&lt;&gt;"",IF(A101="",NOW(),A101),"")</f>
        <v>44093.990823842592</v>
      </c>
      <c r="B101" s="128">
        <f ca="1">IF(Tabel15[[#This Row],[Rood Verdediging]]&lt;&gt;"",IF(B101="",NOW(),B101),"")</f>
        <v>44093.990823842592</v>
      </c>
      <c r="C101" s="126">
        <f ca="1">IF(Tabel15[[#This Row],[Score]]&lt;&gt;"",IF(C101="",NOW(),C101),"")</f>
        <v>44094.004546759257</v>
      </c>
      <c r="D101" s="217">
        <f ca="1">IF(OR(Tabel15[[#This Row],[Starttijd]]="",Tabel15[[#This Row],[Eindtijd]]=""),"",Tabel15[[#This Row],[Eindtijd]]-Tabel15[[#This Row],[Starttijd]])</f>
        <v>1.3722916664846707E-2</v>
      </c>
      <c r="E101" s="74">
        <v>101</v>
      </c>
      <c r="F101" s="205" t="s">
        <v>8</v>
      </c>
      <c r="G101" s="210">
        <v>2</v>
      </c>
      <c r="H101" s="205" t="s">
        <v>6</v>
      </c>
      <c r="I101" s="210">
        <v>9</v>
      </c>
      <c r="J101" s="206" t="s">
        <v>0</v>
      </c>
      <c r="K101" s="212">
        <v>2</v>
      </c>
      <c r="L101" s="206" t="s">
        <v>18</v>
      </c>
      <c r="M101" s="212">
        <v>6</v>
      </c>
      <c r="N101" s="81">
        <f t="shared" si="11"/>
        <v>11</v>
      </c>
      <c r="O101" s="82">
        <f t="shared" si="12"/>
        <v>8</v>
      </c>
      <c r="P10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Row],[Score4]]&lt;&gt;""),IF(AND(N101&gt;O101,N101&gt;=11),"ROOD",IF(AND(O101&gt;=11,N101&lt;&gt;O101),"GROEN","")),"")</f>
        <v>ROOD</v>
      </c>
      <c r="Q101" s="86" t="str">
        <f t="shared" si="13"/>
        <v>Louis</v>
      </c>
      <c r="R101" s="87" t="str">
        <f t="shared" si="14"/>
        <v>Stef D</v>
      </c>
      <c r="S101" s="293" t="str">
        <f>Tabel15[[#This Row],[Rood Verdediging]]&amp;Tabel15[[#This Row],[Rood Aanval]]</f>
        <v>LouisStef D</v>
      </c>
      <c r="T101" s="293" t="str">
        <f>Tabel15[[#This Row],[Groen Verdediging]]&amp;Tabel15[[#This Row],[Groen Aanval]]</f>
        <v xml:space="preserve">JonasBert </v>
      </c>
      <c r="U101" s="293" t="str">
        <f>Tabel15[[#This Row],[Winnaar 1]]&amp;Tabel15[[#This Row],[Winnaar 2]]</f>
        <v>LouisStef D</v>
      </c>
      <c r="V101" s="147" t="str">
        <f>IF(Tabel15[[#This Row],[Team Rood]]=Tabel15[[#This Row],[Winnaars]],Tabel15[[#This Row],[Team Rood]])</f>
        <v>LouisStef D</v>
      </c>
      <c r="W101" s="147" t="b">
        <f>IF(Tabel15[[#This Row],[Team Groen]]=Tabel15[[#This Row],[Winnaars]],Tabel15[[#This Row],[Team Groen]])</f>
        <v>0</v>
      </c>
      <c r="X101" s="283">
        <v>21.338197725627378</v>
      </c>
      <c r="Y101" s="283">
        <v>17.19066129406983</v>
      </c>
      <c r="Z101" s="283">
        <v>-1.3346003612878601</v>
      </c>
      <c r="AA101" s="283">
        <v>-1.352010101883542</v>
      </c>
      <c r="AL101" s="251" t="s">
        <v>170</v>
      </c>
      <c r="AM101" s="233" t="s">
        <v>159</v>
      </c>
      <c r="AN101" s="140" t="str">
        <f t="shared" si="16"/>
        <v>Nico*Jonas*</v>
      </c>
      <c r="AO101" s="160">
        <f>IF(Tabel5[[#This Row],[Aantal Games Rood]]=0,0,(Tabel5[[#This Row],[Wins Rood]])/Tabel5[[#This Row],[Aantal Games Rood]])</f>
        <v>1</v>
      </c>
      <c r="AP101" s="162">
        <f>IF(Tabel5[[#This Row],[Aantal Games Groen]]=0,0,(Tabel5[[#This Row],[Wins Groen]])/Tabel5[[#This Row],[Aantal Games Groen]])</f>
        <v>0</v>
      </c>
      <c r="AQ101" s="156">
        <f>IF(Tabel5[[#This Row],[Aantal games Alg]]=0,0,(Tabel5[[#This Row],[Wins Alg]])/Tabel5[[#This Row],[Aantal games Alg]])</f>
        <v>1</v>
      </c>
      <c r="AR101" s="171">
        <f>COUNTIF(Tabel15[Winaar rood],Tabel5[[#This Row],[Team]])</f>
        <v>1</v>
      </c>
      <c r="AS101" s="164">
        <f>COUNTIF(Tabel15[Winnaar Groen],Tabel5[[#This Row],[Team]])</f>
        <v>0</v>
      </c>
      <c r="AT101" s="147">
        <f>COUNTIF(Tabel15[Winnaars],Tabel5[[#This Row],[Team]])</f>
        <v>1</v>
      </c>
      <c r="AU101" s="163">
        <f>Tabel5[[#This Row],[Aantal Games Rood]]-Tabel5[[#This Row],[Wins Rood]]</f>
        <v>0</v>
      </c>
      <c r="AV101" s="164">
        <f>Tabel5[[#This Row],[Aantal Games Groen]]-Tabel5[[#This Row],[Wins Groen]]</f>
        <v>0</v>
      </c>
      <c r="AW101" s="165">
        <f>Tabel5[[#This Row],[Aantal games Alg]]-Tabel5[[#This Row],[Wins Alg]]</f>
        <v>0</v>
      </c>
      <c r="AX101" s="166">
        <f>COUNTIF(Tabel15[Team Rood],Tabel5[[#This Row],[Team]])</f>
        <v>1</v>
      </c>
      <c r="AY101" s="164">
        <f>COUNTIF(Tabel15[Team Groen],Tabel5[[#This Row],[Team]])</f>
        <v>0</v>
      </c>
      <c r="AZ101" s="170">
        <f>Tabel5[[#This Row],[Aantal Games Rood]]+Tabel5[[#This Row],[Aantal Games Groen]]</f>
        <v>1</v>
      </c>
      <c r="BA101" s="166">
        <f>SUMIF(Tabel15[Team Rood],Tabel5[[#This Row],[Team]],Tabel15[Score])</f>
        <v>3</v>
      </c>
      <c r="BB101" s="166">
        <f>SUMIF(Tabel15[Team Rood],Tabel5[[#This Row],[Team]],Tabel15[Score2])</f>
        <v>8</v>
      </c>
      <c r="BC101" s="134">
        <f>SUMIF(Tabel15[Team Groen],Tabel5[[#This Row],[Team]],Tabel15[Score3])</f>
        <v>0</v>
      </c>
      <c r="BD101" s="164">
        <f>SUMIF(Tabel15[Team Groen],Tabel5[[#This Row],[Team]],Tabel15[Score4])</f>
        <v>0</v>
      </c>
      <c r="BE101" s="167">
        <f>SUM(Tabel5[[#This Row],[Goals Verdediger]]+Tabel5[[#This Row],[Goals DefG]])</f>
        <v>3</v>
      </c>
      <c r="BF101" s="147">
        <f>IF(Tabel5[[#This Row],[Aantal games Alg]]=0,0,Tabel5[[#This Row],[Goals DefA]]/Tabel5[[#This Row],[Aantal games Alg]])</f>
        <v>3</v>
      </c>
      <c r="BG101" s="167">
        <f>SUM(Tabel5[[#This Row],[Goals Aanvaller]]+Tabel5[[#This Row],[Goals OffG]])</f>
        <v>8</v>
      </c>
      <c r="BH101" s="147">
        <f>IF(Tabel5[[#This Row],[Aantal games Alg]]=0,0,Tabel5[[#This Row],[Goals OffA]]/Tabel5[[#This Row],[Aantal games Alg]])</f>
        <v>8</v>
      </c>
      <c r="BI101" s="147">
        <f>Tabel5[[#This Row],[Goals DefA]]+Tabel5[[#This Row],[Goals OffA]]</f>
        <v>11</v>
      </c>
      <c r="BJ101" s="147">
        <f>IF(Tabel5[[#This Row],[Aantal games Alg]]=0,0,Tabel5[[#This Row],[Goals Alg]]/Tabel5[[#This Row],[Aantal games Alg]])</f>
        <v>11</v>
      </c>
      <c r="BK101" s="148">
        <f ca="1">SUMIF(Tabel15[Team Rood],Tabel5[[#This Row],[Team]],Tabel15[ET])</f>
        <v>2.1527775970753282E-5</v>
      </c>
      <c r="BL101" s="168">
        <f>SUMIF(Tabel15[Team Groen],Tabel5[[#This Row],[Team]],Tabel15[ET])</f>
        <v>0</v>
      </c>
      <c r="BM101" s="221">
        <f ca="1">SUM(Tabel5[[#This Row],[ET Groen tot]],Tabel5[[#This Row],[ET Rood tot]])</f>
        <v>2.1527775970753282E-5</v>
      </c>
      <c r="BN101" s="155">
        <f ca="1">IF(Tabel5[[#This Row],[Aantal games Alg]]=0,0,Tabel5[[#This Row],[ET tot]]/Tabel5[[#This Row],[Aantal games Alg]])</f>
        <v>2.1527775970753282E-5</v>
      </c>
    </row>
    <row r="102" spans="1:66" x14ac:dyDescent="0.25">
      <c r="A102" s="215">
        <f ca="1">IF(Tabel15[[#This Row],[Rood Verdediging]]&lt;&gt;"",IF(A102="",NOW(),A102),"")</f>
        <v>44094.025755902781</v>
      </c>
      <c r="B102" s="128">
        <f ca="1">IF(Tabel15[[#This Row],[Rood Verdediging]]&lt;&gt;"",IF(B102="",NOW(),B102),"")</f>
        <v>44094.025755902781</v>
      </c>
      <c r="C102" s="126">
        <f ca="1">IF(Tabel15[[#This Row],[Score]]&lt;&gt;"",IF(C102="",NOW(),C102),"")</f>
        <v>44094.025802777775</v>
      </c>
      <c r="D102" s="217">
        <f ca="1">IF(OR(Tabel15[[#This Row],[Starttijd]]="",Tabel15[[#This Row],[Eindtijd]]=""),"",Tabel15[[#This Row],[Eindtijd]]-Tabel15[[#This Row],[Starttijd]])</f>
        <v>4.6874993131496012E-5</v>
      </c>
      <c r="E102" s="74">
        <v>102</v>
      </c>
      <c r="F102" s="40" t="s">
        <v>6</v>
      </c>
      <c r="G102" s="76">
        <v>0</v>
      </c>
      <c r="H102" s="40" t="s">
        <v>8</v>
      </c>
      <c r="I102" s="76">
        <v>7</v>
      </c>
      <c r="J102" s="41" t="s">
        <v>13</v>
      </c>
      <c r="K102" s="78">
        <v>4</v>
      </c>
      <c r="L102" s="41" t="s">
        <v>0</v>
      </c>
      <c r="M102" s="78">
        <v>7</v>
      </c>
      <c r="N102" s="81">
        <f t="shared" si="11"/>
        <v>7</v>
      </c>
      <c r="O102" s="82">
        <f t="shared" si="12"/>
        <v>11</v>
      </c>
      <c r="P10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Row],[Score4]]&lt;&gt;""),IF(AND(N102&gt;O102,N102&gt;=11),"ROOD",IF(AND(O102&gt;=11,N102&lt;&gt;O102),"GROEN","")),"")</f>
        <v>GROEN</v>
      </c>
      <c r="Q102" s="86" t="str">
        <f t="shared" si="13"/>
        <v>Bert</v>
      </c>
      <c r="R102" s="87" t="str">
        <f t="shared" si="14"/>
        <v>Jonas</v>
      </c>
      <c r="S102" s="293" t="str">
        <f>Tabel15[[#This Row],[Rood Verdediging]]&amp;Tabel15[[#This Row],[Rood Aanval]]</f>
        <v>Stef DLouis</v>
      </c>
      <c r="T102" s="293" t="str">
        <f>Tabel15[[#This Row],[Groen Verdediging]]&amp;Tabel15[[#This Row],[Groen Aanval]]</f>
        <v>BertJonas</v>
      </c>
      <c r="U102" s="293" t="str">
        <f>Tabel15[[#This Row],[Winnaar 1]]&amp;Tabel15[[#This Row],[Winnaar 2]]</f>
        <v>BertJonas</v>
      </c>
      <c r="V102" s="147" t="b">
        <f>IF(Tabel15[[#This Row],[Team Rood]]=Tabel15[[#This Row],[Winnaars]],Tabel15[[#This Row],[Team Rood]])</f>
        <v>0</v>
      </c>
      <c r="W102" s="147" t="str">
        <f>IF(Tabel15[[#This Row],[Team Groen]]=Tabel15[[#This Row],[Winnaars]],Tabel15[[#This Row],[Team Groen]])</f>
        <v>BertJonas</v>
      </c>
      <c r="X102" s="283">
        <v>-9.8660798046732445</v>
      </c>
      <c r="Y102" s="283">
        <v>-6.416901227218851</v>
      </c>
      <c r="Z102" s="283">
        <v>26.937247129668712</v>
      </c>
      <c r="AA102" s="283">
        <v>35.754496180651145</v>
      </c>
      <c r="AL102" s="251" t="s">
        <v>170</v>
      </c>
      <c r="AM102" s="233" t="s">
        <v>164</v>
      </c>
      <c r="AN102" s="140" t="str">
        <f t="shared" si="16"/>
        <v>Nico*Karel*</v>
      </c>
      <c r="AO102" s="160">
        <f>IF(Tabel5[[#This Row],[Aantal Games Rood]]=0,0,(Tabel5[[#This Row],[Wins Rood]])/Tabel5[[#This Row],[Aantal Games Rood]])</f>
        <v>0</v>
      </c>
      <c r="AP102" s="162">
        <f>IF(Tabel5[[#This Row],[Aantal Games Groen]]=0,0,(Tabel5[[#This Row],[Wins Groen]])/Tabel5[[#This Row],[Aantal Games Groen]])</f>
        <v>0</v>
      </c>
      <c r="AQ102" s="156">
        <f>IF(Tabel5[[#This Row],[Aantal games Alg]]=0,0,(Tabel5[[#This Row],[Wins Alg]])/Tabel5[[#This Row],[Aantal games Alg]])</f>
        <v>0</v>
      </c>
      <c r="AR102" s="171">
        <f>COUNTIF(Tabel15[Winaar rood],Tabel5[[#This Row],[Team]])</f>
        <v>0</v>
      </c>
      <c r="AS102" s="164">
        <f>COUNTIF(Tabel15[Winnaar Groen],Tabel5[[#This Row],[Team]])</f>
        <v>0</v>
      </c>
      <c r="AT102" s="147">
        <f>COUNTIF(Tabel15[Winnaars],Tabel5[[#This Row],[Team]])</f>
        <v>0</v>
      </c>
      <c r="AU102" s="163">
        <f>Tabel5[[#This Row],[Aantal Games Rood]]-Tabel5[[#This Row],[Wins Rood]]</f>
        <v>1</v>
      </c>
      <c r="AV102" s="164">
        <f>Tabel5[[#This Row],[Aantal Games Groen]]-Tabel5[[#This Row],[Wins Groen]]</f>
        <v>0</v>
      </c>
      <c r="AW102" s="165">
        <f>Tabel5[[#This Row],[Aantal games Alg]]-Tabel5[[#This Row],[Wins Alg]]</f>
        <v>1</v>
      </c>
      <c r="AX102" s="166">
        <f>COUNTIF(Tabel15[Team Rood],Tabel5[[#This Row],[Team]])</f>
        <v>1</v>
      </c>
      <c r="AY102" s="164">
        <f>COUNTIF(Tabel15[Team Groen],Tabel5[[#This Row],[Team]])</f>
        <v>0</v>
      </c>
      <c r="AZ102" s="170">
        <f>Tabel5[[#This Row],[Aantal Games Rood]]+Tabel5[[#This Row],[Aantal Games Groen]]</f>
        <v>1</v>
      </c>
      <c r="BA102" s="166">
        <f>SUMIF(Tabel15[Team Rood],Tabel5[[#This Row],[Team]],Tabel15[Score])</f>
        <v>0</v>
      </c>
      <c r="BB102" s="166">
        <f>SUMIF(Tabel15[Team Rood],Tabel5[[#This Row],[Team]],Tabel15[Score2])</f>
        <v>8</v>
      </c>
      <c r="BC102" s="134">
        <f>SUMIF(Tabel15[Team Groen],Tabel5[[#This Row],[Team]],Tabel15[Score3])</f>
        <v>0</v>
      </c>
      <c r="BD102" s="164">
        <f>SUMIF(Tabel15[Team Groen],Tabel5[[#This Row],[Team]],Tabel15[Score4])</f>
        <v>0</v>
      </c>
      <c r="BE102" s="167">
        <f>SUM(Tabel5[[#This Row],[Goals Verdediger]]+Tabel5[[#This Row],[Goals DefG]])</f>
        <v>0</v>
      </c>
      <c r="BF102" s="147">
        <f>IF(Tabel5[[#This Row],[Aantal games Alg]]=0,0,Tabel5[[#This Row],[Goals DefA]]/Tabel5[[#This Row],[Aantal games Alg]])</f>
        <v>0</v>
      </c>
      <c r="BG102" s="167">
        <f>SUM(Tabel5[[#This Row],[Goals Aanvaller]]+Tabel5[[#This Row],[Goals OffG]])</f>
        <v>8</v>
      </c>
      <c r="BH102" s="147">
        <f>IF(Tabel5[[#This Row],[Aantal games Alg]]=0,0,Tabel5[[#This Row],[Goals OffA]]/Tabel5[[#This Row],[Aantal games Alg]])</f>
        <v>8</v>
      </c>
      <c r="BI102" s="147">
        <f>Tabel5[[#This Row],[Goals DefA]]+Tabel5[[#This Row],[Goals OffA]]</f>
        <v>8</v>
      </c>
      <c r="BJ102" s="147">
        <f>IF(Tabel5[[#This Row],[Aantal games Alg]]=0,0,Tabel5[[#This Row],[Goals Alg]]/Tabel5[[#This Row],[Aantal games Alg]])</f>
        <v>8</v>
      </c>
      <c r="BK102" s="148">
        <f>SUMIF(Tabel15[Team Rood],Tabel5[[#This Row],[Team]],Tabel15[ET])</f>
        <v>0</v>
      </c>
      <c r="BL102" s="168">
        <f>SUMIF(Tabel15[Team Groen],Tabel5[[#This Row],[Team]],Tabel15[ET])</f>
        <v>0</v>
      </c>
      <c r="BM102" s="221">
        <f>SUM(Tabel5[[#This Row],[ET Groen tot]],Tabel5[[#This Row],[ET Rood tot]])</f>
        <v>0</v>
      </c>
      <c r="BN102" s="155">
        <f>IF(Tabel5[[#This Row],[Aantal games Alg]]=0,0,Tabel5[[#This Row],[ET tot]]/Tabel5[[#This Row],[Aantal games Alg]])</f>
        <v>0</v>
      </c>
    </row>
    <row r="103" spans="1:66" x14ac:dyDescent="0.25">
      <c r="A103" s="215">
        <f ca="1">IF(Tabel15[[#This Row],[Rood Verdediging]]&lt;&gt;"",IF(A103="",NOW(),A103),"")</f>
        <v>44121.876709143522</v>
      </c>
      <c r="B103" s="128">
        <f ca="1">IF(Tabel15[[#This Row],[Rood Verdediging]]&lt;&gt;"",IF(B103="",NOW(),B103),"")</f>
        <v>44121.876709143522</v>
      </c>
      <c r="C103" s="126">
        <f ca="1">IF(Tabel15[[#This Row],[Score]]&lt;&gt;"",IF(C103="",NOW(),C103),"")</f>
        <v>44121.876740624997</v>
      </c>
      <c r="D103" s="217">
        <f ca="1">IF(OR(Tabel15[[#This Row],[Starttijd]]="",Tabel15[[#This Row],[Eindtijd]]=""),"",Tabel15[[#This Row],[Eindtijd]]-Tabel15[[#This Row],[Starttijd]])</f>
        <v>3.1481475161854178E-5</v>
      </c>
      <c r="E103" s="74">
        <v>103</v>
      </c>
      <c r="F103" s="40" t="s">
        <v>19</v>
      </c>
      <c r="G103" s="76">
        <v>2</v>
      </c>
      <c r="H103" s="40" t="s">
        <v>6</v>
      </c>
      <c r="I103" s="76">
        <v>9</v>
      </c>
      <c r="J103" s="41" t="s">
        <v>0</v>
      </c>
      <c r="K103" s="78">
        <v>4</v>
      </c>
      <c r="L103" s="41" t="s">
        <v>3</v>
      </c>
      <c r="M103" s="78">
        <v>9</v>
      </c>
      <c r="N103" s="81">
        <f t="shared" si="11"/>
        <v>11</v>
      </c>
      <c r="O103" s="82">
        <f t="shared" si="12"/>
        <v>13</v>
      </c>
      <c r="P10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Row],[Score4]]&lt;&gt;""),IF(AND(N103&gt;O103,N103&gt;=11),"ROOD",IF(AND(O103&gt;=11,N103&lt;&gt;O103),"GROEN","")),"")</f>
        <v>GROEN</v>
      </c>
      <c r="Q103" s="86" t="str">
        <f t="shared" si="13"/>
        <v>Jonas</v>
      </c>
      <c r="R103" s="87" t="str">
        <f t="shared" si="14"/>
        <v>Karel</v>
      </c>
      <c r="S103" s="293" t="str">
        <f>Tabel15[[#This Row],[Rood Verdediging]]&amp;Tabel15[[#This Row],[Rood Aanval]]</f>
        <v>NicolasStef D</v>
      </c>
      <c r="T103" s="293" t="str">
        <f>Tabel15[[#This Row],[Groen Verdediging]]&amp;Tabel15[[#This Row],[Groen Aanval]]</f>
        <v>JonasKarel</v>
      </c>
      <c r="U103" s="293" t="str">
        <f>Tabel15[[#This Row],[Winnaar 1]]&amp;Tabel15[[#This Row],[Winnaar 2]]</f>
        <v>JonasKarel</v>
      </c>
      <c r="V103" s="147" t="b">
        <f>IF(Tabel15[[#This Row],[Team Rood]]=Tabel15[[#This Row],[Winnaars]],Tabel15[[#This Row],[Team Rood]])</f>
        <v>0</v>
      </c>
      <c r="W103" s="147" t="str">
        <f>IF(Tabel15[[#This Row],[Team Groen]]=Tabel15[[#This Row],[Winnaars]],Tabel15[[#This Row],[Team Groen]])</f>
        <v>JonasKarel</v>
      </c>
      <c r="X103" s="283">
        <v>1.1311515459442147</v>
      </c>
      <c r="Y103" s="283">
        <v>0.73363386309532397</v>
      </c>
      <c r="Z103" s="283">
        <v>18.469592116411846</v>
      </c>
      <c r="AA103" s="283">
        <v>13.685843903535087</v>
      </c>
      <c r="AL103" s="251" t="s">
        <v>170</v>
      </c>
      <c r="AM103" s="233" t="s">
        <v>67</v>
      </c>
      <c r="AN103" s="140" t="str">
        <f t="shared" si="16"/>
        <v>Nico*Lawrence</v>
      </c>
      <c r="AO103" s="160">
        <f>IF(Tabel5[[#This Row],[Aantal Games Rood]]=0,0,(Tabel5[[#This Row],[Wins Rood]])/Tabel5[[#This Row],[Aantal Games Rood]])</f>
        <v>0</v>
      </c>
      <c r="AP103" s="162">
        <f>IF(Tabel5[[#This Row],[Aantal Games Groen]]=0,0,(Tabel5[[#This Row],[Wins Groen]])/Tabel5[[#This Row],[Aantal Games Groen]])</f>
        <v>0</v>
      </c>
      <c r="AQ103" s="156">
        <f>IF(Tabel5[[#This Row],[Aantal games Alg]]=0,0,(Tabel5[[#This Row],[Wins Alg]])/Tabel5[[#This Row],[Aantal games Alg]])</f>
        <v>0</v>
      </c>
      <c r="AR103" s="171">
        <f>COUNTIF(Tabel15[Winaar rood],Tabel5[[#This Row],[Team]])</f>
        <v>0</v>
      </c>
      <c r="AS103" s="164">
        <f>COUNTIF(Tabel15[Winnaar Groen],Tabel5[[#This Row],[Team]])</f>
        <v>0</v>
      </c>
      <c r="AT103" s="147">
        <f>COUNTIF(Tabel15[Winnaars],Tabel5[[#This Row],[Team]])</f>
        <v>0</v>
      </c>
      <c r="AU103" s="163">
        <f>Tabel5[[#This Row],[Aantal Games Rood]]-Tabel5[[#This Row],[Wins Rood]]</f>
        <v>0</v>
      </c>
      <c r="AV103" s="164">
        <f>Tabel5[[#This Row],[Aantal Games Groen]]-Tabel5[[#This Row],[Wins Groen]]</f>
        <v>0</v>
      </c>
      <c r="AW103" s="165">
        <f>Tabel5[[#This Row],[Aantal games Alg]]-Tabel5[[#This Row],[Wins Alg]]</f>
        <v>0</v>
      </c>
      <c r="AX103" s="166">
        <f>COUNTIF(Tabel15[Team Rood],Tabel5[[#This Row],[Team]])</f>
        <v>0</v>
      </c>
      <c r="AY103" s="164">
        <f>COUNTIF(Tabel15[Team Groen],Tabel5[[#This Row],[Team]])</f>
        <v>0</v>
      </c>
      <c r="AZ103" s="170">
        <f>Tabel5[[#This Row],[Aantal Games Rood]]+Tabel5[[#This Row],[Aantal Games Groen]]</f>
        <v>0</v>
      </c>
      <c r="BA103" s="166">
        <f>SUMIF(Tabel15[Team Rood],Tabel5[[#This Row],[Team]],Tabel15[Score])</f>
        <v>0</v>
      </c>
      <c r="BB103" s="166">
        <f>SUMIF(Tabel15[Team Rood],Tabel5[[#This Row],[Team]],Tabel15[Score2])</f>
        <v>0</v>
      </c>
      <c r="BC103" s="134">
        <f>SUMIF(Tabel15[Team Groen],Tabel5[[#This Row],[Team]],Tabel15[Score3])</f>
        <v>0</v>
      </c>
      <c r="BD103" s="164">
        <f>SUMIF(Tabel15[Team Groen],Tabel5[[#This Row],[Team]],Tabel15[Score4])</f>
        <v>0</v>
      </c>
      <c r="BE103" s="167">
        <f>SUM(Tabel5[[#This Row],[Goals Verdediger]]+Tabel5[[#This Row],[Goals DefG]])</f>
        <v>0</v>
      </c>
      <c r="BF103" s="147">
        <f>IF(Tabel5[[#This Row],[Aantal games Alg]]=0,0,Tabel5[[#This Row],[Goals DefA]]/Tabel5[[#This Row],[Aantal games Alg]])</f>
        <v>0</v>
      </c>
      <c r="BG103" s="167">
        <f>SUM(Tabel5[[#This Row],[Goals Aanvaller]]+Tabel5[[#This Row],[Goals OffG]])</f>
        <v>0</v>
      </c>
      <c r="BH103" s="147">
        <f>IF(Tabel5[[#This Row],[Aantal games Alg]]=0,0,Tabel5[[#This Row],[Goals OffA]]/Tabel5[[#This Row],[Aantal games Alg]])</f>
        <v>0</v>
      </c>
      <c r="BI103" s="147">
        <f>Tabel5[[#This Row],[Goals DefA]]+Tabel5[[#This Row],[Goals OffA]]</f>
        <v>0</v>
      </c>
      <c r="BJ103" s="147">
        <f>IF(Tabel5[[#This Row],[Aantal games Alg]]=0,0,Tabel5[[#This Row],[Goals Alg]]/Tabel5[[#This Row],[Aantal games Alg]])</f>
        <v>0</v>
      </c>
      <c r="BK103" s="148">
        <f>SUMIF(Tabel15[Team Rood],Tabel5[[#This Row],[Team]],Tabel15[ET])</f>
        <v>0</v>
      </c>
      <c r="BL103" s="168">
        <f>SUMIF(Tabel15[Team Groen],Tabel5[[#This Row],[Team]],Tabel15[ET])</f>
        <v>0</v>
      </c>
      <c r="BM103" s="221">
        <f>SUM(Tabel5[[#This Row],[ET Groen tot]],Tabel5[[#This Row],[ET Rood tot]])</f>
        <v>0</v>
      </c>
      <c r="BN103" s="155">
        <f>IF(Tabel5[[#This Row],[Aantal games Alg]]=0,0,Tabel5[[#This Row],[ET tot]]/Tabel5[[#This Row],[Aantal games Alg]])</f>
        <v>0</v>
      </c>
    </row>
    <row r="104" spans="1:66" x14ac:dyDescent="0.25">
      <c r="A104" s="215">
        <f ca="1">IF(Tabel15[[#This Row],[Rood Verdediging]]&lt;&gt;"",IF(A104="",NOW(),A104),"")</f>
        <v>44121.879496180554</v>
      </c>
      <c r="B104" s="128">
        <f ca="1">IF(Tabel15[[#This Row],[Rood Verdediging]]&lt;&gt;"",IF(B104="",NOW(),B104),"")</f>
        <v>44121.879496180554</v>
      </c>
      <c r="C104" s="126">
        <f ca="1">IF(Tabel15[[#This Row],[Score]]&lt;&gt;"",IF(C104="",NOW(),C104),"")</f>
        <v>44121.891127083334</v>
      </c>
      <c r="D104" s="217">
        <f ca="1">IF(OR(Tabel15[[#This Row],[Starttijd]]="",Tabel15[[#This Row],[Eindtijd]]=""),"",Tabel15[[#This Row],[Eindtijd]]-Tabel15[[#This Row],[Starttijd]])</f>
        <v>1.1630902779870667E-2</v>
      </c>
      <c r="E104" s="74">
        <v>104</v>
      </c>
      <c r="F104" s="40" t="s">
        <v>8</v>
      </c>
      <c r="G104" s="76">
        <v>4</v>
      </c>
      <c r="H104" s="40" t="s">
        <v>3</v>
      </c>
      <c r="I104" s="76">
        <v>7</v>
      </c>
      <c r="J104" s="41" t="s">
        <v>6</v>
      </c>
      <c r="K104" s="78">
        <v>3</v>
      </c>
      <c r="L104" s="41" t="s">
        <v>0</v>
      </c>
      <c r="M104" s="78">
        <v>4</v>
      </c>
      <c r="N104" s="81">
        <f t="shared" si="11"/>
        <v>11</v>
      </c>
      <c r="O104" s="82">
        <f t="shared" si="12"/>
        <v>7</v>
      </c>
      <c r="P10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Row],[Score4]]&lt;&gt;""),IF(AND(N104&gt;O104,N104&gt;=11),"ROOD",IF(AND(O104&gt;=11,N104&lt;&gt;O104),"GROEN","")),"")</f>
        <v>ROOD</v>
      </c>
      <c r="Q104" s="86" t="str">
        <f t="shared" si="13"/>
        <v>Louis</v>
      </c>
      <c r="R104" s="87" t="str">
        <f t="shared" si="14"/>
        <v>Karel</v>
      </c>
      <c r="S104" s="293" t="str">
        <f>Tabel15[[#This Row],[Rood Verdediging]]&amp;Tabel15[[#This Row],[Rood Aanval]]</f>
        <v>LouisKarel</v>
      </c>
      <c r="T104" s="293" t="str">
        <f>Tabel15[[#This Row],[Groen Verdediging]]&amp;Tabel15[[#This Row],[Groen Aanval]]</f>
        <v>Stef DJonas</v>
      </c>
      <c r="U104" s="293" t="str">
        <f>Tabel15[[#This Row],[Winnaar 1]]&amp;Tabel15[[#This Row],[Winnaar 2]]</f>
        <v>LouisKarel</v>
      </c>
      <c r="V104" s="147" t="str">
        <f>IF(Tabel15[[#This Row],[Team Rood]]=Tabel15[[#This Row],[Winnaars]],Tabel15[[#This Row],[Team Rood]])</f>
        <v>LouisKarel</v>
      </c>
      <c r="W104" s="147" t="b">
        <f>IF(Tabel15[[#This Row],[Team Groen]]=Tabel15[[#This Row],[Winnaars]],Tabel15[[#This Row],[Team Groen]])</f>
        <v>0</v>
      </c>
      <c r="X104" s="283">
        <v>27.487982312990468</v>
      </c>
      <c r="Y104" s="283">
        <v>27.65457369186419</v>
      </c>
      <c r="Z104" s="283">
        <v>-6.8731576656092184</v>
      </c>
      <c r="AA104" s="283">
        <v>-5.3982484262748542</v>
      </c>
      <c r="AL104" s="251" t="s">
        <v>170</v>
      </c>
      <c r="AM104" s="233" t="s">
        <v>161</v>
      </c>
      <c r="AN104" s="140" t="str">
        <f t="shared" si="16"/>
        <v>Nico*Louis*</v>
      </c>
      <c r="AO104" s="160">
        <f>IF(Tabel5[[#This Row],[Aantal Games Rood]]=0,0,(Tabel5[[#This Row],[Wins Rood]])/Tabel5[[#This Row],[Aantal Games Rood]])</f>
        <v>0</v>
      </c>
      <c r="AP104" s="159">
        <f>IF(Tabel5[[#This Row],[Aantal Games Groen]]=0,0,(Tabel5[[#This Row],[Wins Groen]])/Tabel5[[#This Row],[Aantal Games Groen]])</f>
        <v>0</v>
      </c>
      <c r="AQ104" s="156">
        <f>IF(Tabel5[[#This Row],[Aantal games Alg]]=0,0,(Tabel5[[#This Row],[Wins Alg]])/Tabel5[[#This Row],[Aantal games Alg]])</f>
        <v>0</v>
      </c>
      <c r="AR104" s="171">
        <f>COUNTIF(Tabel15[Winaar rood],Tabel5[[#This Row],[Team]])</f>
        <v>0</v>
      </c>
      <c r="AS104" s="169">
        <f>COUNTIF(Tabel15[Winnaar Groen],Tabel5[[#This Row],[Team]])</f>
        <v>0</v>
      </c>
      <c r="AT104" s="170">
        <f>COUNTIF(Tabel15[Winnaars],Tabel5[[#This Row],[Team]])</f>
        <v>0</v>
      </c>
      <c r="AU104" s="163">
        <f>Tabel5[[#This Row],[Aantal Games Rood]]-Tabel5[[#This Row],[Wins Rood]]</f>
        <v>0</v>
      </c>
      <c r="AV104" s="169">
        <f>Tabel5[[#This Row],[Aantal Games Groen]]-Tabel5[[#This Row],[Wins Groen]]</f>
        <v>1</v>
      </c>
      <c r="AW104" s="165">
        <f>Tabel5[[#This Row],[Aantal games Alg]]-Tabel5[[#This Row],[Wins Alg]]</f>
        <v>1</v>
      </c>
      <c r="AX104" s="171">
        <f>COUNTIF(Tabel15[Team Rood],Tabel5[[#This Row],[Team]])</f>
        <v>0</v>
      </c>
      <c r="AY104" s="169">
        <f>COUNTIF(Tabel15[Team Groen],Tabel5[[#This Row],[Team]])</f>
        <v>1</v>
      </c>
      <c r="AZ104" s="170">
        <f>Tabel5[[#This Row],[Aantal Games Rood]]+Tabel5[[#This Row],[Aantal Games Groen]]</f>
        <v>1</v>
      </c>
      <c r="BA104" s="171">
        <f>SUMIF(Tabel15[Team Rood],Tabel5[[#This Row],[Team]],Tabel15[Score])</f>
        <v>0</v>
      </c>
      <c r="BB104" s="171">
        <f>SUMIF(Tabel15[Team Rood],Tabel5[[#This Row],[Team]],Tabel15[Score2])</f>
        <v>0</v>
      </c>
      <c r="BC104" s="136">
        <f>SUMIF(Tabel15[Team Groen],Tabel5[[#This Row],[Team]],Tabel15[Score3])</f>
        <v>2</v>
      </c>
      <c r="BD104" s="169">
        <f>SUMIF(Tabel15[Team Groen],Tabel5[[#This Row],[Team]],Tabel15[Score4])</f>
        <v>3</v>
      </c>
      <c r="BE104" s="172">
        <f>SUM(Tabel5[[#This Row],[Goals Verdediger]]+Tabel5[[#This Row],[Goals DefG]])</f>
        <v>2</v>
      </c>
      <c r="BF104" s="170">
        <f>IF(Tabel5[[#This Row],[Aantal games Alg]]=0,0,Tabel5[[#This Row],[Goals DefA]]/Tabel5[[#This Row],[Aantal games Alg]])</f>
        <v>2</v>
      </c>
      <c r="BG104" s="172">
        <f>SUM(Tabel5[[#This Row],[Goals Aanvaller]]+Tabel5[[#This Row],[Goals OffG]])</f>
        <v>3</v>
      </c>
      <c r="BH104" s="170">
        <f>IF(Tabel5[[#This Row],[Aantal games Alg]]=0,0,Tabel5[[#This Row],[Goals OffA]]/Tabel5[[#This Row],[Aantal games Alg]])</f>
        <v>3</v>
      </c>
      <c r="BI104" s="170">
        <f>Tabel5[[#This Row],[Goals DefA]]+Tabel5[[#This Row],[Goals OffA]]</f>
        <v>5</v>
      </c>
      <c r="BJ104" s="170">
        <f>IF(Tabel5[[#This Row],[Aantal games Alg]]=0,0,Tabel5[[#This Row],[Goals Alg]]/Tabel5[[#This Row],[Aantal games Alg]])</f>
        <v>5</v>
      </c>
      <c r="BK104" s="148">
        <f>SUMIF(Tabel15[Team Rood],Tabel5[[#This Row],[Team]],Tabel15[ET])</f>
        <v>0</v>
      </c>
      <c r="BL104" s="150">
        <f ca="1">SUMIF(Tabel15[Team Groen],Tabel5[[#This Row],[Team]],Tabel15[ET])</f>
        <v>6.8171291786711663E-5</v>
      </c>
      <c r="BM104" s="153">
        <f ca="1">SUM(Tabel5[[#This Row],[ET Groen tot]],Tabel5[[#This Row],[ET Rood tot]])</f>
        <v>6.8171291786711663E-5</v>
      </c>
      <c r="BN104" s="155">
        <f ca="1">IF(Tabel5[[#This Row],[Aantal games Alg]]=0,0,Tabel5[[#This Row],[ET tot]]/Tabel5[[#This Row],[Aantal games Alg]])</f>
        <v>6.8171291786711663E-5</v>
      </c>
    </row>
    <row r="105" spans="1:66" x14ac:dyDescent="0.25">
      <c r="A105" s="215">
        <f ca="1">IF(Tabel15[[#This Row],[Rood Verdediging]]&lt;&gt;"",IF(A105="",NOW(),A105),"")</f>
        <v>44121.903821990738</v>
      </c>
      <c r="B105" s="128">
        <f ca="1">IF(Tabel15[[#This Row],[Rood Verdediging]]&lt;&gt;"",IF(B105="",NOW(),B105),"")</f>
        <v>44121.903821990738</v>
      </c>
      <c r="C105" s="126">
        <f ca="1">IF(Tabel15[[#This Row],[Score]]&lt;&gt;"",IF(C105="",NOW(),C105),"")</f>
        <v>44121.911309027775</v>
      </c>
      <c r="D105" s="217">
        <f ca="1">IF(OR(Tabel15[[#This Row],[Starttijd]]="",Tabel15[[#This Row],[Eindtijd]]=""),"",Tabel15[[#This Row],[Eindtijd]]-Tabel15[[#This Row],[Starttijd]])</f>
        <v>7.4870370372082107E-3</v>
      </c>
      <c r="E105" s="74">
        <v>105</v>
      </c>
      <c r="F105" s="40" t="s">
        <v>0</v>
      </c>
      <c r="G105" s="76">
        <v>6</v>
      </c>
      <c r="H105" s="40" t="s">
        <v>8</v>
      </c>
      <c r="I105" s="76">
        <v>5</v>
      </c>
      <c r="J105" s="41" t="s">
        <v>3</v>
      </c>
      <c r="K105" s="78">
        <v>4</v>
      </c>
      <c r="L105" s="41" t="s">
        <v>19</v>
      </c>
      <c r="M105" s="78">
        <v>1</v>
      </c>
      <c r="N105" s="81">
        <f t="shared" si="11"/>
        <v>11</v>
      </c>
      <c r="O105" s="82">
        <f t="shared" si="12"/>
        <v>5</v>
      </c>
      <c r="P10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Row],[Score4]]&lt;&gt;""),IF(AND(N105&gt;O105,N105&gt;=11),"ROOD",IF(AND(O105&gt;=11,N105&lt;&gt;O105),"GROEN","")),"")</f>
        <v>ROOD</v>
      </c>
      <c r="Q105" s="86" t="str">
        <f t="shared" si="13"/>
        <v>Jonas</v>
      </c>
      <c r="R105" s="87" t="str">
        <f t="shared" si="14"/>
        <v>Louis</v>
      </c>
      <c r="S105" s="293" t="str">
        <f>Tabel15[[#This Row],[Rood Verdediging]]&amp;Tabel15[[#This Row],[Rood Aanval]]</f>
        <v>JonasLouis</v>
      </c>
      <c r="T105" s="293" t="str">
        <f>Tabel15[[#This Row],[Groen Verdediging]]&amp;Tabel15[[#This Row],[Groen Aanval]]</f>
        <v>KarelNicolas</v>
      </c>
      <c r="U105" s="293" t="str">
        <f>Tabel15[[#This Row],[Winnaar 1]]&amp;Tabel15[[#This Row],[Winnaar 2]]</f>
        <v>JonasLouis</v>
      </c>
      <c r="V105" s="147" t="str">
        <f>IF(Tabel15[[#This Row],[Team Rood]]=Tabel15[[#This Row],[Winnaars]],Tabel15[[#This Row],[Team Rood]])</f>
        <v>JonasLouis</v>
      </c>
      <c r="W105" s="147" t="b">
        <f>IF(Tabel15[[#This Row],[Team Groen]]=Tabel15[[#This Row],[Winnaars]],Tabel15[[#This Row],[Team Groen]])</f>
        <v>0</v>
      </c>
      <c r="X105" s="283">
        <v>11.231667590271242</v>
      </c>
      <c r="Y105" s="283">
        <v>17.039283899959916</v>
      </c>
      <c r="Z105" s="283">
        <v>0.81305934218445641</v>
      </c>
      <c r="AA105" s="283">
        <v>1.3250225710986741</v>
      </c>
      <c r="AL105" s="251" t="s">
        <v>170</v>
      </c>
      <c r="AM105" s="233" t="s">
        <v>162</v>
      </c>
      <c r="AN105" s="140" t="str">
        <f t="shared" si="16"/>
        <v>Nico*Matthijs*</v>
      </c>
      <c r="AO105" s="160">
        <f>IF(Tabel5[[#This Row],[Aantal Games Rood]]=0,0,(Tabel5[[#This Row],[Wins Rood]])/Tabel5[[#This Row],[Aantal Games Rood]])</f>
        <v>0</v>
      </c>
      <c r="AP105" s="162">
        <f>IF(Tabel5[[#This Row],[Aantal Games Groen]]=0,0,(Tabel5[[#This Row],[Wins Groen]])/Tabel5[[#This Row],[Aantal Games Groen]])</f>
        <v>0</v>
      </c>
      <c r="AQ105" s="156">
        <f>IF(Tabel5[[#This Row],[Aantal games Alg]]=0,0,(Tabel5[[#This Row],[Wins Alg]])/Tabel5[[#This Row],[Aantal games Alg]])</f>
        <v>0</v>
      </c>
      <c r="AR105" s="171">
        <f>COUNTIF(Tabel15[Winaar rood],Tabel5[[#This Row],[Team]])</f>
        <v>0</v>
      </c>
      <c r="AS105" s="164">
        <f>COUNTIF(Tabel15[Winnaar Groen],Tabel5[[#This Row],[Team]])</f>
        <v>0</v>
      </c>
      <c r="AT105" s="147">
        <f>COUNTIF(Tabel15[Winnaars],Tabel5[[#This Row],[Team]])</f>
        <v>0</v>
      </c>
      <c r="AU105" s="163">
        <f>Tabel5[[#This Row],[Aantal Games Rood]]-Tabel5[[#This Row],[Wins Rood]]</f>
        <v>2</v>
      </c>
      <c r="AV105" s="164">
        <f>Tabel5[[#This Row],[Aantal Games Groen]]-Tabel5[[#This Row],[Wins Groen]]</f>
        <v>0</v>
      </c>
      <c r="AW105" s="165">
        <f>Tabel5[[#This Row],[Aantal games Alg]]-Tabel5[[#This Row],[Wins Alg]]</f>
        <v>2</v>
      </c>
      <c r="AX105" s="166">
        <f>COUNTIF(Tabel15[Team Rood],Tabel5[[#This Row],[Team]])</f>
        <v>2</v>
      </c>
      <c r="AY105" s="164">
        <f>COUNTIF(Tabel15[Team Groen],Tabel5[[#This Row],[Team]])</f>
        <v>0</v>
      </c>
      <c r="AZ105" s="170">
        <f>Tabel5[[#This Row],[Aantal Games Rood]]+Tabel5[[#This Row],[Aantal Games Groen]]</f>
        <v>2</v>
      </c>
      <c r="BA105" s="166">
        <f>SUMIF(Tabel15[Team Rood],Tabel5[[#This Row],[Team]],Tabel15[Score])</f>
        <v>3</v>
      </c>
      <c r="BB105" s="166">
        <f>SUMIF(Tabel15[Team Rood],Tabel5[[#This Row],[Team]],Tabel15[Score2])</f>
        <v>7</v>
      </c>
      <c r="BC105" s="134">
        <f>SUMIF(Tabel15[Team Groen],Tabel5[[#This Row],[Team]],Tabel15[Score3])</f>
        <v>0</v>
      </c>
      <c r="BD105" s="164">
        <f>SUMIF(Tabel15[Team Groen],Tabel5[[#This Row],[Team]],Tabel15[Score4])</f>
        <v>0</v>
      </c>
      <c r="BE105" s="167">
        <f>SUM(Tabel5[[#This Row],[Goals Verdediger]]+Tabel5[[#This Row],[Goals DefG]])</f>
        <v>3</v>
      </c>
      <c r="BF105" s="147">
        <f>IF(Tabel5[[#This Row],[Aantal games Alg]]=0,0,Tabel5[[#This Row],[Goals DefA]]/Tabel5[[#This Row],[Aantal games Alg]])</f>
        <v>1.5</v>
      </c>
      <c r="BG105" s="167">
        <f>SUM(Tabel5[[#This Row],[Goals Aanvaller]]+Tabel5[[#This Row],[Goals OffG]])</f>
        <v>7</v>
      </c>
      <c r="BH105" s="147">
        <f>IF(Tabel5[[#This Row],[Aantal games Alg]]=0,0,Tabel5[[#This Row],[Goals OffA]]/Tabel5[[#This Row],[Aantal games Alg]])</f>
        <v>3.5</v>
      </c>
      <c r="BI105" s="147">
        <f>Tabel5[[#This Row],[Goals DefA]]+Tabel5[[#This Row],[Goals OffA]]</f>
        <v>10</v>
      </c>
      <c r="BJ105" s="147">
        <f>IF(Tabel5[[#This Row],[Aantal games Alg]]=0,0,Tabel5[[#This Row],[Goals Alg]]/Tabel5[[#This Row],[Aantal games Alg]])</f>
        <v>5</v>
      </c>
      <c r="BK105" s="148">
        <f ca="1">SUMIF(Tabel15[Team Rood],Tabel5[[#This Row],[Team]],Tabel15[ET])</f>
        <v>5.6004629586823285E-3</v>
      </c>
      <c r="BL105" s="168">
        <f>SUMIF(Tabel15[Team Groen],Tabel5[[#This Row],[Team]],Tabel15[ET])</f>
        <v>0</v>
      </c>
      <c r="BM105" s="221">
        <f ca="1">SUM(Tabel5[[#This Row],[ET Groen tot]],Tabel5[[#This Row],[ET Rood tot]])</f>
        <v>5.6004629586823285E-3</v>
      </c>
      <c r="BN105" s="155">
        <f ca="1">IF(Tabel5[[#This Row],[Aantal games Alg]]=0,0,Tabel5[[#This Row],[ET tot]]/Tabel5[[#This Row],[Aantal games Alg]])</f>
        <v>2.8002314793411642E-3</v>
      </c>
    </row>
    <row r="106" spans="1:66" x14ac:dyDescent="0.25">
      <c r="A106" s="215">
        <f ca="1">IF(Tabel15[[#This Row],[Rood Verdediging]]&lt;&gt;"",IF(A106="",NOW(),A106),"")</f>
        <v>44121.924484490744</v>
      </c>
      <c r="B106" s="128">
        <f ca="1">IF(Tabel15[[#This Row],[Rood Verdediging]]&lt;&gt;"",IF(B106="",NOW(),B106),"")</f>
        <v>44121.924484490744</v>
      </c>
      <c r="C106" s="126">
        <f ca="1">IF(Tabel15[[#This Row],[Score]]&lt;&gt;"",IF(C106="",NOW(),C106),"")</f>
        <v>44121.92450601852</v>
      </c>
      <c r="D106" s="217">
        <f ca="1">IF(OR(Tabel15[[#This Row],[Starttijd]]="",Tabel15[[#This Row],[Eindtijd]]=""),"",Tabel15[[#This Row],[Eindtijd]]-Tabel15[[#This Row],[Starttijd]])</f>
        <v>2.1527775970753282E-5</v>
      </c>
      <c r="E106" s="74">
        <v>106</v>
      </c>
      <c r="F106" s="40" t="s">
        <v>19</v>
      </c>
      <c r="G106" s="76">
        <v>3</v>
      </c>
      <c r="H106" s="40" t="s">
        <v>0</v>
      </c>
      <c r="I106" s="76">
        <v>8</v>
      </c>
      <c r="J106" s="41" t="s">
        <v>6</v>
      </c>
      <c r="K106" s="78">
        <v>2</v>
      </c>
      <c r="L106" s="41" t="s">
        <v>8</v>
      </c>
      <c r="M106" s="78">
        <v>3</v>
      </c>
      <c r="N106" s="81">
        <f t="shared" si="11"/>
        <v>11</v>
      </c>
      <c r="O106" s="82">
        <f t="shared" si="12"/>
        <v>5</v>
      </c>
      <c r="P10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Row],[Score4]]&lt;&gt;""),IF(AND(N106&gt;O106,N106&gt;=11),"ROOD",IF(AND(O106&gt;=11,N106&lt;&gt;O106),"GROEN","")),"")</f>
        <v>ROOD</v>
      </c>
      <c r="Q106" s="86" t="str">
        <f t="shared" si="13"/>
        <v>Nicolas</v>
      </c>
      <c r="R106" s="87" t="str">
        <f t="shared" si="14"/>
        <v>Jonas</v>
      </c>
      <c r="S106" s="293" t="str">
        <f>Tabel15[[#This Row],[Rood Verdediging]]&amp;Tabel15[[#This Row],[Rood Aanval]]</f>
        <v>NicolasJonas</v>
      </c>
      <c r="T106" s="293" t="str">
        <f>Tabel15[[#This Row],[Groen Verdediging]]&amp;Tabel15[[#This Row],[Groen Aanval]]</f>
        <v>Stef DLouis</v>
      </c>
      <c r="U106" s="293" t="str">
        <f>Tabel15[[#This Row],[Winnaar 1]]&amp;Tabel15[[#This Row],[Winnaar 2]]</f>
        <v>NicolasJonas</v>
      </c>
      <c r="V106" s="147" t="str">
        <f>IF(Tabel15[[#This Row],[Team Rood]]=Tabel15[[#This Row],[Winnaars]],Tabel15[[#This Row],[Team Rood]])</f>
        <v>NicolasJonas</v>
      </c>
      <c r="W106" s="147" t="b">
        <f>IF(Tabel15[[#This Row],[Team Groen]]=Tabel15[[#This Row],[Winnaars]],Tabel15[[#This Row],[Team Groen]])</f>
        <v>0</v>
      </c>
      <c r="X106" s="283">
        <v>46.943628226933242</v>
      </c>
      <c r="Y106" s="283">
        <v>45.76486911128012</v>
      </c>
      <c r="Z106" s="283">
        <v>-15.881750517862102</v>
      </c>
      <c r="AA106" s="283">
        <v>-13.445194332850694</v>
      </c>
      <c r="AL106" s="251" t="s">
        <v>170</v>
      </c>
      <c r="AM106" s="233" t="s">
        <v>169</v>
      </c>
      <c r="AN106" s="140" t="str">
        <f t="shared" si="16"/>
        <v>Nico*Stef*</v>
      </c>
      <c r="AO106" s="160">
        <f>IF(Tabel5[[#This Row],[Aantal Games Rood]]=0,0,(Tabel5[[#This Row],[Wins Rood]])/Tabel5[[#This Row],[Aantal Games Rood]])</f>
        <v>0.5</v>
      </c>
      <c r="AP106" s="162">
        <f>IF(Tabel5[[#This Row],[Aantal Games Groen]]=0,0,(Tabel5[[#This Row],[Wins Groen]])/Tabel5[[#This Row],[Aantal Games Groen]])</f>
        <v>0</v>
      </c>
      <c r="AQ106" s="156">
        <f>IF(Tabel5[[#This Row],[Aantal games Alg]]=0,0,(Tabel5[[#This Row],[Wins Alg]])/Tabel5[[#This Row],[Aantal games Alg]])</f>
        <v>0.4</v>
      </c>
      <c r="AR106" s="171">
        <f>COUNTIF(Tabel15[Winaar rood],Tabel5[[#This Row],[Team]])</f>
        <v>2</v>
      </c>
      <c r="AS106" s="164">
        <f>COUNTIF(Tabel15[Winnaar Groen],Tabel5[[#This Row],[Team]])</f>
        <v>0</v>
      </c>
      <c r="AT106" s="147">
        <f>COUNTIF(Tabel15[Winnaars],Tabel5[[#This Row],[Team]])</f>
        <v>2</v>
      </c>
      <c r="AU106" s="163">
        <f>Tabel5[[#This Row],[Aantal Games Rood]]-Tabel5[[#This Row],[Wins Rood]]</f>
        <v>2</v>
      </c>
      <c r="AV106" s="164">
        <f>Tabel5[[#This Row],[Aantal Games Groen]]-Tabel5[[#This Row],[Wins Groen]]</f>
        <v>1</v>
      </c>
      <c r="AW106" s="165">
        <f>Tabel5[[#This Row],[Aantal games Alg]]-Tabel5[[#This Row],[Wins Alg]]</f>
        <v>3</v>
      </c>
      <c r="AX106" s="166">
        <f>COUNTIF(Tabel15[Team Rood],Tabel5[[#This Row],[Team]])</f>
        <v>4</v>
      </c>
      <c r="AY106" s="164">
        <f>COUNTIF(Tabel15[Team Groen],Tabel5[[#This Row],[Team]])</f>
        <v>1</v>
      </c>
      <c r="AZ106" s="170">
        <f>Tabel5[[#This Row],[Aantal Games Rood]]+Tabel5[[#This Row],[Aantal Games Groen]]</f>
        <v>5</v>
      </c>
      <c r="BA106" s="166">
        <f>SUMIF(Tabel15[Team Rood],Tabel5[[#This Row],[Team]],Tabel15[Score])</f>
        <v>3</v>
      </c>
      <c r="BB106" s="166">
        <f>SUMIF(Tabel15[Team Rood],Tabel5[[#This Row],[Team]],Tabel15[Score2])</f>
        <v>40</v>
      </c>
      <c r="BC106" s="134">
        <f>SUMIF(Tabel15[Team Groen],Tabel5[[#This Row],[Team]],Tabel15[Score3])</f>
        <v>2</v>
      </c>
      <c r="BD106" s="164">
        <f>SUMIF(Tabel15[Team Groen],Tabel5[[#This Row],[Team]],Tabel15[Score4])</f>
        <v>7</v>
      </c>
      <c r="BE106" s="167">
        <f>SUM(Tabel5[[#This Row],[Goals Verdediger]]+Tabel5[[#This Row],[Goals DefG]])</f>
        <v>5</v>
      </c>
      <c r="BF106" s="147">
        <f>IF(Tabel5[[#This Row],[Aantal games Alg]]=0,0,Tabel5[[#This Row],[Goals DefA]]/Tabel5[[#This Row],[Aantal games Alg]])</f>
        <v>1</v>
      </c>
      <c r="BG106" s="167">
        <f>SUM(Tabel5[[#This Row],[Goals Aanvaller]]+Tabel5[[#This Row],[Goals OffG]])</f>
        <v>47</v>
      </c>
      <c r="BH106" s="147">
        <f>IF(Tabel5[[#This Row],[Aantal games Alg]]=0,0,Tabel5[[#This Row],[Goals OffA]]/Tabel5[[#This Row],[Aantal games Alg]])</f>
        <v>9.4</v>
      </c>
      <c r="BI106" s="147">
        <f>Tabel5[[#This Row],[Goals DefA]]+Tabel5[[#This Row],[Goals OffA]]</f>
        <v>52</v>
      </c>
      <c r="BJ106" s="147">
        <f>IF(Tabel5[[#This Row],[Aantal games Alg]]=0,0,Tabel5[[#This Row],[Goals Alg]]/Tabel5[[#This Row],[Aantal games Alg]])</f>
        <v>10.4</v>
      </c>
      <c r="BK106" s="148">
        <f ca="1">SUMIF(Tabel15[Team Rood],Tabel5[[#This Row],[Team]],Tabel15[ET])</f>
        <v>2.4694097221072298E-2</v>
      </c>
      <c r="BL106" s="168">
        <f>SUMIF(Tabel15[Team Groen],Tabel5[[#This Row],[Team]],Tabel15[ET])</f>
        <v>0</v>
      </c>
      <c r="BM106" s="221">
        <f ca="1">SUM(Tabel5[[#This Row],[ET Groen tot]],Tabel5[[#This Row],[ET Rood tot]])</f>
        <v>2.4694097221072298E-2</v>
      </c>
      <c r="BN106" s="155">
        <f ca="1">IF(Tabel5[[#This Row],[Aantal games Alg]]=0,0,Tabel5[[#This Row],[ET tot]]/Tabel5[[#This Row],[Aantal games Alg]])</f>
        <v>4.9388194442144592E-3</v>
      </c>
    </row>
    <row r="107" spans="1:66" x14ac:dyDescent="0.25">
      <c r="A107" s="215">
        <f ca="1">IF(Tabel15[[#This Row],[Rood Verdediging]]&lt;&gt;"",IF(A107="",NOW(),A107),"")</f>
        <v>44121.934801388888</v>
      </c>
      <c r="B107" s="128">
        <f ca="1">IF(Tabel15[[#This Row],[Rood Verdediging]]&lt;&gt;"",IF(B107="",NOW(),B107),"")</f>
        <v>44121.934801388888</v>
      </c>
      <c r="C107" s="126">
        <f ca="1">IF(Tabel15[[#This Row],[Score]]&lt;&gt;"",IF(C107="",NOW(),C107),"")</f>
        <v>44121.941149652775</v>
      </c>
      <c r="D107" s="217">
        <f ca="1">IF(OR(Tabel15[[#This Row],[Starttijd]]="",Tabel15[[#This Row],[Eindtijd]]=""),"",Tabel15[[#This Row],[Eindtijd]]-Tabel15[[#This Row],[Starttijd]])</f>
        <v>6.3482638870482333E-3</v>
      </c>
      <c r="E107" s="74">
        <v>107</v>
      </c>
      <c r="F107" s="40" t="s">
        <v>8</v>
      </c>
      <c r="G107" s="76">
        <v>2</v>
      </c>
      <c r="H107" s="40" t="s">
        <v>0</v>
      </c>
      <c r="I107" s="76">
        <v>5</v>
      </c>
      <c r="J107" s="41" t="s">
        <v>6</v>
      </c>
      <c r="K107" s="78">
        <v>4</v>
      </c>
      <c r="L107" s="41" t="s">
        <v>3</v>
      </c>
      <c r="M107" s="78">
        <v>7</v>
      </c>
      <c r="N107" s="81">
        <f t="shared" si="11"/>
        <v>7</v>
      </c>
      <c r="O107" s="82">
        <f t="shared" si="12"/>
        <v>11</v>
      </c>
      <c r="P10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Row],[Score4]]&lt;&gt;""),IF(AND(N107&gt;O107,N107&gt;=11),"ROOD",IF(AND(O107&gt;=11,N107&lt;&gt;O107),"GROEN","")),"")</f>
        <v>GROEN</v>
      </c>
      <c r="Q107" s="86" t="str">
        <f t="shared" si="13"/>
        <v>Stef D</v>
      </c>
      <c r="R107" s="87" t="str">
        <f t="shared" si="14"/>
        <v>Karel</v>
      </c>
      <c r="S107" s="293" t="str">
        <f>Tabel15[[#This Row],[Rood Verdediging]]&amp;Tabel15[[#This Row],[Rood Aanval]]</f>
        <v>LouisJonas</v>
      </c>
      <c r="T107" s="293" t="str">
        <f>Tabel15[[#This Row],[Groen Verdediging]]&amp;Tabel15[[#This Row],[Groen Aanval]]</f>
        <v>Stef DKarel</v>
      </c>
      <c r="U107" s="293" t="str">
        <f>Tabel15[[#This Row],[Winnaar 1]]&amp;Tabel15[[#This Row],[Winnaar 2]]</f>
        <v>Stef DKarel</v>
      </c>
      <c r="V107" s="147" t="b">
        <f>IF(Tabel15[[#This Row],[Team Rood]]=Tabel15[[#This Row],[Winnaars]],Tabel15[[#This Row],[Team Rood]])</f>
        <v>0</v>
      </c>
      <c r="W107" s="147" t="str">
        <f>IF(Tabel15[[#This Row],[Team Groen]]=Tabel15[[#This Row],[Winnaars]],Tabel15[[#This Row],[Team Groen]])</f>
        <v>Stef DKarel</v>
      </c>
      <c r="X107" s="283">
        <v>2.491333521132185</v>
      </c>
      <c r="Y107" s="283">
        <v>2.9691680902778428</v>
      </c>
      <c r="Z107" s="283">
        <v>11.678966904362404</v>
      </c>
      <c r="AA107" s="283">
        <v>11.885128522269778</v>
      </c>
      <c r="AL107" s="251" t="s">
        <v>170</v>
      </c>
      <c r="AM107" s="233" t="s">
        <v>166</v>
      </c>
      <c r="AN107" s="140" t="str">
        <f t="shared" si="16"/>
        <v>Nico*Stijn*</v>
      </c>
      <c r="AO107" s="160">
        <f>IF(Tabel5[[#This Row],[Aantal Games Rood]]=0,0,(Tabel5[[#This Row],[Wins Rood]])/Tabel5[[#This Row],[Aantal Games Rood]])</f>
        <v>0</v>
      </c>
      <c r="AP107" s="162">
        <f>IF(Tabel5[[#This Row],[Aantal Games Groen]]=0,0,(Tabel5[[#This Row],[Wins Groen]])/Tabel5[[#This Row],[Aantal Games Groen]])</f>
        <v>0</v>
      </c>
      <c r="AQ107" s="156">
        <f>IF(Tabel5[[#This Row],[Aantal games Alg]]=0,0,(Tabel5[[#This Row],[Wins Alg]])/Tabel5[[#This Row],[Aantal games Alg]])</f>
        <v>0</v>
      </c>
      <c r="AR107" s="171">
        <f>COUNTIF(Tabel15[Winaar rood],Tabel5[[#This Row],[Team]])</f>
        <v>0</v>
      </c>
      <c r="AS107" s="164">
        <f>COUNTIF(Tabel15[Winnaar Groen],Tabel5[[#This Row],[Team]])</f>
        <v>0</v>
      </c>
      <c r="AT107" s="147">
        <f>COUNTIF(Tabel15[Winnaars],Tabel5[[#This Row],[Team]])</f>
        <v>0</v>
      </c>
      <c r="AU107" s="163">
        <f>Tabel5[[#This Row],[Aantal Games Rood]]-Tabel5[[#This Row],[Wins Rood]]</f>
        <v>0</v>
      </c>
      <c r="AV107" s="164">
        <f>Tabel5[[#This Row],[Aantal Games Groen]]-Tabel5[[#This Row],[Wins Groen]]</f>
        <v>0</v>
      </c>
      <c r="AW107" s="165">
        <f>Tabel5[[#This Row],[Aantal games Alg]]-Tabel5[[#This Row],[Wins Alg]]</f>
        <v>0</v>
      </c>
      <c r="AX107" s="166">
        <f>COUNTIF(Tabel15[Team Rood],Tabel5[[#This Row],[Team]])</f>
        <v>0</v>
      </c>
      <c r="AY107" s="164">
        <f>COUNTIF(Tabel15[Team Groen],Tabel5[[#This Row],[Team]])</f>
        <v>0</v>
      </c>
      <c r="AZ107" s="170">
        <f>Tabel5[[#This Row],[Aantal Games Rood]]+Tabel5[[#This Row],[Aantal Games Groen]]</f>
        <v>0</v>
      </c>
      <c r="BA107" s="166">
        <f>SUMIF(Tabel15[Team Rood],Tabel5[[#This Row],[Team]],Tabel15[Score])</f>
        <v>0</v>
      </c>
      <c r="BB107" s="166">
        <f>SUMIF(Tabel15[Team Rood],Tabel5[[#This Row],[Team]],Tabel15[Score2])</f>
        <v>0</v>
      </c>
      <c r="BC107" s="134">
        <f>SUMIF(Tabel15[Team Groen],Tabel5[[#This Row],[Team]],Tabel15[Score3])</f>
        <v>0</v>
      </c>
      <c r="BD107" s="164">
        <f>SUMIF(Tabel15[Team Groen],Tabel5[[#This Row],[Team]],Tabel15[Score4])</f>
        <v>0</v>
      </c>
      <c r="BE107" s="167">
        <f>SUM(Tabel5[[#This Row],[Goals Verdediger]]+Tabel5[[#This Row],[Goals DefG]])</f>
        <v>0</v>
      </c>
      <c r="BF107" s="147">
        <f>IF(Tabel5[[#This Row],[Aantal games Alg]]=0,0,Tabel5[[#This Row],[Goals DefA]]/Tabel5[[#This Row],[Aantal games Alg]])</f>
        <v>0</v>
      </c>
      <c r="BG107" s="167">
        <f>SUM(Tabel5[[#This Row],[Goals Aanvaller]]+Tabel5[[#This Row],[Goals OffG]])</f>
        <v>0</v>
      </c>
      <c r="BH107" s="147">
        <f>IF(Tabel5[[#This Row],[Aantal games Alg]]=0,0,Tabel5[[#This Row],[Goals OffA]]/Tabel5[[#This Row],[Aantal games Alg]])</f>
        <v>0</v>
      </c>
      <c r="BI107" s="147">
        <f>Tabel5[[#This Row],[Goals DefA]]+Tabel5[[#This Row],[Goals OffA]]</f>
        <v>0</v>
      </c>
      <c r="BJ107" s="147">
        <f>IF(Tabel5[[#This Row],[Aantal games Alg]]=0,0,Tabel5[[#This Row],[Goals Alg]]/Tabel5[[#This Row],[Aantal games Alg]])</f>
        <v>0</v>
      </c>
      <c r="BK107" s="148">
        <f>SUMIF(Tabel15[Team Rood],Tabel5[[#This Row],[Team]],Tabel15[ET])</f>
        <v>0</v>
      </c>
      <c r="BL107" s="168">
        <f>SUMIF(Tabel15[Team Groen],Tabel5[[#This Row],[Team]],Tabel15[ET])</f>
        <v>0</v>
      </c>
      <c r="BM107" s="221">
        <f>SUM(Tabel5[[#This Row],[ET Groen tot]],Tabel5[[#This Row],[ET Rood tot]])</f>
        <v>0</v>
      </c>
      <c r="BN107" s="155">
        <f>IF(Tabel5[[#This Row],[Aantal games Alg]]=0,0,Tabel5[[#This Row],[ET tot]]/Tabel5[[#This Row],[Aantal games Alg]])</f>
        <v>0</v>
      </c>
    </row>
    <row r="108" spans="1:66" x14ac:dyDescent="0.25">
      <c r="A108" s="215">
        <f ca="1">IF(Tabel15[[#This Row],[Rood Verdediging]]&lt;&gt;"",IF(A108="",NOW(),A108),"")</f>
        <v>44121.954509606483</v>
      </c>
      <c r="B108" s="128">
        <f ca="1">IF(Tabel15[[#This Row],[Rood Verdediging]]&lt;&gt;"",IF(B108="",NOW(),B108),"")</f>
        <v>44121.954509606483</v>
      </c>
      <c r="C108" s="126">
        <f ca="1">IF(Tabel15[[#This Row],[Score]]&lt;&gt;"",IF(C108="",NOW(),C108),"")</f>
        <v>44121.954526157409</v>
      </c>
      <c r="D108" s="217">
        <f ca="1">IF(OR(Tabel15[[#This Row],[Starttijd]]="",Tabel15[[#This Row],[Eindtijd]]=""),"",Tabel15[[#This Row],[Eindtijd]]-Tabel15[[#This Row],[Starttijd]])</f>
        <v>1.6550926375202835E-5</v>
      </c>
      <c r="E108" s="74">
        <v>108</v>
      </c>
      <c r="F108" s="40" t="s">
        <v>6</v>
      </c>
      <c r="G108" s="76">
        <v>1</v>
      </c>
      <c r="H108" s="40" t="s">
        <v>19</v>
      </c>
      <c r="I108" s="76">
        <v>3</v>
      </c>
      <c r="J108" s="41" t="s">
        <v>3</v>
      </c>
      <c r="K108" s="78">
        <v>2</v>
      </c>
      <c r="L108" s="41" t="s">
        <v>0</v>
      </c>
      <c r="M108" s="78">
        <v>9</v>
      </c>
      <c r="N108" s="81">
        <f t="shared" si="11"/>
        <v>4</v>
      </c>
      <c r="O108" s="82">
        <f t="shared" si="12"/>
        <v>11</v>
      </c>
      <c r="P10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Row],[Score4]]&lt;&gt;""),IF(AND(N108&gt;O108,N108&gt;=11),"ROOD",IF(AND(O108&gt;=11,N108&lt;&gt;O108),"GROEN","")),"")</f>
        <v>GROEN</v>
      </c>
      <c r="Q108" s="86" t="str">
        <f t="shared" si="13"/>
        <v>Karel</v>
      </c>
      <c r="R108" s="87" t="str">
        <f t="shared" si="14"/>
        <v>Jonas</v>
      </c>
      <c r="S108" s="293" t="str">
        <f>Tabel15[[#This Row],[Rood Verdediging]]&amp;Tabel15[[#This Row],[Rood Aanval]]</f>
        <v>Stef DNicolas</v>
      </c>
      <c r="T108" s="293" t="str">
        <f>Tabel15[[#This Row],[Groen Verdediging]]&amp;Tabel15[[#This Row],[Groen Aanval]]</f>
        <v>KarelJonas</v>
      </c>
      <c r="U108" s="293" t="str">
        <f>Tabel15[[#This Row],[Winnaar 1]]&amp;Tabel15[[#This Row],[Winnaar 2]]</f>
        <v>KarelJonas</v>
      </c>
      <c r="V108" s="147" t="b">
        <f>IF(Tabel15[[#This Row],[Team Rood]]=Tabel15[[#This Row],[Winnaars]],Tabel15[[#This Row],[Team Rood]])</f>
        <v>0</v>
      </c>
      <c r="W108" s="147" t="str">
        <f>IF(Tabel15[[#This Row],[Team Groen]]=Tabel15[[#This Row],[Winnaars]],Tabel15[[#This Row],[Team Groen]])</f>
        <v>KarelJonas</v>
      </c>
      <c r="X108" s="283">
        <v>-0.48570592222250952</v>
      </c>
      <c r="Y108" s="283">
        <v>-0.26432764989418778</v>
      </c>
      <c r="Z108" s="283">
        <v>13.703525402029978</v>
      </c>
      <c r="AA108" s="283">
        <v>17.899880082352237</v>
      </c>
      <c r="AL108" s="251" t="s">
        <v>170</v>
      </c>
      <c r="AM108" s="233" t="s">
        <v>160</v>
      </c>
      <c r="AN108" s="140" t="str">
        <f t="shared" si="16"/>
        <v>Nico*Tiemen*</v>
      </c>
      <c r="AO108" s="160">
        <f>IF(Tabel5[[#This Row],[Aantal Games Rood]]=0,0,(Tabel5[[#This Row],[Wins Rood]])/Tabel5[[#This Row],[Aantal Games Rood]])</f>
        <v>0</v>
      </c>
      <c r="AP108" s="162">
        <f>IF(Tabel5[[#This Row],[Aantal Games Groen]]=0,0,(Tabel5[[#This Row],[Wins Groen]])/Tabel5[[#This Row],[Aantal Games Groen]])</f>
        <v>0</v>
      </c>
      <c r="AQ108" s="156">
        <f>IF(Tabel5[[#This Row],[Aantal games Alg]]=0,0,(Tabel5[[#This Row],[Wins Alg]])/Tabel5[[#This Row],[Aantal games Alg]])</f>
        <v>0</v>
      </c>
      <c r="AR108" s="171">
        <f>COUNTIF(Tabel15[Winaar rood],Tabel5[[#This Row],[Team]])</f>
        <v>0</v>
      </c>
      <c r="AS108" s="164">
        <f>COUNTIF(Tabel15[Winnaar Groen],Tabel5[[#This Row],[Team]])</f>
        <v>0</v>
      </c>
      <c r="AT108" s="147">
        <f>COUNTIF(Tabel15[Winnaars],Tabel5[[#This Row],[Team]])</f>
        <v>0</v>
      </c>
      <c r="AU108" s="163">
        <f>Tabel5[[#This Row],[Aantal Games Rood]]-Tabel5[[#This Row],[Wins Rood]]</f>
        <v>0</v>
      </c>
      <c r="AV108" s="164">
        <f>Tabel5[[#This Row],[Aantal Games Groen]]-Tabel5[[#This Row],[Wins Groen]]</f>
        <v>0</v>
      </c>
      <c r="AW108" s="165">
        <f>Tabel5[[#This Row],[Aantal games Alg]]-Tabel5[[#This Row],[Wins Alg]]</f>
        <v>0</v>
      </c>
      <c r="AX108" s="166">
        <f>COUNTIF(Tabel15[Team Rood],Tabel5[[#This Row],[Team]])</f>
        <v>0</v>
      </c>
      <c r="AY108" s="164">
        <f>COUNTIF(Tabel15[Team Groen],Tabel5[[#This Row],[Team]])</f>
        <v>0</v>
      </c>
      <c r="AZ108" s="170">
        <f>Tabel5[[#This Row],[Aantal Games Rood]]+Tabel5[[#This Row],[Aantal Games Groen]]</f>
        <v>0</v>
      </c>
      <c r="BA108" s="166">
        <f>SUMIF(Tabel15[Team Rood],Tabel5[[#This Row],[Team]],Tabel15[Score])</f>
        <v>0</v>
      </c>
      <c r="BB108" s="166">
        <f>SUMIF(Tabel15[Team Rood],Tabel5[[#This Row],[Team]],Tabel15[Score2])</f>
        <v>0</v>
      </c>
      <c r="BC108" s="134">
        <f>SUMIF(Tabel15[Team Groen],Tabel5[[#This Row],[Team]],Tabel15[Score3])</f>
        <v>0</v>
      </c>
      <c r="BD108" s="164">
        <f>SUMIF(Tabel15[Team Groen],Tabel5[[#This Row],[Team]],Tabel15[Score4])</f>
        <v>0</v>
      </c>
      <c r="BE108" s="167">
        <f>SUM(Tabel5[[#This Row],[Goals Verdediger]]+Tabel5[[#This Row],[Goals DefG]])</f>
        <v>0</v>
      </c>
      <c r="BF108" s="147">
        <f>IF(Tabel5[[#This Row],[Aantal games Alg]]=0,0,Tabel5[[#This Row],[Goals DefA]]/Tabel5[[#This Row],[Aantal games Alg]])</f>
        <v>0</v>
      </c>
      <c r="BG108" s="167">
        <f>SUM(Tabel5[[#This Row],[Goals Aanvaller]]+Tabel5[[#This Row],[Goals OffG]])</f>
        <v>0</v>
      </c>
      <c r="BH108" s="147">
        <f>IF(Tabel5[[#This Row],[Aantal games Alg]]=0,0,Tabel5[[#This Row],[Goals OffA]]/Tabel5[[#This Row],[Aantal games Alg]])</f>
        <v>0</v>
      </c>
      <c r="BI108" s="147">
        <f>Tabel5[[#This Row],[Goals DefA]]+Tabel5[[#This Row],[Goals OffA]]</f>
        <v>0</v>
      </c>
      <c r="BJ108" s="147">
        <f>IF(Tabel5[[#This Row],[Aantal games Alg]]=0,0,Tabel5[[#This Row],[Goals Alg]]/Tabel5[[#This Row],[Aantal games Alg]])</f>
        <v>0</v>
      </c>
      <c r="BK108" s="148">
        <f>SUMIF(Tabel15[Team Rood],Tabel5[[#This Row],[Team]],Tabel15[ET])</f>
        <v>0</v>
      </c>
      <c r="BL108" s="168">
        <f>SUMIF(Tabel15[Team Groen],Tabel5[[#This Row],[Team]],Tabel15[ET])</f>
        <v>0</v>
      </c>
      <c r="BM108" s="221">
        <f>SUM(Tabel5[[#This Row],[ET Groen tot]],Tabel5[[#This Row],[ET Rood tot]])</f>
        <v>0</v>
      </c>
      <c r="BN108" s="155">
        <f>IF(Tabel5[[#This Row],[Aantal games Alg]]=0,0,Tabel5[[#This Row],[ET tot]]/Tabel5[[#This Row],[Aantal games Alg]])</f>
        <v>0</v>
      </c>
    </row>
    <row r="109" spans="1:66" x14ac:dyDescent="0.25">
      <c r="A109" s="215">
        <f ca="1">IF(Tabel15[[#This Row],[Rood Verdediging]]&lt;&gt;"",IF(A109="",NOW(),A109),"")</f>
        <v>44397.900749652777</v>
      </c>
      <c r="B109" s="128">
        <f ca="1">IF(Tabel15[[#This Row],[Rood Verdediging]]&lt;&gt;"",IF(B109="",NOW(),B109),"")</f>
        <v>44397.900749652777</v>
      </c>
      <c r="C109" s="126">
        <f ca="1">IF(Tabel15[[#This Row],[Score]]&lt;&gt;"",IF(C109="",NOW(),C109),"")</f>
        <v>44397.900749652777</v>
      </c>
      <c r="D109" s="217">
        <f ca="1">IF(OR(Tabel15[[#This Row],[Starttijd]]="",Tabel15[[#This Row],[Eindtijd]]=""),"",Tabel15[[#This Row],[Eindtijd]]-Tabel15[[#This Row],[Starttijd]])</f>
        <v>0</v>
      </c>
      <c r="E109" s="74">
        <v>109</v>
      </c>
      <c r="F109" s="40" t="s">
        <v>0</v>
      </c>
      <c r="G109" s="76">
        <v>3</v>
      </c>
      <c r="H109" s="40" t="s">
        <v>6</v>
      </c>
      <c r="I109" s="76">
        <v>8</v>
      </c>
      <c r="J109" s="41" t="s">
        <v>167</v>
      </c>
      <c r="K109" s="78">
        <v>1</v>
      </c>
      <c r="L109" s="41" t="s">
        <v>7</v>
      </c>
      <c r="M109" s="78">
        <v>5</v>
      </c>
      <c r="N109" s="81">
        <f t="shared" si="11"/>
        <v>11</v>
      </c>
      <c r="O109" s="82">
        <f t="shared" si="12"/>
        <v>6</v>
      </c>
      <c r="P10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Row],[Score4]]&lt;&gt;""),IF(AND(N109&gt;O109,N109&gt;=11),"ROOD",IF(AND(O109&gt;=11,N109&lt;&gt;O109),"GROEN","")),"")</f>
        <v>ROOD</v>
      </c>
      <c r="Q109" s="86" t="str">
        <f t="shared" si="13"/>
        <v>Jonas</v>
      </c>
      <c r="R109" s="87" t="str">
        <f t="shared" si="14"/>
        <v>Stef D</v>
      </c>
      <c r="S109" s="293" t="str">
        <f>Tabel15[[#This Row],[Rood Verdediging]]&amp;Tabel15[[#This Row],[Rood Aanval]]</f>
        <v>JonasStef D</v>
      </c>
      <c r="T109" s="293" t="str">
        <f>Tabel15[[#This Row],[Groen Verdediging]]&amp;Tabel15[[#This Row],[Groen Aanval]]</f>
        <v>CogheTiemen</v>
      </c>
      <c r="U109" s="293" t="str">
        <f>Tabel15[[#This Row],[Winnaar 1]]&amp;Tabel15[[#This Row],[Winnaar 2]]</f>
        <v>JonasStef D</v>
      </c>
      <c r="V109" s="147" t="str">
        <f>IF(Tabel15[[#This Row],[Team Rood]]=Tabel15[[#This Row],[Winnaars]],Tabel15[[#This Row],[Team Rood]])</f>
        <v>JonasStef D</v>
      </c>
      <c r="W109" s="147" t="b">
        <f>IF(Tabel15[[#This Row],[Team Groen]]=Tabel15[[#This Row],[Winnaars]],Tabel15[[#This Row],[Team Groen]])</f>
        <v>0</v>
      </c>
      <c r="X109" s="283">
        <v>21.685599311279656</v>
      </c>
      <c r="Y109" s="283">
        <v>18.827145184690941</v>
      </c>
      <c r="Z109" s="283">
        <v>-2.2758463550752897</v>
      </c>
      <c r="AA109" s="283">
        <v>-2.0327649752209274</v>
      </c>
      <c r="AL109" s="251" t="s">
        <v>170</v>
      </c>
      <c r="AM109" s="233" t="s">
        <v>157</v>
      </c>
      <c r="AN109" s="140" t="str">
        <f t="shared" si="16"/>
        <v>Nico*Tobi*</v>
      </c>
      <c r="AO109" s="160">
        <f>IF(Tabel5[[#This Row],[Aantal Games Rood]]=0,0,(Tabel5[[#This Row],[Wins Rood]])/Tabel5[[#This Row],[Aantal Games Rood]])</f>
        <v>0</v>
      </c>
      <c r="AP109" s="162">
        <f>IF(Tabel5[[#This Row],[Aantal Games Groen]]=0,0,(Tabel5[[#This Row],[Wins Groen]])/Tabel5[[#This Row],[Aantal Games Groen]])</f>
        <v>0</v>
      </c>
      <c r="AQ109" s="156">
        <f>IF(Tabel5[[#This Row],[Aantal games Alg]]=0,0,(Tabel5[[#This Row],[Wins Alg]])/Tabel5[[#This Row],[Aantal games Alg]])</f>
        <v>0</v>
      </c>
      <c r="AR109" s="171">
        <f>COUNTIF(Tabel15[Winaar rood],Tabel5[[#This Row],[Team]])</f>
        <v>0</v>
      </c>
      <c r="AS109" s="164">
        <f>COUNTIF(Tabel15[Winnaar Groen],Tabel5[[#This Row],[Team]])</f>
        <v>0</v>
      </c>
      <c r="AT109" s="147">
        <f>COUNTIF(Tabel15[Winnaars],Tabel5[[#This Row],[Team]])</f>
        <v>0</v>
      </c>
      <c r="AU109" s="163">
        <f>Tabel5[[#This Row],[Aantal Games Rood]]-Tabel5[[#This Row],[Wins Rood]]</f>
        <v>0</v>
      </c>
      <c r="AV109" s="164">
        <f>Tabel5[[#This Row],[Aantal Games Groen]]-Tabel5[[#This Row],[Wins Groen]]</f>
        <v>0</v>
      </c>
      <c r="AW109" s="165">
        <f>Tabel5[[#This Row],[Aantal games Alg]]-Tabel5[[#This Row],[Wins Alg]]</f>
        <v>0</v>
      </c>
      <c r="AX109" s="166">
        <f>COUNTIF(Tabel15[Team Rood],Tabel5[[#This Row],[Team]])</f>
        <v>0</v>
      </c>
      <c r="AY109" s="164">
        <f>COUNTIF(Tabel15[Team Groen],Tabel5[[#This Row],[Team]])</f>
        <v>0</v>
      </c>
      <c r="AZ109" s="170">
        <f>Tabel5[[#This Row],[Aantal Games Rood]]+Tabel5[[#This Row],[Aantal Games Groen]]</f>
        <v>0</v>
      </c>
      <c r="BA109" s="166">
        <f>SUMIF(Tabel15[Team Rood],Tabel5[[#This Row],[Team]],Tabel15[Score])</f>
        <v>0</v>
      </c>
      <c r="BB109" s="166">
        <f>SUMIF(Tabel15[Team Rood],Tabel5[[#This Row],[Team]],Tabel15[Score2])</f>
        <v>0</v>
      </c>
      <c r="BC109" s="134">
        <f>SUMIF(Tabel15[Team Groen],Tabel5[[#This Row],[Team]],Tabel15[Score3])</f>
        <v>0</v>
      </c>
      <c r="BD109" s="164">
        <f>SUMIF(Tabel15[Team Groen],Tabel5[[#This Row],[Team]],Tabel15[Score4])</f>
        <v>0</v>
      </c>
      <c r="BE109" s="167">
        <f>SUM(Tabel5[[#This Row],[Goals Verdediger]]+Tabel5[[#This Row],[Goals DefG]])</f>
        <v>0</v>
      </c>
      <c r="BF109" s="147">
        <f>IF(Tabel5[[#This Row],[Aantal games Alg]]=0,0,Tabel5[[#This Row],[Goals DefA]]/Tabel5[[#This Row],[Aantal games Alg]])</f>
        <v>0</v>
      </c>
      <c r="BG109" s="167">
        <f>SUM(Tabel5[[#This Row],[Goals Aanvaller]]+Tabel5[[#This Row],[Goals OffG]])</f>
        <v>0</v>
      </c>
      <c r="BH109" s="147">
        <f>IF(Tabel5[[#This Row],[Aantal games Alg]]=0,0,Tabel5[[#This Row],[Goals OffA]]/Tabel5[[#This Row],[Aantal games Alg]])</f>
        <v>0</v>
      </c>
      <c r="BI109" s="147">
        <f>Tabel5[[#This Row],[Goals DefA]]+Tabel5[[#This Row],[Goals OffA]]</f>
        <v>0</v>
      </c>
      <c r="BJ109" s="147">
        <f>IF(Tabel5[[#This Row],[Aantal games Alg]]=0,0,Tabel5[[#This Row],[Goals Alg]]/Tabel5[[#This Row],[Aantal games Alg]])</f>
        <v>0</v>
      </c>
      <c r="BK109" s="148">
        <f>SUMIF(Tabel15[Team Rood],Tabel5[[#This Row],[Team]],Tabel15[ET])</f>
        <v>0</v>
      </c>
      <c r="BL109" s="168">
        <f>SUMIF(Tabel15[Team Groen],Tabel5[[#This Row],[Team]],Tabel15[ET])</f>
        <v>0</v>
      </c>
      <c r="BM109" s="221">
        <f>SUM(Tabel5[[#This Row],[ET Groen tot]],Tabel5[[#This Row],[ET Rood tot]])</f>
        <v>0</v>
      </c>
      <c r="BN109" s="155">
        <f>IF(Tabel5[[#This Row],[Aantal games Alg]]=0,0,Tabel5[[#This Row],[ET tot]]/Tabel5[[#This Row],[Aantal games Alg]])</f>
        <v>0</v>
      </c>
    </row>
    <row r="110" spans="1:66" x14ac:dyDescent="0.25">
      <c r="A110" s="215">
        <f ca="1">IF(Tabel15[[#This Row],[Rood Verdediging]]&lt;&gt;"",IF(A110="",NOW(),A110),"")</f>
        <v>44397.900749652777</v>
      </c>
      <c r="B110" s="128">
        <f ca="1">IF(Tabel15[[#This Row],[Rood Verdediging]]&lt;&gt;"",IF(B110="",NOW(),B110),"")</f>
        <v>44397.900749652777</v>
      </c>
      <c r="C110" s="126">
        <f ca="1">IF(Tabel15[[#This Row],[Score]]&lt;&gt;"",IF(C110="",NOW(),C110),"")</f>
        <v>44397.900749652777</v>
      </c>
      <c r="D110" s="217">
        <f ca="1">IF(OR(Tabel15[[#This Row],[Starttijd]]="",Tabel15[[#This Row],[Eindtijd]]=""),"",Tabel15[[#This Row],[Eindtijd]]-Tabel15[[#This Row],[Starttijd]])</f>
        <v>0</v>
      </c>
      <c r="E110" s="74">
        <v>110</v>
      </c>
      <c r="F110" s="40" t="s">
        <v>11</v>
      </c>
      <c r="G110" s="76">
        <v>3</v>
      </c>
      <c r="H110" s="40" t="s">
        <v>3</v>
      </c>
      <c r="I110" s="76">
        <v>3</v>
      </c>
      <c r="J110" s="41" t="s">
        <v>7</v>
      </c>
      <c r="K110" s="78">
        <v>6</v>
      </c>
      <c r="L110" s="41" t="s">
        <v>13</v>
      </c>
      <c r="M110" s="78">
        <v>5</v>
      </c>
      <c r="N110" s="81">
        <f t="shared" si="11"/>
        <v>6</v>
      </c>
      <c r="O110" s="82">
        <f t="shared" si="12"/>
        <v>11</v>
      </c>
      <c r="P11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Row],[Score4]]&lt;&gt;""),IF(AND(N110&gt;O110,N110&gt;=11),"ROOD",IF(AND(O110&gt;=11,N110&lt;&gt;O110),"GROEN","")),"")</f>
        <v>GROEN</v>
      </c>
      <c r="Q110" s="86" t="str">
        <f t="shared" si="13"/>
        <v>Tiemen</v>
      </c>
      <c r="R110" s="87" t="str">
        <f t="shared" si="14"/>
        <v>Bert</v>
      </c>
      <c r="S110" s="293" t="str">
        <f>Tabel15[[#This Row],[Rood Verdediging]]&amp;Tabel15[[#This Row],[Rood Aanval]]</f>
        <v>MatthijsKarel</v>
      </c>
      <c r="T110" s="293" t="str">
        <f>Tabel15[[#This Row],[Groen Verdediging]]&amp;Tabel15[[#This Row],[Groen Aanval]]</f>
        <v>TiemenBert</v>
      </c>
      <c r="U110" s="293" t="str">
        <f>Tabel15[[#This Row],[Winnaar 1]]&amp;Tabel15[[#This Row],[Winnaar 2]]</f>
        <v>TiemenBert</v>
      </c>
      <c r="V110" s="147" t="b">
        <f>IF(Tabel15[[#This Row],[Team Rood]]=Tabel15[[#This Row],[Winnaars]],Tabel15[[#This Row],[Team Rood]])</f>
        <v>0</v>
      </c>
      <c r="W110" s="147" t="str">
        <f>IF(Tabel15[[#This Row],[Team Groen]]=Tabel15[[#This Row],[Winnaars]],Tabel15[[#This Row],[Team Groen]])</f>
        <v>TiemenBert</v>
      </c>
      <c r="X110" s="283">
        <v>-5.5707003710854295</v>
      </c>
      <c r="Y110" s="283">
        <v>-6.431218801606061</v>
      </c>
      <c r="Z110" s="283">
        <v>30.755696622245903</v>
      </c>
      <c r="AA110" s="283">
        <v>28.047176121348883</v>
      </c>
      <c r="AL110" s="251" t="s">
        <v>169</v>
      </c>
      <c r="AM110" s="233" t="s">
        <v>158</v>
      </c>
      <c r="AN110" s="140" t="str">
        <f t="shared" si="16"/>
        <v>Stef*Arno*</v>
      </c>
      <c r="AO110" s="160">
        <f>IF(Tabel5[[#This Row],[Aantal Games Rood]]=0,0,(Tabel5[[#This Row],[Wins Rood]])/Tabel5[[#This Row],[Aantal Games Rood]])</f>
        <v>1</v>
      </c>
      <c r="AP110" s="159">
        <f>IF(Tabel5[[#This Row],[Aantal Games Groen]]=0,0,(Tabel5[[#This Row],[Wins Groen]])/Tabel5[[#This Row],[Aantal Games Groen]])</f>
        <v>0</v>
      </c>
      <c r="AQ110" s="156">
        <f>IF(Tabel5[[#This Row],[Aantal games Alg]]=0,0,(Tabel5[[#This Row],[Wins Alg]])/Tabel5[[#This Row],[Aantal games Alg]])</f>
        <v>1</v>
      </c>
      <c r="AR110" s="138">
        <f>COUNTIF(Tabel15[Winaar rood],Tabel5[[#This Row],[Team]])</f>
        <v>1</v>
      </c>
      <c r="AS110" s="134">
        <f>COUNTIF(Tabel15[Winnaar Groen],Tabel5[[#This Row],[Team]])</f>
        <v>0</v>
      </c>
      <c r="AT110" s="293">
        <f>COUNTIF(Tabel15[Winnaars],Tabel5[[#This Row],[Team]])</f>
        <v>1</v>
      </c>
      <c r="AU110" s="135">
        <f>Tabel5[[#This Row],[Aantal Games Rood]]-Tabel5[[#This Row],[Wins Rood]]</f>
        <v>0</v>
      </c>
      <c r="AV110" s="136">
        <f>Tabel5[[#This Row],[Aantal Games Groen]]-Tabel5[[#This Row],[Wins Groen]]</f>
        <v>0</v>
      </c>
      <c r="AW110" s="137">
        <f>Tabel5[[#This Row],[Aantal games Alg]]-Tabel5[[#This Row],[Wins Alg]]</f>
        <v>0</v>
      </c>
      <c r="AX110" s="138">
        <f>COUNTIF(Tabel15[Team Rood],Tabel5[[#This Row],[Team]])</f>
        <v>1</v>
      </c>
      <c r="AY110" s="136">
        <f>COUNTIF(Tabel15[Team Groen],Tabel5[[#This Row],[Team]])</f>
        <v>0</v>
      </c>
      <c r="AZ110" s="214">
        <f>Tabel5[[#This Row],[Aantal Games Rood]]+Tabel5[[#This Row],[Aantal Games Groen]]</f>
        <v>1</v>
      </c>
      <c r="BA110" s="138">
        <f>SUMIF(Tabel15[Team Rood],Tabel5[[#This Row],[Team]],Tabel15[Score])</f>
        <v>3</v>
      </c>
      <c r="BB110" s="138">
        <f>SUMIF(Tabel15[Team Rood],Tabel5[[#This Row],[Team]],Tabel15[Score2])</f>
        <v>9</v>
      </c>
      <c r="BC110" s="134">
        <f>SUMIF(Tabel15[Team Groen],Tabel5[[#This Row],[Team]],Tabel15[Score3])</f>
        <v>0</v>
      </c>
      <c r="BD110" s="136">
        <f>SUMIF(Tabel15[Team Groen],Tabel5[[#This Row],[Team]],Tabel15[Score4])</f>
        <v>0</v>
      </c>
      <c r="BE110" s="293">
        <f>SUM(Tabel5[[#This Row],[Goals Verdediger]]+Tabel5[[#This Row],[Goals DefG]])</f>
        <v>3</v>
      </c>
      <c r="BF110" s="293">
        <f>IF(Tabel5[[#This Row],[Aantal games Alg]]=0,0,Tabel5[[#This Row],[Goals DefA]]/Tabel5[[#This Row],[Aantal games Alg]])</f>
        <v>3</v>
      </c>
      <c r="BG110" s="293">
        <f>SUM(Tabel5[[#This Row],[Goals Aanvaller]]+Tabel5[[#This Row],[Goals OffG]])</f>
        <v>9</v>
      </c>
      <c r="BH110" s="293">
        <f>IF(Tabel5[[#This Row],[Aantal games Alg]]=0,0,Tabel5[[#This Row],[Goals OffA]]/Tabel5[[#This Row],[Aantal games Alg]])</f>
        <v>9</v>
      </c>
      <c r="BI110" s="214">
        <f>Tabel5[[#This Row],[Goals DefA]]+Tabel5[[#This Row],[Goals OffA]]</f>
        <v>12</v>
      </c>
      <c r="BJ110" s="214">
        <f>IF(Tabel5[[#This Row],[Aantal games Alg]]=0,0,Tabel5[[#This Row],[Goals Alg]]/Tabel5[[#This Row],[Aantal games Alg]])</f>
        <v>12</v>
      </c>
      <c r="BK110" s="148">
        <f>SUMIF(Tabel15[Team Rood],Tabel5[[#This Row],[Team]],Tabel15[ET])</f>
        <v>8.0068287061294541E-3</v>
      </c>
      <c r="BL110" s="150">
        <f>SUMIF(Tabel15[Team Groen],Tabel5[[#This Row],[Team]],Tabel15[ET])</f>
        <v>0</v>
      </c>
      <c r="BM110" s="153">
        <f>SUM(Tabel5[[#This Row],[ET Groen tot]],Tabel5[[#This Row],[ET Rood tot]])</f>
        <v>8.0068287061294541E-3</v>
      </c>
      <c r="BN110" s="155">
        <f>IF(Tabel5[[#This Row],[Aantal games Alg]]=0,0,Tabel5[[#This Row],[ET tot]]/Tabel5[[#This Row],[Aantal games Alg]])</f>
        <v>8.0068287061294541E-3</v>
      </c>
    </row>
    <row r="111" spans="1:66" x14ac:dyDescent="0.25">
      <c r="A111" s="215">
        <f ca="1">IF(Tabel15[[#This Row],[Rood Verdediging]]&lt;&gt;"",IF(A111="",NOW(),A111),"")</f>
        <v>44397.900749652777</v>
      </c>
      <c r="B111" s="128">
        <f ca="1">IF(Tabel15[[#This Row],[Rood Verdediging]]&lt;&gt;"",IF(B111="",NOW(),B111),"")</f>
        <v>44397.900749652777</v>
      </c>
      <c r="C111" s="126">
        <f ca="1">IF(Tabel15[[#This Row],[Score]]&lt;&gt;"",IF(C111="",NOW(),C111),"")</f>
        <v>44397.900749652777</v>
      </c>
      <c r="D111" s="217">
        <f ca="1">IF(OR(Tabel15[[#This Row],[Starttijd]]="",Tabel15[[#This Row],[Eindtijd]]=""),"",Tabel15[[#This Row],[Eindtijd]]-Tabel15[[#This Row],[Starttijd]])</f>
        <v>0</v>
      </c>
      <c r="E111" s="74">
        <v>111</v>
      </c>
      <c r="F111" s="40" t="s">
        <v>3</v>
      </c>
      <c r="G111" s="76">
        <v>3</v>
      </c>
      <c r="H111" s="40" t="s">
        <v>13</v>
      </c>
      <c r="I111" s="76">
        <v>0</v>
      </c>
      <c r="J111" s="41" t="s">
        <v>167</v>
      </c>
      <c r="K111" s="78">
        <v>4</v>
      </c>
      <c r="L111" s="41" t="s">
        <v>0</v>
      </c>
      <c r="M111" s="78">
        <v>7</v>
      </c>
      <c r="N111" s="81">
        <f t="shared" si="11"/>
        <v>3</v>
      </c>
      <c r="O111" s="82">
        <f t="shared" si="12"/>
        <v>11</v>
      </c>
      <c r="P11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Row],[Score4]]&lt;&gt;""),IF(AND(N111&gt;O111,N111&gt;=11),"ROOD",IF(AND(O111&gt;=11,N111&lt;&gt;O111),"GROEN","")),"")</f>
        <v>GROEN</v>
      </c>
      <c r="Q111" s="86" t="str">
        <f t="shared" si="13"/>
        <v>Coghe</v>
      </c>
      <c r="R111" s="87" t="str">
        <f t="shared" si="14"/>
        <v>Jonas</v>
      </c>
      <c r="S111" s="293" t="str">
        <f>Tabel15[[#This Row],[Rood Verdediging]]&amp;Tabel15[[#This Row],[Rood Aanval]]</f>
        <v>KarelBert</v>
      </c>
      <c r="T111" s="293" t="str">
        <f>Tabel15[[#This Row],[Groen Verdediging]]&amp;Tabel15[[#This Row],[Groen Aanval]]</f>
        <v>CogheJonas</v>
      </c>
      <c r="U111" s="293" t="str">
        <f>Tabel15[[#This Row],[Winnaar 1]]&amp;Tabel15[[#This Row],[Winnaar 2]]</f>
        <v>CogheJonas</v>
      </c>
      <c r="V111" s="147" t="b">
        <f>IF(Tabel15[[#This Row],[Team Rood]]=Tabel15[[#This Row],[Winnaars]],Tabel15[[#This Row],[Team Rood]])</f>
        <v>0</v>
      </c>
      <c r="W111" s="147" t="str">
        <f>IF(Tabel15[[#This Row],[Team Groen]]=Tabel15[[#This Row],[Winnaars]],Tabel15[[#This Row],[Team Groen]])</f>
        <v>CogheJonas</v>
      </c>
      <c r="X111" s="283">
        <v>-7.5090930599569701</v>
      </c>
      <c r="Y111" s="283">
        <v>-7.2965662525562118</v>
      </c>
      <c r="Z111" s="283">
        <v>29.196505449365095</v>
      </c>
      <c r="AA111" s="283">
        <v>35.975790958056464</v>
      </c>
      <c r="AL111" s="251" t="s">
        <v>169</v>
      </c>
      <c r="AM111" s="232" t="s">
        <v>163</v>
      </c>
      <c r="AN111" s="140" t="str">
        <f t="shared" si="16"/>
        <v>Stef*Bert*</v>
      </c>
      <c r="AO111" s="160">
        <f>IF(Tabel5[[#This Row],[Aantal Games Rood]]=0,0,(Tabel5[[#This Row],[Wins Rood]])/Tabel5[[#This Row],[Aantal Games Rood]])</f>
        <v>0.8571428571428571</v>
      </c>
      <c r="AP111" s="159">
        <f>IF(Tabel5[[#This Row],[Aantal Games Groen]]=0,0,(Tabel5[[#This Row],[Wins Groen]])/Tabel5[[#This Row],[Aantal Games Groen]])</f>
        <v>0</v>
      </c>
      <c r="AQ111" s="156">
        <f>IF(Tabel5[[#This Row],[Aantal games Alg]]=0,0,(Tabel5[[#This Row],[Wins Alg]])/Tabel5[[#This Row],[Aantal games Alg]])</f>
        <v>0.8571428571428571</v>
      </c>
      <c r="AR111" s="133">
        <f>COUNTIF(Tabel15[Winaar rood],Tabel5[[#This Row],[Team]])</f>
        <v>6</v>
      </c>
      <c r="AS111" s="134">
        <f>COUNTIF(Tabel15[Winnaar Groen],Tabel5[[#This Row],[Team]])</f>
        <v>0</v>
      </c>
      <c r="AT111" s="293">
        <f>COUNTIF(Tabel15[Winnaars],Tabel5[[#This Row],[Team]])</f>
        <v>6</v>
      </c>
      <c r="AU111" s="135">
        <f>Tabel5[[#This Row],[Aantal Games Rood]]-Tabel5[[#This Row],[Wins Rood]]</f>
        <v>1</v>
      </c>
      <c r="AV111" s="136">
        <f>Tabel5[[#This Row],[Aantal Games Groen]]-Tabel5[[#This Row],[Wins Groen]]</f>
        <v>0</v>
      </c>
      <c r="AW111" s="137">
        <f>Tabel5[[#This Row],[Aantal games Alg]]-Tabel5[[#This Row],[Wins Alg]]</f>
        <v>1</v>
      </c>
      <c r="AX111" s="138">
        <f>COUNTIF(Tabel15[Team Rood],Tabel5[[#This Row],[Team]])</f>
        <v>7</v>
      </c>
      <c r="AY111" s="136">
        <f>COUNTIF(Tabel15[Team Groen],Tabel5[[#This Row],[Team]])</f>
        <v>0</v>
      </c>
      <c r="AZ111" s="214">
        <f>Tabel5[[#This Row],[Aantal Games Rood]]+Tabel5[[#This Row],[Aantal Games Groen]]</f>
        <v>7</v>
      </c>
      <c r="BA111" s="138">
        <f>SUMIF(Tabel15[Team Rood],Tabel5[[#This Row],[Team]],Tabel15[Score])</f>
        <v>21</v>
      </c>
      <c r="BB111" s="138">
        <f>SUMIF(Tabel15[Team Rood],Tabel5[[#This Row],[Team]],Tabel15[Score2])</f>
        <v>53</v>
      </c>
      <c r="BC111" s="134">
        <f>SUMIF(Tabel15[Team Groen],Tabel5[[#This Row],[Team]],Tabel15[Score3])</f>
        <v>0</v>
      </c>
      <c r="BD111" s="136">
        <f>SUMIF(Tabel15[Team Groen],Tabel5[[#This Row],[Team]],Tabel15[Score4])</f>
        <v>0</v>
      </c>
      <c r="BE111" s="293">
        <f>SUM(Tabel5[[#This Row],[Goals Verdediger]]+Tabel5[[#This Row],[Goals DefG]])</f>
        <v>21</v>
      </c>
      <c r="BF111" s="293">
        <f>IF(Tabel5[[#This Row],[Aantal games Alg]]=0,0,Tabel5[[#This Row],[Goals DefA]]/Tabel5[[#This Row],[Aantal games Alg]])</f>
        <v>3</v>
      </c>
      <c r="BG111" s="293">
        <f>SUM(Tabel5[[#This Row],[Goals Aanvaller]]+Tabel5[[#This Row],[Goals OffG]])</f>
        <v>53</v>
      </c>
      <c r="BH111" s="293">
        <f>IF(Tabel5[[#This Row],[Aantal games Alg]]=0,0,Tabel5[[#This Row],[Goals OffA]]/Tabel5[[#This Row],[Aantal games Alg]])</f>
        <v>7.5714285714285712</v>
      </c>
      <c r="BI111" s="214">
        <f>Tabel5[[#This Row],[Goals DefA]]+Tabel5[[#This Row],[Goals OffA]]</f>
        <v>74</v>
      </c>
      <c r="BJ111" s="214">
        <f>IF(Tabel5[[#This Row],[Aantal games Alg]]=0,0,Tabel5[[#This Row],[Goals Alg]]/Tabel5[[#This Row],[Aantal games Alg]])</f>
        <v>10.571428571428571</v>
      </c>
      <c r="BK111" s="148">
        <f ca="1">SUMIF(Tabel15[Team Rood],Tabel5[[#This Row],[Team]],Tabel15[ET])</f>
        <v>3.0135995373711921E-2</v>
      </c>
      <c r="BL111" s="150">
        <f>SUMIF(Tabel15[Team Groen],Tabel5[[#This Row],[Team]],Tabel15[ET])</f>
        <v>0</v>
      </c>
      <c r="BM111" s="153">
        <f ca="1">SUM(Tabel5[[#This Row],[ET Groen tot]],Tabel5[[#This Row],[ET Rood tot]])</f>
        <v>3.0135995373711921E-2</v>
      </c>
      <c r="BN111" s="155">
        <f ca="1">IF(Tabel5[[#This Row],[Aantal games Alg]]=0,0,Tabel5[[#This Row],[ET tot]]/Tabel5[[#This Row],[Aantal games Alg]])</f>
        <v>4.3051421962445602E-3</v>
      </c>
    </row>
    <row r="112" spans="1:66" x14ac:dyDescent="0.25">
      <c r="A112" s="215">
        <f ca="1">IF(Tabel15[[#This Row],[Rood Verdediging]]&lt;&gt;"",IF(A112="",NOW(),A112),"")</f>
        <v>44397.900749652777</v>
      </c>
      <c r="B112" s="128">
        <f ca="1">IF(Tabel15[[#This Row],[Rood Verdediging]]&lt;&gt;"",IF(B112="",NOW(),B112),"")</f>
        <v>44397.900749652777</v>
      </c>
      <c r="C112" s="126">
        <f ca="1">IF(Tabel15[[#This Row],[Score]]&lt;&gt;"",IF(C112="",NOW(),C112),"")</f>
        <v>44397.900749652777</v>
      </c>
      <c r="D112" s="217">
        <f ca="1">IF(OR(Tabel15[[#This Row],[Starttijd]]="",Tabel15[[#This Row],[Eindtijd]]=""),"",Tabel15[[#This Row],[Eindtijd]]-Tabel15[[#This Row],[Starttijd]])</f>
        <v>0</v>
      </c>
      <c r="E112" s="74">
        <v>112</v>
      </c>
      <c r="F112" s="40" t="s">
        <v>19</v>
      </c>
      <c r="G112" s="76">
        <v>2</v>
      </c>
      <c r="H112" s="40" t="s">
        <v>11</v>
      </c>
      <c r="I112" s="76">
        <v>5</v>
      </c>
      <c r="J112" s="41" t="s">
        <v>6</v>
      </c>
      <c r="K112" s="78">
        <v>4</v>
      </c>
      <c r="L112" s="41" t="s">
        <v>7</v>
      </c>
      <c r="M112" s="78">
        <v>7</v>
      </c>
      <c r="N112" s="81">
        <f t="shared" ref="N112:N175" si="17">IF(ISBLANK(F112),"",SUM(G112,I112))</f>
        <v>7</v>
      </c>
      <c r="O112" s="82">
        <f t="shared" ref="O112:O175" si="18">IF(ISBLANK(F112),"",SUM(K112,M112))</f>
        <v>11</v>
      </c>
      <c r="P11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Row],[Score4]]&lt;&gt;""),IF(AND(N112&gt;O112,N112&gt;=11),"ROOD",IF(AND(O112&gt;=11,N112&lt;&gt;O112),"GROEN","")),"")</f>
        <v>GROEN</v>
      </c>
      <c r="Q112" s="86" t="str">
        <f t="shared" si="13"/>
        <v>Stef D</v>
      </c>
      <c r="R112" s="87" t="str">
        <f t="shared" si="14"/>
        <v>Tiemen</v>
      </c>
      <c r="S112" s="293" t="str">
        <f>Tabel15[[#This Row],[Rood Verdediging]]&amp;Tabel15[[#This Row],[Rood Aanval]]</f>
        <v>NicolasMatthijs</v>
      </c>
      <c r="T112" s="293" t="str">
        <f>Tabel15[[#This Row],[Groen Verdediging]]&amp;Tabel15[[#This Row],[Groen Aanval]]</f>
        <v>Stef DTiemen</v>
      </c>
      <c r="U112" s="293" t="str">
        <f>Tabel15[[#This Row],[Winnaar 1]]&amp;Tabel15[[#This Row],[Winnaar 2]]</f>
        <v>Stef DTiemen</v>
      </c>
      <c r="V112" s="147" t="b">
        <f>IF(Tabel15[[#This Row],[Team Rood]]=Tabel15[[#This Row],[Winnaars]],Tabel15[[#This Row],[Team Rood]])</f>
        <v>0</v>
      </c>
      <c r="W112" s="147" t="str">
        <f>IF(Tabel15[[#This Row],[Team Groen]]=Tabel15[[#This Row],[Winnaars]],Tabel15[[#This Row],[Team Groen]])</f>
        <v>Stef DTiemen</v>
      </c>
      <c r="X112" s="283">
        <v>5.2073391410314382</v>
      </c>
      <c r="Y112" s="283">
        <v>5.5570889247571671</v>
      </c>
      <c r="Z112" s="283">
        <v>7.9687293354760129</v>
      </c>
      <c r="AA112" s="283">
        <v>7.172549593526675</v>
      </c>
      <c r="AL112" s="251" t="s">
        <v>169</v>
      </c>
      <c r="AM112" s="232" t="s">
        <v>168</v>
      </c>
      <c r="AN112" s="140" t="str">
        <f t="shared" si="16"/>
        <v>Stef*Coghe*</v>
      </c>
      <c r="AO112" s="160">
        <f>IF(Tabel5[[#This Row],[Aantal Games Rood]]=0,0,(Tabel5[[#This Row],[Wins Rood]])/Tabel5[[#This Row],[Aantal Games Rood]])</f>
        <v>0</v>
      </c>
      <c r="AP112" s="159">
        <f>IF(Tabel5[[#This Row],[Aantal Games Groen]]=0,0,(Tabel5[[#This Row],[Wins Groen]])/Tabel5[[#This Row],[Aantal Games Groen]])</f>
        <v>0</v>
      </c>
      <c r="AQ112" s="156">
        <f>IF(Tabel5[[#This Row],[Aantal games Alg]]=0,0,(Tabel5[[#This Row],[Wins Alg]])/Tabel5[[#This Row],[Aantal games Alg]])</f>
        <v>0</v>
      </c>
      <c r="AR112" s="133">
        <f>COUNTIF(Tabel15[Winaar rood],Tabel5[[#This Row],[Team]])</f>
        <v>0</v>
      </c>
      <c r="AS112" s="134">
        <f>COUNTIF(Tabel15[Winnaar Groen],Tabel5[[#This Row],[Team]])</f>
        <v>0</v>
      </c>
      <c r="AT112" s="293">
        <f>COUNTIF(Tabel15[Winnaars],Tabel5[[#This Row],[Team]])</f>
        <v>0</v>
      </c>
      <c r="AU112" s="135">
        <f>Tabel5[[#This Row],[Aantal Games Rood]]-Tabel5[[#This Row],[Wins Rood]]</f>
        <v>0</v>
      </c>
      <c r="AV112" s="136">
        <f>Tabel5[[#This Row],[Aantal Games Groen]]-Tabel5[[#This Row],[Wins Groen]]</f>
        <v>0</v>
      </c>
      <c r="AW112" s="137">
        <f>Tabel5[[#This Row],[Aantal games Alg]]-Tabel5[[#This Row],[Wins Alg]]</f>
        <v>0</v>
      </c>
      <c r="AX112" s="138">
        <f>COUNTIF(Tabel15[Team Rood],Tabel5[[#This Row],[Team]])</f>
        <v>0</v>
      </c>
      <c r="AY112" s="136">
        <f>COUNTIF(Tabel15[Team Groen],Tabel5[[#This Row],[Team]])</f>
        <v>0</v>
      </c>
      <c r="AZ112" s="214">
        <f>Tabel5[[#This Row],[Aantal Games Rood]]+Tabel5[[#This Row],[Aantal Games Groen]]</f>
        <v>0</v>
      </c>
      <c r="BA112" s="138">
        <f>SUMIF(Tabel15[Team Rood],Tabel5[[#This Row],[Team]],Tabel15[Score])</f>
        <v>0</v>
      </c>
      <c r="BB112" s="138">
        <f>SUMIF(Tabel15[Team Rood],Tabel5[[#This Row],[Team]],Tabel15[Score2])</f>
        <v>0</v>
      </c>
      <c r="BC112" s="134">
        <f>SUMIF(Tabel15[Team Groen],Tabel5[[#This Row],[Team]],Tabel15[Score3])</f>
        <v>0</v>
      </c>
      <c r="BD112" s="136">
        <f>SUMIF(Tabel15[Team Groen],Tabel5[[#This Row],[Team]],Tabel15[Score4])</f>
        <v>0</v>
      </c>
      <c r="BE112" s="293">
        <f>SUM(Tabel5[[#This Row],[Goals Verdediger]]+Tabel5[[#This Row],[Goals DefG]])</f>
        <v>0</v>
      </c>
      <c r="BF112" s="293">
        <f>IF(Tabel5[[#This Row],[Aantal games Alg]]=0,0,Tabel5[[#This Row],[Goals DefA]]/Tabel5[[#This Row],[Aantal games Alg]])</f>
        <v>0</v>
      </c>
      <c r="BG112" s="293">
        <f>SUM(Tabel5[[#This Row],[Goals Aanvaller]]+Tabel5[[#This Row],[Goals OffG]])</f>
        <v>0</v>
      </c>
      <c r="BH112" s="293">
        <f>IF(Tabel5[[#This Row],[Aantal games Alg]]=0,0,Tabel5[[#This Row],[Goals OffA]]/Tabel5[[#This Row],[Aantal games Alg]])</f>
        <v>0</v>
      </c>
      <c r="BI112" s="214">
        <f>Tabel5[[#This Row],[Goals DefA]]+Tabel5[[#This Row],[Goals OffA]]</f>
        <v>0</v>
      </c>
      <c r="BJ112" s="214">
        <f>IF(Tabel5[[#This Row],[Aantal games Alg]]=0,0,Tabel5[[#This Row],[Goals Alg]]/Tabel5[[#This Row],[Aantal games Alg]])</f>
        <v>0</v>
      </c>
      <c r="BK112" s="148">
        <f>SUMIF(Tabel15[Team Rood],Tabel5[[#This Row],[Team]],Tabel15[ET])</f>
        <v>0</v>
      </c>
      <c r="BL112" s="150">
        <f>SUMIF(Tabel15[Team Groen],Tabel5[[#This Row],[Team]],Tabel15[ET])</f>
        <v>0</v>
      </c>
      <c r="BM112" s="153">
        <f>SUM(Tabel5[[#This Row],[ET Groen tot]],Tabel5[[#This Row],[ET Rood tot]])</f>
        <v>0</v>
      </c>
      <c r="BN112" s="155">
        <f>IF(Tabel5[[#This Row],[Aantal games Alg]]=0,0,Tabel5[[#This Row],[ET tot]]/Tabel5[[#This Row],[Aantal games Alg]])</f>
        <v>0</v>
      </c>
    </row>
    <row r="113" spans="1:66" x14ac:dyDescent="0.25">
      <c r="A113" s="215">
        <f ca="1">IF(Tabel15[[#This Row],[Rood Verdediging]]&lt;&gt;"",IF(A113="",NOW(),A113),"")</f>
        <v>44397.912647106481</v>
      </c>
      <c r="B113" s="128">
        <f ca="1">IF(Tabel15[[#This Row],[Rood Verdediging]]&lt;&gt;"",IF(B113="",NOW(),B113),"")</f>
        <v>44397.912647106481</v>
      </c>
      <c r="C113" s="126">
        <f ca="1">IF(Tabel15[[#This Row],[Score]]&lt;&gt;"",IF(C113="",NOW(),C113),"")</f>
        <v>44397.912734027777</v>
      </c>
      <c r="D113" s="217">
        <f ca="1">IF(OR(Tabel15[[#This Row],[Starttijd]]="",Tabel15[[#This Row],[Eindtijd]]=""),"",Tabel15[[#This Row],[Eindtijd]]-Tabel15[[#This Row],[Starttijd]])</f>
        <v>8.6921296315267682E-5</v>
      </c>
      <c r="E113" s="74">
        <v>113</v>
      </c>
      <c r="F113" s="40" t="s">
        <v>6</v>
      </c>
      <c r="G113" s="76">
        <v>9</v>
      </c>
      <c r="H113" s="40" t="s">
        <v>19</v>
      </c>
      <c r="I113" s="76">
        <v>2</v>
      </c>
      <c r="J113" s="41" t="s">
        <v>0</v>
      </c>
      <c r="K113" s="78">
        <v>2</v>
      </c>
      <c r="L113" s="41" t="s">
        <v>3</v>
      </c>
      <c r="M113" s="78">
        <v>11</v>
      </c>
      <c r="N113" s="81">
        <f t="shared" si="17"/>
        <v>11</v>
      </c>
      <c r="O113" s="82">
        <f t="shared" si="18"/>
        <v>13</v>
      </c>
      <c r="P11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Row],[Score4]]&lt;&gt;""),IF(AND(N113&gt;O113,N113&gt;=11),"ROOD",IF(AND(O113&gt;=11,N113&lt;&gt;O113),"GROEN","")),"")</f>
        <v>GROEN</v>
      </c>
      <c r="Q113" s="86" t="str">
        <f t="shared" si="13"/>
        <v>Jonas</v>
      </c>
      <c r="R113" s="87" t="str">
        <f t="shared" si="14"/>
        <v>Karel</v>
      </c>
      <c r="S113" s="293" t="str">
        <f>Tabel15[[#This Row],[Rood Verdediging]]&amp;Tabel15[[#This Row],[Rood Aanval]]</f>
        <v>Stef DNicolas</v>
      </c>
      <c r="T113" s="293" t="str">
        <f>Tabel15[[#This Row],[Groen Verdediging]]&amp;Tabel15[[#This Row],[Groen Aanval]]</f>
        <v>JonasKarel</v>
      </c>
      <c r="U113" s="293" t="str">
        <f>Tabel15[[#This Row],[Winnaar 1]]&amp;Tabel15[[#This Row],[Winnaar 2]]</f>
        <v>JonasKarel</v>
      </c>
      <c r="V113" s="147" t="b">
        <f>IF(Tabel15[[#This Row],[Team Rood]]=Tabel15[[#This Row],[Winnaars]],Tabel15[[#This Row],[Team Rood]])</f>
        <v>0</v>
      </c>
      <c r="W113" s="147" t="str">
        <f>IF(Tabel15[[#This Row],[Team Groen]]=Tabel15[[#This Row],[Winnaars]],Tabel15[[#This Row],[Team Groen]])</f>
        <v>JonasKarel</v>
      </c>
      <c r="X113" s="283">
        <v>3.3460314762619965</v>
      </c>
      <c r="Y113" s="283">
        <v>4.9012015317590825</v>
      </c>
      <c r="Z113" s="283">
        <v>8.1792693090458979</v>
      </c>
      <c r="AA113" s="283">
        <v>8.79505274058792</v>
      </c>
      <c r="AL113" s="251" t="s">
        <v>169</v>
      </c>
      <c r="AM113" s="232" t="s">
        <v>159</v>
      </c>
      <c r="AN113" s="140" t="str">
        <f t="shared" si="16"/>
        <v>Stef*Jonas*</v>
      </c>
      <c r="AO113" s="160">
        <f>IF(Tabel5[[#This Row],[Aantal Games Rood]]=0,0,(Tabel5[[#This Row],[Wins Rood]])/Tabel5[[#This Row],[Aantal Games Rood]])</f>
        <v>0.7142857142857143</v>
      </c>
      <c r="AP113" s="159">
        <f>IF(Tabel5[[#This Row],[Aantal Games Groen]]=0,0,(Tabel5[[#This Row],[Wins Groen]])/Tabel5[[#This Row],[Aantal Games Groen]])</f>
        <v>0</v>
      </c>
      <c r="AQ113" s="156">
        <f>IF(Tabel5[[#This Row],[Aantal games Alg]]=0,0,(Tabel5[[#This Row],[Wins Alg]])/Tabel5[[#This Row],[Aantal games Alg]])</f>
        <v>0.625</v>
      </c>
      <c r="AR113" s="133">
        <f>COUNTIF(Tabel15[Winaar rood],Tabel5[[#This Row],[Team]])</f>
        <v>5</v>
      </c>
      <c r="AS113" s="134">
        <f>COUNTIF(Tabel15[Winnaar Groen],Tabel5[[#This Row],[Team]])</f>
        <v>0</v>
      </c>
      <c r="AT113" s="293">
        <f>COUNTIF(Tabel15[Winnaars],Tabel5[[#This Row],[Team]])</f>
        <v>5</v>
      </c>
      <c r="AU113" s="135">
        <f>Tabel5[[#This Row],[Aantal Games Rood]]-Tabel5[[#This Row],[Wins Rood]]</f>
        <v>2</v>
      </c>
      <c r="AV113" s="136">
        <f>Tabel5[[#This Row],[Aantal Games Groen]]-Tabel5[[#This Row],[Wins Groen]]</f>
        <v>1</v>
      </c>
      <c r="AW113" s="137">
        <f>Tabel5[[#This Row],[Aantal games Alg]]-Tabel5[[#This Row],[Wins Alg]]</f>
        <v>3</v>
      </c>
      <c r="AX113" s="138">
        <f>COUNTIF(Tabel15[Team Rood],Tabel5[[#This Row],[Team]])</f>
        <v>7</v>
      </c>
      <c r="AY113" s="136">
        <f>COUNTIF(Tabel15[Team Groen],Tabel5[[#This Row],[Team]])</f>
        <v>1</v>
      </c>
      <c r="AZ113" s="214">
        <f>Tabel5[[#This Row],[Aantal Games Rood]]+Tabel5[[#This Row],[Aantal Games Groen]]</f>
        <v>8</v>
      </c>
      <c r="BA113" s="138">
        <f>SUMIF(Tabel15[Team Rood],Tabel5[[#This Row],[Team]],Tabel15[Score])</f>
        <v>30</v>
      </c>
      <c r="BB113" s="138">
        <f>SUMIF(Tabel15[Team Rood],Tabel5[[#This Row],[Team]],Tabel15[Score2])</f>
        <v>47</v>
      </c>
      <c r="BC113" s="134">
        <f>SUMIF(Tabel15[Team Groen],Tabel5[[#This Row],[Team]],Tabel15[Score3])</f>
        <v>3</v>
      </c>
      <c r="BD113" s="136">
        <f>SUMIF(Tabel15[Team Groen],Tabel5[[#This Row],[Team]],Tabel15[Score4])</f>
        <v>4</v>
      </c>
      <c r="BE113" s="293">
        <f>SUM(Tabel5[[#This Row],[Goals Verdediger]]+Tabel5[[#This Row],[Goals DefG]])</f>
        <v>33</v>
      </c>
      <c r="BF113" s="293">
        <f>IF(Tabel5[[#This Row],[Aantal games Alg]]=0,0,Tabel5[[#This Row],[Goals DefA]]/Tabel5[[#This Row],[Aantal games Alg]])</f>
        <v>4.125</v>
      </c>
      <c r="BG113" s="293">
        <f>SUM(Tabel5[[#This Row],[Goals Aanvaller]]+Tabel5[[#This Row],[Goals OffG]])</f>
        <v>51</v>
      </c>
      <c r="BH113" s="293">
        <f>IF(Tabel5[[#This Row],[Aantal games Alg]]=0,0,Tabel5[[#This Row],[Goals OffA]]/Tabel5[[#This Row],[Aantal games Alg]])</f>
        <v>6.375</v>
      </c>
      <c r="BI113" s="214">
        <f>Tabel5[[#This Row],[Goals DefA]]+Tabel5[[#This Row],[Goals OffA]]</f>
        <v>84</v>
      </c>
      <c r="BJ113" s="214">
        <f>IF(Tabel5[[#This Row],[Aantal games Alg]]=0,0,Tabel5[[#This Row],[Goals Alg]]/Tabel5[[#This Row],[Aantal games Alg]])</f>
        <v>10.5</v>
      </c>
      <c r="BK113" s="148">
        <f ca="1">SUMIF(Tabel15[Team Rood],Tabel5[[#This Row],[Team]],Tabel15[ET])</f>
        <v>3.8634259246464353E-2</v>
      </c>
      <c r="BL113" s="150">
        <f ca="1">SUMIF(Tabel15[Team Groen],Tabel5[[#This Row],[Team]],Tabel15[ET])</f>
        <v>1.1630902779870667E-2</v>
      </c>
      <c r="BM113" s="153">
        <f ca="1">SUM(Tabel5[[#This Row],[ET Groen tot]],Tabel5[[#This Row],[ET Rood tot]])</f>
        <v>5.026516202633502E-2</v>
      </c>
      <c r="BN113" s="155">
        <f ca="1">IF(Tabel5[[#This Row],[Aantal games Alg]]=0,0,Tabel5[[#This Row],[ET tot]]/Tabel5[[#This Row],[Aantal games Alg]])</f>
        <v>6.2831452532918775E-3</v>
      </c>
    </row>
    <row r="114" spans="1:66" x14ac:dyDescent="0.25">
      <c r="A114" s="215">
        <f ca="1">IF(Tabel15[[#This Row],[Rood Verdediging]]&lt;&gt;"",IF(A114="",NOW(),A114),"")</f>
        <v>44397.942474421296</v>
      </c>
      <c r="B114" s="128">
        <f ca="1">IF(Tabel15[[#This Row],[Rood Verdediging]]&lt;&gt;"",IF(B114="",NOW(),B114),"")</f>
        <v>44397.942474421296</v>
      </c>
      <c r="C114" s="126">
        <f ca="1">IF(Tabel15[[#This Row],[Score]]&lt;&gt;"",IF(C114="",NOW(),C114),"")</f>
        <v>44397.942551851855</v>
      </c>
      <c r="D114" s="217">
        <f ca="1">IF(OR(Tabel15[[#This Row],[Starttijd]]="",Tabel15[[#This Row],[Eindtijd]]=""),"",Tabel15[[#This Row],[Eindtijd]]-Tabel15[[#This Row],[Starttijd]])</f>
        <v>7.7430559031199664E-5</v>
      </c>
      <c r="E114" s="74">
        <v>114</v>
      </c>
      <c r="F114" s="40" t="s">
        <v>0</v>
      </c>
      <c r="G114" s="76">
        <v>1</v>
      </c>
      <c r="H114" s="40" t="s">
        <v>13</v>
      </c>
      <c r="I114" s="76">
        <v>8</v>
      </c>
      <c r="J114" s="41" t="s">
        <v>7</v>
      </c>
      <c r="K114" s="78">
        <v>4</v>
      </c>
      <c r="L114" s="41" t="s">
        <v>6</v>
      </c>
      <c r="M114" s="78">
        <v>7</v>
      </c>
      <c r="N114" s="81">
        <f t="shared" si="17"/>
        <v>9</v>
      </c>
      <c r="O114" s="82">
        <f t="shared" si="18"/>
        <v>11</v>
      </c>
      <c r="P11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Row],[Score4]]&lt;&gt;""),IF(AND(N114&gt;O114,N114&gt;=11),"ROOD",IF(AND(O114&gt;=11,N114&lt;&gt;O114),"GROEN","")),"")</f>
        <v>GROEN</v>
      </c>
      <c r="Q114" s="86" t="str">
        <f t="shared" si="13"/>
        <v>Tiemen</v>
      </c>
      <c r="R114" s="87" t="str">
        <f t="shared" si="14"/>
        <v>Stef D</v>
      </c>
      <c r="S114" s="293" t="str">
        <f>Tabel15[[#This Row],[Rood Verdediging]]&amp;Tabel15[[#This Row],[Rood Aanval]]</f>
        <v>JonasBert</v>
      </c>
      <c r="T114" s="293" t="str">
        <f>Tabel15[[#This Row],[Groen Verdediging]]&amp;Tabel15[[#This Row],[Groen Aanval]]</f>
        <v>TiemenStef D</v>
      </c>
      <c r="U114" s="293" t="str">
        <f>Tabel15[[#This Row],[Winnaar 1]]&amp;Tabel15[[#This Row],[Winnaar 2]]</f>
        <v>TiemenStef D</v>
      </c>
      <c r="V114" s="147" t="b">
        <f>IF(Tabel15[[#This Row],[Team Rood]]=Tabel15[[#This Row],[Winnaars]],Tabel15[[#This Row],[Team Rood]])</f>
        <v>0</v>
      </c>
      <c r="W114" s="147" t="str">
        <f>IF(Tabel15[[#This Row],[Team Groen]]=Tabel15[[#This Row],[Winnaars]],Tabel15[[#This Row],[Team Groen]])</f>
        <v>TiemenStef D</v>
      </c>
      <c r="X114" s="283">
        <v>-3.2993903446635691</v>
      </c>
      <c r="Y114" s="283">
        <v>-3.3550514717700133</v>
      </c>
      <c r="Z114" s="283">
        <v>25.519076468304046</v>
      </c>
      <c r="AA114" s="283">
        <v>20.47303977600199</v>
      </c>
      <c r="AL114" s="251" t="s">
        <v>169</v>
      </c>
      <c r="AM114" s="232" t="s">
        <v>164</v>
      </c>
      <c r="AN114" s="140" t="str">
        <f t="shared" si="16"/>
        <v>Stef*Karel*</v>
      </c>
      <c r="AO114" s="160">
        <f>IF(Tabel5[[#This Row],[Aantal Games Rood]]=0,0,(Tabel5[[#This Row],[Wins Rood]])/Tabel5[[#This Row],[Aantal Games Rood]])</f>
        <v>1</v>
      </c>
      <c r="AP114" s="159">
        <f>IF(Tabel5[[#This Row],[Aantal Games Groen]]=0,0,(Tabel5[[#This Row],[Wins Groen]])/Tabel5[[#This Row],[Aantal Games Groen]])</f>
        <v>1</v>
      </c>
      <c r="AQ114" s="156">
        <f>IF(Tabel5[[#This Row],[Aantal games Alg]]=0,0,(Tabel5[[#This Row],[Wins Alg]])/Tabel5[[#This Row],[Aantal games Alg]])</f>
        <v>1</v>
      </c>
      <c r="AR114" s="133">
        <f>COUNTIF(Tabel15[Winaar rood],Tabel5[[#This Row],[Team]])</f>
        <v>5</v>
      </c>
      <c r="AS114" s="134">
        <f>COUNTIF(Tabel15[Winnaar Groen],Tabel5[[#This Row],[Team]])</f>
        <v>3</v>
      </c>
      <c r="AT114" s="293">
        <f>COUNTIF(Tabel15[Winnaars],Tabel5[[#This Row],[Team]])</f>
        <v>8</v>
      </c>
      <c r="AU114" s="135">
        <f>Tabel5[[#This Row],[Aantal Games Rood]]-Tabel5[[#This Row],[Wins Rood]]</f>
        <v>0</v>
      </c>
      <c r="AV114" s="136">
        <f>Tabel5[[#This Row],[Aantal Games Groen]]-Tabel5[[#This Row],[Wins Groen]]</f>
        <v>0</v>
      </c>
      <c r="AW114" s="137">
        <f>Tabel5[[#This Row],[Aantal games Alg]]-Tabel5[[#This Row],[Wins Alg]]</f>
        <v>0</v>
      </c>
      <c r="AX114" s="138">
        <f>COUNTIF(Tabel15[Team Rood],Tabel5[[#This Row],[Team]])</f>
        <v>5</v>
      </c>
      <c r="AY114" s="136">
        <f>COUNTIF(Tabel15[Team Groen],Tabel5[[#This Row],[Team]])</f>
        <v>3</v>
      </c>
      <c r="AZ114" s="214">
        <f>Tabel5[[#This Row],[Aantal Games Rood]]+Tabel5[[#This Row],[Aantal Games Groen]]</f>
        <v>8</v>
      </c>
      <c r="BA114" s="138">
        <f>SUMIF(Tabel15[Team Rood],Tabel5[[#This Row],[Team]],Tabel15[Score])</f>
        <v>21</v>
      </c>
      <c r="BB114" s="138">
        <f>SUMIF(Tabel15[Team Rood],Tabel5[[#This Row],[Team]],Tabel15[Score2])</f>
        <v>34</v>
      </c>
      <c r="BC114" s="134">
        <f>SUMIF(Tabel15[Team Groen],Tabel5[[#This Row],[Team]],Tabel15[Score3])</f>
        <v>10</v>
      </c>
      <c r="BD114" s="136">
        <f>SUMIF(Tabel15[Team Groen],Tabel5[[#This Row],[Team]],Tabel15[Score4])</f>
        <v>23</v>
      </c>
      <c r="BE114" s="293">
        <f>SUM(Tabel5[[#This Row],[Goals Verdediger]]+Tabel5[[#This Row],[Goals DefG]])</f>
        <v>31</v>
      </c>
      <c r="BF114" s="293">
        <f>IF(Tabel5[[#This Row],[Aantal games Alg]]=0,0,Tabel5[[#This Row],[Goals DefA]]/Tabel5[[#This Row],[Aantal games Alg]])</f>
        <v>3.875</v>
      </c>
      <c r="BG114" s="293">
        <f>SUM(Tabel5[[#This Row],[Goals Aanvaller]]+Tabel5[[#This Row],[Goals OffG]])</f>
        <v>57</v>
      </c>
      <c r="BH114" s="293">
        <f>IF(Tabel5[[#This Row],[Aantal games Alg]]=0,0,Tabel5[[#This Row],[Goals OffA]]/Tabel5[[#This Row],[Aantal games Alg]])</f>
        <v>7.125</v>
      </c>
      <c r="BI114" s="214">
        <f>Tabel5[[#This Row],[Goals DefA]]+Tabel5[[#This Row],[Goals OffA]]</f>
        <v>88</v>
      </c>
      <c r="BJ114" s="214">
        <f>IF(Tabel5[[#This Row],[Aantal games Alg]]=0,0,Tabel5[[#This Row],[Goals Alg]]/Tabel5[[#This Row],[Aantal games Alg]])</f>
        <v>11</v>
      </c>
      <c r="BK114" s="148">
        <f ca="1">SUMIF(Tabel15[Team Rood],Tabel5[[#This Row],[Team]],Tabel15[ET])</f>
        <v>8.8813657421269454E-3</v>
      </c>
      <c r="BL114" s="150">
        <f ca="1">SUMIF(Tabel15[Team Groen],Tabel5[[#This Row],[Team]],Tabel15[ET])</f>
        <v>1.7373611102811992E-2</v>
      </c>
      <c r="BM114" s="153">
        <f ca="1">SUM(Tabel5[[#This Row],[ET Groen tot]],Tabel5[[#This Row],[ET Rood tot]])</f>
        <v>2.6254976844938938E-2</v>
      </c>
      <c r="BN114" s="155">
        <f ca="1">IF(Tabel5[[#This Row],[Aantal games Alg]]=0,0,Tabel5[[#This Row],[ET tot]]/Tabel5[[#This Row],[Aantal games Alg]])</f>
        <v>3.2818721056173672E-3</v>
      </c>
    </row>
    <row r="115" spans="1:66" x14ac:dyDescent="0.25">
      <c r="A115" s="215">
        <f ca="1">IF(Tabel15[[#This Row],[Rood Verdediging]]&lt;&gt;"",IF(A115="",NOW(),A115),"")</f>
        <v>44401.867173958337</v>
      </c>
      <c r="B115" s="128">
        <f ca="1">IF(Tabel15[[#This Row],[Rood Verdediging]]&lt;&gt;"",IF(B115="",NOW(),B115),"")</f>
        <v>44401.867173958337</v>
      </c>
      <c r="C115" s="126">
        <f ca="1">IF(Tabel15[[#This Row],[Score]]&lt;&gt;"",IF(C115="",NOW(),C115),"")</f>
        <v>44401.867242129629</v>
      </c>
      <c r="D115" s="217">
        <f ca="1">IF(OR(Tabel15[[#This Row],[Starttijd]]="",Tabel15[[#This Row],[Eindtijd]]=""),"",Tabel15[[#This Row],[Eindtijd]]-Tabel15[[#This Row],[Starttijd]])</f>
        <v>6.8171291786711663E-5</v>
      </c>
      <c r="E115" s="74">
        <v>115</v>
      </c>
      <c r="F115" s="40" t="s">
        <v>0</v>
      </c>
      <c r="G115" s="76">
        <v>3</v>
      </c>
      <c r="H115" s="40" t="s">
        <v>6</v>
      </c>
      <c r="I115" s="76">
        <v>8</v>
      </c>
      <c r="J115" s="41" t="s">
        <v>19</v>
      </c>
      <c r="K115" s="78">
        <v>2</v>
      </c>
      <c r="L115" s="41" t="s">
        <v>8</v>
      </c>
      <c r="M115" s="78">
        <v>3</v>
      </c>
      <c r="N115" s="81">
        <f t="shared" si="17"/>
        <v>11</v>
      </c>
      <c r="O115" s="82">
        <f t="shared" si="18"/>
        <v>5</v>
      </c>
      <c r="P11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Row],[Score4]]&lt;&gt;""),IF(AND(N115&gt;O115,N115&gt;=11),"ROOD",IF(AND(O115&gt;=11,N115&lt;&gt;O115),"GROEN","")),"")</f>
        <v>ROOD</v>
      </c>
      <c r="Q115" s="86" t="str">
        <f t="shared" si="13"/>
        <v>Jonas</v>
      </c>
      <c r="R115" s="87" t="str">
        <f t="shared" si="14"/>
        <v>Stef D</v>
      </c>
      <c r="S115" s="293" t="str">
        <f>Tabel15[[#This Row],[Rood Verdediging]]&amp;Tabel15[[#This Row],[Rood Aanval]]</f>
        <v>JonasStef D</v>
      </c>
      <c r="T115" s="293" t="str">
        <f>Tabel15[[#This Row],[Groen Verdediging]]&amp;Tabel15[[#This Row],[Groen Aanval]]</f>
        <v>NicolasLouis</v>
      </c>
      <c r="U115" s="293" t="str">
        <f>Tabel15[[#This Row],[Winnaar 1]]&amp;Tabel15[[#This Row],[Winnaar 2]]</f>
        <v>JonasStef D</v>
      </c>
      <c r="V115" s="147" t="str">
        <f>IF(Tabel15[[#This Row],[Team Rood]]=Tabel15[[#This Row],[Winnaars]],Tabel15[[#This Row],[Team Rood]])</f>
        <v>JonasStef D</v>
      </c>
      <c r="W115" s="147" t="b">
        <f>IF(Tabel15[[#This Row],[Team Groen]]=Tabel15[[#This Row],[Winnaars]],Tabel15[[#This Row],[Team Groen]])</f>
        <v>0</v>
      </c>
      <c r="X115" s="283">
        <v>5.6581773904246768</v>
      </c>
      <c r="Y115" s="283">
        <v>4.1520124272748333</v>
      </c>
      <c r="Z115" s="283">
        <v>8.1248069574988673</v>
      </c>
      <c r="AA115" s="283">
        <v>8.2942306261870904</v>
      </c>
      <c r="AL115" s="251" t="s">
        <v>169</v>
      </c>
      <c r="AM115" s="232" t="s">
        <v>67</v>
      </c>
      <c r="AN115" s="140" t="str">
        <f t="shared" si="16"/>
        <v>Stef*Lawrence</v>
      </c>
      <c r="AO115" s="160">
        <f>IF(Tabel5[[#This Row],[Aantal Games Rood]]=0,0,(Tabel5[[#This Row],[Wins Rood]])/Tabel5[[#This Row],[Aantal Games Rood]])</f>
        <v>0</v>
      </c>
      <c r="AP115" s="159">
        <f>IF(Tabel5[[#This Row],[Aantal Games Groen]]=0,0,(Tabel5[[#This Row],[Wins Groen]])/Tabel5[[#This Row],[Aantal Games Groen]])</f>
        <v>0</v>
      </c>
      <c r="AQ115" s="156">
        <f>IF(Tabel5[[#This Row],[Aantal games Alg]]=0,0,(Tabel5[[#This Row],[Wins Alg]])/Tabel5[[#This Row],[Aantal games Alg]])</f>
        <v>0</v>
      </c>
      <c r="AR115" s="133">
        <f>COUNTIF(Tabel15[Winaar rood],Tabel5[[#This Row],[Team]])</f>
        <v>0</v>
      </c>
      <c r="AS115" s="134">
        <f>COUNTIF(Tabel15[Winnaar Groen],Tabel5[[#This Row],[Team]])</f>
        <v>0</v>
      </c>
      <c r="AT115" s="293">
        <f>COUNTIF(Tabel15[Winnaars],Tabel5[[#This Row],[Team]])</f>
        <v>0</v>
      </c>
      <c r="AU115" s="135">
        <f>Tabel5[[#This Row],[Aantal Games Rood]]-Tabel5[[#This Row],[Wins Rood]]</f>
        <v>0</v>
      </c>
      <c r="AV115" s="136">
        <f>Tabel5[[#This Row],[Aantal Games Groen]]-Tabel5[[#This Row],[Wins Groen]]</f>
        <v>0</v>
      </c>
      <c r="AW115" s="137">
        <f>Tabel5[[#This Row],[Aantal games Alg]]-Tabel5[[#This Row],[Wins Alg]]</f>
        <v>0</v>
      </c>
      <c r="AX115" s="138">
        <f>COUNTIF(Tabel15[Team Rood],Tabel5[[#This Row],[Team]])</f>
        <v>0</v>
      </c>
      <c r="AY115" s="136">
        <f>COUNTIF(Tabel15[Team Groen],Tabel5[[#This Row],[Team]])</f>
        <v>0</v>
      </c>
      <c r="AZ115" s="214">
        <f>Tabel5[[#This Row],[Aantal Games Rood]]+Tabel5[[#This Row],[Aantal Games Groen]]</f>
        <v>0</v>
      </c>
      <c r="BA115" s="138">
        <f>SUMIF(Tabel15[Team Rood],Tabel5[[#This Row],[Team]],Tabel15[Score])</f>
        <v>0</v>
      </c>
      <c r="BB115" s="138">
        <f>SUMIF(Tabel15[Team Rood],Tabel5[[#This Row],[Team]],Tabel15[Score2])</f>
        <v>0</v>
      </c>
      <c r="BC115" s="134">
        <f>SUMIF(Tabel15[Team Groen],Tabel5[[#This Row],[Team]],Tabel15[Score3])</f>
        <v>0</v>
      </c>
      <c r="BD115" s="136">
        <f>SUMIF(Tabel15[Team Groen],Tabel5[[#This Row],[Team]],Tabel15[Score4])</f>
        <v>0</v>
      </c>
      <c r="BE115" s="293">
        <f>SUM(Tabel5[[#This Row],[Goals Verdediger]]+Tabel5[[#This Row],[Goals DefG]])</f>
        <v>0</v>
      </c>
      <c r="BF115" s="293">
        <f>IF(Tabel5[[#This Row],[Aantal games Alg]]=0,0,Tabel5[[#This Row],[Goals DefA]]/Tabel5[[#This Row],[Aantal games Alg]])</f>
        <v>0</v>
      </c>
      <c r="BG115" s="293">
        <f>SUM(Tabel5[[#This Row],[Goals Aanvaller]]+Tabel5[[#This Row],[Goals OffG]])</f>
        <v>0</v>
      </c>
      <c r="BH115" s="293">
        <f>IF(Tabel5[[#This Row],[Aantal games Alg]]=0,0,Tabel5[[#This Row],[Goals OffA]]/Tabel5[[#This Row],[Aantal games Alg]])</f>
        <v>0</v>
      </c>
      <c r="BI115" s="214">
        <f>Tabel5[[#This Row],[Goals DefA]]+Tabel5[[#This Row],[Goals OffA]]</f>
        <v>0</v>
      </c>
      <c r="BJ115" s="214">
        <f>IF(Tabel5[[#This Row],[Aantal games Alg]]=0,0,Tabel5[[#This Row],[Goals Alg]]/Tabel5[[#This Row],[Aantal games Alg]])</f>
        <v>0</v>
      </c>
      <c r="BK115" s="148">
        <f>SUMIF(Tabel15[Team Rood],Tabel5[[#This Row],[Team]],Tabel15[ET])</f>
        <v>0</v>
      </c>
      <c r="BL115" s="150">
        <f>SUMIF(Tabel15[Team Groen],Tabel5[[#This Row],[Team]],Tabel15[ET])</f>
        <v>0</v>
      </c>
      <c r="BM115" s="153">
        <f>SUM(Tabel5[[#This Row],[ET Groen tot]],Tabel5[[#This Row],[ET Rood tot]])</f>
        <v>0</v>
      </c>
      <c r="BN115" s="155">
        <f>IF(Tabel5[[#This Row],[Aantal games Alg]]=0,0,Tabel5[[#This Row],[ET tot]]/Tabel5[[#This Row],[Aantal games Alg]])</f>
        <v>0</v>
      </c>
    </row>
    <row r="116" spans="1:66" x14ac:dyDescent="0.25">
      <c r="A116" s="215">
        <f ca="1">IF(Tabel15[[#This Row],[Rood Verdediging]]&lt;&gt;"",IF(A116="",NOW(),A116),"")</f>
        <v>44401.880211342592</v>
      </c>
      <c r="B116" s="128">
        <f ca="1">IF(Tabel15[[#This Row],[Rood Verdediging]]&lt;&gt;"",IF(B116="",NOW(),B116),"")</f>
        <v>44401.880211342592</v>
      </c>
      <c r="C116" s="126">
        <f ca="1">IF(Tabel15[[#This Row],[Score]]&lt;&gt;"",IF(C116="",NOW(),C116),"")</f>
        <v>44401.880259722224</v>
      </c>
      <c r="D116" s="217">
        <f ca="1">IF(OR(Tabel15[[#This Row],[Starttijd]]="",Tabel15[[#This Row],[Eindtijd]]=""),"",Tabel15[[#This Row],[Eindtijd]]-Tabel15[[#This Row],[Starttijd]])</f>
        <v>4.8379632062278688E-5</v>
      </c>
      <c r="E116" s="74">
        <v>116</v>
      </c>
      <c r="F116" s="40" t="s">
        <v>6</v>
      </c>
      <c r="G116" s="76">
        <v>4</v>
      </c>
      <c r="H116" s="40" t="s">
        <v>13</v>
      </c>
      <c r="I116" s="76">
        <v>7</v>
      </c>
      <c r="J116" s="41" t="s">
        <v>8</v>
      </c>
      <c r="K116" s="78">
        <v>5</v>
      </c>
      <c r="L116" s="41" t="s">
        <v>0</v>
      </c>
      <c r="M116" s="78">
        <v>2</v>
      </c>
      <c r="N116" s="81">
        <f t="shared" si="17"/>
        <v>11</v>
      </c>
      <c r="O116" s="82">
        <f t="shared" si="18"/>
        <v>7</v>
      </c>
      <c r="P11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Row],[Score4]]&lt;&gt;""),IF(AND(N116&gt;O116,N116&gt;=11),"ROOD",IF(AND(O116&gt;=11,N116&lt;&gt;O116),"GROEN","")),"")</f>
        <v>ROOD</v>
      </c>
      <c r="Q116" s="86" t="str">
        <f t="shared" si="13"/>
        <v>Stef D</v>
      </c>
      <c r="R116" s="87" t="str">
        <f t="shared" si="14"/>
        <v>Bert</v>
      </c>
      <c r="S116" s="293" t="str">
        <f>Tabel15[[#This Row],[Rood Verdediging]]&amp;Tabel15[[#This Row],[Rood Aanval]]</f>
        <v>Stef DBert</v>
      </c>
      <c r="T116" s="293" t="str">
        <f>Tabel15[[#This Row],[Groen Verdediging]]&amp;Tabel15[[#This Row],[Groen Aanval]]</f>
        <v>LouisJonas</v>
      </c>
      <c r="U116" s="293" t="str">
        <f>Tabel15[[#This Row],[Winnaar 1]]&amp;Tabel15[[#This Row],[Winnaar 2]]</f>
        <v>Stef DBert</v>
      </c>
      <c r="V116" s="147" t="str">
        <f>IF(Tabel15[[#This Row],[Team Rood]]=Tabel15[[#This Row],[Winnaars]],Tabel15[[#This Row],[Team Rood]])</f>
        <v>Stef DBert</v>
      </c>
      <c r="W116" s="147" t="b">
        <f>IF(Tabel15[[#This Row],[Team Groen]]=Tabel15[[#This Row],[Winnaars]],Tabel15[[#This Row],[Team Groen]])</f>
        <v>0</v>
      </c>
      <c r="X116" s="283">
        <v>16.223765898103565</v>
      </c>
      <c r="Y116" s="283">
        <v>17.298280513821215</v>
      </c>
      <c r="Z116" s="283">
        <v>-0.55325285102046573</v>
      </c>
      <c r="AA116" s="283">
        <v>-0.43658030697537048</v>
      </c>
      <c r="AL116" s="251" t="s">
        <v>169</v>
      </c>
      <c r="AM116" s="232" t="s">
        <v>161</v>
      </c>
      <c r="AN116" s="140" t="str">
        <f t="shared" si="16"/>
        <v>Stef*Louis*</v>
      </c>
      <c r="AO116" s="160">
        <f>IF(Tabel5[[#This Row],[Aantal Games Rood]]=0,0,(Tabel5[[#This Row],[Wins Rood]])/Tabel5[[#This Row],[Aantal Games Rood]])</f>
        <v>0.5</v>
      </c>
      <c r="AP116" s="159">
        <f>IF(Tabel5[[#This Row],[Aantal Games Groen]]=0,0,(Tabel5[[#This Row],[Wins Groen]])/Tabel5[[#This Row],[Aantal Games Groen]])</f>
        <v>0</v>
      </c>
      <c r="AQ116" s="156">
        <f>IF(Tabel5[[#This Row],[Aantal games Alg]]=0,0,(Tabel5[[#This Row],[Wins Alg]])/Tabel5[[#This Row],[Aantal games Alg]])</f>
        <v>0.33333333333333331</v>
      </c>
      <c r="AR116" s="133">
        <f>COUNTIF(Tabel15[Winaar rood],Tabel5[[#This Row],[Team]])</f>
        <v>1</v>
      </c>
      <c r="AS116" s="134">
        <f>COUNTIF(Tabel15[Winnaar Groen],Tabel5[[#This Row],[Team]])</f>
        <v>0</v>
      </c>
      <c r="AT116" s="213">
        <f>COUNTIF(Tabel15[Winnaars],Tabel5[[#This Row],[Team]])</f>
        <v>1</v>
      </c>
      <c r="AU116" s="135">
        <f>Tabel5[[#This Row],[Aantal Games Rood]]-Tabel5[[#This Row],[Wins Rood]]</f>
        <v>1</v>
      </c>
      <c r="AV116" s="136">
        <f>Tabel5[[#This Row],[Aantal Games Groen]]-Tabel5[[#This Row],[Wins Groen]]</f>
        <v>1</v>
      </c>
      <c r="AW116" s="137">
        <f>Tabel5[[#This Row],[Aantal games Alg]]-Tabel5[[#This Row],[Wins Alg]]</f>
        <v>2</v>
      </c>
      <c r="AX116" s="138">
        <f>COUNTIF(Tabel15[Team Rood],Tabel5[[#This Row],[Team]])</f>
        <v>2</v>
      </c>
      <c r="AY116" s="136">
        <f>COUNTIF(Tabel15[Team Groen],Tabel5[[#This Row],[Team]])</f>
        <v>1</v>
      </c>
      <c r="AZ116" s="214">
        <f>Tabel5[[#This Row],[Aantal Games Rood]]+Tabel5[[#This Row],[Aantal Games Groen]]</f>
        <v>3</v>
      </c>
      <c r="BA116" s="138">
        <f>SUMIF(Tabel15[Team Rood],Tabel5[[#This Row],[Team]],Tabel15[Score])</f>
        <v>5</v>
      </c>
      <c r="BB116" s="138">
        <f>SUMIF(Tabel15[Team Rood],Tabel5[[#This Row],[Team]],Tabel15[Score2])</f>
        <v>13</v>
      </c>
      <c r="BC116" s="134">
        <f>SUMIF(Tabel15[Team Groen],Tabel5[[#This Row],[Team]],Tabel15[Score3])</f>
        <v>2</v>
      </c>
      <c r="BD116" s="136">
        <f>SUMIF(Tabel15[Team Groen],Tabel5[[#This Row],[Team]],Tabel15[Score4])</f>
        <v>3</v>
      </c>
      <c r="BE116" s="213">
        <f>SUM(Tabel5[[#This Row],[Goals Verdediger]]+Tabel5[[#This Row],[Goals DefG]])</f>
        <v>7</v>
      </c>
      <c r="BF116" s="213">
        <f>IF(Tabel5[[#This Row],[Aantal games Alg]]=0,0,Tabel5[[#This Row],[Goals DefA]]/Tabel5[[#This Row],[Aantal games Alg]])</f>
        <v>2.3333333333333335</v>
      </c>
      <c r="BG116" s="213">
        <f>SUM(Tabel5[[#This Row],[Goals Aanvaller]]+Tabel5[[#This Row],[Goals OffG]])</f>
        <v>16</v>
      </c>
      <c r="BH116" s="213">
        <f>IF(Tabel5[[#This Row],[Aantal games Alg]]=0,0,Tabel5[[#This Row],[Goals OffA]]/Tabel5[[#This Row],[Aantal games Alg]])</f>
        <v>5.333333333333333</v>
      </c>
      <c r="BI116" s="214">
        <f>Tabel5[[#This Row],[Goals DefA]]+Tabel5[[#This Row],[Goals OffA]]</f>
        <v>23</v>
      </c>
      <c r="BJ116" s="214">
        <f>IF(Tabel5[[#This Row],[Aantal games Alg]]=0,0,Tabel5[[#This Row],[Goals Alg]]/Tabel5[[#This Row],[Aantal games Alg]])</f>
        <v>7.666666666666667</v>
      </c>
      <c r="BK116" s="148">
        <f ca="1">SUMIF(Tabel15[Team Rood],Tabel5[[#This Row],[Team]],Tabel15[ET])</f>
        <v>1.4606018514314201E-2</v>
      </c>
      <c r="BL116" s="150">
        <f ca="1">SUMIF(Tabel15[Team Groen],Tabel5[[#This Row],[Team]],Tabel15[ET])</f>
        <v>2.1527775970753282E-5</v>
      </c>
      <c r="BM116" s="153">
        <f ca="1">SUM(Tabel5[[#This Row],[ET Groen tot]],Tabel5[[#This Row],[ET Rood tot]])</f>
        <v>1.4627546290284954E-2</v>
      </c>
      <c r="BN116" s="155">
        <f ca="1">IF(Tabel5[[#This Row],[Aantal games Alg]]=0,0,Tabel5[[#This Row],[ET tot]]/Tabel5[[#This Row],[Aantal games Alg]])</f>
        <v>4.8758487634283183E-3</v>
      </c>
    </row>
    <row r="117" spans="1:66" x14ac:dyDescent="0.25">
      <c r="A117" s="215">
        <f ca="1">IF(Tabel15[[#This Row],[Rood Verdediging]]&lt;&gt;"",IF(A117="",NOW(),A117),"")</f>
        <v>44401.88218912037</v>
      </c>
      <c r="B117" s="128">
        <f ca="1">IF(Tabel15[[#This Row],[Rood Verdediging]]&lt;&gt;"",IF(B117="",NOW(),B117),"")</f>
        <v>44401.88218912037</v>
      </c>
      <c r="C117" s="126">
        <f ca="1">IF(Tabel15[[#This Row],[Score]]&lt;&gt;"",IF(C117="",NOW(),C117),"")</f>
        <v>44401.892462037038</v>
      </c>
      <c r="D117" s="217">
        <f ca="1">IF(OR(Tabel15[[#This Row],[Starttijd]]="",Tabel15[[#This Row],[Eindtijd]]=""),"",Tabel15[[#This Row],[Eindtijd]]-Tabel15[[#This Row],[Starttijd]])</f>
        <v>1.0272916668327525E-2</v>
      </c>
      <c r="E117" s="74">
        <v>117</v>
      </c>
      <c r="F117" s="40" t="s">
        <v>19</v>
      </c>
      <c r="G117" s="76">
        <v>1</v>
      </c>
      <c r="H117" s="40" t="s">
        <v>6</v>
      </c>
      <c r="I117" s="76">
        <v>11</v>
      </c>
      <c r="J117" s="41" t="s">
        <v>13</v>
      </c>
      <c r="K117" s="78">
        <v>4</v>
      </c>
      <c r="L117" s="41" t="s">
        <v>0</v>
      </c>
      <c r="M117" s="78">
        <v>6</v>
      </c>
      <c r="N117" s="81">
        <f t="shared" si="17"/>
        <v>12</v>
      </c>
      <c r="O117" s="82">
        <f t="shared" si="18"/>
        <v>10</v>
      </c>
      <c r="P11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Row],[Score4]]&lt;&gt;""),IF(AND(N117&gt;O117,N117&gt;=11),"ROOD",IF(AND(O117&gt;=11,N117&lt;&gt;O117),"GROEN","")),"")</f>
        <v>ROOD</v>
      </c>
      <c r="Q117" s="86" t="str">
        <f t="shared" si="13"/>
        <v>Nicolas</v>
      </c>
      <c r="R117" s="87" t="str">
        <f t="shared" si="14"/>
        <v>Stef D</v>
      </c>
      <c r="S117" s="293" t="str">
        <f>Tabel15[[#This Row],[Rood Verdediging]]&amp;Tabel15[[#This Row],[Rood Aanval]]</f>
        <v>NicolasStef D</v>
      </c>
      <c r="T117" s="293" t="str">
        <f>Tabel15[[#This Row],[Groen Verdediging]]&amp;Tabel15[[#This Row],[Groen Aanval]]</f>
        <v>BertJonas</v>
      </c>
      <c r="U117" s="293" t="str">
        <f>Tabel15[[#This Row],[Winnaar 1]]&amp;Tabel15[[#This Row],[Winnaar 2]]</f>
        <v>NicolasStef D</v>
      </c>
      <c r="V117" s="147" t="str">
        <f>IF(Tabel15[[#This Row],[Team Rood]]=Tabel15[[#This Row],[Winnaars]],Tabel15[[#This Row],[Team Rood]])</f>
        <v>NicolasStef D</v>
      </c>
      <c r="W117" s="147" t="b">
        <f>IF(Tabel15[[#This Row],[Team Groen]]=Tabel15[[#This Row],[Winnaars]],Tabel15[[#This Row],[Team Groen]])</f>
        <v>0</v>
      </c>
      <c r="X117" s="283">
        <v>38.756985761450807</v>
      </c>
      <c r="Y117" s="283">
        <v>23.919440723990775</v>
      </c>
      <c r="Z117" s="283">
        <v>-6.978465363190141</v>
      </c>
      <c r="AA117" s="283">
        <v>-7.5823600966608558</v>
      </c>
      <c r="AL117" s="251" t="s">
        <v>169</v>
      </c>
      <c r="AM117" s="232" t="s">
        <v>162</v>
      </c>
      <c r="AN117" s="140" t="str">
        <f t="shared" si="16"/>
        <v>Stef*Matthijs*</v>
      </c>
      <c r="AO117" s="160">
        <f>IF(Tabel5[[#This Row],[Aantal Games Rood]]=0,0,(Tabel5[[#This Row],[Wins Rood]])/Tabel5[[#This Row],[Aantal Games Rood]])</f>
        <v>1</v>
      </c>
      <c r="AP117" s="159">
        <f>IF(Tabel5[[#This Row],[Aantal Games Groen]]=0,0,(Tabel5[[#This Row],[Wins Groen]])/Tabel5[[#This Row],[Aantal Games Groen]])</f>
        <v>0.33333333333333331</v>
      </c>
      <c r="AQ117" s="156">
        <f>IF(Tabel5[[#This Row],[Aantal games Alg]]=0,0,(Tabel5[[#This Row],[Wins Alg]])/Tabel5[[#This Row],[Aantal games Alg]])</f>
        <v>0.5</v>
      </c>
      <c r="AR117" s="138">
        <f>COUNTIF(Tabel15[Winaar rood],Tabel5[[#This Row],[Team]])</f>
        <v>1</v>
      </c>
      <c r="AS117" s="134">
        <f>COUNTIF(Tabel15[Winnaar Groen],Tabel5[[#This Row],[Team]])</f>
        <v>1</v>
      </c>
      <c r="AT117" s="293">
        <f>COUNTIF(Tabel15[Winnaars],Tabel5[[#This Row],[Team]])</f>
        <v>2</v>
      </c>
      <c r="AU117" s="135">
        <f>Tabel5[[#This Row],[Aantal Games Rood]]-Tabel5[[#This Row],[Wins Rood]]</f>
        <v>0</v>
      </c>
      <c r="AV117" s="136">
        <f>Tabel5[[#This Row],[Aantal Games Groen]]-Tabel5[[#This Row],[Wins Groen]]</f>
        <v>2</v>
      </c>
      <c r="AW117" s="137">
        <f>Tabel5[[#This Row],[Aantal games Alg]]-Tabel5[[#This Row],[Wins Alg]]</f>
        <v>2</v>
      </c>
      <c r="AX117" s="138">
        <f>COUNTIF(Tabel15[Team Rood],Tabel5[[#This Row],[Team]])</f>
        <v>1</v>
      </c>
      <c r="AY117" s="136">
        <f>COUNTIF(Tabel15[Team Groen],Tabel5[[#This Row],[Team]])</f>
        <v>3</v>
      </c>
      <c r="AZ117" s="214">
        <f>Tabel5[[#This Row],[Aantal Games Rood]]+Tabel5[[#This Row],[Aantal Games Groen]]</f>
        <v>4</v>
      </c>
      <c r="BA117" s="138">
        <f>SUMIF(Tabel15[Team Rood],Tabel5[[#This Row],[Team]],Tabel15[Score])</f>
        <v>5</v>
      </c>
      <c r="BB117" s="138">
        <f>SUMIF(Tabel15[Team Rood],Tabel5[[#This Row],[Team]],Tabel15[Score2])</f>
        <v>6</v>
      </c>
      <c r="BC117" s="134">
        <f>SUMIF(Tabel15[Team Groen],Tabel5[[#This Row],[Team]],Tabel15[Score3])</f>
        <v>12</v>
      </c>
      <c r="BD117" s="136">
        <f>SUMIF(Tabel15[Team Groen],Tabel5[[#This Row],[Team]],Tabel15[Score4])</f>
        <v>14</v>
      </c>
      <c r="BE117" s="213">
        <f>SUM(Tabel5[[#This Row],[Goals Verdediger]]+Tabel5[[#This Row],[Goals DefG]])</f>
        <v>17</v>
      </c>
      <c r="BF117" s="213">
        <f>IF(Tabel5[[#This Row],[Aantal games Alg]]=0,0,Tabel5[[#This Row],[Goals DefA]]/Tabel5[[#This Row],[Aantal games Alg]])</f>
        <v>4.25</v>
      </c>
      <c r="BG117" s="213">
        <f>SUM(Tabel5[[#This Row],[Goals Aanvaller]]+Tabel5[[#This Row],[Goals OffG]])</f>
        <v>20</v>
      </c>
      <c r="BH117" s="213">
        <f>IF(Tabel5[[#This Row],[Aantal games Alg]]=0,0,Tabel5[[#This Row],[Goals OffA]]/Tabel5[[#This Row],[Aantal games Alg]])</f>
        <v>5</v>
      </c>
      <c r="BI117" s="214">
        <f>Tabel5[[#This Row],[Goals DefA]]+Tabel5[[#This Row],[Goals OffA]]</f>
        <v>37</v>
      </c>
      <c r="BJ117" s="214">
        <f>IF(Tabel5[[#This Row],[Aantal games Alg]]=0,0,Tabel5[[#This Row],[Goals Alg]]/Tabel5[[#This Row],[Aantal games Alg]])</f>
        <v>9.25</v>
      </c>
      <c r="BK117" s="148">
        <f>SUMIF(Tabel15[Team Rood],Tabel5[[#This Row],[Team]],Tabel15[ET])</f>
        <v>9.628935185901355E-3</v>
      </c>
      <c r="BL117" s="150">
        <f ca="1">SUMIF(Tabel15[Team Groen],Tabel5[[#This Row],[Team]],Tabel15[ET])</f>
        <v>1.568935185787268E-2</v>
      </c>
      <c r="BM117" s="153">
        <f ca="1">SUM(Tabel5[[#This Row],[ET Groen tot]],Tabel5[[#This Row],[ET Rood tot]])</f>
        <v>2.5318287043774035E-2</v>
      </c>
      <c r="BN117" s="155">
        <f ca="1">IF(Tabel5[[#This Row],[Aantal games Alg]]=0,0,Tabel5[[#This Row],[ET tot]]/Tabel5[[#This Row],[Aantal games Alg]])</f>
        <v>6.3295717609435087E-3</v>
      </c>
    </row>
    <row r="118" spans="1:66" x14ac:dyDescent="0.25">
      <c r="A118" s="215">
        <f ca="1">IF(Tabel15[[#This Row],[Rood Verdediging]]&lt;&gt;"",IF(A118="",NOW(),A118),"")</f>
        <v>44401.944610069448</v>
      </c>
      <c r="B118" s="128">
        <f ca="1">IF(Tabel15[[#This Row],[Rood Verdediging]]&lt;&gt;"",IF(B118="",NOW(),B118),"")</f>
        <v>44401.944610069448</v>
      </c>
      <c r="C118" s="126">
        <f ca="1">IF(Tabel15[[#This Row],[Score]]&lt;&gt;"",IF(C118="",NOW(),C118),"")</f>
        <v>44401.944654398147</v>
      </c>
      <c r="D118" s="217">
        <f ca="1">IF(OR(Tabel15[[#This Row],[Starttijd]]="",Tabel15[[#This Row],[Eindtijd]]=""),"",Tabel15[[#This Row],[Eindtijd]]-Tabel15[[#This Row],[Starttijd]])</f>
        <v>4.432869900483638E-5</v>
      </c>
      <c r="E118" s="74">
        <v>118</v>
      </c>
      <c r="F118" s="40" t="s">
        <v>6</v>
      </c>
      <c r="G118" s="76">
        <v>5</v>
      </c>
      <c r="H118" s="40" t="s">
        <v>0</v>
      </c>
      <c r="I118" s="76">
        <v>8</v>
      </c>
      <c r="J118" s="41" t="s">
        <v>8</v>
      </c>
      <c r="K118" s="78">
        <v>5</v>
      </c>
      <c r="L118" s="41" t="s">
        <v>13</v>
      </c>
      <c r="M118" s="78">
        <v>6</v>
      </c>
      <c r="N118" s="81">
        <f t="shared" si="17"/>
        <v>13</v>
      </c>
      <c r="O118" s="82">
        <f t="shared" si="18"/>
        <v>11</v>
      </c>
      <c r="P11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Row],[Score4]]&lt;&gt;""),IF(AND(N118&gt;O118,N118&gt;=11),"ROOD",IF(AND(O118&gt;=11,N118&lt;&gt;O118),"GROEN","")),"")</f>
        <v>ROOD</v>
      </c>
      <c r="Q118" s="86" t="str">
        <f t="shared" si="13"/>
        <v>Stef D</v>
      </c>
      <c r="R118" s="87" t="str">
        <f t="shared" si="14"/>
        <v>Jonas</v>
      </c>
      <c r="S118" s="293" t="str">
        <f>Tabel15[[#This Row],[Rood Verdediging]]&amp;Tabel15[[#This Row],[Rood Aanval]]</f>
        <v>Stef DJonas</v>
      </c>
      <c r="T118" s="293" t="str">
        <f>Tabel15[[#This Row],[Groen Verdediging]]&amp;Tabel15[[#This Row],[Groen Aanval]]</f>
        <v>LouisBert</v>
      </c>
      <c r="U118" s="293" t="str">
        <f>Tabel15[[#This Row],[Winnaar 1]]&amp;Tabel15[[#This Row],[Winnaar 2]]</f>
        <v>Stef DJonas</v>
      </c>
      <c r="V118" s="147" t="str">
        <f>IF(Tabel15[[#This Row],[Team Rood]]=Tabel15[[#This Row],[Winnaars]],Tabel15[[#This Row],[Team Rood]])</f>
        <v>Stef DJonas</v>
      </c>
      <c r="W118" s="147" t="b">
        <f>IF(Tabel15[[#This Row],[Team Groen]]=Tabel15[[#This Row],[Winnaars]],Tabel15[[#This Row],[Team Groen]])</f>
        <v>0</v>
      </c>
      <c r="X118" s="283">
        <v>23.167998880045303</v>
      </c>
      <c r="Y118" s="283">
        <v>28.714027710887883</v>
      </c>
      <c r="Z118" s="283">
        <v>-3.6565156254631908</v>
      </c>
      <c r="AA118" s="283">
        <v>-3.4974706900469101</v>
      </c>
      <c r="AL118" s="251" t="s">
        <v>169</v>
      </c>
      <c r="AM118" s="232" t="s">
        <v>170</v>
      </c>
      <c r="AN118" s="140" t="str">
        <f t="shared" si="16"/>
        <v>Stef*Nico*</v>
      </c>
      <c r="AO118" s="160">
        <f>IF(Tabel5[[#This Row],[Aantal Games Rood]]=0,0,(Tabel5[[#This Row],[Wins Rood]])/Tabel5[[#This Row],[Aantal Games Rood]])</f>
        <v>0</v>
      </c>
      <c r="AP118" s="159">
        <f>IF(Tabel5[[#This Row],[Aantal Games Groen]]=0,0,(Tabel5[[#This Row],[Wins Groen]])/Tabel5[[#This Row],[Aantal Games Groen]])</f>
        <v>0</v>
      </c>
      <c r="AQ118" s="156">
        <f>IF(Tabel5[[#This Row],[Aantal games Alg]]=0,0,(Tabel5[[#This Row],[Wins Alg]])/Tabel5[[#This Row],[Aantal games Alg]])</f>
        <v>0</v>
      </c>
      <c r="AR118" s="171">
        <f>COUNTIF(Tabel15[Winaar rood],Tabel5[[#This Row],[Team]])</f>
        <v>0</v>
      </c>
      <c r="AS118" s="169">
        <f>COUNTIF(Tabel15[Winnaar Groen],Tabel5[[#This Row],[Team]])</f>
        <v>0</v>
      </c>
      <c r="AT118" s="170">
        <f>COUNTIF(Tabel15[Winnaars],Tabel5[[#This Row],[Team]])</f>
        <v>0</v>
      </c>
      <c r="AU118" s="163">
        <f>Tabel5[[#This Row],[Aantal Games Rood]]-Tabel5[[#This Row],[Wins Rood]]</f>
        <v>2</v>
      </c>
      <c r="AV118" s="169">
        <f>Tabel5[[#This Row],[Aantal Games Groen]]-Tabel5[[#This Row],[Wins Groen]]</f>
        <v>0</v>
      </c>
      <c r="AW118" s="165">
        <f>Tabel5[[#This Row],[Aantal games Alg]]-Tabel5[[#This Row],[Wins Alg]]</f>
        <v>2</v>
      </c>
      <c r="AX118" s="171">
        <f>COUNTIF(Tabel15[Team Rood],Tabel5[[#This Row],[Team]])</f>
        <v>2</v>
      </c>
      <c r="AY118" s="169">
        <f>COUNTIF(Tabel15[Team Groen],Tabel5[[#This Row],[Team]])</f>
        <v>0</v>
      </c>
      <c r="AZ118" s="170">
        <f>Tabel5[[#This Row],[Aantal Games Rood]]+Tabel5[[#This Row],[Aantal Games Groen]]</f>
        <v>2</v>
      </c>
      <c r="BA118" s="171">
        <f>SUMIF(Tabel15[Team Rood],Tabel5[[#This Row],[Team]],Tabel15[Score])</f>
        <v>10</v>
      </c>
      <c r="BB118" s="171">
        <f>SUMIF(Tabel15[Team Rood],Tabel5[[#This Row],[Team]],Tabel15[Score2])</f>
        <v>5</v>
      </c>
      <c r="BC118" s="136">
        <f>SUMIF(Tabel15[Team Groen],Tabel5[[#This Row],[Team]],Tabel15[Score3])</f>
        <v>0</v>
      </c>
      <c r="BD118" s="169">
        <f>SUMIF(Tabel15[Team Groen],Tabel5[[#This Row],[Team]],Tabel15[Score4])</f>
        <v>0</v>
      </c>
      <c r="BE118" s="172">
        <f>SUM(Tabel5[[#This Row],[Goals Verdediger]]+Tabel5[[#This Row],[Goals DefG]])</f>
        <v>10</v>
      </c>
      <c r="BF118" s="170">
        <f>IF(Tabel5[[#This Row],[Aantal games Alg]]=0,0,Tabel5[[#This Row],[Goals DefA]]/Tabel5[[#This Row],[Aantal games Alg]])</f>
        <v>5</v>
      </c>
      <c r="BG118" s="172">
        <f>SUM(Tabel5[[#This Row],[Goals Aanvaller]]+Tabel5[[#This Row],[Goals OffG]])</f>
        <v>5</v>
      </c>
      <c r="BH118" s="170">
        <f>IF(Tabel5[[#This Row],[Aantal games Alg]]=0,0,Tabel5[[#This Row],[Goals OffA]]/Tabel5[[#This Row],[Aantal games Alg]])</f>
        <v>2.5</v>
      </c>
      <c r="BI118" s="170">
        <f>Tabel5[[#This Row],[Goals DefA]]+Tabel5[[#This Row],[Goals OffA]]</f>
        <v>15</v>
      </c>
      <c r="BJ118" s="170">
        <f>IF(Tabel5[[#This Row],[Aantal games Alg]]=0,0,Tabel5[[#This Row],[Goals Alg]]/Tabel5[[#This Row],[Aantal games Alg]])</f>
        <v>7.5</v>
      </c>
      <c r="BK118" s="148">
        <f ca="1">SUMIF(Tabel15[Team Rood],Tabel5[[#This Row],[Team]],Tabel15[ET])</f>
        <v>1.0347222269047052E-4</v>
      </c>
      <c r="BL118" s="150">
        <f>SUMIF(Tabel15[Team Groen],Tabel5[[#This Row],[Team]],Tabel15[ET])</f>
        <v>0</v>
      </c>
      <c r="BM118" s="153">
        <f ca="1">SUM(Tabel5[[#This Row],[ET Groen tot]],Tabel5[[#This Row],[ET Rood tot]])</f>
        <v>1.0347222269047052E-4</v>
      </c>
      <c r="BN118" s="155">
        <f ca="1">IF(Tabel5[[#This Row],[Aantal games Alg]]=0,0,Tabel5[[#This Row],[ET tot]]/Tabel5[[#This Row],[Aantal games Alg]])</f>
        <v>5.1736111345235258E-5</v>
      </c>
    </row>
    <row r="119" spans="1:66" x14ac:dyDescent="0.25">
      <c r="A119" s="215">
        <f ca="1">IF(Tabel15[[#This Row],[Rood Verdediging]]&lt;&gt;"",IF(A119="",NOW(),A119),"")</f>
        <v>44401.947330787036</v>
      </c>
      <c r="B119" s="128">
        <f ca="1">IF(Tabel15[[#This Row],[Rood Verdediging]]&lt;&gt;"",IF(B119="",NOW(),B119),"")</f>
        <v>44401.947330787036</v>
      </c>
      <c r="C119" s="126">
        <f ca="1">IF(Tabel15[[#This Row],[Score]]&lt;&gt;"",IF(C119="",NOW(),C119),"")</f>
        <v>44401.959759143516</v>
      </c>
      <c r="D119" s="217">
        <f ca="1">IF(OR(Tabel15[[#This Row],[Starttijd]]="",Tabel15[[#This Row],[Eindtijd]]=""),"",Tabel15[[#This Row],[Eindtijd]]-Tabel15[[#This Row],[Starttijd]])</f>
        <v>1.2428356480086222E-2</v>
      </c>
      <c r="E119" s="74">
        <v>119</v>
      </c>
      <c r="F119" s="40" t="s">
        <v>8</v>
      </c>
      <c r="G119" s="76">
        <v>1</v>
      </c>
      <c r="H119" s="40" t="s">
        <v>6</v>
      </c>
      <c r="I119" s="76">
        <v>12</v>
      </c>
      <c r="J119" s="41" t="s">
        <v>0</v>
      </c>
      <c r="K119" s="78">
        <v>1</v>
      </c>
      <c r="L119" s="41" t="s">
        <v>13</v>
      </c>
      <c r="M119" s="78">
        <v>10</v>
      </c>
      <c r="N119" s="81">
        <f t="shared" si="17"/>
        <v>13</v>
      </c>
      <c r="O119" s="82">
        <f t="shared" si="18"/>
        <v>11</v>
      </c>
      <c r="P11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Row],[Score4]]&lt;&gt;""),IF(AND(N119&gt;O119,N119&gt;=11),"ROOD",IF(AND(O119&gt;=11,N119&lt;&gt;O119),"GROEN","")),"")</f>
        <v>ROOD</v>
      </c>
      <c r="Q119" s="86" t="str">
        <f t="shared" si="13"/>
        <v>Louis</v>
      </c>
      <c r="R119" s="87" t="str">
        <f t="shared" si="14"/>
        <v>Stef D</v>
      </c>
      <c r="S119" s="293" t="str">
        <f>Tabel15[[#This Row],[Rood Verdediging]]&amp;Tabel15[[#This Row],[Rood Aanval]]</f>
        <v>LouisStef D</v>
      </c>
      <c r="T119" s="293" t="str">
        <f>Tabel15[[#This Row],[Groen Verdediging]]&amp;Tabel15[[#This Row],[Groen Aanval]]</f>
        <v>JonasBert</v>
      </c>
      <c r="U119" s="293" t="str">
        <f>Tabel15[[#This Row],[Winnaar 1]]&amp;Tabel15[[#This Row],[Winnaar 2]]</f>
        <v>LouisStef D</v>
      </c>
      <c r="V119" s="147" t="str">
        <f>IF(Tabel15[[#This Row],[Team Rood]]=Tabel15[[#This Row],[Winnaars]],Tabel15[[#This Row],[Team Rood]])</f>
        <v>LouisStef D</v>
      </c>
      <c r="W119" s="147" t="b">
        <f>IF(Tabel15[[#This Row],[Team Groen]]=Tabel15[[#This Row],[Winnaars]],Tabel15[[#This Row],[Team Groen]])</f>
        <v>0</v>
      </c>
      <c r="X119" s="283">
        <v>21.338197725627378</v>
      </c>
      <c r="Y119" s="283">
        <v>17.19066129406983</v>
      </c>
      <c r="Z119" s="283">
        <v>-1.3346003612878601</v>
      </c>
      <c r="AA119" s="283">
        <v>-1.352010101883542</v>
      </c>
      <c r="AL119" s="251" t="s">
        <v>169</v>
      </c>
      <c r="AM119" s="232" t="s">
        <v>166</v>
      </c>
      <c r="AN119" s="140" t="str">
        <f t="shared" si="16"/>
        <v>Stef*Stijn*</v>
      </c>
      <c r="AO119" s="160">
        <f>IF(Tabel5[[#This Row],[Aantal Games Rood]]=0,0,(Tabel5[[#This Row],[Wins Rood]])/Tabel5[[#This Row],[Aantal Games Rood]])</f>
        <v>0</v>
      </c>
      <c r="AP119" s="159">
        <f>IF(Tabel5[[#This Row],[Aantal Games Groen]]=0,0,(Tabel5[[#This Row],[Wins Groen]])/Tabel5[[#This Row],[Aantal Games Groen]])</f>
        <v>0</v>
      </c>
      <c r="AQ119" s="156">
        <f>IF(Tabel5[[#This Row],[Aantal games Alg]]=0,0,(Tabel5[[#This Row],[Wins Alg]])/Tabel5[[#This Row],[Aantal games Alg]])</f>
        <v>0</v>
      </c>
      <c r="AR119" s="138">
        <f>COUNTIF(Tabel15[Winaar rood],Tabel5[[#This Row],[Team]])</f>
        <v>0</v>
      </c>
      <c r="AS119" s="134">
        <f>COUNTIF(Tabel15[Winnaar Groen],Tabel5[[#This Row],[Team]])</f>
        <v>0</v>
      </c>
      <c r="AT119" s="293">
        <f>COUNTIF(Tabel15[Winnaars],Tabel5[[#This Row],[Team]])</f>
        <v>0</v>
      </c>
      <c r="AU119" s="135">
        <f>Tabel5[[#This Row],[Aantal Games Rood]]-Tabel5[[#This Row],[Wins Rood]]</f>
        <v>0</v>
      </c>
      <c r="AV119" s="136">
        <f>Tabel5[[#This Row],[Aantal Games Groen]]-Tabel5[[#This Row],[Wins Groen]]</f>
        <v>0</v>
      </c>
      <c r="AW119" s="137">
        <f>Tabel5[[#This Row],[Aantal games Alg]]-Tabel5[[#This Row],[Wins Alg]]</f>
        <v>0</v>
      </c>
      <c r="AX119" s="138">
        <f>COUNTIF(Tabel15[Team Rood],Tabel5[[#This Row],[Team]])</f>
        <v>0</v>
      </c>
      <c r="AY119" s="136">
        <f>COUNTIF(Tabel15[Team Groen],Tabel5[[#This Row],[Team]])</f>
        <v>0</v>
      </c>
      <c r="AZ119" s="214">
        <f>Tabel5[[#This Row],[Aantal Games Rood]]+Tabel5[[#This Row],[Aantal Games Groen]]</f>
        <v>0</v>
      </c>
      <c r="BA119" s="138">
        <f>SUMIF(Tabel15[Team Rood],Tabel5[[#This Row],[Team]],Tabel15[Score])</f>
        <v>0</v>
      </c>
      <c r="BB119" s="138">
        <f>SUMIF(Tabel15[Team Rood],Tabel5[[#This Row],[Team]],Tabel15[Score2])</f>
        <v>0</v>
      </c>
      <c r="BC119" s="134">
        <f>SUMIF(Tabel15[Team Groen],Tabel5[[#This Row],[Team]],Tabel15[Score3])</f>
        <v>0</v>
      </c>
      <c r="BD119" s="136">
        <f>SUMIF(Tabel15[Team Groen],Tabel5[[#This Row],[Team]],Tabel15[Score4])</f>
        <v>0</v>
      </c>
      <c r="BE119" s="293">
        <f>SUM(Tabel5[[#This Row],[Goals Verdediger]]+Tabel5[[#This Row],[Goals DefG]])</f>
        <v>0</v>
      </c>
      <c r="BF119" s="293">
        <f>IF(Tabel5[[#This Row],[Aantal games Alg]]=0,0,Tabel5[[#This Row],[Goals DefA]]/Tabel5[[#This Row],[Aantal games Alg]])</f>
        <v>0</v>
      </c>
      <c r="BG119" s="293">
        <f>SUM(Tabel5[[#This Row],[Goals Aanvaller]]+Tabel5[[#This Row],[Goals OffG]])</f>
        <v>0</v>
      </c>
      <c r="BH119" s="293">
        <f>IF(Tabel5[[#This Row],[Aantal games Alg]]=0,0,Tabel5[[#This Row],[Goals OffA]]/Tabel5[[#This Row],[Aantal games Alg]])</f>
        <v>0</v>
      </c>
      <c r="BI119" s="214">
        <f>Tabel5[[#This Row],[Goals DefA]]+Tabel5[[#This Row],[Goals OffA]]</f>
        <v>0</v>
      </c>
      <c r="BJ119" s="214">
        <f>IF(Tabel5[[#This Row],[Aantal games Alg]]=0,0,Tabel5[[#This Row],[Goals Alg]]/Tabel5[[#This Row],[Aantal games Alg]])</f>
        <v>0</v>
      </c>
      <c r="BK119" s="148">
        <f>SUMIF(Tabel15[Team Rood],Tabel5[[#This Row],[Team]],Tabel15[ET])</f>
        <v>0</v>
      </c>
      <c r="BL119" s="150">
        <f>SUMIF(Tabel15[Team Groen],Tabel5[[#This Row],[Team]],Tabel15[ET])</f>
        <v>0</v>
      </c>
      <c r="BM119" s="153">
        <f>SUM(Tabel5[[#This Row],[ET Groen tot]],Tabel5[[#This Row],[ET Rood tot]])</f>
        <v>0</v>
      </c>
      <c r="BN119" s="155">
        <f>IF(Tabel5[[#This Row],[Aantal games Alg]]=0,0,Tabel5[[#This Row],[ET tot]]/Tabel5[[#This Row],[Aantal games Alg]])</f>
        <v>0</v>
      </c>
    </row>
    <row r="120" spans="1:66" x14ac:dyDescent="0.25">
      <c r="A120" s="215" t="str">
        <f ca="1">IF(Tabel15[[#This Row],[Rood Verdediging]]&lt;&gt;"",IF(A120="",NOW(),A120),"")</f>
        <v/>
      </c>
      <c r="B120" s="128" t="str">
        <f ca="1">IF(Tabel15[[#This Row],[Rood Verdediging]]&lt;&gt;"",IF(B120="",NOW(),B120),"")</f>
        <v/>
      </c>
      <c r="C120" s="126" t="str">
        <f ca="1">IF(Tabel15[[#This Row],[Score]]&lt;&gt;"",IF(C120="",NOW(),C120),"")</f>
        <v/>
      </c>
      <c r="D120" s="217" t="str">
        <f ca="1">IF(OR(Tabel15[[#This Row],[Starttijd]]="",Tabel15[[#This Row],[Eindtijd]]=""),"",Tabel15[[#This Row],[Eindtijd]]-Tabel15[[#This Row],[Starttijd]])</f>
        <v/>
      </c>
      <c r="E120" s="74">
        <v>120</v>
      </c>
      <c r="F120" s="40"/>
      <c r="G120" s="76"/>
      <c r="H120" s="40"/>
      <c r="I120" s="76"/>
      <c r="J120" s="41"/>
      <c r="K120" s="78"/>
      <c r="L120" s="41"/>
      <c r="M120" s="78"/>
      <c r="N120" s="81" t="str">
        <f t="shared" si="17"/>
        <v/>
      </c>
      <c r="O120" s="82" t="str">
        <f t="shared" si="18"/>
        <v/>
      </c>
      <c r="P12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Row],[Score4]]&lt;&gt;""),IF(AND(N120&gt;O120,N120&gt;=11),"ROOD",IF(AND(O120&gt;=11,N120&lt;&gt;O120),"GROEN","")),"")</f>
        <v/>
      </c>
      <c r="Q120" s="86" t="str">
        <f t="shared" si="13"/>
        <v/>
      </c>
      <c r="R120" s="87" t="str">
        <f t="shared" si="14"/>
        <v/>
      </c>
      <c r="S120" s="293" t="str">
        <f>Tabel15[[#This Row],[Rood Verdediging]]&amp;Tabel15[[#This Row],[Rood Aanval]]</f>
        <v/>
      </c>
      <c r="T120" s="293" t="str">
        <f>Tabel15[[#This Row],[Groen Verdediging]]&amp;Tabel15[[#This Row],[Groen Aanval]]</f>
        <v/>
      </c>
      <c r="U120" s="293" t="str">
        <f>Tabel15[[#This Row],[Winnaar 1]]&amp;Tabel15[[#This Row],[Winnaar 2]]</f>
        <v/>
      </c>
      <c r="V120" s="147" t="str">
        <f>IF(Tabel15[[#This Row],[Team Rood]]=Tabel15[[#This Row],[Winnaars]],Tabel15[[#This Row],[Team Rood]])</f>
        <v/>
      </c>
      <c r="W120" s="147" t="str">
        <f>IF(Tabel15[[#This Row],[Team Groen]]=Tabel15[[#This Row],[Winnaars]],Tabel15[[#This Row],[Team Groen]])</f>
        <v/>
      </c>
      <c r="X120" s="283"/>
      <c r="Y120" s="283"/>
      <c r="Z120" s="283"/>
      <c r="AA120" s="283"/>
      <c r="AL120" s="251" t="s">
        <v>169</v>
      </c>
      <c r="AM120" s="232" t="s">
        <v>160</v>
      </c>
      <c r="AN120" s="140" t="str">
        <f t="shared" si="16"/>
        <v>Stef*Tiemen*</v>
      </c>
      <c r="AO120" s="160">
        <f>IF(Tabel5[[#This Row],[Aantal Games Rood]]=0,0,(Tabel5[[#This Row],[Wins Rood]])/Tabel5[[#This Row],[Aantal Games Rood]])</f>
        <v>0.5</v>
      </c>
      <c r="AP120" s="159">
        <f>IF(Tabel5[[#This Row],[Aantal Games Groen]]=0,0,(Tabel5[[#This Row],[Wins Groen]])/Tabel5[[#This Row],[Aantal Games Groen]])</f>
        <v>0.33333333333333331</v>
      </c>
      <c r="AQ120" s="156">
        <f>IF(Tabel5[[#This Row],[Aantal games Alg]]=0,0,(Tabel5[[#This Row],[Wins Alg]])/Tabel5[[#This Row],[Aantal games Alg]])</f>
        <v>0.4</v>
      </c>
      <c r="AR120" s="133">
        <f>COUNTIF(Tabel15[Winaar rood],Tabel5[[#This Row],[Team]])</f>
        <v>1</v>
      </c>
      <c r="AS120" s="134">
        <f>COUNTIF(Tabel15[Winnaar Groen],Tabel5[[#This Row],[Team]])</f>
        <v>1</v>
      </c>
      <c r="AT120" s="293">
        <f>COUNTIF(Tabel15[Winnaars],Tabel5[[#This Row],[Team]])</f>
        <v>2</v>
      </c>
      <c r="AU120" s="135">
        <f>Tabel5[[#This Row],[Aantal Games Rood]]-Tabel5[[#This Row],[Wins Rood]]</f>
        <v>1</v>
      </c>
      <c r="AV120" s="136">
        <f>Tabel5[[#This Row],[Aantal Games Groen]]-Tabel5[[#This Row],[Wins Groen]]</f>
        <v>2</v>
      </c>
      <c r="AW120" s="137">
        <f>Tabel5[[#This Row],[Aantal games Alg]]-Tabel5[[#This Row],[Wins Alg]]</f>
        <v>3</v>
      </c>
      <c r="AX120" s="138">
        <f>COUNTIF(Tabel15[Team Rood],Tabel5[[#This Row],[Team]])</f>
        <v>2</v>
      </c>
      <c r="AY120" s="136">
        <f>COUNTIF(Tabel15[Team Groen],Tabel5[[#This Row],[Team]])</f>
        <v>3</v>
      </c>
      <c r="AZ120" s="214">
        <f>Tabel5[[#This Row],[Aantal Games Rood]]+Tabel5[[#This Row],[Aantal Games Groen]]</f>
        <v>5</v>
      </c>
      <c r="BA120" s="138">
        <f>SUMIF(Tabel15[Team Rood],Tabel5[[#This Row],[Team]],Tabel15[Score])</f>
        <v>10</v>
      </c>
      <c r="BB120" s="138">
        <f>SUMIF(Tabel15[Team Rood],Tabel5[[#This Row],[Team]],Tabel15[Score2])</f>
        <v>6</v>
      </c>
      <c r="BC120" s="134">
        <f>SUMIF(Tabel15[Team Groen],Tabel5[[#This Row],[Team]],Tabel15[Score3])</f>
        <v>12</v>
      </c>
      <c r="BD120" s="136">
        <f>SUMIF(Tabel15[Team Groen],Tabel5[[#This Row],[Team]],Tabel15[Score4])</f>
        <v>14</v>
      </c>
      <c r="BE120" s="293">
        <f>SUM(Tabel5[[#This Row],[Goals Verdediger]]+Tabel5[[#This Row],[Goals DefG]])</f>
        <v>22</v>
      </c>
      <c r="BF120" s="293">
        <f>IF(Tabel5[[#This Row],[Aantal games Alg]]=0,0,Tabel5[[#This Row],[Goals DefA]]/Tabel5[[#This Row],[Aantal games Alg]])</f>
        <v>4.4000000000000004</v>
      </c>
      <c r="BG120" s="293">
        <f>SUM(Tabel5[[#This Row],[Goals Aanvaller]]+Tabel5[[#This Row],[Goals OffG]])</f>
        <v>20</v>
      </c>
      <c r="BH120" s="293">
        <f>IF(Tabel5[[#This Row],[Aantal games Alg]]=0,0,Tabel5[[#This Row],[Goals OffA]]/Tabel5[[#This Row],[Aantal games Alg]])</f>
        <v>4</v>
      </c>
      <c r="BI120" s="214">
        <f>Tabel5[[#This Row],[Goals DefA]]+Tabel5[[#This Row],[Goals OffA]]</f>
        <v>42</v>
      </c>
      <c r="BJ120" s="214">
        <f>IF(Tabel5[[#This Row],[Aantal games Alg]]=0,0,Tabel5[[#This Row],[Goals Alg]]/Tabel5[[#This Row],[Aantal games Alg]])</f>
        <v>8.4</v>
      </c>
      <c r="BK120" s="148">
        <f ca="1">SUMIF(Tabel15[Team Rood],Tabel5[[#This Row],[Team]],Tabel15[ET])</f>
        <v>3.0787035939283669E-5</v>
      </c>
      <c r="BL120" s="150">
        <f ca="1">SUMIF(Tabel15[Team Groen],Tabel5[[#This Row],[Team]],Tabel15[ET])</f>
        <v>9.0856476163025945E-5</v>
      </c>
      <c r="BM120" s="153">
        <f ca="1">SUM(Tabel5[[#This Row],[ET Groen tot]],Tabel5[[#This Row],[ET Rood tot]])</f>
        <v>1.2164351210230961E-4</v>
      </c>
      <c r="BN120" s="155">
        <f ca="1">IF(Tabel5[[#This Row],[Aantal games Alg]]=0,0,Tabel5[[#This Row],[ET tot]]/Tabel5[[#This Row],[Aantal games Alg]])</f>
        <v>2.4328702420461922E-5</v>
      </c>
    </row>
    <row r="121" spans="1:66" x14ac:dyDescent="0.25">
      <c r="A121" s="125" t="str">
        <f ca="1">IF(Tabel15[[#This Row],[Rood Verdediging]]&lt;&gt;"",IF(A121="",NOW(),A121),"")</f>
        <v/>
      </c>
      <c r="B121" s="128" t="str">
        <f ca="1">IF(Tabel15[[#This Row],[Rood Verdediging]]&lt;&gt;"",IF(B121="",NOW(),B121),"")</f>
        <v/>
      </c>
      <c r="C121" s="126" t="str">
        <f ca="1">IF(Tabel15[[#This Row],[Score]]&lt;&gt;"",IF(C121="",NOW(),C121),"")</f>
        <v/>
      </c>
      <c r="D121" s="217" t="str">
        <f ca="1">IF(OR(Tabel15[[#This Row],[Starttijd]]="",Tabel15[[#This Row],[Eindtijd]]=""),"",Tabel15[[#This Row],[Eindtijd]]-Tabel15[[#This Row],[Starttijd]])</f>
        <v/>
      </c>
      <c r="E121" s="74">
        <v>120</v>
      </c>
      <c r="F121" s="40"/>
      <c r="G121" s="76"/>
      <c r="H121" s="40"/>
      <c r="I121" s="76"/>
      <c r="J121" s="41"/>
      <c r="K121" s="78"/>
      <c r="L121" s="41"/>
      <c r="M121" s="78"/>
      <c r="N121" s="81" t="str">
        <f t="shared" si="17"/>
        <v/>
      </c>
      <c r="O121" s="82" t="str">
        <f t="shared" si="18"/>
        <v/>
      </c>
      <c r="P12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Row],[Score4]]&lt;&gt;""),IF(AND(N121&gt;O121,N121&gt;=11),"ROOD",IF(AND(O121&gt;=11,N121&lt;&gt;O121),"GROEN","")),"")</f>
        <v/>
      </c>
      <c r="Q121" s="86" t="str">
        <f t="shared" si="13"/>
        <v/>
      </c>
      <c r="R121" s="87" t="str">
        <f t="shared" si="14"/>
        <v/>
      </c>
      <c r="S121" s="147" t="str">
        <f>Tabel15[[#This Row],[Rood Verdediging]]&amp;Tabel15[[#This Row],[Rood Aanval]]</f>
        <v/>
      </c>
      <c r="T121" s="147" t="str">
        <f>Tabel15[[#This Row],[Groen Verdediging]]&amp;Tabel15[[#This Row],[Groen Aanval]]</f>
        <v/>
      </c>
      <c r="U121" s="147" t="str">
        <f>Tabel15[[#This Row],[Winnaar 1]]&amp;Tabel15[[#This Row],[Winnaar 2]]</f>
        <v/>
      </c>
      <c r="V121" s="147" t="str">
        <f>IF(Tabel15[[#This Row],[Team Rood]]=Tabel15[[#This Row],[Winnaars]],Tabel15[[#This Row],[Team Rood]])</f>
        <v/>
      </c>
      <c r="W121" s="147" t="str">
        <f>IF(Tabel15[[#This Row],[Team Groen]]=Tabel15[[#This Row],[Winnaars]],Tabel15[[#This Row],[Team Groen]])</f>
        <v/>
      </c>
      <c r="X121" s="283"/>
      <c r="Y121" s="283"/>
      <c r="Z121" s="283"/>
      <c r="AA121" s="283"/>
      <c r="AL121" s="251" t="s">
        <v>169</v>
      </c>
      <c r="AM121" s="232" t="s">
        <v>157</v>
      </c>
      <c r="AN121" s="140" t="str">
        <f t="shared" si="16"/>
        <v>Stef*Tobi*</v>
      </c>
      <c r="AO121" s="160">
        <f>IF(Tabel5[[#This Row],[Aantal Games Rood]]=0,0,(Tabel5[[#This Row],[Wins Rood]])/Tabel5[[#This Row],[Aantal Games Rood]])</f>
        <v>0</v>
      </c>
      <c r="AP121" s="159">
        <f>IF(Tabel5[[#This Row],[Aantal Games Groen]]=0,0,(Tabel5[[#This Row],[Wins Groen]])/Tabel5[[#This Row],[Aantal Games Groen]])</f>
        <v>0</v>
      </c>
      <c r="AQ121" s="156">
        <f>IF(Tabel5[[#This Row],[Aantal games Alg]]=0,0,(Tabel5[[#This Row],[Wins Alg]])/Tabel5[[#This Row],[Aantal games Alg]])</f>
        <v>0</v>
      </c>
      <c r="AR121" s="133">
        <f>COUNTIF(Tabel15[Winaar rood],Tabel5[[#This Row],[Team]])</f>
        <v>0</v>
      </c>
      <c r="AS121" s="134">
        <f>COUNTIF(Tabel15[Winnaar Groen],Tabel5[[#This Row],[Team]])</f>
        <v>0</v>
      </c>
      <c r="AT121" s="293">
        <f>COUNTIF(Tabel15[Winnaars],Tabel5[[#This Row],[Team]])</f>
        <v>0</v>
      </c>
      <c r="AU121" s="135">
        <f>Tabel5[[#This Row],[Aantal Games Rood]]-Tabel5[[#This Row],[Wins Rood]]</f>
        <v>0</v>
      </c>
      <c r="AV121" s="136">
        <f>Tabel5[[#This Row],[Aantal Games Groen]]-Tabel5[[#This Row],[Wins Groen]]</f>
        <v>0</v>
      </c>
      <c r="AW121" s="137">
        <f>Tabel5[[#This Row],[Aantal games Alg]]-Tabel5[[#This Row],[Wins Alg]]</f>
        <v>0</v>
      </c>
      <c r="AX121" s="138">
        <f>COUNTIF(Tabel15[Team Rood],Tabel5[[#This Row],[Team]])</f>
        <v>0</v>
      </c>
      <c r="AY121" s="136">
        <f>COUNTIF(Tabel15[Team Groen],Tabel5[[#This Row],[Team]])</f>
        <v>0</v>
      </c>
      <c r="AZ121" s="214">
        <f>Tabel5[[#This Row],[Aantal Games Rood]]+Tabel5[[#This Row],[Aantal Games Groen]]</f>
        <v>0</v>
      </c>
      <c r="BA121" s="138">
        <f>SUMIF(Tabel15[Team Rood],Tabel5[[#This Row],[Team]],Tabel15[Score])</f>
        <v>0</v>
      </c>
      <c r="BB121" s="138">
        <f>SUMIF(Tabel15[Team Rood],Tabel5[[#This Row],[Team]],Tabel15[Score2])</f>
        <v>0</v>
      </c>
      <c r="BC121" s="134">
        <f>SUMIF(Tabel15[Team Groen],Tabel5[[#This Row],[Team]],Tabel15[Score3])</f>
        <v>0</v>
      </c>
      <c r="BD121" s="136">
        <f>SUMIF(Tabel15[Team Groen],Tabel5[[#This Row],[Team]],Tabel15[Score4])</f>
        <v>0</v>
      </c>
      <c r="BE121" s="293">
        <f>SUM(Tabel5[[#This Row],[Goals Verdediger]]+Tabel5[[#This Row],[Goals DefG]])</f>
        <v>0</v>
      </c>
      <c r="BF121" s="293">
        <f>IF(Tabel5[[#This Row],[Aantal games Alg]]=0,0,Tabel5[[#This Row],[Goals DefA]]/Tabel5[[#This Row],[Aantal games Alg]])</f>
        <v>0</v>
      </c>
      <c r="BG121" s="293">
        <f>SUM(Tabel5[[#This Row],[Goals Aanvaller]]+Tabel5[[#This Row],[Goals OffG]])</f>
        <v>0</v>
      </c>
      <c r="BH121" s="293">
        <f>IF(Tabel5[[#This Row],[Aantal games Alg]]=0,0,Tabel5[[#This Row],[Goals OffA]]/Tabel5[[#This Row],[Aantal games Alg]])</f>
        <v>0</v>
      </c>
      <c r="BI121" s="214">
        <f>Tabel5[[#This Row],[Goals DefA]]+Tabel5[[#This Row],[Goals OffA]]</f>
        <v>0</v>
      </c>
      <c r="BJ121" s="214">
        <f>IF(Tabel5[[#This Row],[Aantal games Alg]]=0,0,Tabel5[[#This Row],[Goals Alg]]/Tabel5[[#This Row],[Aantal games Alg]])</f>
        <v>0</v>
      </c>
      <c r="BK121" s="148">
        <f>SUMIF(Tabel15[Team Rood],Tabel5[[#This Row],[Team]],Tabel15[ET])</f>
        <v>0</v>
      </c>
      <c r="BL121" s="150">
        <f>SUMIF(Tabel15[Team Groen],Tabel5[[#This Row],[Team]],Tabel15[ET])</f>
        <v>0</v>
      </c>
      <c r="BM121" s="153">
        <f>SUM(Tabel5[[#This Row],[ET Groen tot]],Tabel5[[#This Row],[ET Rood tot]])</f>
        <v>0</v>
      </c>
      <c r="BN121" s="155">
        <f>IF(Tabel5[[#This Row],[Aantal games Alg]]=0,0,Tabel5[[#This Row],[ET tot]]/Tabel5[[#This Row],[Aantal games Alg]])</f>
        <v>0</v>
      </c>
    </row>
    <row r="122" spans="1:66" x14ac:dyDescent="0.25">
      <c r="A122" s="125" t="str">
        <f ca="1">IF(Tabel15[[#This Row],[Rood Verdediging]]&lt;&gt;"",IF(A122="",NOW(),A122),"")</f>
        <v/>
      </c>
      <c r="B122" s="128" t="str">
        <f ca="1">IF(Tabel15[[#This Row],[Rood Verdediging]]&lt;&gt;"",IF(B122="",NOW(),B122),"")</f>
        <v/>
      </c>
      <c r="C122" s="126" t="str">
        <f ca="1">IF(Tabel15[[#This Row],[Score]]&lt;&gt;"",IF(C122="",NOW(),C122),"")</f>
        <v/>
      </c>
      <c r="D122" s="182" t="str">
        <f ca="1">IF(OR(Tabel15[[#This Row],[Starttijd]]="",Tabel15[[#This Row],[Eindtijd]]=""),"",Tabel15[[#This Row],[Eindtijd]]-Tabel15[[#This Row],[Starttijd]])</f>
        <v/>
      </c>
      <c r="E122" s="74">
        <v>120</v>
      </c>
      <c r="F122" s="40"/>
      <c r="G122" s="76"/>
      <c r="H122" s="40"/>
      <c r="I122" s="76"/>
      <c r="J122" s="41"/>
      <c r="K122" s="78"/>
      <c r="L122" s="41"/>
      <c r="M122" s="78"/>
      <c r="N122" s="81" t="str">
        <f t="shared" si="17"/>
        <v/>
      </c>
      <c r="O122" s="82" t="str">
        <f t="shared" si="18"/>
        <v/>
      </c>
      <c r="P12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Row],[Score4]]&lt;&gt;""),IF(AND(N122&gt;O122,N122&gt;=11),"ROOD",IF(AND(O122&gt;=11,N122&lt;&gt;O122),"GROEN","")),"")</f>
        <v/>
      </c>
      <c r="Q122" s="86" t="str">
        <f t="shared" si="13"/>
        <v/>
      </c>
      <c r="R122" s="87" t="str">
        <f t="shared" si="14"/>
        <v/>
      </c>
      <c r="S122" s="147" t="str">
        <f>Tabel15[[#This Row],[Rood Verdediging]]&amp;Tabel15[[#This Row],[Rood Aanval]]</f>
        <v/>
      </c>
      <c r="T122" s="147" t="str">
        <f>Tabel15[[#This Row],[Groen Verdediging]]&amp;Tabel15[[#This Row],[Groen Aanval]]</f>
        <v/>
      </c>
      <c r="U122" s="147" t="str">
        <f>Tabel15[[#This Row],[Winnaar 1]]&amp;Tabel15[[#This Row],[Winnaar 2]]</f>
        <v/>
      </c>
      <c r="V122" s="147" t="str">
        <f>IF(Tabel15[[#This Row],[Team Rood]]=Tabel15[[#This Row],[Winnaars]],Tabel15[[#This Row],[Team Rood]])</f>
        <v/>
      </c>
      <c r="W122" s="147" t="str">
        <f>IF(Tabel15[[#This Row],[Team Groen]]=Tabel15[[#This Row],[Winnaars]],Tabel15[[#This Row],[Team Groen]])</f>
        <v/>
      </c>
      <c r="X122" s="283"/>
      <c r="Y122" s="283"/>
      <c r="Z122" s="283"/>
      <c r="AA122" s="283"/>
      <c r="AL122" s="251" t="s">
        <v>166</v>
      </c>
      <c r="AM122" s="232" t="s">
        <v>158</v>
      </c>
      <c r="AN122" s="140" t="str">
        <f t="shared" si="16"/>
        <v>Stijn*Arno*</v>
      </c>
      <c r="AO122" s="160">
        <f>IF(Tabel5[[#This Row],[Aantal Games Rood]]=0,0,(Tabel5[[#This Row],[Wins Rood]])/Tabel5[[#This Row],[Aantal Games Rood]])</f>
        <v>0</v>
      </c>
      <c r="AP122" s="159">
        <f>IF(Tabel5[[#This Row],[Aantal Games Groen]]=0,0,(Tabel5[[#This Row],[Wins Groen]])/Tabel5[[#This Row],[Aantal Games Groen]])</f>
        <v>0</v>
      </c>
      <c r="AQ122" s="156">
        <f>IF(Tabel5[[#This Row],[Aantal games Alg]]=0,0,(Tabel5[[#This Row],[Wins Alg]])/Tabel5[[#This Row],[Aantal games Alg]])</f>
        <v>0</v>
      </c>
      <c r="AR122" s="133">
        <f>COUNTIF(Tabel15[Winaar rood],Tabel5[[#This Row],[Team]])</f>
        <v>0</v>
      </c>
      <c r="AS122" s="134">
        <f>COUNTIF(Tabel15[Winnaar Groen],Tabel5[[#This Row],[Team]])</f>
        <v>0</v>
      </c>
      <c r="AT122" s="293">
        <f>COUNTIF(Tabel15[Winnaars],Tabel5[[#This Row],[Team]])</f>
        <v>0</v>
      </c>
      <c r="AU122" s="135">
        <f>Tabel5[[#This Row],[Aantal Games Rood]]-Tabel5[[#This Row],[Wins Rood]]</f>
        <v>0</v>
      </c>
      <c r="AV122" s="136">
        <f>Tabel5[[#This Row],[Aantal Games Groen]]-Tabel5[[#This Row],[Wins Groen]]</f>
        <v>0</v>
      </c>
      <c r="AW122" s="137">
        <f>Tabel5[[#This Row],[Aantal games Alg]]-Tabel5[[#This Row],[Wins Alg]]</f>
        <v>0</v>
      </c>
      <c r="AX122" s="138">
        <f>COUNTIF(Tabel15[Team Rood],Tabel5[[#This Row],[Team]])</f>
        <v>0</v>
      </c>
      <c r="AY122" s="136">
        <f>COUNTIF(Tabel15[Team Groen],Tabel5[[#This Row],[Team]])</f>
        <v>0</v>
      </c>
      <c r="AZ122" s="214">
        <f>Tabel5[[#This Row],[Aantal Games Rood]]+Tabel5[[#This Row],[Aantal Games Groen]]</f>
        <v>0</v>
      </c>
      <c r="BA122" s="138">
        <f>SUMIF(Tabel15[Team Rood],Tabel5[[#This Row],[Team]],Tabel15[Score])</f>
        <v>0</v>
      </c>
      <c r="BB122" s="138">
        <f>SUMIF(Tabel15[Team Rood],Tabel5[[#This Row],[Team]],Tabel15[Score2])</f>
        <v>0</v>
      </c>
      <c r="BC122" s="134">
        <f>SUMIF(Tabel15[Team Groen],Tabel5[[#This Row],[Team]],Tabel15[Score3])</f>
        <v>0</v>
      </c>
      <c r="BD122" s="136">
        <f>SUMIF(Tabel15[Team Groen],Tabel5[[#This Row],[Team]],Tabel15[Score4])</f>
        <v>0</v>
      </c>
      <c r="BE122" s="293">
        <f>SUM(Tabel5[[#This Row],[Goals Verdediger]]+Tabel5[[#This Row],[Goals DefG]])</f>
        <v>0</v>
      </c>
      <c r="BF122" s="293">
        <f>IF(Tabel5[[#This Row],[Aantal games Alg]]=0,0,Tabel5[[#This Row],[Goals DefA]]/Tabel5[[#This Row],[Aantal games Alg]])</f>
        <v>0</v>
      </c>
      <c r="BG122" s="293">
        <f>SUM(Tabel5[[#This Row],[Goals Aanvaller]]+Tabel5[[#This Row],[Goals OffG]])</f>
        <v>0</v>
      </c>
      <c r="BH122" s="293">
        <f>IF(Tabel5[[#This Row],[Aantal games Alg]]=0,0,Tabel5[[#This Row],[Goals OffA]]/Tabel5[[#This Row],[Aantal games Alg]])</f>
        <v>0</v>
      </c>
      <c r="BI122" s="214">
        <f>Tabel5[[#This Row],[Goals DefA]]+Tabel5[[#This Row],[Goals OffA]]</f>
        <v>0</v>
      </c>
      <c r="BJ122" s="214">
        <f>IF(Tabel5[[#This Row],[Aantal games Alg]]=0,0,Tabel5[[#This Row],[Goals Alg]]/Tabel5[[#This Row],[Aantal games Alg]])</f>
        <v>0</v>
      </c>
      <c r="BK122" s="148">
        <f>SUMIF(Tabel15[Team Rood],Tabel5[[#This Row],[Team]],Tabel15[ET])</f>
        <v>0</v>
      </c>
      <c r="BL122" s="150">
        <f>SUMIF(Tabel15[Team Groen],Tabel5[[#This Row],[Team]],Tabel15[ET])</f>
        <v>0</v>
      </c>
      <c r="BM122" s="153">
        <f>SUM(Tabel5[[#This Row],[ET Groen tot]],Tabel5[[#This Row],[ET Rood tot]])</f>
        <v>0</v>
      </c>
      <c r="BN122" s="155">
        <f>IF(Tabel5[[#This Row],[Aantal games Alg]]=0,0,Tabel5[[#This Row],[ET tot]]/Tabel5[[#This Row],[Aantal games Alg]])</f>
        <v>0</v>
      </c>
    </row>
    <row r="123" spans="1:66" x14ac:dyDescent="0.25">
      <c r="A123" s="125" t="str">
        <f ca="1">IF(Tabel15[[#This Row],[Rood Verdediging]]&lt;&gt;"",IF(A123="",NOW(),A123),"")</f>
        <v/>
      </c>
      <c r="B123" s="128" t="str">
        <f ca="1">IF(Tabel15[[#This Row],[Rood Verdediging]]&lt;&gt;"",IF(B123="",NOW(),B123),"")</f>
        <v/>
      </c>
      <c r="C123" s="126" t="str">
        <f ca="1">IF(Tabel15[[#This Row],[Score]]&lt;&gt;"",IF(C123="",NOW(),C123),"")</f>
        <v/>
      </c>
      <c r="D123" s="182" t="str">
        <f ca="1">IF(OR(Tabel15[[#This Row],[Starttijd]]="",Tabel15[[#This Row],[Eindtijd]]=""),"",Tabel15[[#This Row],[Eindtijd]]-Tabel15[[#This Row],[Starttijd]])</f>
        <v/>
      </c>
      <c r="E123" s="74">
        <v>120</v>
      </c>
      <c r="F123" s="40"/>
      <c r="G123" s="76"/>
      <c r="H123" s="40"/>
      <c r="I123" s="76"/>
      <c r="J123" s="41"/>
      <c r="K123" s="78"/>
      <c r="L123" s="41"/>
      <c r="M123" s="78"/>
      <c r="N123" s="81" t="str">
        <f t="shared" si="17"/>
        <v/>
      </c>
      <c r="O123" s="82" t="str">
        <f t="shared" si="18"/>
        <v/>
      </c>
      <c r="P12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Row],[Score4]]&lt;&gt;""),IF(AND(N123&gt;O123,N123&gt;=11),"ROOD",IF(AND(O123&gt;=11,N123&lt;&gt;O123),"GROEN","")),"")</f>
        <v/>
      </c>
      <c r="Q123" s="86" t="str">
        <f t="shared" si="13"/>
        <v/>
      </c>
      <c r="R123" s="87" t="str">
        <f t="shared" si="14"/>
        <v/>
      </c>
      <c r="S123" s="147" t="str">
        <f>Tabel15[[#This Row],[Rood Verdediging]]&amp;Tabel15[[#This Row],[Rood Aanval]]</f>
        <v/>
      </c>
      <c r="T123" s="147" t="str">
        <f>Tabel15[[#This Row],[Groen Verdediging]]&amp;Tabel15[[#This Row],[Groen Aanval]]</f>
        <v/>
      </c>
      <c r="U123" s="147" t="str">
        <f>Tabel15[[#This Row],[Winnaar 1]]&amp;Tabel15[[#This Row],[Winnaar 2]]</f>
        <v/>
      </c>
      <c r="V123" s="147" t="str">
        <f>IF(Tabel15[[#This Row],[Team Rood]]=Tabel15[[#This Row],[Winnaars]],Tabel15[[#This Row],[Team Rood]])</f>
        <v/>
      </c>
      <c r="W123" s="147" t="str">
        <f>IF(Tabel15[[#This Row],[Team Groen]]=Tabel15[[#This Row],[Winnaars]],Tabel15[[#This Row],[Team Groen]])</f>
        <v/>
      </c>
      <c r="X123" s="283"/>
      <c r="Y123" s="283"/>
      <c r="Z123" s="283"/>
      <c r="AA123" s="283"/>
      <c r="AL123" s="251" t="s">
        <v>166</v>
      </c>
      <c r="AM123" s="232" t="s">
        <v>163</v>
      </c>
      <c r="AN123" s="140" t="str">
        <f t="shared" si="16"/>
        <v>Stijn*Bert*</v>
      </c>
      <c r="AO123" s="160">
        <f>IF(Tabel5[[#This Row],[Aantal Games Rood]]=0,0,(Tabel5[[#This Row],[Wins Rood]])/Tabel5[[#This Row],[Aantal Games Rood]])</f>
        <v>0</v>
      </c>
      <c r="AP123" s="159">
        <f>IF(Tabel5[[#This Row],[Aantal Games Groen]]=0,0,(Tabel5[[#This Row],[Wins Groen]])/Tabel5[[#This Row],[Aantal Games Groen]])</f>
        <v>0</v>
      </c>
      <c r="AQ123" s="156">
        <f>IF(Tabel5[[#This Row],[Aantal games Alg]]=0,0,(Tabel5[[#This Row],[Wins Alg]])/Tabel5[[#This Row],[Aantal games Alg]])</f>
        <v>0</v>
      </c>
      <c r="AR123" s="133">
        <f>COUNTIF(Tabel15[Winaar rood],Tabel5[[#This Row],[Team]])</f>
        <v>0</v>
      </c>
      <c r="AS123" s="134">
        <f>COUNTIF(Tabel15[Winnaar Groen],Tabel5[[#This Row],[Team]])</f>
        <v>0</v>
      </c>
      <c r="AT123" s="293">
        <f>COUNTIF(Tabel15[Winnaars],Tabel5[[#This Row],[Team]])</f>
        <v>0</v>
      </c>
      <c r="AU123" s="135">
        <f>Tabel5[[#This Row],[Aantal Games Rood]]-Tabel5[[#This Row],[Wins Rood]]</f>
        <v>0</v>
      </c>
      <c r="AV123" s="136">
        <f>Tabel5[[#This Row],[Aantal Games Groen]]-Tabel5[[#This Row],[Wins Groen]]</f>
        <v>0</v>
      </c>
      <c r="AW123" s="137">
        <f>Tabel5[[#This Row],[Aantal games Alg]]-Tabel5[[#This Row],[Wins Alg]]</f>
        <v>0</v>
      </c>
      <c r="AX123" s="138">
        <f>COUNTIF(Tabel15[Team Rood],Tabel5[[#This Row],[Team]])</f>
        <v>0</v>
      </c>
      <c r="AY123" s="136">
        <f>COUNTIF(Tabel15[Team Groen],Tabel5[[#This Row],[Team]])</f>
        <v>0</v>
      </c>
      <c r="AZ123" s="214">
        <f>Tabel5[[#This Row],[Aantal Games Rood]]+Tabel5[[#This Row],[Aantal Games Groen]]</f>
        <v>0</v>
      </c>
      <c r="BA123" s="138">
        <f>SUMIF(Tabel15[Team Rood],Tabel5[[#This Row],[Team]],Tabel15[Score])</f>
        <v>0</v>
      </c>
      <c r="BB123" s="138">
        <f>SUMIF(Tabel15[Team Rood],Tabel5[[#This Row],[Team]],Tabel15[Score2])</f>
        <v>0</v>
      </c>
      <c r="BC123" s="134">
        <f>SUMIF(Tabel15[Team Groen],Tabel5[[#This Row],[Team]],Tabel15[Score3])</f>
        <v>0</v>
      </c>
      <c r="BD123" s="136">
        <f>SUMIF(Tabel15[Team Groen],Tabel5[[#This Row],[Team]],Tabel15[Score4])</f>
        <v>0</v>
      </c>
      <c r="BE123" s="293">
        <f>SUM(Tabel5[[#This Row],[Goals Verdediger]]+Tabel5[[#This Row],[Goals DefG]])</f>
        <v>0</v>
      </c>
      <c r="BF123" s="293">
        <f>IF(Tabel5[[#This Row],[Aantal games Alg]]=0,0,Tabel5[[#This Row],[Goals DefA]]/Tabel5[[#This Row],[Aantal games Alg]])</f>
        <v>0</v>
      </c>
      <c r="BG123" s="293">
        <f>SUM(Tabel5[[#This Row],[Goals Aanvaller]]+Tabel5[[#This Row],[Goals OffG]])</f>
        <v>0</v>
      </c>
      <c r="BH123" s="293">
        <f>IF(Tabel5[[#This Row],[Aantal games Alg]]=0,0,Tabel5[[#This Row],[Goals OffA]]/Tabel5[[#This Row],[Aantal games Alg]])</f>
        <v>0</v>
      </c>
      <c r="BI123" s="214">
        <f>Tabel5[[#This Row],[Goals DefA]]+Tabel5[[#This Row],[Goals OffA]]</f>
        <v>0</v>
      </c>
      <c r="BJ123" s="214">
        <f>IF(Tabel5[[#This Row],[Aantal games Alg]]=0,0,Tabel5[[#This Row],[Goals Alg]]/Tabel5[[#This Row],[Aantal games Alg]])</f>
        <v>0</v>
      </c>
      <c r="BK123" s="148">
        <f>SUMIF(Tabel15[Team Rood],Tabel5[[#This Row],[Team]],Tabel15[ET])</f>
        <v>0</v>
      </c>
      <c r="BL123" s="150">
        <f>SUMIF(Tabel15[Team Groen],Tabel5[[#This Row],[Team]],Tabel15[ET])</f>
        <v>0</v>
      </c>
      <c r="BM123" s="153">
        <f>SUM(Tabel5[[#This Row],[ET Groen tot]],Tabel5[[#This Row],[ET Rood tot]])</f>
        <v>0</v>
      </c>
      <c r="BN123" s="155">
        <f>IF(Tabel5[[#This Row],[Aantal games Alg]]=0,0,Tabel5[[#This Row],[ET tot]]/Tabel5[[#This Row],[Aantal games Alg]])</f>
        <v>0</v>
      </c>
    </row>
    <row r="124" spans="1:66" x14ac:dyDescent="0.25">
      <c r="A124" s="125" t="str">
        <f ca="1">IF(Tabel15[[#This Row],[Rood Verdediging]]&lt;&gt;"",IF(A124="",NOW(),A124),"")</f>
        <v/>
      </c>
      <c r="B124" s="128" t="str">
        <f ca="1">IF(Tabel15[[#This Row],[Rood Verdediging]]&lt;&gt;"",IF(B124="",NOW(),B124),"")</f>
        <v/>
      </c>
      <c r="C124" s="126" t="str">
        <f ca="1">IF(Tabel15[[#This Row],[Score]]&lt;&gt;"",IF(C124="",NOW(),C124),"")</f>
        <v/>
      </c>
      <c r="D124" s="182" t="str">
        <f ca="1">IF(OR(Tabel15[[#This Row],[Starttijd]]="",Tabel15[[#This Row],[Eindtijd]]=""),"",Tabel15[[#This Row],[Eindtijd]]-Tabel15[[#This Row],[Starttijd]])</f>
        <v/>
      </c>
      <c r="E124" s="74">
        <v>120</v>
      </c>
      <c r="F124" s="40"/>
      <c r="G124" s="76"/>
      <c r="H124" s="40"/>
      <c r="I124" s="76"/>
      <c r="J124" s="41"/>
      <c r="K124" s="78"/>
      <c r="L124" s="41"/>
      <c r="M124" s="78"/>
      <c r="N124" s="81" t="str">
        <f t="shared" si="17"/>
        <v/>
      </c>
      <c r="O124" s="82" t="str">
        <f t="shared" si="18"/>
        <v/>
      </c>
      <c r="P12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Row],[Score4]]&lt;&gt;""),IF(AND(N124&gt;O124,N124&gt;=11),"ROOD",IF(AND(O124&gt;=11,N124&lt;&gt;O124),"GROEN","")),"")</f>
        <v/>
      </c>
      <c r="Q124" s="86" t="str">
        <f t="shared" si="13"/>
        <v/>
      </c>
      <c r="R124" s="87" t="str">
        <f t="shared" si="14"/>
        <v/>
      </c>
      <c r="S124" s="147" t="str">
        <f>Tabel15[[#This Row],[Rood Verdediging]]&amp;Tabel15[[#This Row],[Rood Aanval]]</f>
        <v/>
      </c>
      <c r="T124" s="147" t="str">
        <f>Tabel15[[#This Row],[Groen Verdediging]]&amp;Tabel15[[#This Row],[Groen Aanval]]</f>
        <v/>
      </c>
      <c r="U124" s="147" t="str">
        <f>Tabel15[[#This Row],[Winnaar 1]]&amp;Tabel15[[#This Row],[Winnaar 2]]</f>
        <v/>
      </c>
      <c r="V124" s="147" t="str">
        <f>IF(Tabel15[[#This Row],[Team Rood]]=Tabel15[[#This Row],[Winnaars]],Tabel15[[#This Row],[Team Rood]])</f>
        <v/>
      </c>
      <c r="W124" s="147" t="str">
        <f>IF(Tabel15[[#This Row],[Team Groen]]=Tabel15[[#This Row],[Winnaars]],Tabel15[[#This Row],[Team Groen]])</f>
        <v/>
      </c>
      <c r="X124" s="283"/>
      <c r="Y124" s="283"/>
      <c r="Z124" s="283"/>
      <c r="AA124" s="283"/>
      <c r="AL124" s="251" t="s">
        <v>166</v>
      </c>
      <c r="AM124" s="232" t="s">
        <v>168</v>
      </c>
      <c r="AN124" s="140" t="str">
        <f t="shared" si="16"/>
        <v>Stijn*Coghe*</v>
      </c>
      <c r="AO124" s="160">
        <f>IF(Tabel5[[#This Row],[Aantal Games Rood]]=0,0,(Tabel5[[#This Row],[Wins Rood]])/Tabel5[[#This Row],[Aantal Games Rood]])</f>
        <v>0</v>
      </c>
      <c r="AP124" s="159">
        <f>IF(Tabel5[[#This Row],[Aantal Games Groen]]=0,0,(Tabel5[[#This Row],[Wins Groen]])/Tabel5[[#This Row],[Aantal Games Groen]])</f>
        <v>0</v>
      </c>
      <c r="AQ124" s="156">
        <f>IF(Tabel5[[#This Row],[Aantal games Alg]]=0,0,(Tabel5[[#This Row],[Wins Alg]])/Tabel5[[#This Row],[Aantal games Alg]])</f>
        <v>0</v>
      </c>
      <c r="AR124" s="138">
        <f>COUNTIF(Tabel15[Winaar rood],Tabel5[[#This Row],[Team]])</f>
        <v>0</v>
      </c>
      <c r="AS124" s="134">
        <f>COUNTIF(Tabel15[Winnaar Groen],Tabel5[[#This Row],[Team]])</f>
        <v>0</v>
      </c>
      <c r="AT124" s="293">
        <f>COUNTIF(Tabel15[Winnaars],Tabel5[[#This Row],[Team]])</f>
        <v>0</v>
      </c>
      <c r="AU124" s="135">
        <f>Tabel5[[#This Row],[Aantal Games Rood]]-Tabel5[[#This Row],[Wins Rood]]</f>
        <v>0</v>
      </c>
      <c r="AV124" s="136">
        <f>Tabel5[[#This Row],[Aantal Games Groen]]-Tabel5[[#This Row],[Wins Groen]]</f>
        <v>0</v>
      </c>
      <c r="AW124" s="137">
        <f>Tabel5[[#This Row],[Aantal games Alg]]-Tabel5[[#This Row],[Wins Alg]]</f>
        <v>0</v>
      </c>
      <c r="AX124" s="138">
        <f>COUNTIF(Tabel15[Team Rood],Tabel5[[#This Row],[Team]])</f>
        <v>0</v>
      </c>
      <c r="AY124" s="136">
        <f>COUNTIF(Tabel15[Team Groen],Tabel5[[#This Row],[Team]])</f>
        <v>0</v>
      </c>
      <c r="AZ124" s="214">
        <f>Tabel5[[#This Row],[Aantal Games Rood]]+Tabel5[[#This Row],[Aantal Games Groen]]</f>
        <v>0</v>
      </c>
      <c r="BA124" s="138">
        <f>SUMIF(Tabel15[Team Rood],Tabel5[[#This Row],[Team]],Tabel15[Score])</f>
        <v>0</v>
      </c>
      <c r="BB124" s="138">
        <f>SUMIF(Tabel15[Team Rood],Tabel5[[#This Row],[Team]],Tabel15[Score2])</f>
        <v>0</v>
      </c>
      <c r="BC124" s="134">
        <f>SUMIF(Tabel15[Team Groen],Tabel5[[#This Row],[Team]],Tabel15[Score3])</f>
        <v>0</v>
      </c>
      <c r="BD124" s="136">
        <f>SUMIF(Tabel15[Team Groen],Tabel5[[#This Row],[Team]],Tabel15[Score4])</f>
        <v>0</v>
      </c>
      <c r="BE124" s="293">
        <f>SUM(Tabel5[[#This Row],[Goals Verdediger]]+Tabel5[[#This Row],[Goals DefG]])</f>
        <v>0</v>
      </c>
      <c r="BF124" s="293">
        <f>IF(Tabel5[[#This Row],[Aantal games Alg]]=0,0,Tabel5[[#This Row],[Goals DefA]]/Tabel5[[#This Row],[Aantal games Alg]])</f>
        <v>0</v>
      </c>
      <c r="BG124" s="293">
        <f>SUM(Tabel5[[#This Row],[Goals Aanvaller]]+Tabel5[[#This Row],[Goals OffG]])</f>
        <v>0</v>
      </c>
      <c r="BH124" s="293">
        <f>IF(Tabel5[[#This Row],[Aantal games Alg]]=0,0,Tabel5[[#This Row],[Goals OffA]]/Tabel5[[#This Row],[Aantal games Alg]])</f>
        <v>0</v>
      </c>
      <c r="BI124" s="214">
        <f>Tabel5[[#This Row],[Goals DefA]]+Tabel5[[#This Row],[Goals OffA]]</f>
        <v>0</v>
      </c>
      <c r="BJ124" s="214">
        <f>IF(Tabel5[[#This Row],[Aantal games Alg]]=0,0,Tabel5[[#This Row],[Goals Alg]]/Tabel5[[#This Row],[Aantal games Alg]])</f>
        <v>0</v>
      </c>
      <c r="BK124" s="148">
        <f>SUMIF(Tabel15[Team Rood],Tabel5[[#This Row],[Team]],Tabel15[ET])</f>
        <v>0</v>
      </c>
      <c r="BL124" s="150">
        <f>SUMIF(Tabel15[Team Groen],Tabel5[[#This Row],[Team]],Tabel15[ET])</f>
        <v>0</v>
      </c>
      <c r="BM124" s="153">
        <f>SUM(Tabel5[[#This Row],[ET Groen tot]],Tabel5[[#This Row],[ET Rood tot]])</f>
        <v>0</v>
      </c>
      <c r="BN124" s="155">
        <f>IF(Tabel5[[#This Row],[Aantal games Alg]]=0,0,Tabel5[[#This Row],[ET tot]]/Tabel5[[#This Row],[Aantal games Alg]])</f>
        <v>0</v>
      </c>
    </row>
    <row r="125" spans="1:66" x14ac:dyDescent="0.25">
      <c r="A125" s="125" t="str">
        <f ca="1">IF(Tabel15[[#This Row],[Rood Verdediging]]&lt;&gt;"",IF(A125="",NOW(),A125),"")</f>
        <v/>
      </c>
      <c r="B125" s="128" t="str">
        <f ca="1">IF(Tabel15[[#This Row],[Rood Verdediging]]&lt;&gt;"",IF(B125="",NOW(),B125),"")</f>
        <v/>
      </c>
      <c r="C125" s="126" t="str">
        <f ca="1">IF(Tabel15[[#This Row],[Score]]&lt;&gt;"",IF(C125="",NOW(),C125),"")</f>
        <v/>
      </c>
      <c r="D125" s="182" t="str">
        <f ca="1">IF(OR(Tabel15[[#This Row],[Starttijd]]="",Tabel15[[#This Row],[Eindtijd]]=""),"",Tabel15[[#This Row],[Eindtijd]]-Tabel15[[#This Row],[Starttijd]])</f>
        <v/>
      </c>
      <c r="E125" s="74">
        <v>120</v>
      </c>
      <c r="F125" s="40"/>
      <c r="G125" s="76"/>
      <c r="H125" s="40"/>
      <c r="I125" s="76"/>
      <c r="J125" s="41"/>
      <c r="K125" s="78"/>
      <c r="L125" s="41"/>
      <c r="M125" s="78"/>
      <c r="N125" s="81" t="str">
        <f t="shared" si="17"/>
        <v/>
      </c>
      <c r="O125" s="82" t="str">
        <f t="shared" si="18"/>
        <v/>
      </c>
      <c r="P12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Row],[Score4]]&lt;&gt;""),IF(AND(N125&gt;O125,N125&gt;=11),"ROOD",IF(AND(O125&gt;=11,N125&lt;&gt;O125),"GROEN","")),"")</f>
        <v/>
      </c>
      <c r="Q125" s="86" t="str">
        <f t="shared" si="13"/>
        <v/>
      </c>
      <c r="R125" s="87" t="str">
        <f t="shared" si="14"/>
        <v/>
      </c>
      <c r="S125" s="147" t="str">
        <f>Tabel15[[#This Row],[Rood Verdediging]]&amp;Tabel15[[#This Row],[Rood Aanval]]</f>
        <v/>
      </c>
      <c r="T125" s="147" t="str">
        <f>Tabel15[[#This Row],[Groen Verdediging]]&amp;Tabel15[[#This Row],[Groen Aanval]]</f>
        <v/>
      </c>
      <c r="U125" s="147" t="str">
        <f>Tabel15[[#This Row],[Winnaar 1]]&amp;Tabel15[[#This Row],[Winnaar 2]]</f>
        <v/>
      </c>
      <c r="V125" s="147" t="str">
        <f>IF(Tabel15[[#This Row],[Team Rood]]=Tabel15[[#This Row],[Winnaars]],Tabel15[[#This Row],[Team Rood]])</f>
        <v/>
      </c>
      <c r="W125" s="147" t="str">
        <f>IF(Tabel15[[#This Row],[Team Groen]]=Tabel15[[#This Row],[Winnaars]],Tabel15[[#This Row],[Team Groen]])</f>
        <v/>
      </c>
      <c r="X125" s="283"/>
      <c r="Y125" s="283"/>
      <c r="Z125" s="283"/>
      <c r="AA125" s="283"/>
      <c r="AL125" s="251" t="s">
        <v>166</v>
      </c>
      <c r="AM125" s="232" t="s">
        <v>159</v>
      </c>
      <c r="AN125" s="140" t="str">
        <f t="shared" si="16"/>
        <v>Stijn*Jonas*</v>
      </c>
      <c r="AO125" s="160">
        <f>IF(Tabel5[[#This Row],[Aantal Games Rood]]=0,0,(Tabel5[[#This Row],[Wins Rood]])/Tabel5[[#This Row],[Aantal Games Rood]])</f>
        <v>0</v>
      </c>
      <c r="AP125" s="159">
        <f>IF(Tabel5[[#This Row],[Aantal Games Groen]]=0,0,(Tabel5[[#This Row],[Wins Groen]])/Tabel5[[#This Row],[Aantal Games Groen]])</f>
        <v>0</v>
      </c>
      <c r="AQ125" s="156">
        <f>IF(Tabel5[[#This Row],[Aantal games Alg]]=0,0,(Tabel5[[#This Row],[Wins Alg]])/Tabel5[[#This Row],[Aantal games Alg]])</f>
        <v>0</v>
      </c>
      <c r="AR125" s="138">
        <f>COUNTIF(Tabel15[Winaar rood],Tabel5[[#This Row],[Team]])</f>
        <v>0</v>
      </c>
      <c r="AS125" s="134">
        <f>COUNTIF(Tabel15[Winnaar Groen],Tabel5[[#This Row],[Team]])</f>
        <v>0</v>
      </c>
      <c r="AT125" s="293">
        <f>COUNTIF(Tabel15[Winnaars],Tabel5[[#This Row],[Team]])</f>
        <v>0</v>
      </c>
      <c r="AU125" s="135">
        <f>Tabel5[[#This Row],[Aantal Games Rood]]-Tabel5[[#This Row],[Wins Rood]]</f>
        <v>0</v>
      </c>
      <c r="AV125" s="136">
        <f>Tabel5[[#This Row],[Aantal Games Groen]]-Tabel5[[#This Row],[Wins Groen]]</f>
        <v>0</v>
      </c>
      <c r="AW125" s="137">
        <f>Tabel5[[#This Row],[Aantal games Alg]]-Tabel5[[#This Row],[Wins Alg]]</f>
        <v>0</v>
      </c>
      <c r="AX125" s="138">
        <f>COUNTIF(Tabel15[Team Rood],Tabel5[[#This Row],[Team]])</f>
        <v>0</v>
      </c>
      <c r="AY125" s="136">
        <f>COUNTIF(Tabel15[Team Groen],Tabel5[[#This Row],[Team]])</f>
        <v>0</v>
      </c>
      <c r="AZ125" s="214">
        <f>Tabel5[[#This Row],[Aantal Games Rood]]+Tabel5[[#This Row],[Aantal Games Groen]]</f>
        <v>0</v>
      </c>
      <c r="BA125" s="138">
        <f>SUMIF(Tabel15[Team Rood],Tabel5[[#This Row],[Team]],Tabel15[Score])</f>
        <v>0</v>
      </c>
      <c r="BB125" s="138">
        <f>SUMIF(Tabel15[Team Rood],Tabel5[[#This Row],[Team]],Tabel15[Score2])</f>
        <v>0</v>
      </c>
      <c r="BC125" s="134">
        <f>SUMIF(Tabel15[Team Groen],Tabel5[[#This Row],[Team]],Tabel15[Score3])</f>
        <v>0</v>
      </c>
      <c r="BD125" s="136">
        <f>SUMIF(Tabel15[Team Groen],Tabel5[[#This Row],[Team]],Tabel15[Score4])</f>
        <v>0</v>
      </c>
      <c r="BE125" s="293">
        <f>SUM(Tabel5[[#This Row],[Goals Verdediger]]+Tabel5[[#This Row],[Goals DefG]])</f>
        <v>0</v>
      </c>
      <c r="BF125" s="293">
        <f>IF(Tabel5[[#This Row],[Aantal games Alg]]=0,0,Tabel5[[#This Row],[Goals DefA]]/Tabel5[[#This Row],[Aantal games Alg]])</f>
        <v>0</v>
      </c>
      <c r="BG125" s="293">
        <f>SUM(Tabel5[[#This Row],[Goals Aanvaller]]+Tabel5[[#This Row],[Goals OffG]])</f>
        <v>0</v>
      </c>
      <c r="BH125" s="293">
        <f>IF(Tabel5[[#This Row],[Aantal games Alg]]=0,0,Tabel5[[#This Row],[Goals OffA]]/Tabel5[[#This Row],[Aantal games Alg]])</f>
        <v>0</v>
      </c>
      <c r="BI125" s="214">
        <f>Tabel5[[#This Row],[Goals DefA]]+Tabel5[[#This Row],[Goals OffA]]</f>
        <v>0</v>
      </c>
      <c r="BJ125" s="214">
        <f>IF(Tabel5[[#This Row],[Aantal games Alg]]=0,0,Tabel5[[#This Row],[Goals Alg]]/Tabel5[[#This Row],[Aantal games Alg]])</f>
        <v>0</v>
      </c>
      <c r="BK125" s="148">
        <f>SUMIF(Tabel15[Team Rood],Tabel5[[#This Row],[Team]],Tabel15[ET])</f>
        <v>0</v>
      </c>
      <c r="BL125" s="150">
        <f>SUMIF(Tabel15[Team Groen],Tabel5[[#This Row],[Team]],Tabel15[ET])</f>
        <v>0</v>
      </c>
      <c r="BM125" s="153">
        <f>SUM(Tabel5[[#This Row],[ET Groen tot]],Tabel5[[#This Row],[ET Rood tot]])</f>
        <v>0</v>
      </c>
      <c r="BN125" s="155">
        <f>IF(Tabel5[[#This Row],[Aantal games Alg]]=0,0,Tabel5[[#This Row],[ET tot]]/Tabel5[[#This Row],[Aantal games Alg]])</f>
        <v>0</v>
      </c>
    </row>
    <row r="126" spans="1:66" x14ac:dyDescent="0.25">
      <c r="A126" s="125" t="str">
        <f ca="1">IF(Tabel15[[#This Row],[Rood Verdediging]]&lt;&gt;"",IF(A126="",NOW(),A126),"")</f>
        <v/>
      </c>
      <c r="B126" s="128" t="str">
        <f ca="1">IF(Tabel15[[#This Row],[Rood Verdediging]]&lt;&gt;"",IF(B126="",NOW(),B126),"")</f>
        <v/>
      </c>
      <c r="C126" s="126" t="str">
        <f ca="1">IF(Tabel15[[#This Row],[Score]]&lt;&gt;"",IF(C126="",NOW(),C126),"")</f>
        <v/>
      </c>
      <c r="D126" s="182" t="str">
        <f ca="1">IF(OR(Tabel15[[#This Row],[Starttijd]]="",Tabel15[[#This Row],[Eindtijd]]=""),"",Tabel15[[#This Row],[Eindtijd]]-Tabel15[[#This Row],[Starttijd]])</f>
        <v/>
      </c>
      <c r="E126" s="74">
        <v>120</v>
      </c>
      <c r="F126" s="40"/>
      <c r="G126" s="76"/>
      <c r="H126" s="40"/>
      <c r="I126" s="76"/>
      <c r="J126" s="41"/>
      <c r="K126" s="78"/>
      <c r="L126" s="41"/>
      <c r="M126" s="78"/>
      <c r="N126" s="81" t="str">
        <f t="shared" si="17"/>
        <v/>
      </c>
      <c r="O126" s="82" t="str">
        <f t="shared" si="18"/>
        <v/>
      </c>
      <c r="P12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Row],[Score4]]&lt;&gt;""),IF(AND(N126&gt;O126,N126&gt;=11),"ROOD",IF(AND(O126&gt;=11,N126&lt;&gt;O126),"GROEN","")),"")</f>
        <v/>
      </c>
      <c r="Q126" s="86" t="str">
        <f t="shared" si="13"/>
        <v/>
      </c>
      <c r="R126" s="87" t="str">
        <f t="shared" si="14"/>
        <v/>
      </c>
      <c r="S126" s="147" t="str">
        <f>Tabel15[[#This Row],[Rood Verdediging]]&amp;Tabel15[[#This Row],[Rood Aanval]]</f>
        <v/>
      </c>
      <c r="T126" s="147" t="str">
        <f>Tabel15[[#This Row],[Groen Verdediging]]&amp;Tabel15[[#This Row],[Groen Aanval]]</f>
        <v/>
      </c>
      <c r="U126" s="147" t="str">
        <f>Tabel15[[#This Row],[Winnaar 1]]&amp;Tabel15[[#This Row],[Winnaar 2]]</f>
        <v/>
      </c>
      <c r="V126" s="147" t="str">
        <f>IF(Tabel15[[#This Row],[Team Rood]]=Tabel15[[#This Row],[Winnaars]],Tabel15[[#This Row],[Team Rood]])</f>
        <v/>
      </c>
      <c r="W126" s="147" t="str">
        <f>IF(Tabel15[[#This Row],[Team Groen]]=Tabel15[[#This Row],[Winnaars]],Tabel15[[#This Row],[Team Groen]])</f>
        <v/>
      </c>
      <c r="X126" s="283"/>
      <c r="Y126" s="283"/>
      <c r="Z126" s="283"/>
      <c r="AA126" s="283"/>
      <c r="AL126" s="251" t="s">
        <v>166</v>
      </c>
      <c r="AM126" s="232" t="s">
        <v>164</v>
      </c>
      <c r="AN126" s="140" t="str">
        <f t="shared" si="16"/>
        <v>Stijn*Karel*</v>
      </c>
      <c r="AO126" s="160">
        <f>IF(Tabel5[[#This Row],[Aantal Games Rood]]=0,0,(Tabel5[[#This Row],[Wins Rood]])/Tabel5[[#This Row],[Aantal Games Rood]])</f>
        <v>0</v>
      </c>
      <c r="AP126" s="159">
        <f>IF(Tabel5[[#This Row],[Aantal Games Groen]]=0,0,(Tabel5[[#This Row],[Wins Groen]])/Tabel5[[#This Row],[Aantal Games Groen]])</f>
        <v>0</v>
      </c>
      <c r="AQ126" s="156">
        <f>IF(Tabel5[[#This Row],[Aantal games Alg]]=0,0,(Tabel5[[#This Row],[Wins Alg]])/Tabel5[[#This Row],[Aantal games Alg]])</f>
        <v>0</v>
      </c>
      <c r="AR126" s="133">
        <f>COUNTIF(Tabel15[Winaar rood],Tabel5[[#This Row],[Team]])</f>
        <v>0</v>
      </c>
      <c r="AS126" s="134">
        <f>COUNTIF(Tabel15[Winnaar Groen],Tabel5[[#This Row],[Team]])</f>
        <v>0</v>
      </c>
      <c r="AT126" s="293">
        <f>COUNTIF(Tabel15[Winnaars],Tabel5[[#This Row],[Team]])</f>
        <v>0</v>
      </c>
      <c r="AU126" s="135">
        <f>Tabel5[[#This Row],[Aantal Games Rood]]-Tabel5[[#This Row],[Wins Rood]]</f>
        <v>0</v>
      </c>
      <c r="AV126" s="136">
        <f>Tabel5[[#This Row],[Aantal Games Groen]]-Tabel5[[#This Row],[Wins Groen]]</f>
        <v>0</v>
      </c>
      <c r="AW126" s="137">
        <f>Tabel5[[#This Row],[Aantal games Alg]]-Tabel5[[#This Row],[Wins Alg]]</f>
        <v>0</v>
      </c>
      <c r="AX126" s="138">
        <f>COUNTIF(Tabel15[Team Rood],Tabel5[[#This Row],[Team]])</f>
        <v>0</v>
      </c>
      <c r="AY126" s="136">
        <f>COUNTIF(Tabel15[Team Groen],Tabel5[[#This Row],[Team]])</f>
        <v>0</v>
      </c>
      <c r="AZ126" s="214">
        <f>Tabel5[[#This Row],[Aantal Games Rood]]+Tabel5[[#This Row],[Aantal Games Groen]]</f>
        <v>0</v>
      </c>
      <c r="BA126" s="138">
        <f>SUMIF(Tabel15[Team Rood],Tabel5[[#This Row],[Team]],Tabel15[Score])</f>
        <v>0</v>
      </c>
      <c r="BB126" s="138">
        <f>SUMIF(Tabel15[Team Rood],Tabel5[[#This Row],[Team]],Tabel15[Score2])</f>
        <v>0</v>
      </c>
      <c r="BC126" s="134">
        <f>SUMIF(Tabel15[Team Groen],Tabel5[[#This Row],[Team]],Tabel15[Score3])</f>
        <v>0</v>
      </c>
      <c r="BD126" s="136">
        <f>SUMIF(Tabel15[Team Groen],Tabel5[[#This Row],[Team]],Tabel15[Score4])</f>
        <v>0</v>
      </c>
      <c r="BE126" s="293">
        <f>SUM(Tabel5[[#This Row],[Goals Verdediger]]+Tabel5[[#This Row],[Goals DefG]])</f>
        <v>0</v>
      </c>
      <c r="BF126" s="293">
        <f>IF(Tabel5[[#This Row],[Aantal games Alg]]=0,0,Tabel5[[#This Row],[Goals DefA]]/Tabel5[[#This Row],[Aantal games Alg]])</f>
        <v>0</v>
      </c>
      <c r="BG126" s="293">
        <f>SUM(Tabel5[[#This Row],[Goals Aanvaller]]+Tabel5[[#This Row],[Goals OffG]])</f>
        <v>0</v>
      </c>
      <c r="BH126" s="293">
        <f>IF(Tabel5[[#This Row],[Aantal games Alg]]=0,0,Tabel5[[#This Row],[Goals OffA]]/Tabel5[[#This Row],[Aantal games Alg]])</f>
        <v>0</v>
      </c>
      <c r="BI126" s="214">
        <f>Tabel5[[#This Row],[Goals DefA]]+Tabel5[[#This Row],[Goals OffA]]</f>
        <v>0</v>
      </c>
      <c r="BJ126" s="214">
        <f>IF(Tabel5[[#This Row],[Aantal games Alg]]=0,0,Tabel5[[#This Row],[Goals Alg]]/Tabel5[[#This Row],[Aantal games Alg]])</f>
        <v>0</v>
      </c>
      <c r="BK126" s="148">
        <f>SUMIF(Tabel15[Team Rood],Tabel5[[#This Row],[Team]],Tabel15[ET])</f>
        <v>0</v>
      </c>
      <c r="BL126" s="150">
        <f>SUMIF(Tabel15[Team Groen],Tabel5[[#This Row],[Team]],Tabel15[ET])</f>
        <v>0</v>
      </c>
      <c r="BM126" s="153">
        <f>SUM(Tabel5[[#This Row],[ET Groen tot]],Tabel5[[#This Row],[ET Rood tot]])</f>
        <v>0</v>
      </c>
      <c r="BN126" s="155">
        <f>IF(Tabel5[[#This Row],[Aantal games Alg]]=0,0,Tabel5[[#This Row],[ET tot]]/Tabel5[[#This Row],[Aantal games Alg]])</f>
        <v>0</v>
      </c>
    </row>
    <row r="127" spans="1:66" x14ac:dyDescent="0.25">
      <c r="A127" s="125" t="str">
        <f ca="1">IF(Tabel15[[#This Row],[Rood Verdediging]]&lt;&gt;"",IF(A127="",NOW(),A127),"")</f>
        <v/>
      </c>
      <c r="B127" s="128" t="str">
        <f ca="1">IF(Tabel15[[#This Row],[Rood Verdediging]]&lt;&gt;"",IF(B127="",NOW(),B127),"")</f>
        <v/>
      </c>
      <c r="C127" s="126" t="str">
        <f ca="1">IF(Tabel15[[#This Row],[Score]]&lt;&gt;"",IF(C127="",NOW(),C127),"")</f>
        <v/>
      </c>
      <c r="D127" s="182" t="str">
        <f ca="1">IF(OR(Tabel15[[#This Row],[Starttijd]]="",Tabel15[[#This Row],[Eindtijd]]=""),"",Tabel15[[#This Row],[Eindtijd]]-Tabel15[[#This Row],[Starttijd]])</f>
        <v/>
      </c>
      <c r="E127" s="74">
        <v>120</v>
      </c>
      <c r="F127" s="40"/>
      <c r="G127" s="76"/>
      <c r="H127" s="40"/>
      <c r="I127" s="76"/>
      <c r="J127" s="41"/>
      <c r="K127" s="78"/>
      <c r="L127" s="41"/>
      <c r="M127" s="78"/>
      <c r="N127" s="81" t="str">
        <f t="shared" si="17"/>
        <v/>
      </c>
      <c r="O127" s="82" t="str">
        <f t="shared" si="18"/>
        <v/>
      </c>
      <c r="P12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Row],[Score4]]&lt;&gt;""),IF(AND(N127&gt;O127,N127&gt;=11),"ROOD",IF(AND(O127&gt;=11,N127&lt;&gt;O127),"GROEN","")),"")</f>
        <v/>
      </c>
      <c r="Q127" s="86" t="str">
        <f t="shared" si="13"/>
        <v/>
      </c>
      <c r="R127" s="87" t="str">
        <f t="shared" si="14"/>
        <v/>
      </c>
      <c r="S127" s="147" t="str">
        <f>Tabel15[[#This Row],[Rood Verdediging]]&amp;Tabel15[[#This Row],[Rood Aanval]]</f>
        <v/>
      </c>
      <c r="T127" s="147" t="str">
        <f>Tabel15[[#This Row],[Groen Verdediging]]&amp;Tabel15[[#This Row],[Groen Aanval]]</f>
        <v/>
      </c>
      <c r="U127" s="147" t="str">
        <f>Tabel15[[#This Row],[Winnaar 1]]&amp;Tabel15[[#This Row],[Winnaar 2]]</f>
        <v/>
      </c>
      <c r="V127" s="147" t="str">
        <f>IF(Tabel15[[#This Row],[Team Rood]]=Tabel15[[#This Row],[Winnaars]],Tabel15[[#This Row],[Team Rood]])</f>
        <v/>
      </c>
      <c r="W127" s="147" t="str">
        <f>IF(Tabel15[[#This Row],[Team Groen]]=Tabel15[[#This Row],[Winnaars]],Tabel15[[#This Row],[Team Groen]])</f>
        <v/>
      </c>
      <c r="X127" s="283"/>
      <c r="Y127" s="283"/>
      <c r="Z127" s="283"/>
      <c r="AA127" s="283"/>
      <c r="AL127" s="251" t="s">
        <v>166</v>
      </c>
      <c r="AM127" s="232" t="s">
        <v>67</v>
      </c>
      <c r="AN127" s="140" t="str">
        <f t="shared" si="16"/>
        <v>Stijn*Lawrence</v>
      </c>
      <c r="AO127" s="160">
        <f>IF(Tabel5[[#This Row],[Aantal Games Rood]]=0,0,(Tabel5[[#This Row],[Wins Rood]])/Tabel5[[#This Row],[Aantal Games Rood]])</f>
        <v>0</v>
      </c>
      <c r="AP127" s="159">
        <f>IF(Tabel5[[#This Row],[Aantal Games Groen]]=0,0,(Tabel5[[#This Row],[Wins Groen]])/Tabel5[[#This Row],[Aantal Games Groen]])</f>
        <v>0</v>
      </c>
      <c r="AQ127" s="156">
        <f>IF(Tabel5[[#This Row],[Aantal games Alg]]=0,0,(Tabel5[[#This Row],[Wins Alg]])/Tabel5[[#This Row],[Aantal games Alg]])</f>
        <v>0</v>
      </c>
      <c r="AR127" s="138">
        <f>COUNTIF(Tabel15[Winaar rood],Tabel5[[#This Row],[Team]])</f>
        <v>0</v>
      </c>
      <c r="AS127" s="134">
        <f>COUNTIF(Tabel15[Winnaar Groen],Tabel5[[#This Row],[Team]])</f>
        <v>0</v>
      </c>
      <c r="AT127" s="293">
        <f>COUNTIF(Tabel15[Winnaars],Tabel5[[#This Row],[Team]])</f>
        <v>0</v>
      </c>
      <c r="AU127" s="135">
        <f>Tabel5[[#This Row],[Aantal Games Rood]]-Tabel5[[#This Row],[Wins Rood]]</f>
        <v>0</v>
      </c>
      <c r="AV127" s="136">
        <f>Tabel5[[#This Row],[Aantal Games Groen]]-Tabel5[[#This Row],[Wins Groen]]</f>
        <v>0</v>
      </c>
      <c r="AW127" s="137">
        <f>Tabel5[[#This Row],[Aantal games Alg]]-Tabel5[[#This Row],[Wins Alg]]</f>
        <v>0</v>
      </c>
      <c r="AX127" s="138">
        <f>COUNTIF(Tabel15[Team Rood],Tabel5[[#This Row],[Team]])</f>
        <v>0</v>
      </c>
      <c r="AY127" s="136">
        <f>COUNTIF(Tabel15[Team Groen],Tabel5[[#This Row],[Team]])</f>
        <v>0</v>
      </c>
      <c r="AZ127" s="214">
        <f>Tabel5[[#This Row],[Aantal Games Rood]]+Tabel5[[#This Row],[Aantal Games Groen]]</f>
        <v>0</v>
      </c>
      <c r="BA127" s="138">
        <f>SUMIF(Tabel15[Team Rood],Tabel5[[#This Row],[Team]],Tabel15[Score])</f>
        <v>0</v>
      </c>
      <c r="BB127" s="138">
        <f>SUMIF(Tabel15[Team Rood],Tabel5[[#This Row],[Team]],Tabel15[Score2])</f>
        <v>0</v>
      </c>
      <c r="BC127" s="134">
        <f>SUMIF(Tabel15[Team Groen],Tabel5[[#This Row],[Team]],Tabel15[Score3])</f>
        <v>0</v>
      </c>
      <c r="BD127" s="136">
        <f>SUMIF(Tabel15[Team Groen],Tabel5[[#This Row],[Team]],Tabel15[Score4])</f>
        <v>0</v>
      </c>
      <c r="BE127" s="293">
        <f>SUM(Tabel5[[#This Row],[Goals Verdediger]]+Tabel5[[#This Row],[Goals DefG]])</f>
        <v>0</v>
      </c>
      <c r="BF127" s="293">
        <f>IF(Tabel5[[#This Row],[Aantal games Alg]]=0,0,Tabel5[[#This Row],[Goals DefA]]/Tabel5[[#This Row],[Aantal games Alg]])</f>
        <v>0</v>
      </c>
      <c r="BG127" s="293">
        <f>SUM(Tabel5[[#This Row],[Goals Aanvaller]]+Tabel5[[#This Row],[Goals OffG]])</f>
        <v>0</v>
      </c>
      <c r="BH127" s="293">
        <f>IF(Tabel5[[#This Row],[Aantal games Alg]]=0,0,Tabel5[[#This Row],[Goals OffA]]/Tabel5[[#This Row],[Aantal games Alg]])</f>
        <v>0</v>
      </c>
      <c r="BI127" s="214">
        <f>Tabel5[[#This Row],[Goals DefA]]+Tabel5[[#This Row],[Goals OffA]]</f>
        <v>0</v>
      </c>
      <c r="BJ127" s="214">
        <f>IF(Tabel5[[#This Row],[Aantal games Alg]]=0,0,Tabel5[[#This Row],[Goals Alg]]/Tabel5[[#This Row],[Aantal games Alg]])</f>
        <v>0</v>
      </c>
      <c r="BK127" s="148">
        <f>SUMIF(Tabel15[Team Rood],Tabel5[[#This Row],[Team]],Tabel15[ET])</f>
        <v>0</v>
      </c>
      <c r="BL127" s="150">
        <f>SUMIF(Tabel15[Team Groen],Tabel5[[#This Row],[Team]],Tabel15[ET])</f>
        <v>0</v>
      </c>
      <c r="BM127" s="153">
        <f>SUM(Tabel5[[#This Row],[ET Groen tot]],Tabel5[[#This Row],[ET Rood tot]])</f>
        <v>0</v>
      </c>
      <c r="BN127" s="155">
        <f>IF(Tabel5[[#This Row],[Aantal games Alg]]=0,0,Tabel5[[#This Row],[ET tot]]/Tabel5[[#This Row],[Aantal games Alg]])</f>
        <v>0</v>
      </c>
    </row>
    <row r="128" spans="1:66" x14ac:dyDescent="0.25">
      <c r="A128" s="125" t="str">
        <f ca="1">IF(Tabel15[[#This Row],[Rood Verdediging]]&lt;&gt;"",IF(A128="",NOW(),A128),"")</f>
        <v/>
      </c>
      <c r="B128" s="128" t="str">
        <f ca="1">IF(Tabel15[[#This Row],[Rood Verdediging]]&lt;&gt;"",IF(B128="",NOW(),B128),"")</f>
        <v/>
      </c>
      <c r="C128" s="126" t="str">
        <f ca="1">IF(Tabel15[[#This Row],[Score]]&lt;&gt;"",IF(C128="",NOW(),C128),"")</f>
        <v/>
      </c>
      <c r="D128" s="182" t="str">
        <f ca="1">IF(OR(Tabel15[[#This Row],[Starttijd]]="",Tabel15[[#This Row],[Eindtijd]]=""),"",Tabel15[[#This Row],[Eindtijd]]-Tabel15[[#This Row],[Starttijd]])</f>
        <v/>
      </c>
      <c r="E128" s="74">
        <v>120</v>
      </c>
      <c r="F128" s="40"/>
      <c r="G128" s="76"/>
      <c r="H128" s="40"/>
      <c r="I128" s="76"/>
      <c r="J128" s="41"/>
      <c r="K128" s="78"/>
      <c r="L128" s="41"/>
      <c r="M128" s="78"/>
      <c r="N128" s="81" t="str">
        <f t="shared" si="17"/>
        <v/>
      </c>
      <c r="O128" s="82" t="str">
        <f t="shared" si="18"/>
        <v/>
      </c>
      <c r="P12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Row],[Score4]]&lt;&gt;""),IF(AND(N128&gt;O128,N128&gt;=11),"ROOD",IF(AND(O128&gt;=11,N128&lt;&gt;O128),"GROEN","")),"")</f>
        <v/>
      </c>
      <c r="Q128" s="86" t="str">
        <f t="shared" si="13"/>
        <v/>
      </c>
      <c r="R128" s="87" t="str">
        <f t="shared" si="14"/>
        <v/>
      </c>
      <c r="S128" s="147" t="str">
        <f>Tabel15[[#This Row],[Rood Verdediging]]&amp;Tabel15[[#This Row],[Rood Aanval]]</f>
        <v/>
      </c>
      <c r="T128" s="147" t="str">
        <f>Tabel15[[#This Row],[Groen Verdediging]]&amp;Tabel15[[#This Row],[Groen Aanval]]</f>
        <v/>
      </c>
      <c r="U128" s="147" t="str">
        <f>Tabel15[[#This Row],[Winnaar 1]]&amp;Tabel15[[#This Row],[Winnaar 2]]</f>
        <v/>
      </c>
      <c r="V128" s="147" t="str">
        <f>IF(Tabel15[[#This Row],[Team Rood]]=Tabel15[[#This Row],[Winnaars]],Tabel15[[#This Row],[Team Rood]])</f>
        <v/>
      </c>
      <c r="W128" s="147" t="str">
        <f>IF(Tabel15[[#This Row],[Team Groen]]=Tabel15[[#This Row],[Winnaars]],Tabel15[[#This Row],[Team Groen]])</f>
        <v/>
      </c>
      <c r="X128" s="283"/>
      <c r="Y128" s="283"/>
      <c r="Z128" s="283"/>
      <c r="AA128" s="283"/>
      <c r="AL128" s="251" t="s">
        <v>166</v>
      </c>
      <c r="AM128" s="232" t="s">
        <v>161</v>
      </c>
      <c r="AN128" s="140" t="str">
        <f t="shared" si="16"/>
        <v>Stijn*Louis*</v>
      </c>
      <c r="AO128" s="160">
        <f>IF(Tabel5[[#This Row],[Aantal Games Rood]]=0,0,(Tabel5[[#This Row],[Wins Rood]])/Tabel5[[#This Row],[Aantal Games Rood]])</f>
        <v>0</v>
      </c>
      <c r="AP128" s="159">
        <f>IF(Tabel5[[#This Row],[Aantal Games Groen]]=0,0,(Tabel5[[#This Row],[Wins Groen]])/Tabel5[[#This Row],[Aantal Games Groen]])</f>
        <v>0</v>
      </c>
      <c r="AQ128" s="156">
        <f>IF(Tabel5[[#This Row],[Aantal games Alg]]=0,0,(Tabel5[[#This Row],[Wins Alg]])/Tabel5[[#This Row],[Aantal games Alg]])</f>
        <v>0</v>
      </c>
      <c r="AR128" s="138">
        <f>COUNTIF(Tabel15[Winaar rood],Tabel5[[#This Row],[Team]])</f>
        <v>0</v>
      </c>
      <c r="AS128" s="134">
        <f>COUNTIF(Tabel15[Winnaar Groen],Tabel5[[#This Row],[Team]])</f>
        <v>0</v>
      </c>
      <c r="AT128" s="293">
        <f>COUNTIF(Tabel15[Winnaars],Tabel5[[#This Row],[Team]])</f>
        <v>0</v>
      </c>
      <c r="AU128" s="135">
        <f>Tabel5[[#This Row],[Aantal Games Rood]]-Tabel5[[#This Row],[Wins Rood]]</f>
        <v>0</v>
      </c>
      <c r="AV128" s="136">
        <f>Tabel5[[#This Row],[Aantal Games Groen]]-Tabel5[[#This Row],[Wins Groen]]</f>
        <v>0</v>
      </c>
      <c r="AW128" s="137">
        <f>Tabel5[[#This Row],[Aantal games Alg]]-Tabel5[[#This Row],[Wins Alg]]</f>
        <v>0</v>
      </c>
      <c r="AX128" s="138">
        <f>COUNTIF(Tabel15[Team Rood],Tabel5[[#This Row],[Team]])</f>
        <v>0</v>
      </c>
      <c r="AY128" s="136">
        <f>COUNTIF(Tabel15[Team Groen],Tabel5[[#This Row],[Team]])</f>
        <v>0</v>
      </c>
      <c r="AZ128" s="214">
        <f>Tabel5[[#This Row],[Aantal Games Rood]]+Tabel5[[#This Row],[Aantal Games Groen]]</f>
        <v>0</v>
      </c>
      <c r="BA128" s="138">
        <f>SUMIF(Tabel15[Team Rood],Tabel5[[#This Row],[Team]],Tabel15[Score])</f>
        <v>0</v>
      </c>
      <c r="BB128" s="138">
        <f>SUMIF(Tabel15[Team Rood],Tabel5[[#This Row],[Team]],Tabel15[Score2])</f>
        <v>0</v>
      </c>
      <c r="BC128" s="134">
        <f>SUMIF(Tabel15[Team Groen],Tabel5[[#This Row],[Team]],Tabel15[Score3])</f>
        <v>0</v>
      </c>
      <c r="BD128" s="136">
        <f>SUMIF(Tabel15[Team Groen],Tabel5[[#This Row],[Team]],Tabel15[Score4])</f>
        <v>0</v>
      </c>
      <c r="BE128" s="293">
        <f>SUM(Tabel5[[#This Row],[Goals Verdediger]]+Tabel5[[#This Row],[Goals DefG]])</f>
        <v>0</v>
      </c>
      <c r="BF128" s="293">
        <f>IF(Tabel5[[#This Row],[Aantal games Alg]]=0,0,Tabel5[[#This Row],[Goals DefA]]/Tabel5[[#This Row],[Aantal games Alg]])</f>
        <v>0</v>
      </c>
      <c r="BG128" s="293">
        <f>SUM(Tabel5[[#This Row],[Goals Aanvaller]]+Tabel5[[#This Row],[Goals OffG]])</f>
        <v>0</v>
      </c>
      <c r="BH128" s="293">
        <f>IF(Tabel5[[#This Row],[Aantal games Alg]]=0,0,Tabel5[[#This Row],[Goals OffA]]/Tabel5[[#This Row],[Aantal games Alg]])</f>
        <v>0</v>
      </c>
      <c r="BI128" s="214">
        <f>Tabel5[[#This Row],[Goals DefA]]+Tabel5[[#This Row],[Goals OffA]]</f>
        <v>0</v>
      </c>
      <c r="BJ128" s="214">
        <f>IF(Tabel5[[#This Row],[Aantal games Alg]]=0,0,Tabel5[[#This Row],[Goals Alg]]/Tabel5[[#This Row],[Aantal games Alg]])</f>
        <v>0</v>
      </c>
      <c r="BK128" s="148">
        <f>SUMIF(Tabel15[Team Rood],Tabel5[[#This Row],[Team]],Tabel15[ET])</f>
        <v>0</v>
      </c>
      <c r="BL128" s="150">
        <f>SUMIF(Tabel15[Team Groen],Tabel5[[#This Row],[Team]],Tabel15[ET])</f>
        <v>0</v>
      </c>
      <c r="BM128" s="153">
        <f>SUM(Tabel5[[#This Row],[ET Groen tot]],Tabel5[[#This Row],[ET Rood tot]])</f>
        <v>0</v>
      </c>
      <c r="BN128" s="155">
        <f>IF(Tabel5[[#This Row],[Aantal games Alg]]=0,0,Tabel5[[#This Row],[ET tot]]/Tabel5[[#This Row],[Aantal games Alg]])</f>
        <v>0</v>
      </c>
    </row>
    <row r="129" spans="1:66" x14ac:dyDescent="0.25">
      <c r="A129" s="125" t="str">
        <f ca="1">IF(Tabel15[[#This Row],[Rood Verdediging]]&lt;&gt;"",IF(A129="",NOW(),A129),"")</f>
        <v/>
      </c>
      <c r="B129" s="128" t="str">
        <f ca="1">IF(Tabel15[[#This Row],[Rood Verdediging]]&lt;&gt;"",IF(B129="",NOW(),B129),"")</f>
        <v/>
      </c>
      <c r="C129" s="126" t="str">
        <f ca="1">IF(Tabel15[[#This Row],[Score]]&lt;&gt;"",IF(C129="",NOW(),C129),"")</f>
        <v/>
      </c>
      <c r="D129" s="182" t="str">
        <f ca="1">IF(OR(Tabel15[[#This Row],[Starttijd]]="",Tabel15[[#This Row],[Eindtijd]]=""),"",Tabel15[[#This Row],[Eindtijd]]-Tabel15[[#This Row],[Starttijd]])</f>
        <v/>
      </c>
      <c r="E129" s="74">
        <v>120</v>
      </c>
      <c r="F129" s="40"/>
      <c r="G129" s="76"/>
      <c r="H129" s="40"/>
      <c r="I129" s="76"/>
      <c r="J129" s="41"/>
      <c r="K129" s="78"/>
      <c r="L129" s="41"/>
      <c r="M129" s="78"/>
      <c r="N129" s="81" t="str">
        <f t="shared" si="17"/>
        <v/>
      </c>
      <c r="O129" s="82" t="str">
        <f t="shared" si="18"/>
        <v/>
      </c>
      <c r="P12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Row],[Score4]]&lt;&gt;""),IF(AND(N129&gt;O129,N129&gt;=11),"ROOD",IF(AND(O129&gt;=11,N129&lt;&gt;O129),"GROEN","")),"")</f>
        <v/>
      </c>
      <c r="Q129" s="86" t="str">
        <f t="shared" si="13"/>
        <v/>
      </c>
      <c r="R129" s="87" t="str">
        <f t="shared" si="14"/>
        <v/>
      </c>
      <c r="S129" s="147" t="str">
        <f>Tabel15[[#This Row],[Rood Verdediging]]&amp;Tabel15[[#This Row],[Rood Aanval]]</f>
        <v/>
      </c>
      <c r="T129" s="147" t="str">
        <f>Tabel15[[#This Row],[Groen Verdediging]]&amp;Tabel15[[#This Row],[Groen Aanval]]</f>
        <v/>
      </c>
      <c r="U129" s="147" t="str">
        <f>Tabel15[[#This Row],[Winnaar 1]]&amp;Tabel15[[#This Row],[Winnaar 2]]</f>
        <v/>
      </c>
      <c r="V129" s="147" t="str">
        <f>IF(Tabel15[[#This Row],[Team Rood]]=Tabel15[[#This Row],[Winnaars]],Tabel15[[#This Row],[Team Rood]])</f>
        <v/>
      </c>
      <c r="W129" s="147" t="str">
        <f>IF(Tabel15[[#This Row],[Team Groen]]=Tabel15[[#This Row],[Winnaars]],Tabel15[[#This Row],[Team Groen]])</f>
        <v/>
      </c>
      <c r="X129" s="283"/>
      <c r="Y129" s="283"/>
      <c r="Z129" s="283"/>
      <c r="AA129" s="283"/>
      <c r="AL129" s="251" t="s">
        <v>166</v>
      </c>
      <c r="AM129" s="232" t="s">
        <v>162</v>
      </c>
      <c r="AN129" s="140" t="str">
        <f t="shared" si="16"/>
        <v>Stijn*Matthijs*</v>
      </c>
      <c r="AO129" s="160">
        <f>IF(Tabel5[[#This Row],[Aantal Games Rood]]=0,0,(Tabel5[[#This Row],[Wins Rood]])/Tabel5[[#This Row],[Aantal Games Rood]])</f>
        <v>0</v>
      </c>
      <c r="AP129" s="159">
        <f>IF(Tabel5[[#This Row],[Aantal Games Groen]]=0,0,(Tabel5[[#This Row],[Wins Groen]])/Tabel5[[#This Row],[Aantal Games Groen]])</f>
        <v>0</v>
      </c>
      <c r="AQ129" s="156">
        <f>IF(Tabel5[[#This Row],[Aantal games Alg]]=0,0,(Tabel5[[#This Row],[Wins Alg]])/Tabel5[[#This Row],[Aantal games Alg]])</f>
        <v>0</v>
      </c>
      <c r="AR129" s="138">
        <f>COUNTIF(Tabel15[Winaar rood],Tabel5[[#This Row],[Team]])</f>
        <v>0</v>
      </c>
      <c r="AS129" s="134">
        <f>COUNTIF(Tabel15[Winnaar Groen],Tabel5[[#This Row],[Team]])</f>
        <v>0</v>
      </c>
      <c r="AT129" s="293">
        <f>COUNTIF(Tabel15[Winnaars],Tabel5[[#This Row],[Team]])</f>
        <v>0</v>
      </c>
      <c r="AU129" s="135">
        <f>Tabel5[[#This Row],[Aantal Games Rood]]-Tabel5[[#This Row],[Wins Rood]]</f>
        <v>0</v>
      </c>
      <c r="AV129" s="136">
        <f>Tabel5[[#This Row],[Aantal Games Groen]]-Tabel5[[#This Row],[Wins Groen]]</f>
        <v>0</v>
      </c>
      <c r="AW129" s="137">
        <f>Tabel5[[#This Row],[Aantal games Alg]]-Tabel5[[#This Row],[Wins Alg]]</f>
        <v>0</v>
      </c>
      <c r="AX129" s="138">
        <f>COUNTIF(Tabel15[Team Rood],Tabel5[[#This Row],[Team]])</f>
        <v>0</v>
      </c>
      <c r="AY129" s="136">
        <f>COUNTIF(Tabel15[Team Groen],Tabel5[[#This Row],[Team]])</f>
        <v>0</v>
      </c>
      <c r="AZ129" s="214">
        <f>Tabel5[[#This Row],[Aantal Games Rood]]+Tabel5[[#This Row],[Aantal Games Groen]]</f>
        <v>0</v>
      </c>
      <c r="BA129" s="138">
        <f>SUMIF(Tabel15[Team Rood],Tabel5[[#This Row],[Team]],Tabel15[Score])</f>
        <v>0</v>
      </c>
      <c r="BB129" s="138">
        <f>SUMIF(Tabel15[Team Rood],Tabel5[[#This Row],[Team]],Tabel15[Score2])</f>
        <v>0</v>
      </c>
      <c r="BC129" s="134">
        <f>SUMIF(Tabel15[Team Groen],Tabel5[[#This Row],[Team]],Tabel15[Score3])</f>
        <v>0</v>
      </c>
      <c r="BD129" s="136">
        <f>SUMIF(Tabel15[Team Groen],Tabel5[[#This Row],[Team]],Tabel15[Score4])</f>
        <v>0</v>
      </c>
      <c r="BE129" s="293">
        <f>SUM(Tabel5[[#This Row],[Goals Verdediger]]+Tabel5[[#This Row],[Goals DefG]])</f>
        <v>0</v>
      </c>
      <c r="BF129" s="293">
        <f>IF(Tabel5[[#This Row],[Aantal games Alg]]=0,0,Tabel5[[#This Row],[Goals DefA]]/Tabel5[[#This Row],[Aantal games Alg]])</f>
        <v>0</v>
      </c>
      <c r="BG129" s="293">
        <f>SUM(Tabel5[[#This Row],[Goals Aanvaller]]+Tabel5[[#This Row],[Goals OffG]])</f>
        <v>0</v>
      </c>
      <c r="BH129" s="293">
        <f>IF(Tabel5[[#This Row],[Aantal games Alg]]=0,0,Tabel5[[#This Row],[Goals OffA]]/Tabel5[[#This Row],[Aantal games Alg]])</f>
        <v>0</v>
      </c>
      <c r="BI129" s="214">
        <f>Tabel5[[#This Row],[Goals DefA]]+Tabel5[[#This Row],[Goals OffA]]</f>
        <v>0</v>
      </c>
      <c r="BJ129" s="214">
        <f>IF(Tabel5[[#This Row],[Aantal games Alg]]=0,0,Tabel5[[#This Row],[Goals Alg]]/Tabel5[[#This Row],[Aantal games Alg]])</f>
        <v>0</v>
      </c>
      <c r="BK129" s="148">
        <f>SUMIF(Tabel15[Team Rood],Tabel5[[#This Row],[Team]],Tabel15[ET])</f>
        <v>0</v>
      </c>
      <c r="BL129" s="150">
        <f>SUMIF(Tabel15[Team Groen],Tabel5[[#This Row],[Team]],Tabel15[ET])</f>
        <v>0</v>
      </c>
      <c r="BM129" s="153">
        <f>SUM(Tabel5[[#This Row],[ET Groen tot]],Tabel5[[#This Row],[ET Rood tot]])</f>
        <v>0</v>
      </c>
      <c r="BN129" s="155">
        <f>IF(Tabel5[[#This Row],[Aantal games Alg]]=0,0,Tabel5[[#This Row],[ET tot]]/Tabel5[[#This Row],[Aantal games Alg]])</f>
        <v>0</v>
      </c>
    </row>
    <row r="130" spans="1:66" x14ac:dyDescent="0.25">
      <c r="A130" s="125" t="str">
        <f ca="1">IF(Tabel15[[#This Row],[Rood Verdediging]]&lt;&gt;"",IF(A130="",NOW(),A130),"")</f>
        <v/>
      </c>
      <c r="B130" s="128" t="str">
        <f ca="1">IF(Tabel15[[#This Row],[Rood Verdediging]]&lt;&gt;"",IF(B130="",NOW(),B130),"")</f>
        <v/>
      </c>
      <c r="C130" s="126" t="str">
        <f ca="1">IF(Tabel15[[#This Row],[Score]]&lt;&gt;"",IF(C130="",NOW(),C130),"")</f>
        <v/>
      </c>
      <c r="D130" s="182" t="str">
        <f ca="1">IF(OR(Tabel15[[#This Row],[Starttijd]]="",Tabel15[[#This Row],[Eindtijd]]=""),"",Tabel15[[#This Row],[Eindtijd]]-Tabel15[[#This Row],[Starttijd]])</f>
        <v/>
      </c>
      <c r="E130" s="74">
        <v>120</v>
      </c>
      <c r="F130" s="40"/>
      <c r="G130" s="76"/>
      <c r="H130" s="40"/>
      <c r="I130" s="76"/>
      <c r="J130" s="41"/>
      <c r="K130" s="78"/>
      <c r="L130" s="41"/>
      <c r="M130" s="78"/>
      <c r="N130" s="81" t="str">
        <f t="shared" si="17"/>
        <v/>
      </c>
      <c r="O130" s="82" t="str">
        <f t="shared" si="18"/>
        <v/>
      </c>
      <c r="P13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Row],[Score4]]&lt;&gt;""),IF(AND(N130&gt;O130,N130&gt;=11),"ROOD",IF(AND(O130&gt;=11,N130&lt;&gt;O130),"GROEN","")),"")</f>
        <v/>
      </c>
      <c r="Q130" s="86" t="str">
        <f t="shared" ref="Q130:Q193" si="19">IF(N130&gt;O130,F130,IF(N130="","",J130))</f>
        <v/>
      </c>
      <c r="R130" s="87" t="str">
        <f t="shared" ref="R130:R193" si="20">IF(N130&gt;O130,H130,IF(N130="","",L130))</f>
        <v/>
      </c>
      <c r="S130" s="147" t="str">
        <f>Tabel15[[#This Row],[Rood Verdediging]]&amp;Tabel15[[#This Row],[Rood Aanval]]</f>
        <v/>
      </c>
      <c r="T130" s="147" t="str">
        <f>Tabel15[[#This Row],[Groen Verdediging]]&amp;Tabel15[[#This Row],[Groen Aanval]]</f>
        <v/>
      </c>
      <c r="U130" s="147" t="str">
        <f>Tabel15[[#This Row],[Winnaar 1]]&amp;Tabel15[[#This Row],[Winnaar 2]]</f>
        <v/>
      </c>
      <c r="V130" s="147" t="str">
        <f>IF(Tabel15[[#This Row],[Team Rood]]=Tabel15[[#This Row],[Winnaars]],Tabel15[[#This Row],[Team Rood]])</f>
        <v/>
      </c>
      <c r="W130" s="147" t="str">
        <f>IF(Tabel15[[#This Row],[Team Groen]]=Tabel15[[#This Row],[Winnaars]],Tabel15[[#This Row],[Team Groen]])</f>
        <v/>
      </c>
      <c r="X130" s="283"/>
      <c r="Y130" s="283"/>
      <c r="Z130" s="283"/>
      <c r="AA130" s="283"/>
      <c r="AL130" s="251" t="s">
        <v>166</v>
      </c>
      <c r="AM130" s="232" t="s">
        <v>170</v>
      </c>
      <c r="AN130" s="140" t="str">
        <f t="shared" ref="AN130:AN157" si="21">AL130&amp;AM130</f>
        <v>Stijn*Nico*</v>
      </c>
      <c r="AO130" s="160">
        <f>IF(Tabel5[[#This Row],[Aantal Games Rood]]=0,0,(Tabel5[[#This Row],[Wins Rood]])/Tabel5[[#This Row],[Aantal Games Rood]])</f>
        <v>0</v>
      </c>
      <c r="AP130" s="159">
        <f>IF(Tabel5[[#This Row],[Aantal Games Groen]]=0,0,(Tabel5[[#This Row],[Wins Groen]])/Tabel5[[#This Row],[Aantal Games Groen]])</f>
        <v>0</v>
      </c>
      <c r="AQ130" s="156">
        <f>IF(Tabel5[[#This Row],[Aantal games Alg]]=0,0,(Tabel5[[#This Row],[Wins Alg]])/Tabel5[[#This Row],[Aantal games Alg]])</f>
        <v>0</v>
      </c>
      <c r="AR130" s="171">
        <f>COUNTIF(Tabel15[Winaar rood],Tabel5[[#This Row],[Team]])</f>
        <v>0</v>
      </c>
      <c r="AS130" s="169">
        <f>COUNTIF(Tabel15[Winnaar Groen],Tabel5[[#This Row],[Team]])</f>
        <v>0</v>
      </c>
      <c r="AT130" s="170">
        <f>COUNTIF(Tabel15[Winnaars],Tabel5[[#This Row],[Team]])</f>
        <v>0</v>
      </c>
      <c r="AU130" s="163">
        <f>Tabel5[[#This Row],[Aantal Games Rood]]-Tabel5[[#This Row],[Wins Rood]]</f>
        <v>0</v>
      </c>
      <c r="AV130" s="169">
        <f>Tabel5[[#This Row],[Aantal Games Groen]]-Tabel5[[#This Row],[Wins Groen]]</f>
        <v>0</v>
      </c>
      <c r="AW130" s="165">
        <f>Tabel5[[#This Row],[Aantal games Alg]]-Tabel5[[#This Row],[Wins Alg]]</f>
        <v>0</v>
      </c>
      <c r="AX130" s="171">
        <f>COUNTIF(Tabel15[Team Rood],Tabel5[[#This Row],[Team]])</f>
        <v>0</v>
      </c>
      <c r="AY130" s="169">
        <f>COUNTIF(Tabel15[Team Groen],Tabel5[[#This Row],[Team]])</f>
        <v>0</v>
      </c>
      <c r="AZ130" s="170">
        <f>Tabel5[[#This Row],[Aantal Games Rood]]+Tabel5[[#This Row],[Aantal Games Groen]]</f>
        <v>0</v>
      </c>
      <c r="BA130" s="171">
        <f>SUMIF(Tabel15[Team Rood],Tabel5[[#This Row],[Team]],Tabel15[Score])</f>
        <v>0</v>
      </c>
      <c r="BB130" s="171">
        <f>SUMIF(Tabel15[Team Rood],Tabel5[[#This Row],[Team]],Tabel15[Score2])</f>
        <v>0</v>
      </c>
      <c r="BC130" s="136">
        <f>SUMIF(Tabel15[Team Groen],Tabel5[[#This Row],[Team]],Tabel15[Score3])</f>
        <v>0</v>
      </c>
      <c r="BD130" s="169">
        <f>SUMIF(Tabel15[Team Groen],Tabel5[[#This Row],[Team]],Tabel15[Score4])</f>
        <v>0</v>
      </c>
      <c r="BE130" s="172">
        <f>SUM(Tabel5[[#This Row],[Goals Verdediger]]+Tabel5[[#This Row],[Goals DefG]])</f>
        <v>0</v>
      </c>
      <c r="BF130" s="170">
        <f>IF(Tabel5[[#This Row],[Aantal games Alg]]=0,0,Tabel5[[#This Row],[Goals DefA]]/Tabel5[[#This Row],[Aantal games Alg]])</f>
        <v>0</v>
      </c>
      <c r="BG130" s="172">
        <f>SUM(Tabel5[[#This Row],[Goals Aanvaller]]+Tabel5[[#This Row],[Goals OffG]])</f>
        <v>0</v>
      </c>
      <c r="BH130" s="170">
        <f>IF(Tabel5[[#This Row],[Aantal games Alg]]=0,0,Tabel5[[#This Row],[Goals OffA]]/Tabel5[[#This Row],[Aantal games Alg]])</f>
        <v>0</v>
      </c>
      <c r="BI130" s="170">
        <f>Tabel5[[#This Row],[Goals DefA]]+Tabel5[[#This Row],[Goals OffA]]</f>
        <v>0</v>
      </c>
      <c r="BJ130" s="170">
        <f>IF(Tabel5[[#This Row],[Aantal games Alg]]=0,0,Tabel5[[#This Row],[Goals Alg]]/Tabel5[[#This Row],[Aantal games Alg]])</f>
        <v>0</v>
      </c>
      <c r="BK130" s="148">
        <f>SUMIF(Tabel15[Team Rood],Tabel5[[#This Row],[Team]],Tabel15[ET])</f>
        <v>0</v>
      </c>
      <c r="BL130" s="150">
        <f>SUMIF(Tabel15[Team Groen],Tabel5[[#This Row],[Team]],Tabel15[ET])</f>
        <v>0</v>
      </c>
      <c r="BM130" s="153">
        <f>SUM(Tabel5[[#This Row],[ET Groen tot]],Tabel5[[#This Row],[ET Rood tot]])</f>
        <v>0</v>
      </c>
      <c r="BN130" s="155">
        <f>IF(Tabel5[[#This Row],[Aantal games Alg]]=0,0,Tabel5[[#This Row],[ET tot]]/Tabel5[[#This Row],[Aantal games Alg]])</f>
        <v>0</v>
      </c>
    </row>
    <row r="131" spans="1:66" x14ac:dyDescent="0.25">
      <c r="A131" s="125" t="str">
        <f ca="1">IF(Tabel15[[#This Row],[Rood Verdediging]]&lt;&gt;"",IF(A131="",NOW(),A131),"")</f>
        <v/>
      </c>
      <c r="B131" s="128" t="str">
        <f ca="1">IF(Tabel15[[#This Row],[Rood Verdediging]]&lt;&gt;"",IF(B131="",NOW(),B131),"")</f>
        <v/>
      </c>
      <c r="C131" s="126" t="str">
        <f ca="1">IF(Tabel15[[#This Row],[Score]]&lt;&gt;"",IF(C131="",NOW(),C131),"")</f>
        <v/>
      </c>
      <c r="D131" s="182" t="str">
        <f ca="1">IF(OR(Tabel15[[#This Row],[Starttijd]]="",Tabel15[[#This Row],[Eindtijd]]=""),"",Tabel15[[#This Row],[Eindtijd]]-Tabel15[[#This Row],[Starttijd]])</f>
        <v/>
      </c>
      <c r="E131" s="74">
        <v>120</v>
      </c>
      <c r="F131" s="40"/>
      <c r="G131" s="76"/>
      <c r="H131" s="40"/>
      <c r="I131" s="76"/>
      <c r="J131" s="41"/>
      <c r="K131" s="78"/>
      <c r="L131" s="41"/>
      <c r="M131" s="78"/>
      <c r="N131" s="81" t="str">
        <f t="shared" si="17"/>
        <v/>
      </c>
      <c r="O131" s="82" t="str">
        <f t="shared" si="18"/>
        <v/>
      </c>
      <c r="P13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Row],[Score4]]&lt;&gt;""),IF(AND(N131&gt;O131,N131&gt;=11),"ROOD",IF(AND(O131&gt;=11,N131&lt;&gt;O131),"GROEN","")),"")</f>
        <v/>
      </c>
      <c r="Q131" s="86" t="str">
        <f t="shared" si="19"/>
        <v/>
      </c>
      <c r="R131" s="87" t="str">
        <f t="shared" si="20"/>
        <v/>
      </c>
      <c r="S131" s="147" t="str">
        <f>Tabel15[[#This Row],[Rood Verdediging]]&amp;Tabel15[[#This Row],[Rood Aanval]]</f>
        <v/>
      </c>
      <c r="T131" s="147" t="str">
        <f>Tabel15[[#This Row],[Groen Verdediging]]&amp;Tabel15[[#This Row],[Groen Aanval]]</f>
        <v/>
      </c>
      <c r="U131" s="147" t="str">
        <f>Tabel15[[#This Row],[Winnaar 1]]&amp;Tabel15[[#This Row],[Winnaar 2]]</f>
        <v/>
      </c>
      <c r="V131" s="147" t="str">
        <f>IF(Tabel15[[#This Row],[Team Rood]]=Tabel15[[#This Row],[Winnaars]],Tabel15[[#This Row],[Team Rood]])</f>
        <v/>
      </c>
      <c r="W131" s="147" t="str">
        <f>IF(Tabel15[[#This Row],[Team Groen]]=Tabel15[[#This Row],[Winnaars]],Tabel15[[#This Row],[Team Groen]])</f>
        <v/>
      </c>
      <c r="X131" s="283"/>
      <c r="Y131" s="283"/>
      <c r="Z131" s="283"/>
      <c r="AA131" s="283"/>
      <c r="AL131" s="251" t="s">
        <v>166</v>
      </c>
      <c r="AM131" s="232" t="s">
        <v>169</v>
      </c>
      <c r="AN131" s="140" t="str">
        <f t="shared" si="21"/>
        <v>Stijn*Stef*</v>
      </c>
      <c r="AO131" s="160">
        <f>IF(Tabel5[[#This Row],[Aantal Games Rood]]=0,0,(Tabel5[[#This Row],[Wins Rood]])/Tabel5[[#This Row],[Aantal Games Rood]])</f>
        <v>0</v>
      </c>
      <c r="AP131" s="159">
        <f>IF(Tabel5[[#This Row],[Aantal Games Groen]]=0,0,(Tabel5[[#This Row],[Wins Groen]])/Tabel5[[#This Row],[Aantal Games Groen]])</f>
        <v>0</v>
      </c>
      <c r="AQ131" s="156">
        <f>IF(Tabel5[[#This Row],[Aantal games Alg]]=0,0,(Tabel5[[#This Row],[Wins Alg]])/Tabel5[[#This Row],[Aantal games Alg]])</f>
        <v>0</v>
      </c>
      <c r="AR131" s="133">
        <f>COUNTIF(Tabel15[Winaar rood],Tabel5[[#This Row],[Team]])</f>
        <v>0</v>
      </c>
      <c r="AS131" s="134">
        <f>COUNTIF(Tabel15[Winnaar Groen],Tabel5[[#This Row],[Team]])</f>
        <v>0</v>
      </c>
      <c r="AT131" s="293">
        <f>COUNTIF(Tabel15[Winnaars],Tabel5[[#This Row],[Team]])</f>
        <v>0</v>
      </c>
      <c r="AU131" s="135">
        <f>Tabel5[[#This Row],[Aantal Games Rood]]-Tabel5[[#This Row],[Wins Rood]]</f>
        <v>0</v>
      </c>
      <c r="AV131" s="136">
        <f>Tabel5[[#This Row],[Aantal Games Groen]]-Tabel5[[#This Row],[Wins Groen]]</f>
        <v>0</v>
      </c>
      <c r="AW131" s="137">
        <f>Tabel5[[#This Row],[Aantal games Alg]]-Tabel5[[#This Row],[Wins Alg]]</f>
        <v>0</v>
      </c>
      <c r="AX131" s="138">
        <f>COUNTIF(Tabel15[Team Rood],Tabel5[[#This Row],[Team]])</f>
        <v>0</v>
      </c>
      <c r="AY131" s="136">
        <f>COUNTIF(Tabel15[Team Groen],Tabel5[[#This Row],[Team]])</f>
        <v>0</v>
      </c>
      <c r="AZ131" s="214">
        <f>Tabel5[[#This Row],[Aantal Games Rood]]+Tabel5[[#This Row],[Aantal Games Groen]]</f>
        <v>0</v>
      </c>
      <c r="BA131" s="138">
        <f>SUMIF(Tabel15[Team Rood],Tabel5[[#This Row],[Team]],Tabel15[Score])</f>
        <v>0</v>
      </c>
      <c r="BB131" s="138">
        <f>SUMIF(Tabel15[Team Rood],Tabel5[[#This Row],[Team]],Tabel15[Score2])</f>
        <v>0</v>
      </c>
      <c r="BC131" s="134">
        <f>SUMIF(Tabel15[Team Groen],Tabel5[[#This Row],[Team]],Tabel15[Score3])</f>
        <v>0</v>
      </c>
      <c r="BD131" s="136">
        <f>SUMIF(Tabel15[Team Groen],Tabel5[[#This Row],[Team]],Tabel15[Score4])</f>
        <v>0</v>
      </c>
      <c r="BE131" s="293">
        <f>SUM(Tabel5[[#This Row],[Goals Verdediger]]+Tabel5[[#This Row],[Goals DefG]])</f>
        <v>0</v>
      </c>
      <c r="BF131" s="293">
        <f>IF(Tabel5[[#This Row],[Aantal games Alg]]=0,0,Tabel5[[#This Row],[Goals DefA]]/Tabel5[[#This Row],[Aantal games Alg]])</f>
        <v>0</v>
      </c>
      <c r="BG131" s="293">
        <f>SUM(Tabel5[[#This Row],[Goals Aanvaller]]+Tabel5[[#This Row],[Goals OffG]])</f>
        <v>0</v>
      </c>
      <c r="BH131" s="293">
        <f>IF(Tabel5[[#This Row],[Aantal games Alg]]=0,0,Tabel5[[#This Row],[Goals OffA]]/Tabel5[[#This Row],[Aantal games Alg]])</f>
        <v>0</v>
      </c>
      <c r="BI131" s="214">
        <f>Tabel5[[#This Row],[Goals DefA]]+Tabel5[[#This Row],[Goals OffA]]</f>
        <v>0</v>
      </c>
      <c r="BJ131" s="214">
        <f>IF(Tabel5[[#This Row],[Aantal games Alg]]=0,0,Tabel5[[#This Row],[Goals Alg]]/Tabel5[[#This Row],[Aantal games Alg]])</f>
        <v>0</v>
      </c>
      <c r="BK131" s="148">
        <f>SUMIF(Tabel15[Team Rood],Tabel5[[#This Row],[Team]],Tabel15[ET])</f>
        <v>0</v>
      </c>
      <c r="BL131" s="150">
        <f>SUMIF(Tabel15[Team Groen],Tabel5[[#This Row],[Team]],Tabel15[ET])</f>
        <v>0</v>
      </c>
      <c r="BM131" s="153">
        <f>SUM(Tabel5[[#This Row],[ET Groen tot]],Tabel5[[#This Row],[ET Rood tot]])</f>
        <v>0</v>
      </c>
      <c r="BN131" s="155">
        <f>IF(Tabel5[[#This Row],[Aantal games Alg]]=0,0,Tabel5[[#This Row],[ET tot]]/Tabel5[[#This Row],[Aantal games Alg]])</f>
        <v>0</v>
      </c>
    </row>
    <row r="132" spans="1:66" x14ac:dyDescent="0.25">
      <c r="A132" s="125" t="str">
        <f ca="1">IF(Tabel15[[#This Row],[Rood Verdediging]]&lt;&gt;"",IF(A132="",NOW(),A132),"")</f>
        <v/>
      </c>
      <c r="B132" s="128" t="str">
        <f ca="1">IF(Tabel15[[#This Row],[Rood Verdediging]]&lt;&gt;"",IF(B132="",NOW(),B132),"")</f>
        <v/>
      </c>
      <c r="C132" s="126" t="str">
        <f ca="1">IF(Tabel15[[#This Row],[Score]]&lt;&gt;"",IF(C132="",NOW(),C132),"")</f>
        <v/>
      </c>
      <c r="D132" s="182" t="str">
        <f ca="1">IF(OR(Tabel15[[#This Row],[Starttijd]]="",Tabel15[[#This Row],[Eindtijd]]=""),"",Tabel15[[#This Row],[Eindtijd]]-Tabel15[[#This Row],[Starttijd]])</f>
        <v/>
      </c>
      <c r="E132" s="74">
        <v>120</v>
      </c>
      <c r="F132" s="40"/>
      <c r="G132" s="76"/>
      <c r="H132" s="40"/>
      <c r="I132" s="76"/>
      <c r="J132" s="41"/>
      <c r="K132" s="78"/>
      <c r="L132" s="41"/>
      <c r="M132" s="78"/>
      <c r="N132" s="81" t="str">
        <f t="shared" si="17"/>
        <v/>
      </c>
      <c r="O132" s="82" t="str">
        <f t="shared" si="18"/>
        <v/>
      </c>
      <c r="P13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Row],[Score4]]&lt;&gt;""),IF(AND(N132&gt;O132,N132&gt;=11),"ROOD",IF(AND(O132&gt;=11,N132&lt;&gt;O132),"GROEN","")),"")</f>
        <v/>
      </c>
      <c r="Q132" s="86" t="str">
        <f t="shared" si="19"/>
        <v/>
      </c>
      <c r="R132" s="87" t="str">
        <f t="shared" si="20"/>
        <v/>
      </c>
      <c r="S132" s="147" t="str">
        <f>Tabel15[[#This Row],[Rood Verdediging]]&amp;Tabel15[[#This Row],[Rood Aanval]]</f>
        <v/>
      </c>
      <c r="T132" s="147" t="str">
        <f>Tabel15[[#This Row],[Groen Verdediging]]&amp;Tabel15[[#This Row],[Groen Aanval]]</f>
        <v/>
      </c>
      <c r="U132" s="147" t="str">
        <f>Tabel15[[#This Row],[Winnaar 1]]&amp;Tabel15[[#This Row],[Winnaar 2]]</f>
        <v/>
      </c>
      <c r="V132" s="147" t="str">
        <f>IF(Tabel15[[#This Row],[Team Rood]]=Tabel15[[#This Row],[Winnaars]],Tabel15[[#This Row],[Team Rood]])</f>
        <v/>
      </c>
      <c r="W132" s="147" t="str">
        <f>IF(Tabel15[[#This Row],[Team Groen]]=Tabel15[[#This Row],[Winnaars]],Tabel15[[#This Row],[Team Groen]])</f>
        <v/>
      </c>
      <c r="X132" s="283"/>
      <c r="Y132" s="283"/>
      <c r="Z132" s="283"/>
      <c r="AA132" s="283"/>
      <c r="AL132" s="251" t="s">
        <v>166</v>
      </c>
      <c r="AM132" s="232" t="s">
        <v>160</v>
      </c>
      <c r="AN132" s="140" t="str">
        <f t="shared" si="21"/>
        <v>Stijn*Tiemen*</v>
      </c>
      <c r="AO132" s="160">
        <f>IF(Tabel5[[#This Row],[Aantal Games Rood]]=0,0,(Tabel5[[#This Row],[Wins Rood]])/Tabel5[[#This Row],[Aantal Games Rood]])</f>
        <v>0</v>
      </c>
      <c r="AP132" s="159">
        <f>IF(Tabel5[[#This Row],[Aantal Games Groen]]=0,0,(Tabel5[[#This Row],[Wins Groen]])/Tabel5[[#This Row],[Aantal Games Groen]])</f>
        <v>0</v>
      </c>
      <c r="AQ132" s="156">
        <f>IF(Tabel5[[#This Row],[Aantal games Alg]]=0,0,(Tabel5[[#This Row],[Wins Alg]])/Tabel5[[#This Row],[Aantal games Alg]])</f>
        <v>0</v>
      </c>
      <c r="AR132" s="133">
        <f>COUNTIF(Tabel15[Winaar rood],Tabel5[[#This Row],[Team]])</f>
        <v>0</v>
      </c>
      <c r="AS132" s="134">
        <f>COUNTIF(Tabel15[Winnaar Groen],Tabel5[[#This Row],[Team]])</f>
        <v>0</v>
      </c>
      <c r="AT132" s="293">
        <f>COUNTIF(Tabel15[Winnaars],Tabel5[[#This Row],[Team]])</f>
        <v>0</v>
      </c>
      <c r="AU132" s="135">
        <f>Tabel5[[#This Row],[Aantal Games Rood]]-Tabel5[[#This Row],[Wins Rood]]</f>
        <v>0</v>
      </c>
      <c r="AV132" s="136">
        <f>Tabel5[[#This Row],[Aantal Games Groen]]-Tabel5[[#This Row],[Wins Groen]]</f>
        <v>0</v>
      </c>
      <c r="AW132" s="137">
        <f>Tabel5[[#This Row],[Aantal games Alg]]-Tabel5[[#This Row],[Wins Alg]]</f>
        <v>0</v>
      </c>
      <c r="AX132" s="138">
        <f>COUNTIF(Tabel15[Team Rood],Tabel5[[#This Row],[Team]])</f>
        <v>0</v>
      </c>
      <c r="AY132" s="136">
        <f>COUNTIF(Tabel15[Team Groen],Tabel5[[#This Row],[Team]])</f>
        <v>0</v>
      </c>
      <c r="AZ132" s="214">
        <f>Tabel5[[#This Row],[Aantal Games Rood]]+Tabel5[[#This Row],[Aantal Games Groen]]</f>
        <v>0</v>
      </c>
      <c r="BA132" s="138">
        <f>SUMIF(Tabel15[Team Rood],Tabel5[[#This Row],[Team]],Tabel15[Score])</f>
        <v>0</v>
      </c>
      <c r="BB132" s="138">
        <f>SUMIF(Tabel15[Team Rood],Tabel5[[#This Row],[Team]],Tabel15[Score2])</f>
        <v>0</v>
      </c>
      <c r="BC132" s="134">
        <f>SUMIF(Tabel15[Team Groen],Tabel5[[#This Row],[Team]],Tabel15[Score3])</f>
        <v>0</v>
      </c>
      <c r="BD132" s="136">
        <f>SUMIF(Tabel15[Team Groen],Tabel5[[#This Row],[Team]],Tabel15[Score4])</f>
        <v>0</v>
      </c>
      <c r="BE132" s="293">
        <f>SUM(Tabel5[[#This Row],[Goals Verdediger]]+Tabel5[[#This Row],[Goals DefG]])</f>
        <v>0</v>
      </c>
      <c r="BF132" s="293">
        <f>IF(Tabel5[[#This Row],[Aantal games Alg]]=0,0,Tabel5[[#This Row],[Goals DefA]]/Tabel5[[#This Row],[Aantal games Alg]])</f>
        <v>0</v>
      </c>
      <c r="BG132" s="293">
        <f>SUM(Tabel5[[#This Row],[Goals Aanvaller]]+Tabel5[[#This Row],[Goals OffG]])</f>
        <v>0</v>
      </c>
      <c r="BH132" s="293">
        <f>IF(Tabel5[[#This Row],[Aantal games Alg]]=0,0,Tabel5[[#This Row],[Goals OffA]]/Tabel5[[#This Row],[Aantal games Alg]])</f>
        <v>0</v>
      </c>
      <c r="BI132" s="214">
        <f>Tabel5[[#This Row],[Goals DefA]]+Tabel5[[#This Row],[Goals OffA]]</f>
        <v>0</v>
      </c>
      <c r="BJ132" s="214">
        <f>IF(Tabel5[[#This Row],[Aantal games Alg]]=0,0,Tabel5[[#This Row],[Goals Alg]]/Tabel5[[#This Row],[Aantal games Alg]])</f>
        <v>0</v>
      </c>
      <c r="BK132" s="148">
        <f>SUMIF(Tabel15[Team Rood],Tabel5[[#This Row],[Team]],Tabel15[ET])</f>
        <v>0</v>
      </c>
      <c r="BL132" s="150">
        <f>SUMIF(Tabel15[Team Groen],Tabel5[[#This Row],[Team]],Tabel15[ET])</f>
        <v>0</v>
      </c>
      <c r="BM132" s="153">
        <f>SUM(Tabel5[[#This Row],[ET Groen tot]],Tabel5[[#This Row],[ET Rood tot]])</f>
        <v>0</v>
      </c>
      <c r="BN132" s="155">
        <f>IF(Tabel5[[#This Row],[Aantal games Alg]]=0,0,Tabel5[[#This Row],[ET tot]]/Tabel5[[#This Row],[Aantal games Alg]])</f>
        <v>0</v>
      </c>
    </row>
    <row r="133" spans="1:66" x14ac:dyDescent="0.25">
      <c r="A133" s="125" t="str">
        <f ca="1">IF(Tabel15[[#This Row],[Rood Verdediging]]&lt;&gt;"",IF(A133="",NOW(),A133),"")</f>
        <v/>
      </c>
      <c r="B133" s="128" t="str">
        <f ca="1">IF(Tabel15[[#This Row],[Rood Verdediging]]&lt;&gt;"",IF(B133="",NOW(),B133),"")</f>
        <v/>
      </c>
      <c r="C133" s="126" t="str">
        <f ca="1">IF(Tabel15[[#This Row],[Score]]&lt;&gt;"",IF(C133="",NOW(),C133),"")</f>
        <v/>
      </c>
      <c r="D133" s="182" t="str">
        <f ca="1">IF(OR(Tabel15[[#This Row],[Starttijd]]="",Tabel15[[#This Row],[Eindtijd]]=""),"",Tabel15[[#This Row],[Eindtijd]]-Tabel15[[#This Row],[Starttijd]])</f>
        <v/>
      </c>
      <c r="E133" s="74">
        <v>120</v>
      </c>
      <c r="F133" s="40"/>
      <c r="G133" s="76"/>
      <c r="H133" s="40"/>
      <c r="I133" s="76"/>
      <c r="J133" s="41"/>
      <c r="K133" s="78"/>
      <c r="L133" s="41"/>
      <c r="M133" s="78"/>
      <c r="N133" s="81" t="str">
        <f t="shared" si="17"/>
        <v/>
      </c>
      <c r="O133" s="82" t="str">
        <f t="shared" si="18"/>
        <v/>
      </c>
      <c r="P13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Row],[Score4]]&lt;&gt;""),IF(AND(N133&gt;O133,N133&gt;=11),"ROOD",IF(AND(O133&gt;=11,N133&lt;&gt;O133),"GROEN","")),"")</f>
        <v/>
      </c>
      <c r="Q133" s="86" t="str">
        <f t="shared" si="19"/>
        <v/>
      </c>
      <c r="R133" s="87" t="str">
        <f t="shared" si="20"/>
        <v/>
      </c>
      <c r="S133" s="147" t="str">
        <f>Tabel15[[#This Row],[Rood Verdediging]]&amp;Tabel15[[#This Row],[Rood Aanval]]</f>
        <v/>
      </c>
      <c r="T133" s="147" t="str">
        <f>Tabel15[[#This Row],[Groen Verdediging]]&amp;Tabel15[[#This Row],[Groen Aanval]]</f>
        <v/>
      </c>
      <c r="U133" s="147" t="str">
        <f>Tabel15[[#This Row],[Winnaar 1]]&amp;Tabel15[[#This Row],[Winnaar 2]]</f>
        <v/>
      </c>
      <c r="V133" s="147" t="str">
        <f>IF(Tabel15[[#This Row],[Team Rood]]=Tabel15[[#This Row],[Winnaars]],Tabel15[[#This Row],[Team Rood]])</f>
        <v/>
      </c>
      <c r="W133" s="147" t="str">
        <f>IF(Tabel15[[#This Row],[Team Groen]]=Tabel15[[#This Row],[Winnaars]],Tabel15[[#This Row],[Team Groen]])</f>
        <v/>
      </c>
      <c r="X133" s="283"/>
      <c r="Y133" s="283"/>
      <c r="Z133" s="283"/>
      <c r="AA133" s="283"/>
      <c r="AL133" s="251" t="s">
        <v>166</v>
      </c>
      <c r="AM133" s="232" t="s">
        <v>157</v>
      </c>
      <c r="AN133" s="140" t="str">
        <f t="shared" si="21"/>
        <v>Stijn*Tobi*</v>
      </c>
      <c r="AO133" s="160">
        <f>IF(Tabel5[[#This Row],[Aantal Games Rood]]=0,0,(Tabel5[[#This Row],[Wins Rood]])/Tabel5[[#This Row],[Aantal Games Rood]])</f>
        <v>0</v>
      </c>
      <c r="AP133" s="159">
        <f>IF(Tabel5[[#This Row],[Aantal Games Groen]]=0,0,(Tabel5[[#This Row],[Wins Groen]])/Tabel5[[#This Row],[Aantal Games Groen]])</f>
        <v>0</v>
      </c>
      <c r="AQ133" s="156">
        <f>IF(Tabel5[[#This Row],[Aantal games Alg]]=0,0,(Tabel5[[#This Row],[Wins Alg]])/Tabel5[[#This Row],[Aantal games Alg]])</f>
        <v>0</v>
      </c>
      <c r="AR133" s="133">
        <f>COUNTIF(Tabel15[Winaar rood],Tabel5[[#This Row],[Team]])</f>
        <v>0</v>
      </c>
      <c r="AS133" s="134">
        <f>COUNTIF(Tabel15[Winnaar Groen],Tabel5[[#This Row],[Team]])</f>
        <v>0</v>
      </c>
      <c r="AT133" s="293">
        <f>COUNTIF(Tabel15[Winnaars],Tabel5[[#This Row],[Team]])</f>
        <v>0</v>
      </c>
      <c r="AU133" s="135">
        <f>Tabel5[[#This Row],[Aantal Games Rood]]-Tabel5[[#This Row],[Wins Rood]]</f>
        <v>0</v>
      </c>
      <c r="AV133" s="136">
        <f>Tabel5[[#This Row],[Aantal Games Groen]]-Tabel5[[#This Row],[Wins Groen]]</f>
        <v>0</v>
      </c>
      <c r="AW133" s="137">
        <f>Tabel5[[#This Row],[Aantal games Alg]]-Tabel5[[#This Row],[Wins Alg]]</f>
        <v>0</v>
      </c>
      <c r="AX133" s="138">
        <f>COUNTIF(Tabel15[Team Rood],Tabel5[[#This Row],[Team]])</f>
        <v>0</v>
      </c>
      <c r="AY133" s="136">
        <f>COUNTIF(Tabel15[Team Groen],Tabel5[[#This Row],[Team]])</f>
        <v>0</v>
      </c>
      <c r="AZ133" s="214">
        <f>Tabel5[[#This Row],[Aantal Games Rood]]+Tabel5[[#This Row],[Aantal Games Groen]]</f>
        <v>0</v>
      </c>
      <c r="BA133" s="138">
        <f>SUMIF(Tabel15[Team Rood],Tabel5[[#This Row],[Team]],Tabel15[Score])</f>
        <v>0</v>
      </c>
      <c r="BB133" s="138">
        <f>SUMIF(Tabel15[Team Rood],Tabel5[[#This Row],[Team]],Tabel15[Score2])</f>
        <v>0</v>
      </c>
      <c r="BC133" s="134">
        <f>SUMIF(Tabel15[Team Groen],Tabel5[[#This Row],[Team]],Tabel15[Score3])</f>
        <v>0</v>
      </c>
      <c r="BD133" s="136">
        <f>SUMIF(Tabel15[Team Groen],Tabel5[[#This Row],[Team]],Tabel15[Score4])</f>
        <v>0</v>
      </c>
      <c r="BE133" s="293">
        <f>SUM(Tabel5[[#This Row],[Goals Verdediger]]+Tabel5[[#This Row],[Goals DefG]])</f>
        <v>0</v>
      </c>
      <c r="BF133" s="293">
        <f>IF(Tabel5[[#This Row],[Aantal games Alg]]=0,0,Tabel5[[#This Row],[Goals DefA]]/Tabel5[[#This Row],[Aantal games Alg]])</f>
        <v>0</v>
      </c>
      <c r="BG133" s="293">
        <f>SUM(Tabel5[[#This Row],[Goals Aanvaller]]+Tabel5[[#This Row],[Goals OffG]])</f>
        <v>0</v>
      </c>
      <c r="BH133" s="293">
        <f>IF(Tabel5[[#This Row],[Aantal games Alg]]=0,0,Tabel5[[#This Row],[Goals OffA]]/Tabel5[[#This Row],[Aantal games Alg]])</f>
        <v>0</v>
      </c>
      <c r="BI133" s="214">
        <f>Tabel5[[#This Row],[Goals DefA]]+Tabel5[[#This Row],[Goals OffA]]</f>
        <v>0</v>
      </c>
      <c r="BJ133" s="214">
        <f>IF(Tabel5[[#This Row],[Aantal games Alg]]=0,0,Tabel5[[#This Row],[Goals Alg]]/Tabel5[[#This Row],[Aantal games Alg]])</f>
        <v>0</v>
      </c>
      <c r="BK133" s="148">
        <f>SUMIF(Tabel15[Team Rood],Tabel5[[#This Row],[Team]],Tabel15[ET])</f>
        <v>0</v>
      </c>
      <c r="BL133" s="150">
        <f>SUMIF(Tabel15[Team Groen],Tabel5[[#This Row],[Team]],Tabel15[ET])</f>
        <v>0</v>
      </c>
      <c r="BM133" s="153">
        <f>SUM(Tabel5[[#This Row],[ET Groen tot]],Tabel5[[#This Row],[ET Rood tot]])</f>
        <v>0</v>
      </c>
      <c r="BN133" s="155">
        <f>IF(Tabel5[[#This Row],[Aantal games Alg]]=0,0,Tabel5[[#This Row],[ET tot]]/Tabel5[[#This Row],[Aantal games Alg]])</f>
        <v>0</v>
      </c>
    </row>
    <row r="134" spans="1:66" x14ac:dyDescent="0.25">
      <c r="A134" s="125" t="str">
        <f ca="1">IF(Tabel15[[#This Row],[Rood Verdediging]]&lt;&gt;"",IF(A134="",NOW(),A134),"")</f>
        <v/>
      </c>
      <c r="B134" s="128" t="str">
        <f ca="1">IF(Tabel15[[#This Row],[Rood Verdediging]]&lt;&gt;"",IF(B134="",NOW(),B134),"")</f>
        <v/>
      </c>
      <c r="C134" s="126" t="str">
        <f ca="1">IF(Tabel15[[#This Row],[Score]]&lt;&gt;"",IF(C134="",NOW(),C134),"")</f>
        <v/>
      </c>
      <c r="D134" s="182" t="str">
        <f ca="1">IF(OR(Tabel15[[#This Row],[Starttijd]]="",Tabel15[[#This Row],[Eindtijd]]=""),"",Tabel15[[#This Row],[Eindtijd]]-Tabel15[[#This Row],[Starttijd]])</f>
        <v/>
      </c>
      <c r="E134" s="74">
        <v>120</v>
      </c>
      <c r="F134" s="40"/>
      <c r="G134" s="76"/>
      <c r="H134" s="40"/>
      <c r="I134" s="76"/>
      <c r="J134" s="41"/>
      <c r="K134" s="78"/>
      <c r="L134" s="41"/>
      <c r="M134" s="78"/>
      <c r="N134" s="81" t="str">
        <f t="shared" si="17"/>
        <v/>
      </c>
      <c r="O134" s="82" t="str">
        <f t="shared" si="18"/>
        <v/>
      </c>
      <c r="P13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Row],[Score4]]&lt;&gt;""),IF(AND(N134&gt;O134,N134&gt;=11),"ROOD",IF(AND(O134&gt;=11,N134&lt;&gt;O134),"GROEN","")),"")</f>
        <v/>
      </c>
      <c r="Q134" s="86" t="str">
        <f t="shared" si="19"/>
        <v/>
      </c>
      <c r="R134" s="87" t="str">
        <f t="shared" si="20"/>
        <v/>
      </c>
      <c r="S134" s="147" t="str">
        <f>Tabel15[[#This Row],[Rood Verdediging]]&amp;Tabel15[[#This Row],[Rood Aanval]]</f>
        <v/>
      </c>
      <c r="T134" s="147" t="str">
        <f>Tabel15[[#This Row],[Groen Verdediging]]&amp;Tabel15[[#This Row],[Groen Aanval]]</f>
        <v/>
      </c>
      <c r="U134" s="147" t="str">
        <f>Tabel15[[#This Row],[Winnaar 1]]&amp;Tabel15[[#This Row],[Winnaar 2]]</f>
        <v/>
      </c>
      <c r="V134" s="147" t="str">
        <f>IF(Tabel15[[#This Row],[Team Rood]]=Tabel15[[#This Row],[Winnaars]],Tabel15[[#This Row],[Team Rood]])</f>
        <v/>
      </c>
      <c r="W134" s="147" t="str">
        <f>IF(Tabel15[[#This Row],[Team Groen]]=Tabel15[[#This Row],[Winnaars]],Tabel15[[#This Row],[Team Groen]])</f>
        <v/>
      </c>
      <c r="X134" s="283"/>
      <c r="Y134" s="283"/>
      <c r="Z134" s="276"/>
      <c r="AA134" s="283"/>
      <c r="AL134" s="250" t="s">
        <v>160</v>
      </c>
      <c r="AM134" s="232" t="s">
        <v>158</v>
      </c>
      <c r="AN134" s="140" t="str">
        <f t="shared" si="21"/>
        <v>Tiemen*Arno*</v>
      </c>
      <c r="AO134" s="160">
        <f>IF(Tabel5[[#This Row],[Aantal Games Rood]]=0,0,(Tabel5[[#This Row],[Wins Rood]])/Tabel5[[#This Row],[Aantal Games Rood]])</f>
        <v>0</v>
      </c>
      <c r="AP134" s="159">
        <f>IF(Tabel5[[#This Row],[Aantal Games Groen]]=0,0,(Tabel5[[#This Row],[Wins Groen]])/Tabel5[[#This Row],[Aantal Games Groen]])</f>
        <v>0</v>
      </c>
      <c r="AQ134" s="173">
        <f>IF(Tabel5[[#This Row],[Aantal games Alg]]=0,0,(Tabel5[[#This Row],[Wins Alg]])/Tabel5[[#This Row],[Aantal games Alg]])</f>
        <v>0</v>
      </c>
      <c r="AR134" s="138">
        <f>COUNTIF(Tabel15[Winaar rood],Tabel5[[#This Row],[Team]])</f>
        <v>0</v>
      </c>
      <c r="AS134" s="134">
        <f>COUNTIF(Tabel15[Winnaar Groen],Tabel5[[#This Row],[Team]])</f>
        <v>0</v>
      </c>
      <c r="AT134" s="293">
        <f>COUNTIF(Tabel15[Winnaars],Tabel5[[#This Row],[Team]])</f>
        <v>0</v>
      </c>
      <c r="AU134" s="138">
        <f>Tabel5[[#This Row],[Aantal Games Rood]]-Tabel5[[#This Row],[Wins Rood]]</f>
        <v>0</v>
      </c>
      <c r="AV134" s="136">
        <f>Tabel5[[#This Row],[Aantal Games Groen]]-Tabel5[[#This Row],[Wins Groen]]</f>
        <v>0</v>
      </c>
      <c r="AW134" s="214">
        <f>Tabel5[[#This Row],[Aantal games Alg]]-Tabel5[[#This Row],[Wins Alg]]</f>
        <v>0</v>
      </c>
      <c r="AX134" s="138">
        <f>COUNTIF(Tabel15[Team Rood],Tabel5[[#This Row],[Team]])</f>
        <v>0</v>
      </c>
      <c r="AY134" s="136">
        <f>COUNTIF(Tabel15[Team Groen],Tabel5[[#This Row],[Team]])</f>
        <v>0</v>
      </c>
      <c r="AZ134" s="214">
        <f>Tabel5[[#This Row],[Aantal Games Rood]]+Tabel5[[#This Row],[Aantal Games Groen]]</f>
        <v>0</v>
      </c>
      <c r="BA134" s="138">
        <f>SUMIF(Tabel15[Team Rood],Tabel5[[#This Row],[Team]],Tabel15[Score])</f>
        <v>0</v>
      </c>
      <c r="BB134" s="138">
        <f>SUMIF(Tabel15[Team Rood],Tabel5[[#This Row],[Team]],Tabel15[Score2])</f>
        <v>0</v>
      </c>
      <c r="BC134" s="134">
        <f>SUMIF(Tabel15[Team Groen],Tabel5[[#This Row],[Team]],Tabel15[Score3])</f>
        <v>0</v>
      </c>
      <c r="BD134" s="136">
        <f>SUMIF(Tabel15[Team Groen],Tabel5[[#This Row],[Team]],Tabel15[Score4])</f>
        <v>0</v>
      </c>
      <c r="BE134" s="293">
        <f>SUM(Tabel5[[#This Row],[Goals Verdediger]]+Tabel5[[#This Row],[Goals DefG]])</f>
        <v>0</v>
      </c>
      <c r="BF134" s="293">
        <f>IF(Tabel5[[#This Row],[Aantal games Alg]]=0,0,Tabel5[[#This Row],[Goals DefA]]/Tabel5[[#This Row],[Aantal games Alg]])</f>
        <v>0</v>
      </c>
      <c r="BG134" s="293">
        <f>SUM(Tabel5[[#This Row],[Goals Aanvaller]]+Tabel5[[#This Row],[Goals OffG]])</f>
        <v>0</v>
      </c>
      <c r="BH134" s="293">
        <f>IF(Tabel5[[#This Row],[Aantal games Alg]]=0,0,Tabel5[[#This Row],[Goals OffA]]/Tabel5[[#This Row],[Aantal games Alg]])</f>
        <v>0</v>
      </c>
      <c r="BI134" s="214">
        <f>Tabel5[[#This Row],[Goals DefA]]+Tabel5[[#This Row],[Goals OffA]]</f>
        <v>0</v>
      </c>
      <c r="BJ134" s="214">
        <f>IF(Tabel5[[#This Row],[Aantal games Alg]]=0,0,Tabel5[[#This Row],[Goals Alg]]/Tabel5[[#This Row],[Aantal games Alg]])</f>
        <v>0</v>
      </c>
      <c r="BK134" s="174">
        <f>SUMIF(Tabel15[Team Rood],Tabel5[[#This Row],[Team]],Tabel15[ET])</f>
        <v>0</v>
      </c>
      <c r="BL134" s="150">
        <f>SUMIF(Tabel15[Team Groen],Tabel5[[#This Row],[Team]],Tabel15[ET])</f>
        <v>0</v>
      </c>
      <c r="BM134" s="153">
        <f>SUM(Tabel5[[#This Row],[ET Groen tot]],Tabel5[[#This Row],[ET Rood tot]])</f>
        <v>0</v>
      </c>
      <c r="BN134" s="155">
        <f>IF(Tabel5[[#This Row],[Aantal games Alg]]=0,0,Tabel5[[#This Row],[ET tot]]/Tabel5[[#This Row],[Aantal games Alg]])</f>
        <v>0</v>
      </c>
    </row>
    <row r="135" spans="1:66" x14ac:dyDescent="0.25">
      <c r="A135" s="125" t="str">
        <f ca="1">IF(Tabel15[[#This Row],[Rood Verdediging]]&lt;&gt;"",IF(A135="",NOW(),A135),"")</f>
        <v/>
      </c>
      <c r="B135" s="128" t="str">
        <f ca="1">IF(Tabel15[[#This Row],[Rood Verdediging]]&lt;&gt;"",IF(B135="",NOW(),B135),"")</f>
        <v/>
      </c>
      <c r="C135" s="126" t="str">
        <f ca="1">IF(Tabel15[[#This Row],[Score]]&lt;&gt;"",IF(C135="",NOW(),C135),"")</f>
        <v/>
      </c>
      <c r="D135" s="182" t="str">
        <f ca="1">IF(OR(Tabel15[[#This Row],[Starttijd]]="",Tabel15[[#This Row],[Eindtijd]]=""),"",Tabel15[[#This Row],[Eindtijd]]-Tabel15[[#This Row],[Starttijd]])</f>
        <v/>
      </c>
      <c r="E135" s="74">
        <v>120</v>
      </c>
      <c r="F135" s="40"/>
      <c r="G135" s="76"/>
      <c r="H135" s="40"/>
      <c r="I135" s="76"/>
      <c r="J135" s="41"/>
      <c r="K135" s="78"/>
      <c r="L135" s="41"/>
      <c r="M135" s="78"/>
      <c r="N135" s="81" t="str">
        <f t="shared" si="17"/>
        <v/>
      </c>
      <c r="O135" s="82" t="str">
        <f t="shared" si="18"/>
        <v/>
      </c>
      <c r="P13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Row],[Score4]]&lt;&gt;""),IF(AND(N135&gt;O135,N135&gt;=11),"ROOD",IF(AND(O135&gt;=11,N135&lt;&gt;O135),"GROEN","")),"")</f>
        <v/>
      </c>
      <c r="Q135" s="86" t="str">
        <f t="shared" si="19"/>
        <v/>
      </c>
      <c r="R135" s="87" t="str">
        <f t="shared" si="20"/>
        <v/>
      </c>
      <c r="S135" s="147" t="str">
        <f>Tabel15[[#This Row],[Rood Verdediging]]&amp;Tabel15[[#This Row],[Rood Aanval]]</f>
        <v/>
      </c>
      <c r="T135" s="147" t="str">
        <f>Tabel15[[#This Row],[Groen Verdediging]]&amp;Tabel15[[#This Row],[Groen Aanval]]</f>
        <v/>
      </c>
      <c r="U135" s="147" t="str">
        <f>Tabel15[[#This Row],[Winnaar 1]]&amp;Tabel15[[#This Row],[Winnaar 2]]</f>
        <v/>
      </c>
      <c r="V135" s="147" t="str">
        <f>IF(Tabel15[[#This Row],[Team Rood]]=Tabel15[[#This Row],[Winnaars]],Tabel15[[#This Row],[Team Rood]])</f>
        <v/>
      </c>
      <c r="W135" s="147" t="str">
        <f>IF(Tabel15[[#This Row],[Team Groen]]=Tabel15[[#This Row],[Winnaars]],Tabel15[[#This Row],[Team Groen]])</f>
        <v/>
      </c>
      <c r="X135" s="283"/>
      <c r="Y135" s="283"/>
      <c r="Z135" s="283"/>
      <c r="AA135" s="283"/>
      <c r="AL135" s="250" t="s">
        <v>160</v>
      </c>
      <c r="AM135" s="232" t="s">
        <v>163</v>
      </c>
      <c r="AN135" s="140" t="str">
        <f t="shared" si="21"/>
        <v>Tiemen*Bert*</v>
      </c>
      <c r="AO135" s="160">
        <f>IF(Tabel5[[#This Row],[Aantal Games Rood]]=0,0,(Tabel5[[#This Row],[Wins Rood]])/Tabel5[[#This Row],[Aantal Games Rood]])</f>
        <v>0</v>
      </c>
      <c r="AP135" s="159">
        <f>IF(Tabel5[[#This Row],[Aantal Games Groen]]=0,0,(Tabel5[[#This Row],[Wins Groen]])/Tabel5[[#This Row],[Aantal Games Groen]])</f>
        <v>1</v>
      </c>
      <c r="AQ135" s="156">
        <f>IF(Tabel5[[#This Row],[Aantal games Alg]]=0,0,(Tabel5[[#This Row],[Wins Alg]])/Tabel5[[#This Row],[Aantal games Alg]])</f>
        <v>1</v>
      </c>
      <c r="AR135" s="135">
        <f>COUNTIF(Tabel15[Winaar rood],Tabel5[[#This Row],[Team]])</f>
        <v>0</v>
      </c>
      <c r="AS135" s="134">
        <f>COUNTIF(Tabel15[Winnaar Groen],Tabel5[[#This Row],[Team]])</f>
        <v>3</v>
      </c>
      <c r="AT135" s="293">
        <f>COUNTIF(Tabel15[Winnaars],Tabel5[[#This Row],[Team]])</f>
        <v>3</v>
      </c>
      <c r="AU135" s="135">
        <f>Tabel5[[#This Row],[Aantal Games Rood]]-Tabel5[[#This Row],[Wins Rood]]</f>
        <v>0</v>
      </c>
      <c r="AV135" s="136">
        <f>Tabel5[[#This Row],[Aantal Games Groen]]-Tabel5[[#This Row],[Wins Groen]]</f>
        <v>0</v>
      </c>
      <c r="AW135" s="137">
        <f>Tabel5[[#This Row],[Aantal games Alg]]-Tabel5[[#This Row],[Wins Alg]]</f>
        <v>0</v>
      </c>
      <c r="AX135" s="138">
        <f>COUNTIF(Tabel15[Team Rood],Tabel5[[#This Row],[Team]])</f>
        <v>0</v>
      </c>
      <c r="AY135" s="136">
        <f>COUNTIF(Tabel15[Team Groen],Tabel5[[#This Row],[Team]])</f>
        <v>3</v>
      </c>
      <c r="AZ135" s="137">
        <f>Tabel5[[#This Row],[Aantal Games Rood]]+Tabel5[[#This Row],[Aantal Games Groen]]</f>
        <v>3</v>
      </c>
      <c r="BA135" s="138">
        <f>SUMIF(Tabel15[Team Rood],Tabel5[[#This Row],[Team]],Tabel15[Score])</f>
        <v>0</v>
      </c>
      <c r="BB135" s="138">
        <f>SUMIF(Tabel15[Team Rood],Tabel5[[#This Row],[Team]],Tabel15[Score2])</f>
        <v>0</v>
      </c>
      <c r="BC135" s="134">
        <f>SUMIF(Tabel15[Team Groen],Tabel5[[#This Row],[Team]],Tabel15[Score3])</f>
        <v>16</v>
      </c>
      <c r="BD135" s="136">
        <f>SUMIF(Tabel15[Team Groen],Tabel5[[#This Row],[Team]],Tabel15[Score4])</f>
        <v>19</v>
      </c>
      <c r="BE135" s="293">
        <f>SUM(Tabel5[[#This Row],[Goals Verdediger]]+Tabel5[[#This Row],[Goals DefG]])</f>
        <v>16</v>
      </c>
      <c r="BF135" s="293">
        <f>IF(Tabel5[[#This Row],[Aantal games Alg]]=0,0,Tabel5[[#This Row],[Goals DefA]]/Tabel5[[#This Row],[Aantal games Alg]])</f>
        <v>5.333333333333333</v>
      </c>
      <c r="BG135" s="293">
        <f>SUM(Tabel5[[#This Row],[Goals Aanvaller]]+Tabel5[[#This Row],[Goals OffG]])</f>
        <v>19</v>
      </c>
      <c r="BH135" s="293">
        <f>IF(Tabel5[[#This Row],[Aantal games Alg]]=0,0,Tabel5[[#This Row],[Goals OffA]]/Tabel5[[#This Row],[Aantal games Alg]])</f>
        <v>6.333333333333333</v>
      </c>
      <c r="BI135" s="214">
        <f>Tabel5[[#This Row],[Goals DefA]]+Tabel5[[#This Row],[Goals OffA]]</f>
        <v>35</v>
      </c>
      <c r="BJ135" s="214">
        <f>IF(Tabel5[[#This Row],[Aantal games Alg]]=0,0,Tabel5[[#This Row],[Goals Alg]]/Tabel5[[#This Row],[Aantal games Alg]])</f>
        <v>11.666666666666666</v>
      </c>
      <c r="BK135" s="148">
        <f>SUMIF(Tabel15[Team Rood],Tabel5[[#This Row],[Team]],Tabel15[ET])</f>
        <v>0</v>
      </c>
      <c r="BL135" s="150">
        <f ca="1">SUMIF(Tabel15[Team Groen],Tabel5[[#This Row],[Team]],Tabel15[ET])</f>
        <v>1.0382291657151654E-2</v>
      </c>
      <c r="BM135" s="153">
        <f ca="1">SUM(Tabel5[[#This Row],[ET Groen tot]],Tabel5[[#This Row],[ET Rood tot]])</f>
        <v>1.0382291657151654E-2</v>
      </c>
      <c r="BN135" s="155">
        <f ca="1">IF(Tabel5[[#This Row],[Aantal games Alg]]=0,0,Tabel5[[#This Row],[ET tot]]/Tabel5[[#This Row],[Aantal games Alg]])</f>
        <v>3.4607638857172183E-3</v>
      </c>
    </row>
    <row r="136" spans="1:66" x14ac:dyDescent="0.25">
      <c r="A136" s="125" t="str">
        <f ca="1">IF(Tabel15[[#This Row],[Rood Verdediging]]&lt;&gt;"",IF(A136="",NOW(),A136),"")</f>
        <v/>
      </c>
      <c r="B136" s="128" t="str">
        <f ca="1">IF(Tabel15[[#This Row],[Rood Verdediging]]&lt;&gt;"",IF(B136="",NOW(),B136),"")</f>
        <v/>
      </c>
      <c r="C136" s="126" t="str">
        <f ca="1">IF(Tabel15[[#This Row],[Score]]&lt;&gt;"",IF(C136="",NOW(),C136),"")</f>
        <v/>
      </c>
      <c r="D136" s="182" t="str">
        <f ca="1">IF(OR(Tabel15[[#This Row],[Starttijd]]="",Tabel15[[#This Row],[Eindtijd]]=""),"",Tabel15[[#This Row],[Eindtijd]]-Tabel15[[#This Row],[Starttijd]])</f>
        <v/>
      </c>
      <c r="E136" s="74">
        <v>120</v>
      </c>
      <c r="F136" s="40"/>
      <c r="G136" s="76"/>
      <c r="H136" s="40"/>
      <c r="I136" s="76"/>
      <c r="J136" s="41"/>
      <c r="K136" s="78"/>
      <c r="L136" s="41"/>
      <c r="M136" s="78"/>
      <c r="N136" s="81" t="str">
        <f t="shared" si="17"/>
        <v/>
      </c>
      <c r="O136" s="82" t="str">
        <f t="shared" si="18"/>
        <v/>
      </c>
      <c r="P13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Row],[Score4]]&lt;&gt;""),IF(AND(N136&gt;O136,N136&gt;=11),"ROOD",IF(AND(O136&gt;=11,N136&lt;&gt;O136),"GROEN","")),"")</f>
        <v/>
      </c>
      <c r="Q136" s="86" t="str">
        <f t="shared" si="19"/>
        <v/>
      </c>
      <c r="R136" s="87" t="str">
        <f t="shared" si="20"/>
        <v/>
      </c>
      <c r="S136" s="147" t="str">
        <f>Tabel15[[#This Row],[Rood Verdediging]]&amp;Tabel15[[#This Row],[Rood Aanval]]</f>
        <v/>
      </c>
      <c r="T136" s="147" t="str">
        <f>Tabel15[[#This Row],[Groen Verdediging]]&amp;Tabel15[[#This Row],[Groen Aanval]]</f>
        <v/>
      </c>
      <c r="U136" s="147" t="str">
        <f>Tabel15[[#This Row],[Winnaar 1]]&amp;Tabel15[[#This Row],[Winnaar 2]]</f>
        <v/>
      </c>
      <c r="V136" s="147" t="str">
        <f>IF(Tabel15[[#This Row],[Team Rood]]=Tabel15[[#This Row],[Winnaars]],Tabel15[[#This Row],[Team Rood]])</f>
        <v/>
      </c>
      <c r="W136" s="147" t="str">
        <f>IF(Tabel15[[#This Row],[Team Groen]]=Tabel15[[#This Row],[Winnaars]],Tabel15[[#This Row],[Team Groen]])</f>
        <v/>
      </c>
      <c r="X136" s="283"/>
      <c r="Y136" s="283"/>
      <c r="Z136" s="283"/>
      <c r="AA136" s="283"/>
      <c r="AL136" s="250" t="s">
        <v>160</v>
      </c>
      <c r="AM136" s="232" t="s">
        <v>168</v>
      </c>
      <c r="AN136" s="140" t="str">
        <f t="shared" si="21"/>
        <v>Tiemen*Coghe*</v>
      </c>
      <c r="AO136" s="160">
        <f>IF(Tabel5[[#This Row],[Aantal Games Rood]]=0,0,(Tabel5[[#This Row],[Wins Rood]])/Tabel5[[#This Row],[Aantal Games Rood]])</f>
        <v>0</v>
      </c>
      <c r="AP136" s="159">
        <f>IF(Tabel5[[#This Row],[Aantal Games Groen]]=0,0,(Tabel5[[#This Row],[Wins Groen]])/Tabel5[[#This Row],[Aantal Games Groen]])</f>
        <v>0</v>
      </c>
      <c r="AQ136" s="156">
        <f>IF(Tabel5[[#This Row],[Aantal games Alg]]=0,0,(Tabel5[[#This Row],[Wins Alg]])/Tabel5[[#This Row],[Aantal games Alg]])</f>
        <v>0</v>
      </c>
      <c r="AR136" s="135">
        <f>COUNTIF(Tabel15[Winaar rood],Tabel5[[#This Row],[Team]])</f>
        <v>0</v>
      </c>
      <c r="AS136" s="134">
        <f>COUNTIF(Tabel15[Winnaar Groen],Tabel5[[#This Row],[Team]])</f>
        <v>0</v>
      </c>
      <c r="AT136" s="293">
        <f>COUNTIF(Tabel15[Winnaars],Tabel5[[#This Row],[Team]])</f>
        <v>0</v>
      </c>
      <c r="AU136" s="135">
        <f>Tabel5[[#This Row],[Aantal Games Rood]]-Tabel5[[#This Row],[Wins Rood]]</f>
        <v>0</v>
      </c>
      <c r="AV136" s="136">
        <f>Tabel5[[#This Row],[Aantal Games Groen]]-Tabel5[[#This Row],[Wins Groen]]</f>
        <v>1</v>
      </c>
      <c r="AW136" s="137">
        <f>Tabel5[[#This Row],[Aantal games Alg]]-Tabel5[[#This Row],[Wins Alg]]</f>
        <v>1</v>
      </c>
      <c r="AX136" s="138">
        <f>COUNTIF(Tabel15[Team Rood],Tabel5[[#This Row],[Team]])</f>
        <v>0</v>
      </c>
      <c r="AY136" s="136">
        <f>COUNTIF(Tabel15[Team Groen],Tabel5[[#This Row],[Team]])</f>
        <v>1</v>
      </c>
      <c r="AZ136" s="137">
        <f>Tabel5[[#This Row],[Aantal Games Rood]]+Tabel5[[#This Row],[Aantal Games Groen]]</f>
        <v>1</v>
      </c>
      <c r="BA136" s="138">
        <f>SUMIF(Tabel15[Team Rood],Tabel5[[#This Row],[Team]],Tabel15[Score])</f>
        <v>0</v>
      </c>
      <c r="BB136" s="138">
        <f>SUMIF(Tabel15[Team Rood],Tabel5[[#This Row],[Team]],Tabel15[Score2])</f>
        <v>0</v>
      </c>
      <c r="BC136" s="134">
        <f>SUMIF(Tabel15[Team Groen],Tabel5[[#This Row],[Team]],Tabel15[Score3])</f>
        <v>3</v>
      </c>
      <c r="BD136" s="136">
        <f>SUMIF(Tabel15[Team Groen],Tabel5[[#This Row],[Team]],Tabel15[Score4])</f>
        <v>5</v>
      </c>
      <c r="BE136" s="293">
        <f>SUM(Tabel5[[#This Row],[Goals Verdediger]]+Tabel5[[#This Row],[Goals DefG]])</f>
        <v>3</v>
      </c>
      <c r="BF136" s="293">
        <f>IF(Tabel5[[#This Row],[Aantal games Alg]]=0,0,Tabel5[[#This Row],[Goals DefA]]/Tabel5[[#This Row],[Aantal games Alg]])</f>
        <v>3</v>
      </c>
      <c r="BG136" s="293">
        <f>SUM(Tabel5[[#This Row],[Goals Aanvaller]]+Tabel5[[#This Row],[Goals OffG]])</f>
        <v>5</v>
      </c>
      <c r="BH136" s="293">
        <f>IF(Tabel5[[#This Row],[Aantal games Alg]]=0,0,Tabel5[[#This Row],[Goals OffA]]/Tabel5[[#This Row],[Aantal games Alg]])</f>
        <v>5</v>
      </c>
      <c r="BI136" s="214">
        <f>Tabel5[[#This Row],[Goals DefA]]+Tabel5[[#This Row],[Goals OffA]]</f>
        <v>8</v>
      </c>
      <c r="BJ136" s="214">
        <f>IF(Tabel5[[#This Row],[Aantal games Alg]]=0,0,Tabel5[[#This Row],[Goals Alg]]/Tabel5[[#This Row],[Aantal games Alg]])</f>
        <v>8</v>
      </c>
      <c r="BK136" s="148">
        <f>SUMIF(Tabel15[Team Rood],Tabel5[[#This Row],[Team]],Tabel15[ET])</f>
        <v>0</v>
      </c>
      <c r="BL136" s="150">
        <f>SUMIF(Tabel15[Team Groen],Tabel5[[#This Row],[Team]],Tabel15[ET])</f>
        <v>1.7361111531499773E-5</v>
      </c>
      <c r="BM136" s="153">
        <f>SUM(Tabel5[[#This Row],[ET Groen tot]],Tabel5[[#This Row],[ET Rood tot]])</f>
        <v>1.7361111531499773E-5</v>
      </c>
      <c r="BN136" s="155">
        <f>IF(Tabel5[[#This Row],[Aantal games Alg]]=0,0,Tabel5[[#This Row],[ET tot]]/Tabel5[[#This Row],[Aantal games Alg]])</f>
        <v>1.7361111531499773E-5</v>
      </c>
    </row>
    <row r="137" spans="1:66" x14ac:dyDescent="0.25">
      <c r="A137" s="125" t="str">
        <f ca="1">IF(Tabel15[[#This Row],[Rood Verdediging]]&lt;&gt;"",IF(A137="",NOW(),A137),"")</f>
        <v/>
      </c>
      <c r="B137" s="128" t="str">
        <f ca="1">IF(Tabel15[[#This Row],[Rood Verdediging]]&lt;&gt;"",IF(B137="",NOW(),B137),"")</f>
        <v/>
      </c>
      <c r="C137" s="126" t="str">
        <f ca="1">IF(Tabel15[[#This Row],[Score]]&lt;&gt;"",IF(C137="",NOW(),C137),"")</f>
        <v/>
      </c>
      <c r="D137" s="182" t="str">
        <f ca="1">IF(OR(Tabel15[[#This Row],[Starttijd]]="",Tabel15[[#This Row],[Eindtijd]]=""),"",Tabel15[[#This Row],[Eindtijd]]-Tabel15[[#This Row],[Starttijd]])</f>
        <v/>
      </c>
      <c r="E137" s="74">
        <v>120</v>
      </c>
      <c r="F137" s="40"/>
      <c r="G137" s="76"/>
      <c r="H137" s="40"/>
      <c r="I137" s="76"/>
      <c r="J137" s="41"/>
      <c r="K137" s="78"/>
      <c r="L137" s="41"/>
      <c r="M137" s="78"/>
      <c r="N137" s="81" t="str">
        <f t="shared" si="17"/>
        <v/>
      </c>
      <c r="O137" s="82" t="str">
        <f t="shared" si="18"/>
        <v/>
      </c>
      <c r="P13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Row],[Score4]]&lt;&gt;""),IF(AND(N137&gt;O137,N137&gt;=11),"ROOD",IF(AND(O137&gt;=11,N137&lt;&gt;O137),"GROEN","")),"")</f>
        <v/>
      </c>
      <c r="Q137" s="86" t="str">
        <f t="shared" si="19"/>
        <v/>
      </c>
      <c r="R137" s="87" t="str">
        <f t="shared" si="20"/>
        <v/>
      </c>
      <c r="S137" s="147" t="str">
        <f>Tabel15[[#This Row],[Rood Verdediging]]&amp;Tabel15[[#This Row],[Rood Aanval]]</f>
        <v/>
      </c>
      <c r="T137" s="147" t="str">
        <f>Tabel15[[#This Row],[Groen Verdediging]]&amp;Tabel15[[#This Row],[Groen Aanval]]</f>
        <v/>
      </c>
      <c r="U137" s="147" t="str">
        <f>Tabel15[[#This Row],[Winnaar 1]]&amp;Tabel15[[#This Row],[Winnaar 2]]</f>
        <v/>
      </c>
      <c r="V137" s="147" t="str">
        <f>IF(Tabel15[[#This Row],[Team Rood]]=Tabel15[[#This Row],[Winnaars]],Tabel15[[#This Row],[Team Rood]])</f>
        <v/>
      </c>
      <c r="W137" s="147" t="str">
        <f>IF(Tabel15[[#This Row],[Team Groen]]=Tabel15[[#This Row],[Winnaars]],Tabel15[[#This Row],[Team Groen]])</f>
        <v/>
      </c>
      <c r="X137" s="283"/>
      <c r="Y137" s="283"/>
      <c r="Z137" s="283"/>
      <c r="AA137" s="283"/>
      <c r="AL137" s="250" t="s">
        <v>160</v>
      </c>
      <c r="AM137" s="232" t="s">
        <v>159</v>
      </c>
      <c r="AN137" s="140" t="str">
        <f t="shared" si="21"/>
        <v>Tiemen*Jonas*</v>
      </c>
      <c r="AO137" s="160">
        <f>IF(Tabel5[[#This Row],[Aantal Games Rood]]=0,0,(Tabel5[[#This Row],[Wins Rood]])/Tabel5[[#This Row],[Aantal Games Rood]])</f>
        <v>0</v>
      </c>
      <c r="AP137" s="159">
        <f>IF(Tabel5[[#This Row],[Aantal Games Groen]]=0,0,(Tabel5[[#This Row],[Wins Groen]])/Tabel5[[#This Row],[Aantal Games Groen]])</f>
        <v>0.33333333333333331</v>
      </c>
      <c r="AQ137" s="156">
        <f>IF(Tabel5[[#This Row],[Aantal games Alg]]=0,0,(Tabel5[[#This Row],[Wins Alg]])/Tabel5[[#This Row],[Aantal games Alg]])</f>
        <v>0.33333333333333331</v>
      </c>
      <c r="AR137" s="135">
        <f>COUNTIF(Tabel15[Winaar rood],Tabel5[[#This Row],[Team]])</f>
        <v>0</v>
      </c>
      <c r="AS137" s="134">
        <f>COUNTIF(Tabel15[Winnaar Groen],Tabel5[[#This Row],[Team]])</f>
        <v>1</v>
      </c>
      <c r="AT137" s="293">
        <f>COUNTIF(Tabel15[Winnaars],Tabel5[[#This Row],[Team]])</f>
        <v>1</v>
      </c>
      <c r="AU137" s="135">
        <f>Tabel5[[#This Row],[Aantal Games Rood]]-Tabel5[[#This Row],[Wins Rood]]</f>
        <v>0</v>
      </c>
      <c r="AV137" s="136">
        <f>Tabel5[[#This Row],[Aantal Games Groen]]-Tabel5[[#This Row],[Wins Groen]]</f>
        <v>2</v>
      </c>
      <c r="AW137" s="137">
        <f>Tabel5[[#This Row],[Aantal games Alg]]-Tabel5[[#This Row],[Wins Alg]]</f>
        <v>2</v>
      </c>
      <c r="AX137" s="138">
        <f>COUNTIF(Tabel15[Team Rood],Tabel5[[#This Row],[Team]])</f>
        <v>0</v>
      </c>
      <c r="AY137" s="136">
        <f>COUNTIF(Tabel15[Team Groen],Tabel5[[#This Row],[Team]])</f>
        <v>3</v>
      </c>
      <c r="AZ137" s="137">
        <f>Tabel5[[#This Row],[Aantal Games Rood]]+Tabel5[[#This Row],[Aantal Games Groen]]</f>
        <v>3</v>
      </c>
      <c r="BA137" s="138">
        <f>SUMIF(Tabel15[Team Rood],Tabel5[[#This Row],[Team]],Tabel15[Score])</f>
        <v>0</v>
      </c>
      <c r="BB137" s="138">
        <f>SUMIF(Tabel15[Team Rood],Tabel5[[#This Row],[Team]],Tabel15[Score2])</f>
        <v>0</v>
      </c>
      <c r="BC137" s="134">
        <f>SUMIF(Tabel15[Team Groen],Tabel5[[#This Row],[Team]],Tabel15[Score3])</f>
        <v>10</v>
      </c>
      <c r="BD137" s="136">
        <f>SUMIF(Tabel15[Team Groen],Tabel5[[#This Row],[Team]],Tabel15[Score4])</f>
        <v>18</v>
      </c>
      <c r="BE137" s="293">
        <f>SUM(Tabel5[[#This Row],[Goals Verdediger]]+Tabel5[[#This Row],[Goals DefG]])</f>
        <v>10</v>
      </c>
      <c r="BF137" s="293">
        <f>IF(Tabel5[[#This Row],[Aantal games Alg]]=0,0,Tabel5[[#This Row],[Goals DefA]]/Tabel5[[#This Row],[Aantal games Alg]])</f>
        <v>3.3333333333333335</v>
      </c>
      <c r="BG137" s="293">
        <f>SUM(Tabel5[[#This Row],[Goals Aanvaller]]+Tabel5[[#This Row],[Goals OffG]])</f>
        <v>18</v>
      </c>
      <c r="BH137" s="293">
        <f>IF(Tabel5[[#This Row],[Aantal games Alg]]=0,0,Tabel5[[#This Row],[Goals OffA]]/Tabel5[[#This Row],[Aantal games Alg]])</f>
        <v>6</v>
      </c>
      <c r="BI137" s="214">
        <f>Tabel5[[#This Row],[Goals DefA]]+Tabel5[[#This Row],[Goals OffA]]</f>
        <v>28</v>
      </c>
      <c r="BJ137" s="214">
        <f>IF(Tabel5[[#This Row],[Aantal games Alg]]=0,0,Tabel5[[#This Row],[Goals Alg]]/Tabel5[[#This Row],[Aantal games Alg]])</f>
        <v>9.3333333333333339</v>
      </c>
      <c r="BK137" s="148">
        <f>SUMIF(Tabel15[Team Rood],Tabel5[[#This Row],[Team]],Tabel15[ET])</f>
        <v>0</v>
      </c>
      <c r="BL137" s="150">
        <f ca="1">SUMIF(Tabel15[Team Groen],Tabel5[[#This Row],[Team]],Tabel15[ET])</f>
        <v>1.7329513888398651E-2</v>
      </c>
      <c r="BM137" s="153">
        <f ca="1">SUM(Tabel5[[#This Row],[ET Groen tot]],Tabel5[[#This Row],[ET Rood tot]])</f>
        <v>1.7329513888398651E-2</v>
      </c>
      <c r="BN137" s="155">
        <f ca="1">IF(Tabel5[[#This Row],[Aantal games Alg]]=0,0,Tabel5[[#This Row],[ET tot]]/Tabel5[[#This Row],[Aantal games Alg]])</f>
        <v>5.776504629466217E-3</v>
      </c>
    </row>
    <row r="138" spans="1:66" x14ac:dyDescent="0.25">
      <c r="A138" s="125" t="str">
        <f ca="1">IF(Tabel15[[#This Row],[Rood Verdediging]]&lt;&gt;"",IF(A138="",NOW(),A138),"")</f>
        <v/>
      </c>
      <c r="B138" s="128" t="str">
        <f ca="1">IF(Tabel15[[#This Row],[Rood Verdediging]]&lt;&gt;"",IF(B138="",NOW(),B138),"")</f>
        <v/>
      </c>
      <c r="C138" s="126" t="str">
        <f ca="1">IF(Tabel15[[#This Row],[Score]]&lt;&gt;"",IF(C138="",NOW(),C138),"")</f>
        <v/>
      </c>
      <c r="D138" s="182" t="str">
        <f ca="1">IF(OR(Tabel15[[#This Row],[Starttijd]]="",Tabel15[[#This Row],[Eindtijd]]=""),"",Tabel15[[#This Row],[Eindtijd]]-Tabel15[[#This Row],[Starttijd]])</f>
        <v/>
      </c>
      <c r="E138" s="74">
        <v>120</v>
      </c>
      <c r="F138" s="40"/>
      <c r="G138" s="76"/>
      <c r="H138" s="40"/>
      <c r="I138" s="76"/>
      <c r="J138" s="41"/>
      <c r="K138" s="78"/>
      <c r="L138" s="41"/>
      <c r="M138" s="78"/>
      <c r="N138" s="81" t="str">
        <f t="shared" si="17"/>
        <v/>
      </c>
      <c r="O138" s="82" t="str">
        <f t="shared" si="18"/>
        <v/>
      </c>
      <c r="P13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Row],[Score4]]&lt;&gt;""),IF(AND(N138&gt;O138,N138&gt;=11),"ROOD",IF(AND(O138&gt;=11,N138&lt;&gt;O138),"GROEN","")),"")</f>
        <v/>
      </c>
      <c r="Q138" s="86" t="str">
        <f t="shared" si="19"/>
        <v/>
      </c>
      <c r="R138" s="87" t="str">
        <f t="shared" si="20"/>
        <v/>
      </c>
      <c r="S138" s="147" t="str">
        <f>Tabel15[[#This Row],[Rood Verdediging]]&amp;Tabel15[[#This Row],[Rood Aanval]]</f>
        <v/>
      </c>
      <c r="T138" s="147" t="str">
        <f>Tabel15[[#This Row],[Groen Verdediging]]&amp;Tabel15[[#This Row],[Groen Aanval]]</f>
        <v/>
      </c>
      <c r="U138" s="147" t="str">
        <f>Tabel15[[#This Row],[Winnaar 1]]&amp;Tabel15[[#This Row],[Winnaar 2]]</f>
        <v/>
      </c>
      <c r="V138" s="147" t="str">
        <f>IF(Tabel15[[#This Row],[Team Rood]]=Tabel15[[#This Row],[Winnaars]],Tabel15[[#This Row],[Team Rood]])</f>
        <v/>
      </c>
      <c r="W138" s="147" t="str">
        <f>IF(Tabel15[[#This Row],[Team Groen]]=Tabel15[[#This Row],[Winnaars]],Tabel15[[#This Row],[Team Groen]])</f>
        <v/>
      </c>
      <c r="X138" s="283"/>
      <c r="Y138" s="283"/>
      <c r="Z138" s="283"/>
      <c r="AA138" s="283"/>
      <c r="AL138" s="250" t="s">
        <v>160</v>
      </c>
      <c r="AM138" s="232" t="s">
        <v>164</v>
      </c>
      <c r="AN138" s="140" t="str">
        <f t="shared" si="21"/>
        <v>Tiemen*Karel*</v>
      </c>
      <c r="AO138" s="160">
        <f>IF(Tabel5[[#This Row],[Aantal Games Rood]]=0,0,(Tabel5[[#This Row],[Wins Rood]])/Tabel5[[#This Row],[Aantal Games Rood]])</f>
        <v>0</v>
      </c>
      <c r="AP138" s="159">
        <f>IF(Tabel5[[#This Row],[Aantal Games Groen]]=0,0,(Tabel5[[#This Row],[Wins Groen]])/Tabel5[[#This Row],[Aantal Games Groen]])</f>
        <v>0</v>
      </c>
      <c r="AQ138" s="156">
        <f>IF(Tabel5[[#This Row],[Aantal games Alg]]=0,0,(Tabel5[[#This Row],[Wins Alg]])/Tabel5[[#This Row],[Aantal games Alg]])</f>
        <v>0</v>
      </c>
      <c r="AR138" s="135">
        <f>COUNTIF(Tabel15[Winaar rood],Tabel5[[#This Row],[Team]])</f>
        <v>0</v>
      </c>
      <c r="AS138" s="134">
        <f>COUNTIF(Tabel15[Winnaar Groen],Tabel5[[#This Row],[Team]])</f>
        <v>0</v>
      </c>
      <c r="AT138">
        <f>COUNTIF(Tabel15[Winnaars],Tabel5[[#This Row],[Team]])</f>
        <v>0</v>
      </c>
      <c r="AU138" s="135">
        <f>Tabel5[[#This Row],[Aantal Games Rood]]-Tabel5[[#This Row],[Wins Rood]]</f>
        <v>2</v>
      </c>
      <c r="AV138" s="136">
        <f>Tabel5[[#This Row],[Aantal Games Groen]]-Tabel5[[#This Row],[Wins Groen]]</f>
        <v>1</v>
      </c>
      <c r="AW138" s="137">
        <f>Tabel5[[#This Row],[Aantal games Alg]]-Tabel5[[#This Row],[Wins Alg]]</f>
        <v>3</v>
      </c>
      <c r="AX138" s="138">
        <f>COUNTIF(Tabel15[Team Rood],Tabel5[[#This Row],[Team]])</f>
        <v>2</v>
      </c>
      <c r="AY138" s="136">
        <f>COUNTIF(Tabel15[Team Groen],Tabel5[[#This Row],[Team]])</f>
        <v>1</v>
      </c>
      <c r="AZ138" s="137">
        <f>Tabel5[[#This Row],[Aantal Games Rood]]+Tabel5[[#This Row],[Aantal Games Groen]]</f>
        <v>3</v>
      </c>
      <c r="BA138" s="138">
        <f>SUMIF(Tabel15[Team Rood],Tabel5[[#This Row],[Team]],Tabel15[Score])</f>
        <v>6</v>
      </c>
      <c r="BB138" s="138">
        <f>SUMIF(Tabel15[Team Rood],Tabel5[[#This Row],[Team]],Tabel15[Score2])</f>
        <v>10</v>
      </c>
      <c r="BC138" s="134">
        <f>SUMIF(Tabel15[Team Groen],Tabel5[[#This Row],[Team]],Tabel15[Score3])</f>
        <v>3</v>
      </c>
      <c r="BD138" s="136">
        <f>SUMIF(Tabel15[Team Groen],Tabel5[[#This Row],[Team]],Tabel15[Score4])</f>
        <v>5</v>
      </c>
      <c r="BE138">
        <f>SUM(Tabel5[[#This Row],[Goals Verdediger]]+Tabel5[[#This Row],[Goals DefG]])</f>
        <v>9</v>
      </c>
      <c r="BF138">
        <f>IF(Tabel5[[#This Row],[Aantal games Alg]]=0,0,Tabel5[[#This Row],[Goals DefA]]/Tabel5[[#This Row],[Aantal games Alg]])</f>
        <v>3</v>
      </c>
      <c r="BG138">
        <f>SUM(Tabel5[[#This Row],[Goals Aanvaller]]+Tabel5[[#This Row],[Goals OffG]])</f>
        <v>15</v>
      </c>
      <c r="BH138">
        <f>IF(Tabel5[[#This Row],[Aantal games Alg]]=0,0,Tabel5[[#This Row],[Goals OffA]]/Tabel5[[#This Row],[Aantal games Alg]])</f>
        <v>5</v>
      </c>
      <c r="BI138" s="112">
        <f>Tabel5[[#This Row],[Goals DefA]]+Tabel5[[#This Row],[Goals OffA]]</f>
        <v>24</v>
      </c>
      <c r="BJ138" s="112">
        <f>IF(Tabel5[[#This Row],[Aantal games Alg]]=0,0,Tabel5[[#This Row],[Goals Alg]]/Tabel5[[#This Row],[Aantal games Alg]])</f>
        <v>8</v>
      </c>
      <c r="BK138" s="148">
        <f ca="1">SUMIF(Tabel15[Team Rood],Tabel5[[#This Row],[Team]],Tabel15[ET])</f>
        <v>6.1226848629303277E-5</v>
      </c>
      <c r="BL138" s="150">
        <f>SUMIF(Tabel15[Team Groen],Tabel5[[#This Row],[Team]],Tabel15[ET])</f>
        <v>0</v>
      </c>
      <c r="BM138" s="153">
        <f ca="1">SUM(Tabel5[[#This Row],[ET Groen tot]],Tabel5[[#This Row],[ET Rood tot]])</f>
        <v>6.1226848629303277E-5</v>
      </c>
      <c r="BN138" s="155">
        <f ca="1">IF(Tabel5[[#This Row],[Aantal games Alg]]=0,0,Tabel5[[#This Row],[ET tot]]/Tabel5[[#This Row],[Aantal games Alg]])</f>
        <v>2.0408949543101091E-5</v>
      </c>
    </row>
    <row r="139" spans="1:66" x14ac:dyDescent="0.25">
      <c r="A139" s="125" t="str">
        <f ca="1">IF(Tabel15[[#This Row],[Rood Verdediging]]&lt;&gt;"",IF(A139="",NOW(),A139),"")</f>
        <v/>
      </c>
      <c r="B139" s="128" t="str">
        <f ca="1">IF(Tabel15[[#This Row],[Rood Verdediging]]&lt;&gt;"",IF(B139="",NOW(),B139),"")</f>
        <v/>
      </c>
      <c r="C139" s="126" t="str">
        <f ca="1">IF(Tabel15[[#This Row],[Score]]&lt;&gt;"",IF(C139="",NOW(),C139),"")</f>
        <v/>
      </c>
      <c r="D139" s="182" t="str">
        <f ca="1">IF(OR(Tabel15[[#This Row],[Starttijd]]="",Tabel15[[#This Row],[Eindtijd]]=""),"",Tabel15[[#This Row],[Eindtijd]]-Tabel15[[#This Row],[Starttijd]])</f>
        <v/>
      </c>
      <c r="E139" s="74">
        <v>120</v>
      </c>
      <c r="F139" s="40"/>
      <c r="G139" s="76"/>
      <c r="H139" s="40"/>
      <c r="I139" s="76"/>
      <c r="J139" s="41"/>
      <c r="K139" s="78"/>
      <c r="L139" s="41"/>
      <c r="M139" s="78"/>
      <c r="N139" s="81" t="str">
        <f t="shared" si="17"/>
        <v/>
      </c>
      <c r="O139" s="82" t="str">
        <f t="shared" si="18"/>
        <v/>
      </c>
      <c r="P13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Row],[Score4]]&lt;&gt;""),IF(AND(N139&gt;O139,N139&gt;=11),"ROOD",IF(AND(O139&gt;=11,N139&lt;&gt;O139),"GROEN","")),"")</f>
        <v/>
      </c>
      <c r="Q139" s="86" t="str">
        <f t="shared" si="19"/>
        <v/>
      </c>
      <c r="R139" s="87" t="str">
        <f t="shared" si="20"/>
        <v/>
      </c>
      <c r="S139" s="147" t="str">
        <f>Tabel15[[#This Row],[Rood Verdediging]]&amp;Tabel15[[#This Row],[Rood Aanval]]</f>
        <v/>
      </c>
      <c r="T139" s="147" t="str">
        <f>Tabel15[[#This Row],[Groen Verdediging]]&amp;Tabel15[[#This Row],[Groen Aanval]]</f>
        <v/>
      </c>
      <c r="U139" s="147" t="str">
        <f>Tabel15[[#This Row],[Winnaar 1]]&amp;Tabel15[[#This Row],[Winnaar 2]]</f>
        <v/>
      </c>
      <c r="V139" s="147" t="str">
        <f>IF(Tabel15[[#This Row],[Team Rood]]=Tabel15[[#This Row],[Winnaars]],Tabel15[[#This Row],[Team Rood]])</f>
        <v/>
      </c>
      <c r="W139" s="147" t="str">
        <f>IF(Tabel15[[#This Row],[Team Groen]]=Tabel15[[#This Row],[Winnaars]],Tabel15[[#This Row],[Team Groen]])</f>
        <v/>
      </c>
      <c r="X139" s="283"/>
      <c r="Y139" s="283"/>
      <c r="Z139" s="283"/>
      <c r="AA139" s="283"/>
      <c r="AL139" s="250" t="s">
        <v>160</v>
      </c>
      <c r="AM139" s="232" t="s">
        <v>67</v>
      </c>
      <c r="AN139" s="140" t="str">
        <f t="shared" si="21"/>
        <v>Tiemen*Lawrence</v>
      </c>
      <c r="AO139" s="160">
        <f>IF(Tabel5[[#This Row],[Aantal Games Rood]]=0,0,(Tabel5[[#This Row],[Wins Rood]])/Tabel5[[#This Row],[Aantal Games Rood]])</f>
        <v>0</v>
      </c>
      <c r="AP139" s="159">
        <f>IF(Tabel5[[#This Row],[Aantal Games Groen]]=0,0,(Tabel5[[#This Row],[Wins Groen]])/Tabel5[[#This Row],[Aantal Games Groen]])</f>
        <v>0</v>
      </c>
      <c r="AQ139" s="156">
        <f>IF(Tabel5[[#This Row],[Aantal games Alg]]=0,0,(Tabel5[[#This Row],[Wins Alg]])/Tabel5[[#This Row],[Aantal games Alg]])</f>
        <v>0</v>
      </c>
      <c r="AR139" s="135">
        <f>COUNTIF(Tabel15[Winaar rood],Tabel5[[#This Row],[Team]])</f>
        <v>0</v>
      </c>
      <c r="AS139" s="134">
        <f>COUNTIF(Tabel15[Winnaar Groen],Tabel5[[#This Row],[Team]])</f>
        <v>0</v>
      </c>
      <c r="AT139">
        <f>COUNTIF(Tabel15[Winnaars],Tabel5[[#This Row],[Team]])</f>
        <v>0</v>
      </c>
      <c r="AU139" s="135">
        <f>Tabel5[[#This Row],[Aantal Games Rood]]-Tabel5[[#This Row],[Wins Rood]]</f>
        <v>0</v>
      </c>
      <c r="AV139" s="136">
        <f>Tabel5[[#This Row],[Aantal Games Groen]]-Tabel5[[#This Row],[Wins Groen]]</f>
        <v>0</v>
      </c>
      <c r="AW139" s="137">
        <f>Tabel5[[#This Row],[Aantal games Alg]]-Tabel5[[#This Row],[Wins Alg]]</f>
        <v>0</v>
      </c>
      <c r="AX139" s="138">
        <f>COUNTIF(Tabel15[Team Rood],Tabel5[[#This Row],[Team]])</f>
        <v>0</v>
      </c>
      <c r="AY139" s="136">
        <f>COUNTIF(Tabel15[Team Groen],Tabel5[[#This Row],[Team]])</f>
        <v>0</v>
      </c>
      <c r="AZ139" s="137">
        <f>Tabel5[[#This Row],[Aantal Games Rood]]+Tabel5[[#This Row],[Aantal Games Groen]]</f>
        <v>0</v>
      </c>
      <c r="BA139" s="138">
        <f>SUMIF(Tabel15[Team Rood],Tabel5[[#This Row],[Team]],Tabel15[Score])</f>
        <v>0</v>
      </c>
      <c r="BB139" s="138">
        <f>SUMIF(Tabel15[Team Rood],Tabel5[[#This Row],[Team]],Tabel15[Score2])</f>
        <v>0</v>
      </c>
      <c r="BC139" s="134">
        <f>SUMIF(Tabel15[Team Groen],Tabel5[[#This Row],[Team]],Tabel15[Score3])</f>
        <v>0</v>
      </c>
      <c r="BD139" s="136">
        <f>SUMIF(Tabel15[Team Groen],Tabel5[[#This Row],[Team]],Tabel15[Score4])</f>
        <v>0</v>
      </c>
      <c r="BE139">
        <f>SUM(Tabel5[[#This Row],[Goals Verdediger]]+Tabel5[[#This Row],[Goals DefG]])</f>
        <v>0</v>
      </c>
      <c r="BF139">
        <f>IF(Tabel5[[#This Row],[Aantal games Alg]]=0,0,Tabel5[[#This Row],[Goals DefA]]/Tabel5[[#This Row],[Aantal games Alg]])</f>
        <v>0</v>
      </c>
      <c r="BG139">
        <f>SUM(Tabel5[[#This Row],[Goals Aanvaller]]+Tabel5[[#This Row],[Goals OffG]])</f>
        <v>0</v>
      </c>
      <c r="BH139">
        <f>IF(Tabel5[[#This Row],[Aantal games Alg]]=0,0,Tabel5[[#This Row],[Goals OffA]]/Tabel5[[#This Row],[Aantal games Alg]])</f>
        <v>0</v>
      </c>
      <c r="BI139" s="112">
        <f>Tabel5[[#This Row],[Goals DefA]]+Tabel5[[#This Row],[Goals OffA]]</f>
        <v>0</v>
      </c>
      <c r="BJ139" s="112">
        <f>IF(Tabel5[[#This Row],[Aantal games Alg]]=0,0,Tabel5[[#This Row],[Goals Alg]]/Tabel5[[#This Row],[Aantal games Alg]])</f>
        <v>0</v>
      </c>
      <c r="BK139" s="148">
        <f>SUMIF(Tabel15[Team Rood],Tabel5[[#This Row],[Team]],Tabel15[ET])</f>
        <v>0</v>
      </c>
      <c r="BL139" s="150">
        <f>SUMIF(Tabel15[Team Groen],Tabel5[[#This Row],[Team]],Tabel15[ET])</f>
        <v>0</v>
      </c>
      <c r="BM139" s="153">
        <f>SUM(Tabel5[[#This Row],[ET Groen tot]],Tabel5[[#This Row],[ET Rood tot]])</f>
        <v>0</v>
      </c>
      <c r="BN139" s="155">
        <f>IF(Tabel5[[#This Row],[Aantal games Alg]]=0,0,Tabel5[[#This Row],[ET tot]]/Tabel5[[#This Row],[Aantal games Alg]])</f>
        <v>0</v>
      </c>
    </row>
    <row r="140" spans="1:66" x14ac:dyDescent="0.25">
      <c r="A140" s="125" t="str">
        <f ca="1">IF(Tabel15[[#This Row],[Rood Verdediging]]&lt;&gt;"",IF(A140="",NOW(),A140),"")</f>
        <v/>
      </c>
      <c r="B140" s="128" t="str">
        <f ca="1">IF(Tabel15[[#This Row],[Rood Verdediging]]&lt;&gt;"",IF(B140="",NOW(),B140),"")</f>
        <v/>
      </c>
      <c r="C140" s="126" t="str">
        <f ca="1">IF(Tabel15[[#This Row],[Score]]&lt;&gt;"",IF(C140="",NOW(),C140),"")</f>
        <v/>
      </c>
      <c r="D140" s="182" t="str">
        <f ca="1">IF(OR(Tabel15[[#This Row],[Starttijd]]="",Tabel15[[#This Row],[Eindtijd]]=""),"",Tabel15[[#This Row],[Eindtijd]]-Tabel15[[#This Row],[Starttijd]])</f>
        <v/>
      </c>
      <c r="E140" s="74">
        <v>120</v>
      </c>
      <c r="F140" s="40"/>
      <c r="G140" s="76"/>
      <c r="H140" s="40"/>
      <c r="I140" s="76"/>
      <c r="J140" s="41"/>
      <c r="K140" s="78"/>
      <c r="L140" s="41"/>
      <c r="M140" s="78"/>
      <c r="N140" s="81" t="str">
        <f t="shared" si="17"/>
        <v/>
      </c>
      <c r="O140" s="82" t="str">
        <f t="shared" si="18"/>
        <v/>
      </c>
      <c r="P14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Row],[Score4]]&lt;&gt;""),IF(AND(N140&gt;O140,N140&gt;=11),"ROOD",IF(AND(O140&gt;=11,N140&lt;&gt;O140),"GROEN","")),"")</f>
        <v/>
      </c>
      <c r="Q140" s="86" t="str">
        <f t="shared" si="19"/>
        <v/>
      </c>
      <c r="R140" s="87" t="str">
        <f t="shared" si="20"/>
        <v/>
      </c>
      <c r="S140" s="147" t="str">
        <f>Tabel15[[#This Row],[Rood Verdediging]]&amp;Tabel15[[#This Row],[Rood Aanval]]</f>
        <v/>
      </c>
      <c r="T140" s="147" t="str">
        <f>Tabel15[[#This Row],[Groen Verdediging]]&amp;Tabel15[[#This Row],[Groen Aanval]]</f>
        <v/>
      </c>
      <c r="U140" s="147" t="str">
        <f>Tabel15[[#This Row],[Winnaar 1]]&amp;Tabel15[[#This Row],[Winnaar 2]]</f>
        <v/>
      </c>
      <c r="V140" s="147" t="str">
        <f>IF(Tabel15[[#This Row],[Team Rood]]=Tabel15[[#This Row],[Winnaars]],Tabel15[[#This Row],[Team Rood]])</f>
        <v/>
      </c>
      <c r="W140" s="147" t="str">
        <f>IF(Tabel15[[#This Row],[Team Groen]]=Tabel15[[#This Row],[Winnaars]],Tabel15[[#This Row],[Team Groen]])</f>
        <v/>
      </c>
      <c r="X140" s="283"/>
      <c r="Y140" s="283"/>
      <c r="Z140" s="283"/>
      <c r="AA140" s="283"/>
      <c r="AL140" s="250" t="s">
        <v>160</v>
      </c>
      <c r="AM140" s="232" t="s">
        <v>161</v>
      </c>
      <c r="AN140" s="140" t="str">
        <f t="shared" si="21"/>
        <v>Tiemen*Louis*</v>
      </c>
      <c r="AO140" s="160">
        <f>IF(Tabel5[[#This Row],[Aantal Games Rood]]=0,0,(Tabel5[[#This Row],[Wins Rood]])/Tabel5[[#This Row],[Aantal Games Rood]])</f>
        <v>0</v>
      </c>
      <c r="AP140" s="159">
        <f>IF(Tabel5[[#This Row],[Aantal Games Groen]]=0,0,(Tabel5[[#This Row],[Wins Groen]])/Tabel5[[#This Row],[Aantal Games Groen]])</f>
        <v>0</v>
      </c>
      <c r="AQ140" s="156">
        <f>IF(Tabel5[[#This Row],[Aantal games Alg]]=0,0,(Tabel5[[#This Row],[Wins Alg]])/Tabel5[[#This Row],[Aantal games Alg]])</f>
        <v>0</v>
      </c>
      <c r="AR140" s="135">
        <f>COUNTIF(Tabel15[Winaar rood],Tabel5[[#This Row],[Team]])</f>
        <v>0</v>
      </c>
      <c r="AS140" s="134">
        <f>COUNTIF(Tabel15[Winnaar Groen],Tabel5[[#This Row],[Team]])</f>
        <v>0</v>
      </c>
      <c r="AT140">
        <f>COUNTIF(Tabel15[Winnaars],Tabel5[[#This Row],[Team]])</f>
        <v>0</v>
      </c>
      <c r="AU140" s="135">
        <f>Tabel5[[#This Row],[Aantal Games Rood]]-Tabel5[[#This Row],[Wins Rood]]</f>
        <v>0</v>
      </c>
      <c r="AV140" s="136">
        <f>Tabel5[[#This Row],[Aantal Games Groen]]-Tabel5[[#This Row],[Wins Groen]]</f>
        <v>0</v>
      </c>
      <c r="AW140" s="137">
        <f>Tabel5[[#This Row],[Aantal games Alg]]-Tabel5[[#This Row],[Wins Alg]]</f>
        <v>0</v>
      </c>
      <c r="AX140" s="138">
        <f>COUNTIF(Tabel15[Team Rood],Tabel5[[#This Row],[Team]])</f>
        <v>0</v>
      </c>
      <c r="AY140" s="136">
        <f>COUNTIF(Tabel15[Team Groen],Tabel5[[#This Row],[Team]])</f>
        <v>0</v>
      </c>
      <c r="AZ140" s="137">
        <f>Tabel5[[#This Row],[Aantal Games Rood]]+Tabel5[[#This Row],[Aantal Games Groen]]</f>
        <v>0</v>
      </c>
      <c r="BA140" s="138">
        <f>SUMIF(Tabel15[Team Rood],Tabel5[[#This Row],[Team]],Tabel15[Score])</f>
        <v>0</v>
      </c>
      <c r="BB140" s="138">
        <f>SUMIF(Tabel15[Team Rood],Tabel5[[#This Row],[Team]],Tabel15[Score2])</f>
        <v>0</v>
      </c>
      <c r="BC140" s="134">
        <f>SUMIF(Tabel15[Team Groen],Tabel5[[#This Row],[Team]],Tabel15[Score3])</f>
        <v>0</v>
      </c>
      <c r="BD140" s="136">
        <f>SUMIF(Tabel15[Team Groen],Tabel5[[#This Row],[Team]],Tabel15[Score4])</f>
        <v>0</v>
      </c>
      <c r="BE140">
        <f>SUM(Tabel5[[#This Row],[Goals Verdediger]]+Tabel5[[#This Row],[Goals DefG]])</f>
        <v>0</v>
      </c>
      <c r="BF140">
        <f>IF(Tabel5[[#This Row],[Aantal games Alg]]=0,0,Tabel5[[#This Row],[Goals DefA]]/Tabel5[[#This Row],[Aantal games Alg]])</f>
        <v>0</v>
      </c>
      <c r="BG140">
        <f>SUM(Tabel5[[#This Row],[Goals Aanvaller]]+Tabel5[[#This Row],[Goals OffG]])</f>
        <v>0</v>
      </c>
      <c r="BH140">
        <f>IF(Tabel5[[#This Row],[Aantal games Alg]]=0,0,Tabel5[[#This Row],[Goals OffA]]/Tabel5[[#This Row],[Aantal games Alg]])</f>
        <v>0</v>
      </c>
      <c r="BI140" s="112">
        <f>Tabel5[[#This Row],[Goals DefA]]+Tabel5[[#This Row],[Goals OffA]]</f>
        <v>0</v>
      </c>
      <c r="BJ140" s="112">
        <f>IF(Tabel5[[#This Row],[Aantal games Alg]]=0,0,Tabel5[[#This Row],[Goals Alg]]/Tabel5[[#This Row],[Aantal games Alg]])</f>
        <v>0</v>
      </c>
      <c r="BK140" s="148">
        <f>SUMIF(Tabel15[Team Rood],Tabel5[[#This Row],[Team]],Tabel15[ET])</f>
        <v>0</v>
      </c>
      <c r="BL140" s="150">
        <f>SUMIF(Tabel15[Team Groen],Tabel5[[#This Row],[Team]],Tabel15[ET])</f>
        <v>0</v>
      </c>
      <c r="BM140" s="153">
        <f>SUM(Tabel5[[#This Row],[ET Groen tot]],Tabel5[[#This Row],[ET Rood tot]])</f>
        <v>0</v>
      </c>
      <c r="BN140" s="155">
        <f>IF(Tabel5[[#This Row],[Aantal games Alg]]=0,0,Tabel5[[#This Row],[ET tot]]/Tabel5[[#This Row],[Aantal games Alg]])</f>
        <v>0</v>
      </c>
    </row>
    <row r="141" spans="1:66" x14ac:dyDescent="0.25">
      <c r="A141" s="125" t="str">
        <f ca="1">IF(Tabel15[[#This Row],[Rood Verdediging]]&lt;&gt;"",IF(A141="",NOW(),A141),"")</f>
        <v/>
      </c>
      <c r="B141" s="128" t="str">
        <f ca="1">IF(Tabel15[[#This Row],[Rood Verdediging]]&lt;&gt;"",IF(B141="",NOW(),B141),"")</f>
        <v/>
      </c>
      <c r="C141" s="126" t="str">
        <f ca="1">IF(Tabel15[[#This Row],[Score]]&lt;&gt;"",IF(C141="",NOW(),C141),"")</f>
        <v/>
      </c>
      <c r="D141" s="182" t="str">
        <f ca="1">IF(OR(Tabel15[[#This Row],[Starttijd]]="",Tabel15[[#This Row],[Eindtijd]]=""),"",Tabel15[[#This Row],[Eindtijd]]-Tabel15[[#This Row],[Starttijd]])</f>
        <v/>
      </c>
      <c r="E141" s="74">
        <v>120</v>
      </c>
      <c r="F141" s="40"/>
      <c r="G141" s="76"/>
      <c r="H141" s="40"/>
      <c r="I141" s="76"/>
      <c r="J141" s="41"/>
      <c r="K141" s="78"/>
      <c r="L141" s="41"/>
      <c r="M141" s="78"/>
      <c r="N141" s="81" t="str">
        <f t="shared" si="17"/>
        <v/>
      </c>
      <c r="O141" s="82" t="str">
        <f t="shared" si="18"/>
        <v/>
      </c>
      <c r="P14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Row],[Score4]]&lt;&gt;""),IF(AND(N141&gt;O141,N141&gt;=11),"ROOD",IF(AND(O141&gt;=11,N141&lt;&gt;O141),"GROEN","")),"")</f>
        <v/>
      </c>
      <c r="Q141" s="86" t="str">
        <f t="shared" si="19"/>
        <v/>
      </c>
      <c r="R141" s="87" t="str">
        <f t="shared" si="20"/>
        <v/>
      </c>
      <c r="S141" s="147" t="str">
        <f>Tabel15[[#This Row],[Rood Verdediging]]&amp;Tabel15[[#This Row],[Rood Aanval]]</f>
        <v/>
      </c>
      <c r="T141" s="147" t="str">
        <f>Tabel15[[#This Row],[Groen Verdediging]]&amp;Tabel15[[#This Row],[Groen Aanval]]</f>
        <v/>
      </c>
      <c r="U141" s="147" t="str">
        <f>Tabel15[[#This Row],[Winnaar 1]]&amp;Tabel15[[#This Row],[Winnaar 2]]</f>
        <v/>
      </c>
      <c r="V141" s="147" t="str">
        <f>IF(Tabel15[[#This Row],[Team Rood]]=Tabel15[[#This Row],[Winnaars]],Tabel15[[#This Row],[Team Rood]])</f>
        <v/>
      </c>
      <c r="W141" s="147" t="str">
        <f>IF(Tabel15[[#This Row],[Team Groen]]=Tabel15[[#This Row],[Winnaars]],Tabel15[[#This Row],[Team Groen]])</f>
        <v/>
      </c>
      <c r="X141" s="283"/>
      <c r="Y141" s="283"/>
      <c r="Z141" s="283"/>
      <c r="AA141" s="283"/>
      <c r="AL141" s="250" t="s">
        <v>160</v>
      </c>
      <c r="AM141" s="232" t="s">
        <v>162</v>
      </c>
      <c r="AN141" s="140" t="str">
        <f t="shared" si="21"/>
        <v>Tiemen*Matthijs*</v>
      </c>
      <c r="AO141" s="160">
        <f>IF(Tabel5[[#This Row],[Aantal Games Rood]]=0,0,(Tabel5[[#This Row],[Wins Rood]])/Tabel5[[#This Row],[Aantal Games Rood]])</f>
        <v>0</v>
      </c>
      <c r="AP141" s="159">
        <f>IF(Tabel5[[#This Row],[Aantal Games Groen]]=0,0,(Tabel5[[#This Row],[Wins Groen]])/Tabel5[[#This Row],[Aantal Games Groen]])</f>
        <v>0</v>
      </c>
      <c r="AQ141" s="156">
        <f>IF(Tabel5[[#This Row],[Aantal games Alg]]=0,0,(Tabel5[[#This Row],[Wins Alg]])/Tabel5[[#This Row],[Aantal games Alg]])</f>
        <v>0</v>
      </c>
      <c r="AR141" s="135">
        <f>COUNTIF(Tabel15[Winaar rood],Tabel5[[#This Row],[Team]])</f>
        <v>0</v>
      </c>
      <c r="AS141" s="134">
        <f>COUNTIF(Tabel15[Winnaar Groen],Tabel5[[#This Row],[Team]])</f>
        <v>0</v>
      </c>
      <c r="AT141">
        <f>COUNTIF(Tabel15[Winnaars],Tabel5[[#This Row],[Team]])</f>
        <v>0</v>
      </c>
      <c r="AU141" s="135">
        <f>Tabel5[[#This Row],[Aantal Games Rood]]-Tabel5[[#This Row],[Wins Rood]]</f>
        <v>0</v>
      </c>
      <c r="AV141" s="136">
        <f>Tabel5[[#This Row],[Aantal Games Groen]]-Tabel5[[#This Row],[Wins Groen]]</f>
        <v>0</v>
      </c>
      <c r="AW141" s="137">
        <f>Tabel5[[#This Row],[Aantal games Alg]]-Tabel5[[#This Row],[Wins Alg]]</f>
        <v>0</v>
      </c>
      <c r="AX141" s="138">
        <f>COUNTIF(Tabel15[Team Rood],Tabel5[[#This Row],[Team]])</f>
        <v>0</v>
      </c>
      <c r="AY141" s="136">
        <f>COUNTIF(Tabel15[Team Groen],Tabel5[[#This Row],[Team]])</f>
        <v>0</v>
      </c>
      <c r="AZ141" s="137">
        <f>Tabel5[[#This Row],[Aantal Games Rood]]+Tabel5[[#This Row],[Aantal Games Groen]]</f>
        <v>0</v>
      </c>
      <c r="BA141" s="138">
        <f>SUMIF(Tabel15[Team Rood],Tabel5[[#This Row],[Team]],Tabel15[Score])</f>
        <v>0</v>
      </c>
      <c r="BB141" s="138">
        <f>SUMIF(Tabel15[Team Rood],Tabel5[[#This Row],[Team]],Tabel15[Score2])</f>
        <v>0</v>
      </c>
      <c r="BC141" s="134">
        <f>SUMIF(Tabel15[Team Groen],Tabel5[[#This Row],[Team]],Tabel15[Score3])</f>
        <v>0</v>
      </c>
      <c r="BD141" s="136">
        <f>SUMIF(Tabel15[Team Groen],Tabel5[[#This Row],[Team]],Tabel15[Score4])</f>
        <v>0</v>
      </c>
      <c r="BE141">
        <f>SUM(Tabel5[[#This Row],[Goals Verdediger]]+Tabel5[[#This Row],[Goals DefG]])</f>
        <v>0</v>
      </c>
      <c r="BF141">
        <f>IF(Tabel5[[#This Row],[Aantal games Alg]]=0,0,Tabel5[[#This Row],[Goals DefA]]/Tabel5[[#This Row],[Aantal games Alg]])</f>
        <v>0</v>
      </c>
      <c r="BG141">
        <f>SUM(Tabel5[[#This Row],[Goals Aanvaller]]+Tabel5[[#This Row],[Goals OffG]])</f>
        <v>0</v>
      </c>
      <c r="BH141">
        <f>IF(Tabel5[[#This Row],[Aantal games Alg]]=0,0,Tabel5[[#This Row],[Goals OffA]]/Tabel5[[#This Row],[Aantal games Alg]])</f>
        <v>0</v>
      </c>
      <c r="BI141" s="112">
        <f>Tabel5[[#This Row],[Goals DefA]]+Tabel5[[#This Row],[Goals OffA]]</f>
        <v>0</v>
      </c>
      <c r="BJ141" s="112">
        <f>IF(Tabel5[[#This Row],[Aantal games Alg]]=0,0,Tabel5[[#This Row],[Goals Alg]]/Tabel5[[#This Row],[Aantal games Alg]])</f>
        <v>0</v>
      </c>
      <c r="BK141" s="148">
        <f>SUMIF(Tabel15[Team Rood],Tabel5[[#This Row],[Team]],Tabel15[ET])</f>
        <v>0</v>
      </c>
      <c r="BL141" s="150">
        <f>SUMIF(Tabel15[Team Groen],Tabel5[[#This Row],[Team]],Tabel15[ET])</f>
        <v>0</v>
      </c>
      <c r="BM141" s="153">
        <f>SUM(Tabel5[[#This Row],[ET Groen tot]],Tabel5[[#This Row],[ET Rood tot]])</f>
        <v>0</v>
      </c>
      <c r="BN141" s="155">
        <f>IF(Tabel5[[#This Row],[Aantal games Alg]]=0,0,Tabel5[[#This Row],[ET tot]]/Tabel5[[#This Row],[Aantal games Alg]])</f>
        <v>0</v>
      </c>
    </row>
    <row r="142" spans="1:66" x14ac:dyDescent="0.25">
      <c r="A142" s="125" t="str">
        <f ca="1">IF(Tabel15[[#This Row],[Rood Verdediging]]&lt;&gt;"",IF(A142="",NOW(),A142),"")</f>
        <v/>
      </c>
      <c r="B142" s="128" t="str">
        <f ca="1">IF(Tabel15[[#This Row],[Rood Verdediging]]&lt;&gt;"",IF(B142="",NOW(),B142),"")</f>
        <v/>
      </c>
      <c r="C142" s="126" t="str">
        <f ca="1">IF(Tabel15[[#This Row],[Score]]&lt;&gt;"",IF(C142="",NOW(),C142),"")</f>
        <v/>
      </c>
      <c r="D142" s="182" t="str">
        <f ca="1">IF(OR(Tabel15[[#This Row],[Starttijd]]="",Tabel15[[#This Row],[Eindtijd]]=""),"",Tabel15[[#This Row],[Eindtijd]]-Tabel15[[#This Row],[Starttijd]])</f>
        <v/>
      </c>
      <c r="E142" s="74">
        <v>120</v>
      </c>
      <c r="F142" s="40"/>
      <c r="G142" s="76"/>
      <c r="H142" s="40"/>
      <c r="I142" s="76"/>
      <c r="J142" s="41"/>
      <c r="K142" s="78"/>
      <c r="L142" s="41"/>
      <c r="M142" s="78"/>
      <c r="N142" s="81" t="str">
        <f t="shared" si="17"/>
        <v/>
      </c>
      <c r="O142" s="82" t="str">
        <f t="shared" si="18"/>
        <v/>
      </c>
      <c r="P14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Row],[Score4]]&lt;&gt;""),IF(AND(N142&gt;O142,N142&gt;=11),"ROOD",IF(AND(O142&gt;=11,N142&lt;&gt;O142),"GROEN","")),"")</f>
        <v/>
      </c>
      <c r="Q142" s="86" t="str">
        <f t="shared" si="19"/>
        <v/>
      </c>
      <c r="R142" s="87" t="str">
        <f t="shared" si="20"/>
        <v/>
      </c>
      <c r="S142" s="147" t="str">
        <f>Tabel15[[#This Row],[Rood Verdediging]]&amp;Tabel15[[#This Row],[Rood Aanval]]</f>
        <v/>
      </c>
      <c r="T142" s="147" t="str">
        <f>Tabel15[[#This Row],[Groen Verdediging]]&amp;Tabel15[[#This Row],[Groen Aanval]]</f>
        <v/>
      </c>
      <c r="U142" s="147" t="str">
        <f>Tabel15[[#This Row],[Winnaar 1]]&amp;Tabel15[[#This Row],[Winnaar 2]]</f>
        <v/>
      </c>
      <c r="V142" s="147" t="str">
        <f>IF(Tabel15[[#This Row],[Team Rood]]=Tabel15[[#This Row],[Winnaars]],Tabel15[[#This Row],[Team Rood]])</f>
        <v/>
      </c>
      <c r="W142" s="147" t="str">
        <f>IF(Tabel15[[#This Row],[Team Groen]]=Tabel15[[#This Row],[Winnaars]],Tabel15[[#This Row],[Team Groen]])</f>
        <v/>
      </c>
      <c r="X142" s="283"/>
      <c r="Y142" s="283"/>
      <c r="Z142" s="283"/>
      <c r="AA142" s="283"/>
      <c r="AL142" s="250" t="s">
        <v>160</v>
      </c>
      <c r="AM142" s="232" t="s">
        <v>170</v>
      </c>
      <c r="AN142" s="140" t="str">
        <f t="shared" si="21"/>
        <v>Tiemen*Nico*</v>
      </c>
      <c r="AO142" s="160">
        <f>IF(Tabel5[[#This Row],[Aantal Games Rood]]=0,0,(Tabel5[[#This Row],[Wins Rood]])/Tabel5[[#This Row],[Aantal Games Rood]])</f>
        <v>0</v>
      </c>
      <c r="AP142" s="159">
        <f>IF(Tabel5[[#This Row],[Aantal Games Groen]]=0,0,(Tabel5[[#This Row],[Wins Groen]])/Tabel5[[#This Row],[Aantal Games Groen]])</f>
        <v>0</v>
      </c>
      <c r="AQ142" s="156">
        <f>IF(Tabel5[[#This Row],[Aantal games Alg]]=0,0,(Tabel5[[#This Row],[Wins Alg]])/Tabel5[[#This Row],[Aantal games Alg]])</f>
        <v>0</v>
      </c>
      <c r="AR142" s="163">
        <f>COUNTIF(Tabel15[Winaar rood],Tabel5[[#This Row],[Team]])</f>
        <v>0</v>
      </c>
      <c r="AS142" s="169">
        <f>COUNTIF(Tabel15[Winnaar Groen],Tabel5[[#This Row],[Team]])</f>
        <v>0</v>
      </c>
      <c r="AT142" s="170">
        <f>COUNTIF(Tabel15[Winnaars],Tabel5[[#This Row],[Team]])</f>
        <v>0</v>
      </c>
      <c r="AU142" s="163">
        <f>Tabel5[[#This Row],[Aantal Games Rood]]-Tabel5[[#This Row],[Wins Rood]]</f>
        <v>0</v>
      </c>
      <c r="AV142" s="169">
        <f>Tabel5[[#This Row],[Aantal Games Groen]]-Tabel5[[#This Row],[Wins Groen]]</f>
        <v>0</v>
      </c>
      <c r="AW142" s="165">
        <f>Tabel5[[#This Row],[Aantal games Alg]]-Tabel5[[#This Row],[Wins Alg]]</f>
        <v>0</v>
      </c>
      <c r="AX142" s="171">
        <f>COUNTIF(Tabel15[Team Rood],Tabel5[[#This Row],[Team]])</f>
        <v>0</v>
      </c>
      <c r="AY142" s="169">
        <f>COUNTIF(Tabel15[Team Groen],Tabel5[[#This Row],[Team]])</f>
        <v>0</v>
      </c>
      <c r="AZ142" s="165">
        <f>Tabel5[[#This Row],[Aantal Games Rood]]+Tabel5[[#This Row],[Aantal Games Groen]]</f>
        <v>0</v>
      </c>
      <c r="BA142" s="171">
        <f>SUMIF(Tabel15[Team Rood],Tabel5[[#This Row],[Team]],Tabel15[Score])</f>
        <v>0</v>
      </c>
      <c r="BB142" s="171">
        <f>SUMIF(Tabel15[Team Rood],Tabel5[[#This Row],[Team]],Tabel15[Score2])</f>
        <v>0</v>
      </c>
      <c r="BC142" s="136">
        <f>SUMIF(Tabel15[Team Groen],Tabel5[[#This Row],[Team]],Tabel15[Score3])</f>
        <v>0</v>
      </c>
      <c r="BD142" s="169">
        <f>SUMIF(Tabel15[Team Groen],Tabel5[[#This Row],[Team]],Tabel15[Score4])</f>
        <v>0</v>
      </c>
      <c r="BE142" s="172">
        <f>SUM(Tabel5[[#This Row],[Goals Verdediger]]+Tabel5[[#This Row],[Goals DefG]])</f>
        <v>0</v>
      </c>
      <c r="BF142" s="170">
        <f>IF(Tabel5[[#This Row],[Aantal games Alg]]=0,0,Tabel5[[#This Row],[Goals DefA]]/Tabel5[[#This Row],[Aantal games Alg]])</f>
        <v>0</v>
      </c>
      <c r="BG142" s="172">
        <f>SUM(Tabel5[[#This Row],[Goals Aanvaller]]+Tabel5[[#This Row],[Goals OffG]])</f>
        <v>0</v>
      </c>
      <c r="BH142" s="170">
        <f>IF(Tabel5[[#This Row],[Aantal games Alg]]=0,0,Tabel5[[#This Row],[Goals OffA]]/Tabel5[[#This Row],[Aantal games Alg]])</f>
        <v>0</v>
      </c>
      <c r="BI142" s="170">
        <f>Tabel5[[#This Row],[Goals DefA]]+Tabel5[[#This Row],[Goals OffA]]</f>
        <v>0</v>
      </c>
      <c r="BJ142" s="170">
        <f>IF(Tabel5[[#This Row],[Aantal games Alg]]=0,0,Tabel5[[#This Row],[Goals Alg]]/Tabel5[[#This Row],[Aantal games Alg]])</f>
        <v>0</v>
      </c>
      <c r="BK142" s="148">
        <f>SUMIF(Tabel15[Team Rood],Tabel5[[#This Row],[Team]],Tabel15[ET])</f>
        <v>0</v>
      </c>
      <c r="BL142" s="150">
        <f>SUMIF(Tabel15[Team Groen],Tabel5[[#This Row],[Team]],Tabel15[ET])</f>
        <v>0</v>
      </c>
      <c r="BM142" s="153">
        <f>SUM(Tabel5[[#This Row],[ET Groen tot]],Tabel5[[#This Row],[ET Rood tot]])</f>
        <v>0</v>
      </c>
      <c r="BN142" s="155">
        <f>IF(Tabel5[[#This Row],[Aantal games Alg]]=0,0,Tabel5[[#This Row],[ET tot]]/Tabel5[[#This Row],[Aantal games Alg]])</f>
        <v>0</v>
      </c>
    </row>
    <row r="143" spans="1:66" x14ac:dyDescent="0.25">
      <c r="A143" s="125" t="str">
        <f ca="1">IF(Tabel15[[#This Row],[Rood Verdediging]]&lt;&gt;"",IF(A143="",NOW(),A143),"")</f>
        <v/>
      </c>
      <c r="B143" s="128" t="str">
        <f ca="1">IF(Tabel15[[#This Row],[Rood Verdediging]]&lt;&gt;"",IF(B143="",NOW(),B143),"")</f>
        <v/>
      </c>
      <c r="C143" s="126" t="str">
        <f ca="1">IF(Tabel15[[#This Row],[Score]]&lt;&gt;"",IF(C143="",NOW(),C143),"")</f>
        <v/>
      </c>
      <c r="D143" s="182" t="str">
        <f ca="1">IF(OR(Tabel15[[#This Row],[Starttijd]]="",Tabel15[[#This Row],[Eindtijd]]=""),"",Tabel15[[#This Row],[Eindtijd]]-Tabel15[[#This Row],[Starttijd]])</f>
        <v/>
      </c>
      <c r="E143" s="74">
        <v>120</v>
      </c>
      <c r="F143" s="40"/>
      <c r="G143" s="76"/>
      <c r="H143" s="40"/>
      <c r="I143" s="76"/>
      <c r="J143" s="41"/>
      <c r="K143" s="78"/>
      <c r="L143" s="41"/>
      <c r="M143" s="78"/>
      <c r="N143" s="81" t="str">
        <f t="shared" si="17"/>
        <v/>
      </c>
      <c r="O143" s="82" t="str">
        <f t="shared" si="18"/>
        <v/>
      </c>
      <c r="P14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Row],[Score4]]&lt;&gt;""),IF(AND(N143&gt;O143,N143&gt;=11),"ROOD",IF(AND(O143&gt;=11,N143&lt;&gt;O143),"GROEN","")),"")</f>
        <v/>
      </c>
      <c r="Q143" s="86" t="str">
        <f t="shared" si="19"/>
        <v/>
      </c>
      <c r="R143" s="87" t="str">
        <f t="shared" si="20"/>
        <v/>
      </c>
      <c r="S143" s="147" t="str">
        <f>Tabel15[[#This Row],[Rood Verdediging]]&amp;Tabel15[[#This Row],[Rood Aanval]]</f>
        <v/>
      </c>
      <c r="T143" s="147" t="str">
        <f>Tabel15[[#This Row],[Groen Verdediging]]&amp;Tabel15[[#This Row],[Groen Aanval]]</f>
        <v/>
      </c>
      <c r="U143" s="147" t="str">
        <f>Tabel15[[#This Row],[Winnaar 1]]&amp;Tabel15[[#This Row],[Winnaar 2]]</f>
        <v/>
      </c>
      <c r="V143" s="147" t="str">
        <f>IF(Tabel15[[#This Row],[Team Rood]]=Tabel15[[#This Row],[Winnaars]],Tabel15[[#This Row],[Team Rood]])</f>
        <v/>
      </c>
      <c r="W143" s="147" t="str">
        <f>IF(Tabel15[[#This Row],[Team Groen]]=Tabel15[[#This Row],[Winnaars]],Tabel15[[#This Row],[Team Groen]])</f>
        <v/>
      </c>
      <c r="X143" s="283"/>
      <c r="Y143" s="283"/>
      <c r="Z143" s="283"/>
      <c r="AA143" s="283"/>
      <c r="AL143" s="250" t="s">
        <v>160</v>
      </c>
      <c r="AM143" s="232" t="s">
        <v>169</v>
      </c>
      <c r="AN143" s="140" t="str">
        <f t="shared" si="21"/>
        <v>Tiemen*Stef*</v>
      </c>
      <c r="AO143" s="160">
        <f>IF(Tabel5[[#This Row],[Aantal Games Rood]]=0,0,(Tabel5[[#This Row],[Wins Rood]])/Tabel5[[#This Row],[Aantal Games Rood]])</f>
        <v>1</v>
      </c>
      <c r="AP143" s="159">
        <f>IF(Tabel5[[#This Row],[Aantal Games Groen]]=0,0,(Tabel5[[#This Row],[Wins Groen]])/Tabel5[[#This Row],[Aantal Games Groen]])</f>
        <v>1</v>
      </c>
      <c r="AQ143" s="156">
        <f>IF(Tabel5[[#This Row],[Aantal games Alg]]=0,0,(Tabel5[[#This Row],[Wins Alg]])/Tabel5[[#This Row],[Aantal games Alg]])</f>
        <v>1</v>
      </c>
      <c r="AR143" s="135">
        <f>COUNTIF(Tabel15[Winaar rood],Tabel5[[#This Row],[Team]])</f>
        <v>1</v>
      </c>
      <c r="AS143" s="134">
        <f>COUNTIF(Tabel15[Winnaar Groen],Tabel5[[#This Row],[Team]])</f>
        <v>2</v>
      </c>
      <c r="AT143">
        <f>COUNTIF(Tabel15[Winnaars],Tabel5[[#This Row],[Team]])</f>
        <v>3</v>
      </c>
      <c r="AU143" s="135">
        <f>Tabel5[[#This Row],[Aantal Games Rood]]-Tabel5[[#This Row],[Wins Rood]]</f>
        <v>0</v>
      </c>
      <c r="AV143" s="136">
        <f>Tabel5[[#This Row],[Aantal Games Groen]]-Tabel5[[#This Row],[Wins Groen]]</f>
        <v>0</v>
      </c>
      <c r="AW143" s="137">
        <f>Tabel5[[#This Row],[Aantal games Alg]]-Tabel5[[#This Row],[Wins Alg]]</f>
        <v>0</v>
      </c>
      <c r="AX143" s="138">
        <f>COUNTIF(Tabel15[Team Rood],Tabel5[[#This Row],[Team]])</f>
        <v>1</v>
      </c>
      <c r="AY143" s="136">
        <f>COUNTIF(Tabel15[Team Groen],Tabel5[[#This Row],[Team]])</f>
        <v>2</v>
      </c>
      <c r="AZ143" s="137">
        <f>Tabel5[[#This Row],[Aantal Games Rood]]+Tabel5[[#This Row],[Aantal Games Groen]]</f>
        <v>3</v>
      </c>
      <c r="BA143" s="138">
        <f>SUMIF(Tabel15[Team Rood],Tabel5[[#This Row],[Team]],Tabel15[Score])</f>
        <v>2</v>
      </c>
      <c r="BB143" s="138">
        <f>SUMIF(Tabel15[Team Rood],Tabel5[[#This Row],[Team]],Tabel15[Score2])</f>
        <v>9</v>
      </c>
      <c r="BC143" s="134">
        <f>SUMIF(Tabel15[Team Groen],Tabel5[[#This Row],[Team]],Tabel15[Score3])</f>
        <v>7</v>
      </c>
      <c r="BD143" s="136">
        <f>SUMIF(Tabel15[Team Groen],Tabel5[[#This Row],[Team]],Tabel15[Score4])</f>
        <v>15</v>
      </c>
      <c r="BE143">
        <f>SUM(Tabel5[[#This Row],[Goals Verdediger]]+Tabel5[[#This Row],[Goals DefG]])</f>
        <v>9</v>
      </c>
      <c r="BF143">
        <f>IF(Tabel5[[#This Row],[Aantal games Alg]]=0,0,Tabel5[[#This Row],[Goals DefA]]/Tabel5[[#This Row],[Aantal games Alg]])</f>
        <v>3</v>
      </c>
      <c r="BG143">
        <f>SUM(Tabel5[[#This Row],[Goals Aanvaller]]+Tabel5[[#This Row],[Goals OffG]])</f>
        <v>24</v>
      </c>
      <c r="BH143">
        <f>IF(Tabel5[[#This Row],[Aantal games Alg]]=0,0,Tabel5[[#This Row],[Goals OffA]]/Tabel5[[#This Row],[Aantal games Alg]])</f>
        <v>8</v>
      </c>
      <c r="BI143" s="112">
        <f>Tabel5[[#This Row],[Goals DefA]]+Tabel5[[#This Row],[Goals OffA]]</f>
        <v>33</v>
      </c>
      <c r="BJ143" s="112">
        <f>IF(Tabel5[[#This Row],[Aantal games Alg]]=0,0,Tabel5[[#This Row],[Goals Alg]]/Tabel5[[#This Row],[Aantal games Alg]])</f>
        <v>11</v>
      </c>
      <c r="BK143" s="148">
        <f ca="1">SUMIF(Tabel15[Team Rood],Tabel5[[#This Row],[Team]],Tabel15[ET])</f>
        <v>1.1342592188157141E-5</v>
      </c>
      <c r="BL143" s="150">
        <f ca="1">SUMIF(Tabel15[Team Groen],Tabel5[[#This Row],[Team]],Tabel15[ET])</f>
        <v>6.0969907426624559E-3</v>
      </c>
      <c r="BM143" s="153">
        <f ca="1">SUM(Tabel5[[#This Row],[ET Groen tot]],Tabel5[[#This Row],[ET Rood tot]])</f>
        <v>6.108333334850613E-3</v>
      </c>
      <c r="BN143" s="155">
        <f ca="1">IF(Tabel5[[#This Row],[Aantal games Alg]]=0,0,Tabel5[[#This Row],[ET tot]]/Tabel5[[#This Row],[Aantal games Alg]])</f>
        <v>2.0361111116168709E-3</v>
      </c>
    </row>
    <row r="144" spans="1:66" x14ac:dyDescent="0.25">
      <c r="A144" s="125" t="str">
        <f ca="1">IF(Tabel15[[#This Row],[Rood Verdediging]]&lt;&gt;"",IF(A144="",NOW(),A144),"")</f>
        <v/>
      </c>
      <c r="B144" s="128" t="str">
        <f ca="1">IF(Tabel15[[#This Row],[Rood Verdediging]]&lt;&gt;"",IF(B144="",NOW(),B144),"")</f>
        <v/>
      </c>
      <c r="C144" s="126" t="str">
        <f ca="1">IF(Tabel15[[#This Row],[Score]]&lt;&gt;"",IF(C144="",NOW(),C144),"")</f>
        <v/>
      </c>
      <c r="D144" s="182" t="str">
        <f ca="1">IF(OR(Tabel15[[#This Row],[Starttijd]]="",Tabel15[[#This Row],[Eindtijd]]=""),"",Tabel15[[#This Row],[Eindtijd]]-Tabel15[[#This Row],[Starttijd]])</f>
        <v/>
      </c>
      <c r="E144" s="74">
        <v>120</v>
      </c>
      <c r="F144" s="40"/>
      <c r="G144" s="76"/>
      <c r="H144" s="40"/>
      <c r="I144" s="76"/>
      <c r="J144" s="41"/>
      <c r="K144" s="78"/>
      <c r="L144" s="41"/>
      <c r="M144" s="78"/>
      <c r="N144" s="81" t="str">
        <f t="shared" si="17"/>
        <v/>
      </c>
      <c r="O144" s="82" t="str">
        <f t="shared" si="18"/>
        <v/>
      </c>
      <c r="P14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Row],[Score4]]&lt;&gt;""),IF(AND(N144&gt;O144,N144&gt;=11),"ROOD",IF(AND(O144&gt;=11,N144&lt;&gt;O144),"GROEN","")),"")</f>
        <v/>
      </c>
      <c r="Q144" s="86" t="str">
        <f t="shared" si="19"/>
        <v/>
      </c>
      <c r="R144" s="87" t="str">
        <f t="shared" si="20"/>
        <v/>
      </c>
      <c r="S144" s="147" t="str">
        <f>Tabel15[[#This Row],[Rood Verdediging]]&amp;Tabel15[[#This Row],[Rood Aanval]]</f>
        <v/>
      </c>
      <c r="T144" s="147" t="str">
        <f>Tabel15[[#This Row],[Groen Verdediging]]&amp;Tabel15[[#This Row],[Groen Aanval]]</f>
        <v/>
      </c>
      <c r="U144" s="147" t="str">
        <f>Tabel15[[#This Row],[Winnaar 1]]&amp;Tabel15[[#This Row],[Winnaar 2]]</f>
        <v/>
      </c>
      <c r="V144" s="147" t="str">
        <f>IF(Tabel15[[#This Row],[Team Rood]]=Tabel15[[#This Row],[Winnaars]],Tabel15[[#This Row],[Team Rood]])</f>
        <v/>
      </c>
      <c r="W144" s="147" t="str">
        <f>IF(Tabel15[[#This Row],[Team Groen]]=Tabel15[[#This Row],[Winnaars]],Tabel15[[#This Row],[Team Groen]])</f>
        <v/>
      </c>
      <c r="X144" s="283"/>
      <c r="Y144" s="283"/>
      <c r="Z144" s="283"/>
      <c r="AA144" s="283"/>
      <c r="AL144" s="250" t="s">
        <v>160</v>
      </c>
      <c r="AM144" s="249" t="s">
        <v>166</v>
      </c>
      <c r="AN144" s="140" t="str">
        <f t="shared" si="21"/>
        <v>Tiemen*Stijn*</v>
      </c>
      <c r="AO144" s="160">
        <f>IF(Tabel5[[#This Row],[Aantal Games Rood]]=0,0,(Tabel5[[#This Row],[Wins Rood]])/Tabel5[[#This Row],[Aantal Games Rood]])</f>
        <v>0</v>
      </c>
      <c r="AP144" s="159">
        <f>IF(Tabel5[[#This Row],[Aantal Games Groen]]=0,0,(Tabel5[[#This Row],[Wins Groen]])/Tabel5[[#This Row],[Aantal Games Groen]])</f>
        <v>0</v>
      </c>
      <c r="AQ144" s="156">
        <f>IF(Tabel5[[#This Row],[Aantal games Alg]]=0,0,(Tabel5[[#This Row],[Wins Alg]])/Tabel5[[#This Row],[Aantal games Alg]])</f>
        <v>0</v>
      </c>
      <c r="AR144" s="135">
        <f>COUNTIF(Tabel15[Winaar rood],Tabel5[[#This Row],[Team]])</f>
        <v>0</v>
      </c>
      <c r="AS144" s="134">
        <f>COUNTIF(Tabel15[Winnaar Groen],Tabel5[[#This Row],[Team]])</f>
        <v>0</v>
      </c>
      <c r="AT144">
        <f>COUNTIF(Tabel15[Winnaars],Tabel5[[#This Row],[Team]])</f>
        <v>0</v>
      </c>
      <c r="AU144" s="135">
        <f>Tabel5[[#This Row],[Aantal Games Rood]]-Tabel5[[#This Row],[Wins Rood]]</f>
        <v>0</v>
      </c>
      <c r="AV144" s="136">
        <f>Tabel5[[#This Row],[Aantal Games Groen]]-Tabel5[[#This Row],[Wins Groen]]</f>
        <v>0</v>
      </c>
      <c r="AW144" s="137">
        <f>Tabel5[[#This Row],[Aantal games Alg]]-Tabel5[[#This Row],[Wins Alg]]</f>
        <v>0</v>
      </c>
      <c r="AX144" s="138">
        <f>COUNTIF(Tabel15[Team Rood],Tabel5[[#This Row],[Team]])</f>
        <v>0</v>
      </c>
      <c r="AY144" s="136">
        <f>COUNTIF(Tabel15[Team Groen],Tabel5[[#This Row],[Team]])</f>
        <v>0</v>
      </c>
      <c r="AZ144" s="137">
        <f>Tabel5[[#This Row],[Aantal Games Rood]]+Tabel5[[#This Row],[Aantal Games Groen]]</f>
        <v>0</v>
      </c>
      <c r="BA144" s="138">
        <f>SUMIF(Tabel15[Team Rood],Tabel5[[#This Row],[Team]],Tabel15[Score])</f>
        <v>0</v>
      </c>
      <c r="BB144" s="138">
        <f>SUMIF(Tabel15[Team Rood],Tabel5[[#This Row],[Team]],Tabel15[Score2])</f>
        <v>0</v>
      </c>
      <c r="BC144" s="134">
        <f>SUMIF(Tabel15[Team Groen],Tabel5[[#This Row],[Team]],Tabel15[Score3])</f>
        <v>0</v>
      </c>
      <c r="BD144" s="136">
        <f>SUMIF(Tabel15[Team Groen],Tabel5[[#This Row],[Team]],Tabel15[Score4])</f>
        <v>0</v>
      </c>
      <c r="BE144">
        <f>SUM(Tabel5[[#This Row],[Goals Verdediger]]+Tabel5[[#This Row],[Goals DefG]])</f>
        <v>0</v>
      </c>
      <c r="BF144">
        <f>IF(Tabel5[[#This Row],[Aantal games Alg]]=0,0,Tabel5[[#This Row],[Goals DefA]]/Tabel5[[#This Row],[Aantal games Alg]])</f>
        <v>0</v>
      </c>
      <c r="BG144">
        <f>SUM(Tabel5[[#This Row],[Goals Aanvaller]]+Tabel5[[#This Row],[Goals OffG]])</f>
        <v>0</v>
      </c>
      <c r="BH144">
        <f>IF(Tabel5[[#This Row],[Aantal games Alg]]=0,0,Tabel5[[#This Row],[Goals OffA]]/Tabel5[[#This Row],[Aantal games Alg]])</f>
        <v>0</v>
      </c>
      <c r="BI144" s="112">
        <f>Tabel5[[#This Row],[Goals DefA]]+Tabel5[[#This Row],[Goals OffA]]</f>
        <v>0</v>
      </c>
      <c r="BJ144" s="112">
        <f>IF(Tabel5[[#This Row],[Aantal games Alg]]=0,0,Tabel5[[#This Row],[Goals Alg]]/Tabel5[[#This Row],[Aantal games Alg]])</f>
        <v>0</v>
      </c>
      <c r="BK144" s="148">
        <f>SUMIF(Tabel15[Team Rood],Tabel5[[#This Row],[Team]],Tabel15[ET])</f>
        <v>0</v>
      </c>
      <c r="BL144" s="150">
        <f>SUMIF(Tabel15[Team Groen],Tabel5[[#This Row],[Team]],Tabel15[ET])</f>
        <v>0</v>
      </c>
      <c r="BM144" s="153">
        <f>SUM(Tabel5[[#This Row],[ET Groen tot]],Tabel5[[#This Row],[ET Rood tot]])</f>
        <v>0</v>
      </c>
      <c r="BN144" s="155">
        <f>IF(Tabel5[[#This Row],[Aantal games Alg]]=0,0,Tabel5[[#This Row],[ET tot]]/Tabel5[[#This Row],[Aantal games Alg]])</f>
        <v>0</v>
      </c>
    </row>
    <row r="145" spans="1:66" x14ac:dyDescent="0.25">
      <c r="A145" s="125" t="str">
        <f ca="1">IF(Tabel15[[#This Row],[Rood Verdediging]]&lt;&gt;"",IF(A145="",NOW(),A145),"")</f>
        <v/>
      </c>
      <c r="B145" s="128" t="str">
        <f ca="1">IF(Tabel15[[#This Row],[Rood Verdediging]]&lt;&gt;"",IF(B145="",NOW(),B145),"")</f>
        <v/>
      </c>
      <c r="C145" s="126" t="str">
        <f ca="1">IF(Tabel15[[#This Row],[Score]]&lt;&gt;"",IF(C145="",NOW(),C145),"")</f>
        <v/>
      </c>
      <c r="D145" s="182" t="str">
        <f ca="1">IF(OR(Tabel15[[#This Row],[Starttijd]]="",Tabel15[[#This Row],[Eindtijd]]=""),"",Tabel15[[#This Row],[Eindtijd]]-Tabel15[[#This Row],[Starttijd]])</f>
        <v/>
      </c>
      <c r="E145" s="74">
        <v>120</v>
      </c>
      <c r="F145" s="40"/>
      <c r="G145" s="76"/>
      <c r="H145" s="40"/>
      <c r="I145" s="76"/>
      <c r="J145" s="41"/>
      <c r="K145" s="78"/>
      <c r="L145" s="41"/>
      <c r="M145" s="78"/>
      <c r="N145" s="81" t="str">
        <f t="shared" si="17"/>
        <v/>
      </c>
      <c r="O145" s="82" t="str">
        <f t="shared" si="18"/>
        <v/>
      </c>
      <c r="P14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Row],[Score4]]&lt;&gt;""),IF(AND(N145&gt;O145,N145&gt;=11),"ROOD",IF(AND(O145&gt;=11,N145&lt;&gt;O145),"GROEN","")),"")</f>
        <v/>
      </c>
      <c r="Q145" s="86" t="str">
        <f t="shared" si="19"/>
        <v/>
      </c>
      <c r="R145" s="87" t="str">
        <f t="shared" si="20"/>
        <v/>
      </c>
      <c r="S145" s="147" t="str">
        <f>Tabel15[[#This Row],[Rood Verdediging]]&amp;Tabel15[[#This Row],[Rood Aanval]]</f>
        <v/>
      </c>
      <c r="T145" s="147" t="str">
        <f>Tabel15[[#This Row],[Groen Verdediging]]&amp;Tabel15[[#This Row],[Groen Aanval]]</f>
        <v/>
      </c>
      <c r="U145" s="147" t="str">
        <f>Tabel15[[#This Row],[Winnaar 1]]&amp;Tabel15[[#This Row],[Winnaar 2]]</f>
        <v/>
      </c>
      <c r="V145" s="147" t="str">
        <f>IF(Tabel15[[#This Row],[Team Rood]]=Tabel15[[#This Row],[Winnaars]],Tabel15[[#This Row],[Team Rood]])</f>
        <v/>
      </c>
      <c r="W145" s="147" t="str">
        <f>IF(Tabel15[[#This Row],[Team Groen]]=Tabel15[[#This Row],[Winnaars]],Tabel15[[#This Row],[Team Groen]])</f>
        <v/>
      </c>
      <c r="X145" s="283"/>
      <c r="Y145" s="283"/>
      <c r="Z145" s="283"/>
      <c r="AA145" s="283"/>
      <c r="AL145" s="250" t="s">
        <v>160</v>
      </c>
      <c r="AM145" s="249" t="s">
        <v>157</v>
      </c>
      <c r="AN145" s="140" t="str">
        <f t="shared" si="21"/>
        <v>Tiemen*Tobi*</v>
      </c>
      <c r="AO145" s="160">
        <f>IF(Tabel5[[#This Row],[Aantal Games Rood]]=0,0,(Tabel5[[#This Row],[Wins Rood]])/Tabel5[[#This Row],[Aantal Games Rood]])</f>
        <v>0</v>
      </c>
      <c r="AP145" s="159">
        <f>IF(Tabel5[[#This Row],[Aantal Games Groen]]=0,0,(Tabel5[[#This Row],[Wins Groen]])/Tabel5[[#This Row],[Aantal Games Groen]])</f>
        <v>0</v>
      </c>
      <c r="AQ145" s="156">
        <f>IF(Tabel5[[#This Row],[Aantal games Alg]]=0,0,(Tabel5[[#This Row],[Wins Alg]])/Tabel5[[#This Row],[Aantal games Alg]])</f>
        <v>0</v>
      </c>
      <c r="AR145" s="135">
        <f>COUNTIF(Tabel15[Winaar rood],Tabel5[[#This Row],[Team]])</f>
        <v>0</v>
      </c>
      <c r="AS145" s="134">
        <f>COUNTIF(Tabel15[Winnaar Groen],Tabel5[[#This Row],[Team]])</f>
        <v>0</v>
      </c>
      <c r="AT145">
        <f>COUNTIF(Tabel15[Winnaars],Tabel5[[#This Row],[Team]])</f>
        <v>0</v>
      </c>
      <c r="AU145" s="135">
        <f>Tabel5[[#This Row],[Aantal Games Rood]]-Tabel5[[#This Row],[Wins Rood]]</f>
        <v>0</v>
      </c>
      <c r="AV145" s="136">
        <f>Tabel5[[#This Row],[Aantal Games Groen]]-Tabel5[[#This Row],[Wins Groen]]</f>
        <v>0</v>
      </c>
      <c r="AW145" s="137">
        <f>Tabel5[[#This Row],[Aantal games Alg]]-Tabel5[[#This Row],[Wins Alg]]</f>
        <v>0</v>
      </c>
      <c r="AX145" s="138">
        <f>COUNTIF(Tabel15[Team Rood],Tabel5[[#This Row],[Team]])</f>
        <v>0</v>
      </c>
      <c r="AY145" s="136">
        <f>COUNTIF(Tabel15[Team Groen],Tabel5[[#This Row],[Team]])</f>
        <v>0</v>
      </c>
      <c r="AZ145" s="137">
        <f>Tabel5[[#This Row],[Aantal Games Rood]]+Tabel5[[#This Row],[Aantal Games Groen]]</f>
        <v>0</v>
      </c>
      <c r="BA145" s="138">
        <f>SUMIF(Tabel15[Team Rood],Tabel5[[#This Row],[Team]],Tabel15[Score])</f>
        <v>0</v>
      </c>
      <c r="BB145" s="138">
        <f>SUMIF(Tabel15[Team Rood],Tabel5[[#This Row],[Team]],Tabel15[Score2])</f>
        <v>0</v>
      </c>
      <c r="BC145" s="134">
        <f>SUMIF(Tabel15[Team Groen],Tabel5[[#This Row],[Team]],Tabel15[Score3])</f>
        <v>0</v>
      </c>
      <c r="BD145" s="136">
        <f>SUMIF(Tabel15[Team Groen],Tabel5[[#This Row],[Team]],Tabel15[Score4])</f>
        <v>0</v>
      </c>
      <c r="BE145">
        <f>SUM(Tabel5[[#This Row],[Goals Verdediger]]+Tabel5[[#This Row],[Goals DefG]])</f>
        <v>0</v>
      </c>
      <c r="BF145">
        <f>IF(Tabel5[[#This Row],[Aantal games Alg]]=0,0,Tabel5[[#This Row],[Goals DefA]]/Tabel5[[#This Row],[Aantal games Alg]])</f>
        <v>0</v>
      </c>
      <c r="BG145">
        <f>SUM(Tabel5[[#This Row],[Goals Aanvaller]]+Tabel5[[#This Row],[Goals OffG]])</f>
        <v>0</v>
      </c>
      <c r="BH145">
        <f>IF(Tabel5[[#This Row],[Aantal games Alg]]=0,0,Tabel5[[#This Row],[Goals OffA]]/Tabel5[[#This Row],[Aantal games Alg]])</f>
        <v>0</v>
      </c>
      <c r="BI145" s="112">
        <f>Tabel5[[#This Row],[Goals DefA]]+Tabel5[[#This Row],[Goals OffA]]</f>
        <v>0</v>
      </c>
      <c r="BJ145" s="112">
        <f>IF(Tabel5[[#This Row],[Aantal games Alg]]=0,0,Tabel5[[#This Row],[Goals Alg]]/Tabel5[[#This Row],[Aantal games Alg]])</f>
        <v>0</v>
      </c>
      <c r="BK145" s="148">
        <f>SUMIF(Tabel15[Team Rood],Tabel5[[#This Row],[Team]],Tabel15[ET])</f>
        <v>0</v>
      </c>
      <c r="BL145" s="150">
        <f>SUMIF(Tabel15[Team Groen],Tabel5[[#This Row],[Team]],Tabel15[ET])</f>
        <v>0</v>
      </c>
      <c r="BM145" s="153">
        <f>SUM(Tabel5[[#This Row],[ET Groen tot]],Tabel5[[#This Row],[ET Rood tot]])</f>
        <v>0</v>
      </c>
      <c r="BN145" s="155">
        <f>IF(Tabel5[[#This Row],[Aantal games Alg]]=0,0,Tabel5[[#This Row],[ET tot]]/Tabel5[[#This Row],[Aantal games Alg]])</f>
        <v>0</v>
      </c>
    </row>
    <row r="146" spans="1:66" x14ac:dyDescent="0.25">
      <c r="A146" s="125" t="str">
        <f ca="1">IF(Tabel15[[#This Row],[Rood Verdediging]]&lt;&gt;"",IF(A146="",NOW(),A146),"")</f>
        <v/>
      </c>
      <c r="B146" s="128" t="str">
        <f ca="1">IF(Tabel15[[#This Row],[Rood Verdediging]]&lt;&gt;"",IF(B146="",NOW(),B146),"")</f>
        <v/>
      </c>
      <c r="C146" s="126" t="str">
        <f ca="1">IF(Tabel15[[#This Row],[Score]]&lt;&gt;"",IF(C146="",NOW(),C146),"")</f>
        <v/>
      </c>
      <c r="D146" s="182" t="str">
        <f ca="1">IF(OR(Tabel15[[#This Row],[Starttijd]]="",Tabel15[[#This Row],[Eindtijd]]=""),"",Tabel15[[#This Row],[Eindtijd]]-Tabel15[[#This Row],[Starttijd]])</f>
        <v/>
      </c>
      <c r="E146" s="74">
        <v>120</v>
      </c>
      <c r="F146" s="40"/>
      <c r="G146" s="76"/>
      <c r="H146" s="40"/>
      <c r="I146" s="76"/>
      <c r="J146" s="41"/>
      <c r="K146" s="78"/>
      <c r="L146" s="41"/>
      <c r="M146" s="78"/>
      <c r="N146" s="81" t="str">
        <f t="shared" si="17"/>
        <v/>
      </c>
      <c r="O146" s="82" t="str">
        <f t="shared" si="18"/>
        <v/>
      </c>
      <c r="P14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Row],[Score4]]&lt;&gt;""),IF(AND(N146&gt;O146,N146&gt;=11),"ROOD",IF(AND(O146&gt;=11,N146&lt;&gt;O146),"GROEN","")),"")</f>
        <v/>
      </c>
      <c r="Q146" s="86" t="str">
        <f t="shared" si="19"/>
        <v/>
      </c>
      <c r="R146" s="87" t="str">
        <f t="shared" si="20"/>
        <v/>
      </c>
      <c r="S146" s="147" t="str">
        <f>Tabel15[[#This Row],[Rood Verdediging]]&amp;Tabel15[[#This Row],[Rood Aanval]]</f>
        <v/>
      </c>
      <c r="T146" s="147" t="str">
        <f>Tabel15[[#This Row],[Groen Verdediging]]&amp;Tabel15[[#This Row],[Groen Aanval]]</f>
        <v/>
      </c>
      <c r="U146" s="147" t="str">
        <f>Tabel15[[#This Row],[Winnaar 1]]&amp;Tabel15[[#This Row],[Winnaar 2]]</f>
        <v/>
      </c>
      <c r="V146" s="147" t="str">
        <f>IF(Tabel15[[#This Row],[Team Rood]]=Tabel15[[#This Row],[Winnaars]],Tabel15[[#This Row],[Team Rood]])</f>
        <v/>
      </c>
      <c r="W146" s="147" t="str">
        <f>IF(Tabel15[[#This Row],[Team Groen]]=Tabel15[[#This Row],[Winnaars]],Tabel15[[#This Row],[Team Groen]])</f>
        <v/>
      </c>
      <c r="X146" s="283"/>
      <c r="Y146" s="283"/>
      <c r="Z146" s="283"/>
      <c r="AA146" s="283"/>
      <c r="AL146" s="251" t="s">
        <v>157</v>
      </c>
      <c r="AM146" s="250" t="s">
        <v>158</v>
      </c>
      <c r="AN146" s="140" t="str">
        <f t="shared" si="21"/>
        <v>Tobi*Arno*</v>
      </c>
      <c r="AO146" s="160">
        <f>IF(Tabel5[[#This Row],[Aantal Games Rood]]=0,0,(Tabel5[[#This Row],[Wins Rood]])/Tabel5[[#This Row],[Aantal Games Rood]])</f>
        <v>0</v>
      </c>
      <c r="AP146" s="159">
        <f>IF(Tabel5[[#This Row],[Aantal Games Groen]]=0,0,(Tabel5[[#This Row],[Wins Groen]])/Tabel5[[#This Row],[Aantal Games Groen]])</f>
        <v>0</v>
      </c>
      <c r="AQ146" s="156">
        <f>IF(Tabel5[[#This Row],[Aantal games Alg]]=0,0,(Tabel5[[#This Row],[Wins Alg]])/Tabel5[[#This Row],[Aantal games Alg]])</f>
        <v>0</v>
      </c>
      <c r="AR146" s="135">
        <f>COUNTIF(Tabel15[Winaar rood],Tabel5[[#This Row],[Team]])</f>
        <v>0</v>
      </c>
      <c r="AS146" s="136">
        <f>COUNTIF(Tabel15[Winnaar Groen],Tabel5[[#This Row],[Team]])</f>
        <v>0</v>
      </c>
      <c r="AT146" s="214">
        <f>COUNTIF(Tabel15[Winnaars],Tabel5[[#This Row],[Team]])</f>
        <v>0</v>
      </c>
      <c r="AU146" s="135">
        <f>Tabel5[[#This Row],[Aantal Games Rood]]-Tabel5[[#This Row],[Wins Rood]]</f>
        <v>0</v>
      </c>
      <c r="AV146" s="136">
        <f>Tabel5[[#This Row],[Aantal Games Groen]]-Tabel5[[#This Row],[Wins Groen]]</f>
        <v>0</v>
      </c>
      <c r="AW146" s="137">
        <f>Tabel5[[#This Row],[Aantal games Alg]]-Tabel5[[#This Row],[Wins Alg]]</f>
        <v>0</v>
      </c>
      <c r="AX146" s="138">
        <f>COUNTIF(Tabel15[Team Rood],Tabel5[[#This Row],[Team]])</f>
        <v>0</v>
      </c>
      <c r="AY146" s="136">
        <f>COUNTIF(Tabel15[Team Groen],Tabel5[[#This Row],[Team]])</f>
        <v>0</v>
      </c>
      <c r="AZ146" s="137">
        <f>Tabel5[[#This Row],[Aantal Games Rood]]+Tabel5[[#This Row],[Aantal Games Groen]]</f>
        <v>0</v>
      </c>
      <c r="BA146" s="138">
        <f>SUMIF(Tabel15[Team Rood],Tabel5[[#This Row],[Team]],Tabel15[Score])</f>
        <v>0</v>
      </c>
      <c r="BB146" s="138">
        <f>SUMIF(Tabel15[Team Rood],Tabel5[[#This Row],[Team]],Tabel15[Score2])</f>
        <v>0</v>
      </c>
      <c r="BC146" s="134">
        <f>SUMIF(Tabel15[Team Groen],Tabel5[[#This Row],[Team]],Tabel15[Score3])</f>
        <v>0</v>
      </c>
      <c r="BD146" s="136">
        <f>SUMIF(Tabel15[Team Groen],Tabel5[[#This Row],[Team]],Tabel15[Score4])</f>
        <v>0</v>
      </c>
      <c r="BE146">
        <f>SUM(Tabel5[[#This Row],[Goals Verdediger]]+Tabel5[[#This Row],[Goals DefG]])</f>
        <v>0</v>
      </c>
      <c r="BF146">
        <f>IF(Tabel5[[#This Row],[Aantal games Alg]]=0,0,Tabel5[[#This Row],[Goals DefA]]/Tabel5[[#This Row],[Aantal games Alg]])</f>
        <v>0</v>
      </c>
      <c r="BG146">
        <f>SUM(Tabel5[[#This Row],[Goals Aanvaller]]+Tabel5[[#This Row],[Goals OffG]])</f>
        <v>0</v>
      </c>
      <c r="BH146">
        <f>IF(Tabel5[[#This Row],[Aantal games Alg]]=0,0,Tabel5[[#This Row],[Goals OffA]]/Tabel5[[#This Row],[Aantal games Alg]])</f>
        <v>0</v>
      </c>
      <c r="BI146" s="112">
        <f>Tabel5[[#This Row],[Goals DefA]]+Tabel5[[#This Row],[Goals OffA]]</f>
        <v>0</v>
      </c>
      <c r="BJ146" s="112">
        <f>IF(Tabel5[[#This Row],[Aantal games Alg]]=0,0,Tabel5[[#This Row],[Goals Alg]]/Tabel5[[#This Row],[Aantal games Alg]])</f>
        <v>0</v>
      </c>
      <c r="BK146" s="148">
        <f>SUMIF(Tabel15[Team Rood],Tabel5[[#This Row],[Team]],Tabel15[ET])</f>
        <v>0</v>
      </c>
      <c r="BL146" s="150">
        <f>SUMIF(Tabel15[Team Groen],Tabel5[[#This Row],[Team]],Tabel15[ET])</f>
        <v>0</v>
      </c>
      <c r="BM146" s="153">
        <f>SUM(Tabel5[[#This Row],[ET Groen tot]],Tabel5[[#This Row],[ET Rood tot]])</f>
        <v>0</v>
      </c>
      <c r="BN146" s="155">
        <f>IF(Tabel5[[#This Row],[Aantal games Alg]]=0,0,Tabel5[[#This Row],[ET tot]]/Tabel5[[#This Row],[Aantal games Alg]])</f>
        <v>0</v>
      </c>
    </row>
    <row r="147" spans="1:66" x14ac:dyDescent="0.25">
      <c r="A147" s="125" t="str">
        <f ca="1">IF(Tabel15[[#This Row],[Rood Verdediging]]&lt;&gt;"",IF(A147="",NOW(),A147),"")</f>
        <v/>
      </c>
      <c r="B147" s="128" t="str">
        <f ca="1">IF(Tabel15[[#This Row],[Rood Verdediging]]&lt;&gt;"",IF(B147="",NOW(),B147),"")</f>
        <v/>
      </c>
      <c r="C147" s="126" t="str">
        <f ca="1">IF(Tabel15[[#This Row],[Score]]&lt;&gt;"",IF(C147="",NOW(),C147),"")</f>
        <v/>
      </c>
      <c r="D147" s="182" t="str">
        <f ca="1">IF(OR(Tabel15[[#This Row],[Starttijd]]="",Tabel15[[#This Row],[Eindtijd]]=""),"",Tabel15[[#This Row],[Eindtijd]]-Tabel15[[#This Row],[Starttijd]])</f>
        <v/>
      </c>
      <c r="E147" s="74">
        <v>120</v>
      </c>
      <c r="F147" s="40"/>
      <c r="G147" s="76"/>
      <c r="H147" s="40"/>
      <c r="I147" s="76"/>
      <c r="J147" s="41"/>
      <c r="K147" s="78"/>
      <c r="L147" s="41"/>
      <c r="M147" s="78"/>
      <c r="N147" s="81" t="str">
        <f t="shared" si="17"/>
        <v/>
      </c>
      <c r="O147" s="82" t="str">
        <f t="shared" si="18"/>
        <v/>
      </c>
      <c r="P14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Row],[Score4]]&lt;&gt;""),IF(AND(N147&gt;O147,N147&gt;=11),"ROOD",IF(AND(O147&gt;=11,N147&lt;&gt;O147),"GROEN","")),"")</f>
        <v/>
      </c>
      <c r="Q147" s="86" t="str">
        <f t="shared" si="19"/>
        <v/>
      </c>
      <c r="R147" s="87" t="str">
        <f t="shared" si="20"/>
        <v/>
      </c>
      <c r="S147" s="147" t="str">
        <f>Tabel15[[#This Row],[Rood Verdediging]]&amp;Tabel15[[#This Row],[Rood Aanval]]</f>
        <v/>
      </c>
      <c r="T147" s="147" t="str">
        <f>Tabel15[[#This Row],[Groen Verdediging]]&amp;Tabel15[[#This Row],[Groen Aanval]]</f>
        <v/>
      </c>
      <c r="U147" s="147" t="str">
        <f>Tabel15[[#This Row],[Winnaar 1]]&amp;Tabel15[[#This Row],[Winnaar 2]]</f>
        <v/>
      </c>
      <c r="V147" s="147" t="str">
        <f>IF(Tabel15[[#This Row],[Team Rood]]=Tabel15[[#This Row],[Winnaars]],Tabel15[[#This Row],[Team Rood]])</f>
        <v/>
      </c>
      <c r="W147" s="147" t="str">
        <f>IF(Tabel15[[#This Row],[Team Groen]]=Tabel15[[#This Row],[Winnaars]],Tabel15[[#This Row],[Team Groen]])</f>
        <v/>
      </c>
      <c r="X147" s="283"/>
      <c r="Y147" s="283"/>
      <c r="Z147" s="283"/>
      <c r="AA147" s="283"/>
      <c r="AL147" s="251" t="s">
        <v>157</v>
      </c>
      <c r="AM147" s="250" t="s">
        <v>163</v>
      </c>
      <c r="AN147" s="140" t="str">
        <f t="shared" si="21"/>
        <v>Tobi*Bert*</v>
      </c>
      <c r="AO147" s="160">
        <f>IF(Tabel5[[#This Row],[Aantal Games Rood]]=0,0,(Tabel5[[#This Row],[Wins Rood]])/Tabel5[[#This Row],[Aantal Games Rood]])</f>
        <v>0</v>
      </c>
      <c r="AP147" s="159">
        <f>IF(Tabel5[[#This Row],[Aantal Games Groen]]=0,0,(Tabel5[[#This Row],[Wins Groen]])/Tabel5[[#This Row],[Aantal Games Groen]])</f>
        <v>0</v>
      </c>
      <c r="AQ147" s="156">
        <f>IF(Tabel5[[#This Row],[Aantal games Alg]]=0,0,(Tabel5[[#This Row],[Wins Alg]])/Tabel5[[#This Row],[Aantal games Alg]])</f>
        <v>0</v>
      </c>
      <c r="AR147" s="135">
        <f>COUNTIF(Tabel15[Winaar rood],Tabel5[[#This Row],[Team]])</f>
        <v>0</v>
      </c>
      <c r="AS147" s="134">
        <f>COUNTIF(Tabel15[Winnaar Groen],Tabel5[[#This Row],[Team]])</f>
        <v>0</v>
      </c>
      <c r="AT147">
        <f>COUNTIF(Tabel15[Winnaars],Tabel5[[#This Row],[Team]])</f>
        <v>0</v>
      </c>
      <c r="AU147" s="135">
        <f>Tabel5[[#This Row],[Aantal Games Rood]]-Tabel5[[#This Row],[Wins Rood]]</f>
        <v>0</v>
      </c>
      <c r="AV147" s="136">
        <f>Tabel5[[#This Row],[Aantal Games Groen]]-Tabel5[[#This Row],[Wins Groen]]</f>
        <v>0</v>
      </c>
      <c r="AW147" s="137">
        <f>Tabel5[[#This Row],[Aantal games Alg]]-Tabel5[[#This Row],[Wins Alg]]</f>
        <v>0</v>
      </c>
      <c r="AX147" s="138">
        <f>COUNTIF(Tabel15[Team Rood],Tabel5[[#This Row],[Team]])</f>
        <v>0</v>
      </c>
      <c r="AY147" s="136">
        <f>COUNTIF(Tabel15[Team Groen],Tabel5[[#This Row],[Team]])</f>
        <v>0</v>
      </c>
      <c r="AZ147" s="137">
        <f>Tabel5[[#This Row],[Aantal Games Rood]]+Tabel5[[#This Row],[Aantal Games Groen]]</f>
        <v>0</v>
      </c>
      <c r="BA147" s="138">
        <f>SUMIF(Tabel15[Team Rood],Tabel5[[#This Row],[Team]],Tabel15[Score])</f>
        <v>0</v>
      </c>
      <c r="BB147" s="138">
        <f>SUMIF(Tabel15[Team Rood],Tabel5[[#This Row],[Team]],Tabel15[Score2])</f>
        <v>0</v>
      </c>
      <c r="BC147" s="134">
        <f>SUMIF(Tabel15[Team Groen],Tabel5[[#This Row],[Team]],Tabel15[Score3])</f>
        <v>0</v>
      </c>
      <c r="BD147" s="136">
        <f>SUMIF(Tabel15[Team Groen],Tabel5[[#This Row],[Team]],Tabel15[Score4])</f>
        <v>0</v>
      </c>
      <c r="BE147">
        <f>SUM(Tabel5[[#This Row],[Goals Verdediger]]+Tabel5[[#This Row],[Goals DefG]])</f>
        <v>0</v>
      </c>
      <c r="BF147">
        <f>IF(Tabel5[[#This Row],[Aantal games Alg]]=0,0,Tabel5[[#This Row],[Goals DefA]]/Tabel5[[#This Row],[Aantal games Alg]])</f>
        <v>0</v>
      </c>
      <c r="BG147">
        <f>SUM(Tabel5[[#This Row],[Goals Aanvaller]]+Tabel5[[#This Row],[Goals OffG]])</f>
        <v>0</v>
      </c>
      <c r="BH147">
        <f>IF(Tabel5[[#This Row],[Aantal games Alg]]=0,0,Tabel5[[#This Row],[Goals OffA]]/Tabel5[[#This Row],[Aantal games Alg]])</f>
        <v>0</v>
      </c>
      <c r="BI147" s="112">
        <f>Tabel5[[#This Row],[Goals DefA]]+Tabel5[[#This Row],[Goals OffA]]</f>
        <v>0</v>
      </c>
      <c r="BJ147" s="112">
        <f>IF(Tabel5[[#This Row],[Aantal games Alg]]=0,0,Tabel5[[#This Row],[Goals Alg]]/Tabel5[[#This Row],[Aantal games Alg]])</f>
        <v>0</v>
      </c>
      <c r="BK147" s="148">
        <f>SUMIF(Tabel15[Team Rood],Tabel5[[#This Row],[Team]],Tabel15[ET])</f>
        <v>0</v>
      </c>
      <c r="BL147" s="150">
        <f>SUMIF(Tabel15[Team Groen],Tabel5[[#This Row],[Team]],Tabel15[ET])</f>
        <v>0</v>
      </c>
      <c r="BM147" s="153">
        <f>SUM(Tabel5[[#This Row],[ET Groen tot]],Tabel5[[#This Row],[ET Rood tot]])</f>
        <v>0</v>
      </c>
      <c r="BN147" s="155">
        <f>IF(Tabel5[[#This Row],[Aantal games Alg]]=0,0,Tabel5[[#This Row],[ET tot]]/Tabel5[[#This Row],[Aantal games Alg]])</f>
        <v>0</v>
      </c>
    </row>
    <row r="148" spans="1:66" x14ac:dyDescent="0.25">
      <c r="A148" s="125" t="str">
        <f ca="1">IF(Tabel15[[#This Row],[Rood Verdediging]]&lt;&gt;"",IF(A148="",NOW(),A148),"")</f>
        <v/>
      </c>
      <c r="B148" s="128" t="str">
        <f ca="1">IF(Tabel15[[#This Row],[Rood Verdediging]]&lt;&gt;"",IF(B148="",NOW(),B148),"")</f>
        <v/>
      </c>
      <c r="C148" s="126" t="str">
        <f ca="1">IF(Tabel15[[#This Row],[Score]]&lt;&gt;"",IF(C148="",NOW(),C148),"")</f>
        <v/>
      </c>
      <c r="D148" s="182" t="str">
        <f ca="1">IF(OR(Tabel15[[#This Row],[Starttijd]]="",Tabel15[[#This Row],[Eindtijd]]=""),"",Tabel15[[#This Row],[Eindtijd]]-Tabel15[[#This Row],[Starttijd]])</f>
        <v/>
      </c>
      <c r="E148" s="74">
        <v>120</v>
      </c>
      <c r="F148" s="40"/>
      <c r="G148" s="76"/>
      <c r="H148" s="40"/>
      <c r="I148" s="76"/>
      <c r="J148" s="41"/>
      <c r="K148" s="78"/>
      <c r="L148" s="41"/>
      <c r="M148" s="78"/>
      <c r="N148" s="81" t="str">
        <f t="shared" si="17"/>
        <v/>
      </c>
      <c r="O148" s="82" t="str">
        <f t="shared" si="18"/>
        <v/>
      </c>
      <c r="P14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Row],[Score4]]&lt;&gt;""),IF(AND(N148&gt;O148,N148&gt;=11),"ROOD",IF(AND(O148&gt;=11,N148&lt;&gt;O148),"GROEN","")),"")</f>
        <v/>
      </c>
      <c r="Q148" s="86" t="str">
        <f t="shared" si="19"/>
        <v/>
      </c>
      <c r="R148" s="87" t="str">
        <f t="shared" si="20"/>
        <v/>
      </c>
      <c r="S148" s="147" t="str">
        <f>Tabel15[[#This Row],[Rood Verdediging]]&amp;Tabel15[[#This Row],[Rood Aanval]]</f>
        <v/>
      </c>
      <c r="T148" s="147" t="str">
        <f>Tabel15[[#This Row],[Groen Verdediging]]&amp;Tabel15[[#This Row],[Groen Aanval]]</f>
        <v/>
      </c>
      <c r="U148" s="147" t="str">
        <f>Tabel15[[#This Row],[Winnaar 1]]&amp;Tabel15[[#This Row],[Winnaar 2]]</f>
        <v/>
      </c>
      <c r="V148" s="147" t="str">
        <f>IF(Tabel15[[#This Row],[Team Rood]]=Tabel15[[#This Row],[Winnaars]],Tabel15[[#This Row],[Team Rood]])</f>
        <v/>
      </c>
      <c r="W148" s="147" t="str">
        <f>IF(Tabel15[[#This Row],[Team Groen]]=Tabel15[[#This Row],[Winnaars]],Tabel15[[#This Row],[Team Groen]])</f>
        <v/>
      </c>
      <c r="X148" s="283"/>
      <c r="Y148" s="283"/>
      <c r="Z148" s="283"/>
      <c r="AA148" s="283"/>
      <c r="AL148" s="251" t="s">
        <v>157</v>
      </c>
      <c r="AM148" s="250" t="s">
        <v>168</v>
      </c>
      <c r="AN148" s="140" t="str">
        <f t="shared" si="21"/>
        <v>Tobi*Coghe*</v>
      </c>
      <c r="AO148" s="160">
        <f>IF(Tabel5[[#This Row],[Aantal Games Rood]]=0,0,(Tabel5[[#This Row],[Wins Rood]])/Tabel5[[#This Row],[Aantal Games Rood]])</f>
        <v>0</v>
      </c>
      <c r="AP148" s="159">
        <f>IF(Tabel5[[#This Row],[Aantal Games Groen]]=0,0,(Tabel5[[#This Row],[Wins Groen]])/Tabel5[[#This Row],[Aantal Games Groen]])</f>
        <v>0</v>
      </c>
      <c r="AQ148" s="156">
        <f>IF(Tabel5[[#This Row],[Aantal games Alg]]=0,0,(Tabel5[[#This Row],[Wins Alg]])/Tabel5[[#This Row],[Aantal games Alg]])</f>
        <v>0</v>
      </c>
      <c r="AR148" s="135">
        <f>COUNTIF(Tabel15[Winaar rood],Tabel5[[#This Row],[Team]])</f>
        <v>0</v>
      </c>
      <c r="AS148" s="134">
        <f>COUNTIF(Tabel15[Winnaar Groen],Tabel5[[#This Row],[Team]])</f>
        <v>0</v>
      </c>
      <c r="AT148">
        <f>COUNTIF(Tabel15[Winnaars],Tabel5[[#This Row],[Team]])</f>
        <v>0</v>
      </c>
      <c r="AU148" s="135">
        <f>Tabel5[[#This Row],[Aantal Games Rood]]-Tabel5[[#This Row],[Wins Rood]]</f>
        <v>0</v>
      </c>
      <c r="AV148" s="136">
        <f>Tabel5[[#This Row],[Aantal Games Groen]]-Tabel5[[#This Row],[Wins Groen]]</f>
        <v>0</v>
      </c>
      <c r="AW148" s="137">
        <f>Tabel5[[#This Row],[Aantal games Alg]]-Tabel5[[#This Row],[Wins Alg]]</f>
        <v>0</v>
      </c>
      <c r="AX148" s="138">
        <f>COUNTIF(Tabel15[Team Rood],Tabel5[[#This Row],[Team]])</f>
        <v>0</v>
      </c>
      <c r="AY148" s="136">
        <f>COUNTIF(Tabel15[Team Groen],Tabel5[[#This Row],[Team]])</f>
        <v>0</v>
      </c>
      <c r="AZ148" s="137">
        <f>Tabel5[[#This Row],[Aantal Games Rood]]+Tabel5[[#This Row],[Aantal Games Groen]]</f>
        <v>0</v>
      </c>
      <c r="BA148" s="138">
        <f>SUMIF(Tabel15[Team Rood],Tabel5[[#This Row],[Team]],Tabel15[Score])</f>
        <v>0</v>
      </c>
      <c r="BB148" s="138">
        <f>SUMIF(Tabel15[Team Rood],Tabel5[[#This Row],[Team]],Tabel15[Score2])</f>
        <v>0</v>
      </c>
      <c r="BC148" s="134">
        <f>SUMIF(Tabel15[Team Groen],Tabel5[[#This Row],[Team]],Tabel15[Score3])</f>
        <v>0</v>
      </c>
      <c r="BD148" s="136">
        <f>SUMIF(Tabel15[Team Groen],Tabel5[[#This Row],[Team]],Tabel15[Score4])</f>
        <v>0</v>
      </c>
      <c r="BE148">
        <f>SUM(Tabel5[[#This Row],[Goals Verdediger]]+Tabel5[[#This Row],[Goals DefG]])</f>
        <v>0</v>
      </c>
      <c r="BF148">
        <f>IF(Tabel5[[#This Row],[Aantal games Alg]]=0,0,Tabel5[[#This Row],[Goals DefA]]/Tabel5[[#This Row],[Aantal games Alg]])</f>
        <v>0</v>
      </c>
      <c r="BG148">
        <f>SUM(Tabel5[[#This Row],[Goals Aanvaller]]+Tabel5[[#This Row],[Goals OffG]])</f>
        <v>0</v>
      </c>
      <c r="BH148">
        <f>IF(Tabel5[[#This Row],[Aantal games Alg]]=0,0,Tabel5[[#This Row],[Goals OffA]]/Tabel5[[#This Row],[Aantal games Alg]])</f>
        <v>0</v>
      </c>
      <c r="BI148" s="112">
        <f>Tabel5[[#This Row],[Goals DefA]]+Tabel5[[#This Row],[Goals OffA]]</f>
        <v>0</v>
      </c>
      <c r="BJ148" s="112">
        <f>IF(Tabel5[[#This Row],[Aantal games Alg]]=0,0,Tabel5[[#This Row],[Goals Alg]]/Tabel5[[#This Row],[Aantal games Alg]])</f>
        <v>0</v>
      </c>
      <c r="BK148" s="148">
        <f>SUMIF(Tabel15[Team Rood],Tabel5[[#This Row],[Team]],Tabel15[ET])</f>
        <v>0</v>
      </c>
      <c r="BL148" s="150">
        <f>SUMIF(Tabel15[Team Groen],Tabel5[[#This Row],[Team]],Tabel15[ET])</f>
        <v>0</v>
      </c>
      <c r="BM148" s="153">
        <f>SUM(Tabel5[[#This Row],[ET Groen tot]],Tabel5[[#This Row],[ET Rood tot]])</f>
        <v>0</v>
      </c>
      <c r="BN148" s="155">
        <f>IF(Tabel5[[#This Row],[Aantal games Alg]]=0,0,Tabel5[[#This Row],[ET tot]]/Tabel5[[#This Row],[Aantal games Alg]])</f>
        <v>0</v>
      </c>
    </row>
    <row r="149" spans="1:66" x14ac:dyDescent="0.25">
      <c r="A149" s="125" t="str">
        <f ca="1">IF(Tabel15[[#This Row],[Rood Verdediging]]&lt;&gt;"",IF(A149="",NOW(),A149),"")</f>
        <v/>
      </c>
      <c r="B149" s="128" t="str">
        <f ca="1">IF(Tabel15[[#This Row],[Rood Verdediging]]&lt;&gt;"",IF(B149="",NOW(),B149),"")</f>
        <v/>
      </c>
      <c r="C149" s="126" t="str">
        <f ca="1">IF(Tabel15[[#This Row],[Score]]&lt;&gt;"",IF(C149="",NOW(),C149),"")</f>
        <v/>
      </c>
      <c r="D149" s="182" t="str">
        <f ca="1">IF(OR(Tabel15[[#This Row],[Starttijd]]="",Tabel15[[#This Row],[Eindtijd]]=""),"",Tabel15[[#This Row],[Eindtijd]]-Tabel15[[#This Row],[Starttijd]])</f>
        <v/>
      </c>
      <c r="E149" s="74">
        <v>120</v>
      </c>
      <c r="F149" s="40"/>
      <c r="G149" s="76"/>
      <c r="H149" s="40"/>
      <c r="I149" s="76"/>
      <c r="J149" s="41"/>
      <c r="K149" s="78"/>
      <c r="L149" s="41"/>
      <c r="M149" s="78"/>
      <c r="N149" s="81" t="str">
        <f t="shared" si="17"/>
        <v/>
      </c>
      <c r="O149" s="82" t="str">
        <f t="shared" si="18"/>
        <v/>
      </c>
      <c r="P14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Row],[Score4]]&lt;&gt;""),IF(AND(N149&gt;O149,N149&gt;=11),"ROOD",IF(AND(O149&gt;=11,N149&lt;&gt;O149),"GROEN","")),"")</f>
        <v/>
      </c>
      <c r="Q149" s="86" t="str">
        <f t="shared" si="19"/>
        <v/>
      </c>
      <c r="R149" s="87" t="str">
        <f t="shared" si="20"/>
        <v/>
      </c>
      <c r="S149" s="147" t="str">
        <f>Tabel15[[#This Row],[Rood Verdediging]]&amp;Tabel15[[#This Row],[Rood Aanval]]</f>
        <v/>
      </c>
      <c r="T149" s="147" t="str">
        <f>Tabel15[[#This Row],[Groen Verdediging]]&amp;Tabel15[[#This Row],[Groen Aanval]]</f>
        <v/>
      </c>
      <c r="U149" s="147" t="str">
        <f>Tabel15[[#This Row],[Winnaar 1]]&amp;Tabel15[[#This Row],[Winnaar 2]]</f>
        <v/>
      </c>
      <c r="V149" s="147" t="str">
        <f>IF(Tabel15[[#This Row],[Team Rood]]=Tabel15[[#This Row],[Winnaars]],Tabel15[[#This Row],[Team Rood]])</f>
        <v/>
      </c>
      <c r="W149" s="147" t="str">
        <f>IF(Tabel15[[#This Row],[Team Groen]]=Tabel15[[#This Row],[Winnaars]],Tabel15[[#This Row],[Team Groen]])</f>
        <v/>
      </c>
      <c r="X149" s="283"/>
      <c r="Y149" s="283"/>
      <c r="Z149" s="283"/>
      <c r="AA149" s="283"/>
      <c r="AL149" s="251" t="s">
        <v>157</v>
      </c>
      <c r="AM149" s="250" t="s">
        <v>159</v>
      </c>
      <c r="AN149" s="140" t="str">
        <f t="shared" si="21"/>
        <v>Tobi*Jonas*</v>
      </c>
      <c r="AO149" s="160">
        <f>IF(Tabel5[[#This Row],[Aantal Games Rood]]=0,0,(Tabel5[[#This Row],[Wins Rood]])/Tabel5[[#This Row],[Aantal Games Rood]])</f>
        <v>0</v>
      </c>
      <c r="AP149" s="159">
        <f>IF(Tabel5[[#This Row],[Aantal Games Groen]]=0,0,(Tabel5[[#This Row],[Wins Groen]])/Tabel5[[#This Row],[Aantal Games Groen]])</f>
        <v>0</v>
      </c>
      <c r="AQ149" s="156">
        <f>IF(Tabel5[[#This Row],[Aantal games Alg]]=0,0,(Tabel5[[#This Row],[Wins Alg]])/Tabel5[[#This Row],[Aantal games Alg]])</f>
        <v>0</v>
      </c>
      <c r="AR149" s="135">
        <f>COUNTIF(Tabel15[Winaar rood],Tabel5[[#This Row],[Team]])</f>
        <v>0</v>
      </c>
      <c r="AS149" s="134">
        <f>COUNTIF(Tabel15[Winnaar Groen],Tabel5[[#This Row],[Team]])</f>
        <v>0</v>
      </c>
      <c r="AT149">
        <f>COUNTIF(Tabel15[Winnaars],Tabel5[[#This Row],[Team]])</f>
        <v>0</v>
      </c>
      <c r="AU149" s="135">
        <f>Tabel5[[#This Row],[Aantal Games Rood]]-Tabel5[[#This Row],[Wins Rood]]</f>
        <v>0</v>
      </c>
      <c r="AV149" s="136">
        <f>Tabel5[[#This Row],[Aantal Games Groen]]-Tabel5[[#This Row],[Wins Groen]]</f>
        <v>0</v>
      </c>
      <c r="AW149" s="137">
        <f>Tabel5[[#This Row],[Aantal games Alg]]-Tabel5[[#This Row],[Wins Alg]]</f>
        <v>0</v>
      </c>
      <c r="AX149" s="138">
        <f>COUNTIF(Tabel15[Team Rood],Tabel5[[#This Row],[Team]])</f>
        <v>0</v>
      </c>
      <c r="AY149" s="136">
        <f>COUNTIF(Tabel15[Team Groen],Tabel5[[#This Row],[Team]])</f>
        <v>0</v>
      </c>
      <c r="AZ149" s="137">
        <f>Tabel5[[#This Row],[Aantal Games Rood]]+Tabel5[[#This Row],[Aantal Games Groen]]</f>
        <v>0</v>
      </c>
      <c r="BA149" s="138">
        <f>SUMIF(Tabel15[Team Rood],Tabel5[[#This Row],[Team]],Tabel15[Score])</f>
        <v>0</v>
      </c>
      <c r="BB149" s="138">
        <f>SUMIF(Tabel15[Team Rood],Tabel5[[#This Row],[Team]],Tabel15[Score2])</f>
        <v>0</v>
      </c>
      <c r="BC149" s="134">
        <f>SUMIF(Tabel15[Team Groen],Tabel5[[#This Row],[Team]],Tabel15[Score3])</f>
        <v>0</v>
      </c>
      <c r="BD149" s="136">
        <f>SUMIF(Tabel15[Team Groen],Tabel5[[#This Row],[Team]],Tabel15[Score4])</f>
        <v>0</v>
      </c>
      <c r="BE149">
        <f>SUM(Tabel5[[#This Row],[Goals Verdediger]]+Tabel5[[#This Row],[Goals DefG]])</f>
        <v>0</v>
      </c>
      <c r="BF149">
        <f>IF(Tabel5[[#This Row],[Aantal games Alg]]=0,0,Tabel5[[#This Row],[Goals DefA]]/Tabel5[[#This Row],[Aantal games Alg]])</f>
        <v>0</v>
      </c>
      <c r="BG149">
        <f>SUM(Tabel5[[#This Row],[Goals Aanvaller]]+Tabel5[[#This Row],[Goals OffG]])</f>
        <v>0</v>
      </c>
      <c r="BH149">
        <f>IF(Tabel5[[#This Row],[Aantal games Alg]]=0,0,Tabel5[[#This Row],[Goals OffA]]/Tabel5[[#This Row],[Aantal games Alg]])</f>
        <v>0</v>
      </c>
      <c r="BI149" s="112">
        <f>Tabel5[[#This Row],[Goals DefA]]+Tabel5[[#This Row],[Goals OffA]]</f>
        <v>0</v>
      </c>
      <c r="BJ149" s="112">
        <f>IF(Tabel5[[#This Row],[Aantal games Alg]]=0,0,Tabel5[[#This Row],[Goals Alg]]/Tabel5[[#This Row],[Aantal games Alg]])</f>
        <v>0</v>
      </c>
      <c r="BK149" s="148">
        <f>SUMIF(Tabel15[Team Rood],Tabel5[[#This Row],[Team]],Tabel15[ET])</f>
        <v>0</v>
      </c>
      <c r="BL149" s="150">
        <f>SUMIF(Tabel15[Team Groen],Tabel5[[#This Row],[Team]],Tabel15[ET])</f>
        <v>0</v>
      </c>
      <c r="BM149" s="153">
        <f>SUM(Tabel5[[#This Row],[ET Groen tot]],Tabel5[[#This Row],[ET Rood tot]])</f>
        <v>0</v>
      </c>
      <c r="BN149" s="155">
        <f>IF(Tabel5[[#This Row],[Aantal games Alg]]=0,0,Tabel5[[#This Row],[ET tot]]/Tabel5[[#This Row],[Aantal games Alg]])</f>
        <v>0</v>
      </c>
    </row>
    <row r="150" spans="1:66" x14ac:dyDescent="0.25">
      <c r="A150" s="125" t="str">
        <f ca="1">IF(Tabel15[[#This Row],[Rood Verdediging]]&lt;&gt;"",IF(A150="",NOW(),A150),"")</f>
        <v/>
      </c>
      <c r="B150" s="128" t="str">
        <f ca="1">IF(Tabel15[[#This Row],[Rood Verdediging]]&lt;&gt;"",IF(B150="",NOW(),B150),"")</f>
        <v/>
      </c>
      <c r="C150" s="126" t="str">
        <f ca="1">IF(Tabel15[[#This Row],[Score]]&lt;&gt;"",IF(C150="",NOW(),C150),"")</f>
        <v/>
      </c>
      <c r="D150" s="182" t="str">
        <f ca="1">IF(OR(Tabel15[[#This Row],[Starttijd]]="",Tabel15[[#This Row],[Eindtijd]]=""),"",Tabel15[[#This Row],[Eindtijd]]-Tabel15[[#This Row],[Starttijd]])</f>
        <v/>
      </c>
      <c r="E150" s="74">
        <v>120</v>
      </c>
      <c r="F150" s="40"/>
      <c r="G150" s="76"/>
      <c r="H150" s="40"/>
      <c r="I150" s="76"/>
      <c r="J150" s="41"/>
      <c r="K150" s="78"/>
      <c r="L150" s="41"/>
      <c r="M150" s="78"/>
      <c r="N150" s="81" t="str">
        <f t="shared" si="17"/>
        <v/>
      </c>
      <c r="O150" s="82" t="str">
        <f t="shared" si="18"/>
        <v/>
      </c>
      <c r="P15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Row],[Score4]]&lt;&gt;""),IF(AND(N150&gt;O150,N150&gt;=11),"ROOD",IF(AND(O150&gt;=11,N150&lt;&gt;O150),"GROEN","")),"")</f>
        <v/>
      </c>
      <c r="Q150" s="86" t="str">
        <f t="shared" si="19"/>
        <v/>
      </c>
      <c r="R150" s="87" t="str">
        <f t="shared" si="20"/>
        <v/>
      </c>
      <c r="S150" s="147" t="str">
        <f>Tabel15[[#This Row],[Rood Verdediging]]&amp;Tabel15[[#This Row],[Rood Aanval]]</f>
        <v/>
      </c>
      <c r="T150" s="147" t="str">
        <f>Tabel15[[#This Row],[Groen Verdediging]]&amp;Tabel15[[#This Row],[Groen Aanval]]</f>
        <v/>
      </c>
      <c r="U150" s="147" t="str">
        <f>Tabel15[[#This Row],[Winnaar 1]]&amp;Tabel15[[#This Row],[Winnaar 2]]</f>
        <v/>
      </c>
      <c r="V150" s="147" t="str">
        <f>IF(Tabel15[[#This Row],[Team Rood]]=Tabel15[[#This Row],[Winnaars]],Tabel15[[#This Row],[Team Rood]])</f>
        <v/>
      </c>
      <c r="W150" s="147" t="str">
        <f>IF(Tabel15[[#This Row],[Team Groen]]=Tabel15[[#This Row],[Winnaars]],Tabel15[[#This Row],[Team Groen]])</f>
        <v/>
      </c>
      <c r="X150" s="283"/>
      <c r="Y150" s="283"/>
      <c r="Z150" s="283"/>
      <c r="AA150" s="283"/>
      <c r="AL150" s="251" t="s">
        <v>157</v>
      </c>
      <c r="AM150" s="250" t="s">
        <v>164</v>
      </c>
      <c r="AN150" s="140" t="str">
        <f t="shared" si="21"/>
        <v>Tobi*Karel*</v>
      </c>
      <c r="AO150" s="160">
        <f>IF(Tabel5[[#This Row],[Aantal Games Rood]]=0,0,(Tabel5[[#This Row],[Wins Rood]])/Tabel5[[#This Row],[Aantal Games Rood]])</f>
        <v>0</v>
      </c>
      <c r="AP150" s="159">
        <f>IF(Tabel5[[#This Row],[Aantal Games Groen]]=0,0,(Tabel5[[#This Row],[Wins Groen]])/Tabel5[[#This Row],[Aantal Games Groen]])</f>
        <v>0</v>
      </c>
      <c r="AQ150" s="156">
        <f>IF(Tabel5[[#This Row],[Aantal games Alg]]=0,0,(Tabel5[[#This Row],[Wins Alg]])/Tabel5[[#This Row],[Aantal games Alg]])</f>
        <v>0</v>
      </c>
      <c r="AR150" s="135">
        <f>COUNTIF(Tabel15[Winaar rood],Tabel5[[#This Row],[Team]])</f>
        <v>0</v>
      </c>
      <c r="AS150" s="134">
        <f>COUNTIF(Tabel15[Winnaar Groen],Tabel5[[#This Row],[Team]])</f>
        <v>0</v>
      </c>
      <c r="AT150">
        <f>COUNTIF(Tabel15[Winnaars],Tabel5[[#This Row],[Team]])</f>
        <v>0</v>
      </c>
      <c r="AU150" s="135">
        <f>Tabel5[[#This Row],[Aantal Games Rood]]-Tabel5[[#This Row],[Wins Rood]]</f>
        <v>0</v>
      </c>
      <c r="AV150" s="136">
        <f>Tabel5[[#This Row],[Aantal Games Groen]]-Tabel5[[#This Row],[Wins Groen]]</f>
        <v>0</v>
      </c>
      <c r="AW150" s="137">
        <f>Tabel5[[#This Row],[Aantal games Alg]]-Tabel5[[#This Row],[Wins Alg]]</f>
        <v>0</v>
      </c>
      <c r="AX150" s="138">
        <f>COUNTIF(Tabel15[Team Rood],Tabel5[[#This Row],[Team]])</f>
        <v>0</v>
      </c>
      <c r="AY150" s="136">
        <f>COUNTIF(Tabel15[Team Groen],Tabel5[[#This Row],[Team]])</f>
        <v>0</v>
      </c>
      <c r="AZ150" s="137">
        <f>Tabel5[[#This Row],[Aantal Games Rood]]+Tabel5[[#This Row],[Aantal Games Groen]]</f>
        <v>0</v>
      </c>
      <c r="BA150" s="138">
        <f>SUMIF(Tabel15[Team Rood],Tabel5[[#This Row],[Team]],Tabel15[Score])</f>
        <v>0</v>
      </c>
      <c r="BB150" s="138">
        <f>SUMIF(Tabel15[Team Rood],Tabel5[[#This Row],[Team]],Tabel15[Score2])</f>
        <v>0</v>
      </c>
      <c r="BC150" s="134">
        <f>SUMIF(Tabel15[Team Groen],Tabel5[[#This Row],[Team]],Tabel15[Score3])</f>
        <v>0</v>
      </c>
      <c r="BD150" s="136">
        <f>SUMIF(Tabel15[Team Groen],Tabel5[[#This Row],[Team]],Tabel15[Score4])</f>
        <v>0</v>
      </c>
      <c r="BE150">
        <f>SUM(Tabel5[[#This Row],[Goals Verdediger]]+Tabel5[[#This Row],[Goals DefG]])</f>
        <v>0</v>
      </c>
      <c r="BF150">
        <f>IF(Tabel5[[#This Row],[Aantal games Alg]]=0,0,Tabel5[[#This Row],[Goals DefA]]/Tabel5[[#This Row],[Aantal games Alg]])</f>
        <v>0</v>
      </c>
      <c r="BG150">
        <f>SUM(Tabel5[[#This Row],[Goals Aanvaller]]+Tabel5[[#This Row],[Goals OffG]])</f>
        <v>0</v>
      </c>
      <c r="BH150">
        <f>IF(Tabel5[[#This Row],[Aantal games Alg]]=0,0,Tabel5[[#This Row],[Goals OffA]]/Tabel5[[#This Row],[Aantal games Alg]])</f>
        <v>0</v>
      </c>
      <c r="BI150" s="112">
        <f>Tabel5[[#This Row],[Goals DefA]]+Tabel5[[#This Row],[Goals OffA]]</f>
        <v>0</v>
      </c>
      <c r="BJ150" s="112">
        <f>IF(Tabel5[[#This Row],[Aantal games Alg]]=0,0,Tabel5[[#This Row],[Goals Alg]]/Tabel5[[#This Row],[Aantal games Alg]])</f>
        <v>0</v>
      </c>
      <c r="BK150" s="148">
        <f>SUMIF(Tabel15[Team Rood],Tabel5[[#This Row],[Team]],Tabel15[ET])</f>
        <v>0</v>
      </c>
      <c r="BL150" s="150">
        <f>SUMIF(Tabel15[Team Groen],Tabel5[[#This Row],[Team]],Tabel15[ET])</f>
        <v>0</v>
      </c>
      <c r="BM150" s="153">
        <f>SUM(Tabel5[[#This Row],[ET Groen tot]],Tabel5[[#This Row],[ET Rood tot]])</f>
        <v>0</v>
      </c>
      <c r="BN150" s="155">
        <f>IF(Tabel5[[#This Row],[Aantal games Alg]]=0,0,Tabel5[[#This Row],[ET tot]]/Tabel5[[#This Row],[Aantal games Alg]])</f>
        <v>0</v>
      </c>
    </row>
    <row r="151" spans="1:66" x14ac:dyDescent="0.25">
      <c r="A151" s="125" t="str">
        <f ca="1">IF(Tabel15[[#This Row],[Rood Verdediging]]&lt;&gt;"",IF(A151="",NOW(),A151),"")</f>
        <v/>
      </c>
      <c r="B151" s="128" t="str">
        <f ca="1">IF(Tabel15[[#This Row],[Rood Verdediging]]&lt;&gt;"",IF(B151="",NOW(),B151),"")</f>
        <v/>
      </c>
      <c r="C151" s="126" t="str">
        <f ca="1">IF(Tabel15[[#This Row],[Score]]&lt;&gt;"",IF(C151="",NOW(),C151),"")</f>
        <v/>
      </c>
      <c r="D151" s="182" t="str">
        <f ca="1">IF(OR(Tabel15[[#This Row],[Starttijd]]="",Tabel15[[#This Row],[Eindtijd]]=""),"",Tabel15[[#This Row],[Eindtijd]]-Tabel15[[#This Row],[Starttijd]])</f>
        <v/>
      </c>
      <c r="E151" s="74">
        <v>120</v>
      </c>
      <c r="F151" s="40"/>
      <c r="G151" s="76"/>
      <c r="H151" s="40"/>
      <c r="I151" s="76"/>
      <c r="J151" s="41"/>
      <c r="K151" s="78"/>
      <c r="L151" s="41"/>
      <c r="M151" s="78"/>
      <c r="N151" s="81" t="str">
        <f t="shared" si="17"/>
        <v/>
      </c>
      <c r="O151" s="82" t="str">
        <f t="shared" si="18"/>
        <v/>
      </c>
      <c r="P15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Row],[Score4]]&lt;&gt;""),IF(AND(N151&gt;O151,N151&gt;=11),"ROOD",IF(AND(O151&gt;=11,N151&lt;&gt;O151),"GROEN","")),"")</f>
        <v/>
      </c>
      <c r="Q151" s="86" t="str">
        <f t="shared" si="19"/>
        <v/>
      </c>
      <c r="R151" s="87" t="str">
        <f t="shared" si="20"/>
        <v/>
      </c>
      <c r="S151" s="147" t="str">
        <f>Tabel15[[#This Row],[Rood Verdediging]]&amp;Tabel15[[#This Row],[Rood Aanval]]</f>
        <v/>
      </c>
      <c r="T151" s="147" t="str">
        <f>Tabel15[[#This Row],[Groen Verdediging]]&amp;Tabel15[[#This Row],[Groen Aanval]]</f>
        <v/>
      </c>
      <c r="U151" s="147" t="str">
        <f>Tabel15[[#This Row],[Winnaar 1]]&amp;Tabel15[[#This Row],[Winnaar 2]]</f>
        <v/>
      </c>
      <c r="V151" s="147" t="str">
        <f>IF(Tabel15[[#This Row],[Team Rood]]=Tabel15[[#This Row],[Winnaars]],Tabel15[[#This Row],[Team Rood]])</f>
        <v/>
      </c>
      <c r="W151" s="147" t="str">
        <f>IF(Tabel15[[#This Row],[Team Groen]]=Tabel15[[#This Row],[Winnaars]],Tabel15[[#This Row],[Team Groen]])</f>
        <v/>
      </c>
      <c r="X151" s="283"/>
      <c r="Y151" s="283"/>
      <c r="Z151" s="283"/>
      <c r="AA151" s="283"/>
      <c r="AL151" s="251" t="s">
        <v>157</v>
      </c>
      <c r="AM151" s="250" t="s">
        <v>67</v>
      </c>
      <c r="AN151" s="140" t="str">
        <f t="shared" si="21"/>
        <v>Tobi*Lawrence</v>
      </c>
      <c r="AO151" s="160">
        <f>IF(Tabel5[[#This Row],[Aantal Games Rood]]=0,0,(Tabel5[[#This Row],[Wins Rood]])/Tabel5[[#This Row],[Aantal Games Rood]])</f>
        <v>0</v>
      </c>
      <c r="AP151" s="159">
        <f>IF(Tabel5[[#This Row],[Aantal Games Groen]]=0,0,(Tabel5[[#This Row],[Wins Groen]])/Tabel5[[#This Row],[Aantal Games Groen]])</f>
        <v>0</v>
      </c>
      <c r="AQ151" s="156">
        <f>IF(Tabel5[[#This Row],[Aantal games Alg]]=0,0,(Tabel5[[#This Row],[Wins Alg]])/Tabel5[[#This Row],[Aantal games Alg]])</f>
        <v>0</v>
      </c>
      <c r="AR151" s="135">
        <f>COUNTIF(Tabel15[Winaar rood],Tabel5[[#This Row],[Team]])</f>
        <v>0</v>
      </c>
      <c r="AS151" s="134">
        <f>COUNTIF(Tabel15[Winnaar Groen],Tabel5[[#This Row],[Team]])</f>
        <v>0</v>
      </c>
      <c r="AT151">
        <f>COUNTIF(Tabel15[Winnaars],Tabel5[[#This Row],[Team]])</f>
        <v>0</v>
      </c>
      <c r="AU151" s="135">
        <f>Tabel5[[#This Row],[Aantal Games Rood]]-Tabel5[[#This Row],[Wins Rood]]</f>
        <v>0</v>
      </c>
      <c r="AV151" s="136">
        <f>Tabel5[[#This Row],[Aantal Games Groen]]-Tabel5[[#This Row],[Wins Groen]]</f>
        <v>0</v>
      </c>
      <c r="AW151" s="137">
        <f>Tabel5[[#This Row],[Aantal games Alg]]-Tabel5[[#This Row],[Wins Alg]]</f>
        <v>0</v>
      </c>
      <c r="AX151" s="138">
        <f>COUNTIF(Tabel15[Team Rood],Tabel5[[#This Row],[Team]])</f>
        <v>0</v>
      </c>
      <c r="AY151" s="136">
        <f>COUNTIF(Tabel15[Team Groen],Tabel5[[#This Row],[Team]])</f>
        <v>0</v>
      </c>
      <c r="AZ151" s="137">
        <f>Tabel5[[#This Row],[Aantal Games Rood]]+Tabel5[[#This Row],[Aantal Games Groen]]</f>
        <v>0</v>
      </c>
      <c r="BA151" s="138">
        <f>SUMIF(Tabel15[Team Rood],Tabel5[[#This Row],[Team]],Tabel15[Score])</f>
        <v>0</v>
      </c>
      <c r="BB151" s="138">
        <f>SUMIF(Tabel15[Team Rood],Tabel5[[#This Row],[Team]],Tabel15[Score2])</f>
        <v>0</v>
      </c>
      <c r="BC151" s="134">
        <f>SUMIF(Tabel15[Team Groen],Tabel5[[#This Row],[Team]],Tabel15[Score3])</f>
        <v>0</v>
      </c>
      <c r="BD151" s="136">
        <f>SUMIF(Tabel15[Team Groen],Tabel5[[#This Row],[Team]],Tabel15[Score4])</f>
        <v>0</v>
      </c>
      <c r="BE151">
        <f>SUM(Tabel5[[#This Row],[Goals Verdediger]]+Tabel5[[#This Row],[Goals DefG]])</f>
        <v>0</v>
      </c>
      <c r="BF151">
        <f>IF(Tabel5[[#This Row],[Aantal games Alg]]=0,0,Tabel5[[#This Row],[Goals DefA]]/Tabel5[[#This Row],[Aantal games Alg]])</f>
        <v>0</v>
      </c>
      <c r="BG151">
        <f>SUM(Tabel5[[#This Row],[Goals Aanvaller]]+Tabel5[[#This Row],[Goals OffG]])</f>
        <v>0</v>
      </c>
      <c r="BH151">
        <f>IF(Tabel5[[#This Row],[Aantal games Alg]]=0,0,Tabel5[[#This Row],[Goals OffA]]/Tabel5[[#This Row],[Aantal games Alg]])</f>
        <v>0</v>
      </c>
      <c r="BI151" s="112">
        <f>Tabel5[[#This Row],[Goals DefA]]+Tabel5[[#This Row],[Goals OffA]]</f>
        <v>0</v>
      </c>
      <c r="BJ151" s="112">
        <f>IF(Tabel5[[#This Row],[Aantal games Alg]]=0,0,Tabel5[[#This Row],[Goals Alg]]/Tabel5[[#This Row],[Aantal games Alg]])</f>
        <v>0</v>
      </c>
      <c r="BK151" s="148">
        <f>SUMIF(Tabel15[Team Rood],Tabel5[[#This Row],[Team]],Tabel15[ET])</f>
        <v>0</v>
      </c>
      <c r="BL151" s="150">
        <f>SUMIF(Tabel15[Team Groen],Tabel5[[#This Row],[Team]],Tabel15[ET])</f>
        <v>0</v>
      </c>
      <c r="BM151" s="153">
        <f>SUM(Tabel5[[#This Row],[ET Groen tot]],Tabel5[[#This Row],[ET Rood tot]])</f>
        <v>0</v>
      </c>
      <c r="BN151" s="155">
        <f>IF(Tabel5[[#This Row],[Aantal games Alg]]=0,0,Tabel5[[#This Row],[ET tot]]/Tabel5[[#This Row],[Aantal games Alg]])</f>
        <v>0</v>
      </c>
    </row>
    <row r="152" spans="1:66" x14ac:dyDescent="0.25">
      <c r="A152" s="125" t="str">
        <f ca="1">IF(Tabel15[[#This Row],[Rood Verdediging]]&lt;&gt;"",IF(A152="",NOW(),A152),"")</f>
        <v/>
      </c>
      <c r="B152" s="128" t="str">
        <f ca="1">IF(Tabel15[[#This Row],[Rood Verdediging]]&lt;&gt;"",IF(B152="",NOW(),B152),"")</f>
        <v/>
      </c>
      <c r="C152" s="126" t="str">
        <f ca="1">IF(Tabel15[[#This Row],[Score]]&lt;&gt;"",IF(C152="",NOW(),C152),"")</f>
        <v/>
      </c>
      <c r="D152" s="182" t="str">
        <f ca="1">IF(OR(Tabel15[[#This Row],[Starttijd]]="",Tabel15[[#This Row],[Eindtijd]]=""),"",Tabel15[[#This Row],[Eindtijd]]-Tabel15[[#This Row],[Starttijd]])</f>
        <v/>
      </c>
      <c r="E152" s="74">
        <v>120</v>
      </c>
      <c r="F152" s="40"/>
      <c r="G152" s="76"/>
      <c r="H152" s="40"/>
      <c r="I152" s="76"/>
      <c r="J152" s="41"/>
      <c r="K152" s="78"/>
      <c r="L152" s="41"/>
      <c r="M152" s="78"/>
      <c r="N152" s="81" t="str">
        <f t="shared" si="17"/>
        <v/>
      </c>
      <c r="O152" s="82" t="str">
        <f t="shared" si="18"/>
        <v/>
      </c>
      <c r="P15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Row],[Score4]]&lt;&gt;""),IF(AND(N152&gt;O152,N152&gt;=11),"ROOD",IF(AND(O152&gt;=11,N152&lt;&gt;O152),"GROEN","")),"")</f>
        <v/>
      </c>
      <c r="Q152" s="86" t="str">
        <f t="shared" si="19"/>
        <v/>
      </c>
      <c r="R152" s="87" t="str">
        <f t="shared" si="20"/>
        <v/>
      </c>
      <c r="S152" s="147" t="str">
        <f>Tabel15[[#This Row],[Rood Verdediging]]&amp;Tabel15[[#This Row],[Rood Aanval]]</f>
        <v/>
      </c>
      <c r="T152" s="147" t="str">
        <f>Tabel15[[#This Row],[Groen Verdediging]]&amp;Tabel15[[#This Row],[Groen Aanval]]</f>
        <v/>
      </c>
      <c r="U152" s="147" t="str">
        <f>Tabel15[[#This Row],[Winnaar 1]]&amp;Tabel15[[#This Row],[Winnaar 2]]</f>
        <v/>
      </c>
      <c r="V152" s="147" t="str">
        <f>IF(Tabel15[[#This Row],[Team Rood]]=Tabel15[[#This Row],[Winnaars]],Tabel15[[#This Row],[Team Rood]])</f>
        <v/>
      </c>
      <c r="W152" s="147" t="str">
        <f>IF(Tabel15[[#This Row],[Team Groen]]=Tabel15[[#This Row],[Winnaars]],Tabel15[[#This Row],[Team Groen]])</f>
        <v/>
      </c>
      <c r="X152" s="283"/>
      <c r="Y152" s="283"/>
      <c r="Z152" s="283"/>
      <c r="AA152" s="283"/>
      <c r="AL152" s="251" t="s">
        <v>157</v>
      </c>
      <c r="AM152" s="250" t="s">
        <v>161</v>
      </c>
      <c r="AN152" s="140" t="str">
        <f t="shared" si="21"/>
        <v>Tobi*Louis*</v>
      </c>
      <c r="AO152" s="160">
        <f>IF(Tabel5[[#This Row],[Aantal Games Rood]]=0,0,(Tabel5[[#This Row],[Wins Rood]])/Tabel5[[#This Row],[Aantal Games Rood]])</f>
        <v>0</v>
      </c>
      <c r="AP152" s="159">
        <f>IF(Tabel5[[#This Row],[Aantal Games Groen]]=0,0,(Tabel5[[#This Row],[Wins Groen]])/Tabel5[[#This Row],[Aantal Games Groen]])</f>
        <v>0</v>
      </c>
      <c r="AQ152" s="156">
        <f>IF(Tabel5[[#This Row],[Aantal games Alg]]=0,0,(Tabel5[[#This Row],[Wins Alg]])/Tabel5[[#This Row],[Aantal games Alg]])</f>
        <v>0</v>
      </c>
      <c r="AR152" s="135">
        <f>COUNTIF(Tabel15[Winaar rood],Tabel5[[#This Row],[Team]])</f>
        <v>0</v>
      </c>
      <c r="AS152" s="134">
        <f>COUNTIF(Tabel15[Winnaar Groen],Tabel5[[#This Row],[Team]])</f>
        <v>0</v>
      </c>
      <c r="AT152">
        <f>COUNTIF(Tabel15[Winnaars],Tabel5[[#This Row],[Team]])</f>
        <v>0</v>
      </c>
      <c r="AU152" s="135">
        <f>Tabel5[[#This Row],[Aantal Games Rood]]-Tabel5[[#This Row],[Wins Rood]]</f>
        <v>0</v>
      </c>
      <c r="AV152" s="136">
        <f>Tabel5[[#This Row],[Aantal Games Groen]]-Tabel5[[#This Row],[Wins Groen]]</f>
        <v>0</v>
      </c>
      <c r="AW152" s="137">
        <f>Tabel5[[#This Row],[Aantal games Alg]]-Tabel5[[#This Row],[Wins Alg]]</f>
        <v>0</v>
      </c>
      <c r="AX152" s="138">
        <f>COUNTIF(Tabel15[Team Rood],Tabel5[[#This Row],[Team]])</f>
        <v>0</v>
      </c>
      <c r="AY152" s="136">
        <f>COUNTIF(Tabel15[Team Groen],Tabel5[[#This Row],[Team]])</f>
        <v>0</v>
      </c>
      <c r="AZ152" s="137">
        <f>Tabel5[[#This Row],[Aantal Games Rood]]+Tabel5[[#This Row],[Aantal Games Groen]]</f>
        <v>0</v>
      </c>
      <c r="BA152" s="138">
        <f>SUMIF(Tabel15[Team Rood],Tabel5[[#This Row],[Team]],Tabel15[Score])</f>
        <v>0</v>
      </c>
      <c r="BB152" s="138">
        <f>SUMIF(Tabel15[Team Rood],Tabel5[[#This Row],[Team]],Tabel15[Score2])</f>
        <v>0</v>
      </c>
      <c r="BC152" s="134">
        <f>SUMIF(Tabel15[Team Groen],Tabel5[[#This Row],[Team]],Tabel15[Score3])</f>
        <v>0</v>
      </c>
      <c r="BD152" s="136">
        <f>SUMIF(Tabel15[Team Groen],Tabel5[[#This Row],[Team]],Tabel15[Score4])</f>
        <v>0</v>
      </c>
      <c r="BE152">
        <f>SUM(Tabel5[[#This Row],[Goals Verdediger]]+Tabel5[[#This Row],[Goals DefG]])</f>
        <v>0</v>
      </c>
      <c r="BF152">
        <f>IF(Tabel5[[#This Row],[Aantal games Alg]]=0,0,Tabel5[[#This Row],[Goals DefA]]/Tabel5[[#This Row],[Aantal games Alg]])</f>
        <v>0</v>
      </c>
      <c r="BG152">
        <f>SUM(Tabel5[[#This Row],[Goals Aanvaller]]+Tabel5[[#This Row],[Goals OffG]])</f>
        <v>0</v>
      </c>
      <c r="BH152">
        <f>IF(Tabel5[[#This Row],[Aantal games Alg]]=0,0,Tabel5[[#This Row],[Goals OffA]]/Tabel5[[#This Row],[Aantal games Alg]])</f>
        <v>0</v>
      </c>
      <c r="BI152" s="112">
        <f>Tabel5[[#This Row],[Goals DefA]]+Tabel5[[#This Row],[Goals OffA]]</f>
        <v>0</v>
      </c>
      <c r="BJ152" s="112">
        <f>IF(Tabel5[[#This Row],[Aantal games Alg]]=0,0,Tabel5[[#This Row],[Goals Alg]]/Tabel5[[#This Row],[Aantal games Alg]])</f>
        <v>0</v>
      </c>
      <c r="BK152" s="148">
        <f>SUMIF(Tabel15[Team Rood],Tabel5[[#This Row],[Team]],Tabel15[ET])</f>
        <v>0</v>
      </c>
      <c r="BL152" s="150">
        <f>SUMIF(Tabel15[Team Groen],Tabel5[[#This Row],[Team]],Tabel15[ET])</f>
        <v>0</v>
      </c>
      <c r="BM152" s="153">
        <f>SUM(Tabel5[[#This Row],[ET Groen tot]],Tabel5[[#This Row],[ET Rood tot]])</f>
        <v>0</v>
      </c>
      <c r="BN152" s="155">
        <f>IF(Tabel5[[#This Row],[Aantal games Alg]]=0,0,Tabel5[[#This Row],[ET tot]]/Tabel5[[#This Row],[Aantal games Alg]])</f>
        <v>0</v>
      </c>
    </row>
    <row r="153" spans="1:66" x14ac:dyDescent="0.25">
      <c r="A153" s="125" t="str">
        <f ca="1">IF(Tabel15[[#This Row],[Rood Verdediging]]&lt;&gt;"",IF(A153="",NOW(),A153),"")</f>
        <v/>
      </c>
      <c r="B153" s="128" t="str">
        <f ca="1">IF(Tabel15[[#This Row],[Rood Verdediging]]&lt;&gt;"",IF(B153="",NOW(),B153),"")</f>
        <v/>
      </c>
      <c r="C153" s="126" t="str">
        <f ca="1">IF(Tabel15[[#This Row],[Score]]&lt;&gt;"",IF(C153="",NOW(),C153),"")</f>
        <v/>
      </c>
      <c r="D153" s="182" t="str">
        <f ca="1">IF(OR(Tabel15[[#This Row],[Starttijd]]="",Tabel15[[#This Row],[Eindtijd]]=""),"",Tabel15[[#This Row],[Eindtijd]]-Tabel15[[#This Row],[Starttijd]])</f>
        <v/>
      </c>
      <c r="E153" s="74">
        <v>120</v>
      </c>
      <c r="F153" s="40"/>
      <c r="G153" s="76"/>
      <c r="H153" s="40"/>
      <c r="I153" s="76"/>
      <c r="J153" s="41"/>
      <c r="K153" s="78"/>
      <c r="L153" s="41"/>
      <c r="M153" s="78"/>
      <c r="N153" s="81" t="str">
        <f t="shared" si="17"/>
        <v/>
      </c>
      <c r="O153" s="82" t="str">
        <f t="shared" si="18"/>
        <v/>
      </c>
      <c r="P15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Row],[Score4]]&lt;&gt;""),IF(AND(N153&gt;O153,N153&gt;=11),"ROOD",IF(AND(O153&gt;=11,N153&lt;&gt;O153),"GROEN","")),"")</f>
        <v/>
      </c>
      <c r="Q153" s="86" t="str">
        <f t="shared" si="19"/>
        <v/>
      </c>
      <c r="R153" s="87" t="str">
        <f t="shared" si="20"/>
        <v/>
      </c>
      <c r="S153" s="147" t="str">
        <f>Tabel15[[#This Row],[Rood Verdediging]]&amp;Tabel15[[#This Row],[Rood Aanval]]</f>
        <v/>
      </c>
      <c r="T153" s="147" t="str">
        <f>Tabel15[[#This Row],[Groen Verdediging]]&amp;Tabel15[[#This Row],[Groen Aanval]]</f>
        <v/>
      </c>
      <c r="U153" s="147" t="str">
        <f>Tabel15[[#This Row],[Winnaar 1]]&amp;Tabel15[[#This Row],[Winnaar 2]]</f>
        <v/>
      </c>
      <c r="V153" s="147" t="str">
        <f>IF(Tabel15[[#This Row],[Team Rood]]=Tabel15[[#This Row],[Winnaars]],Tabel15[[#This Row],[Team Rood]])</f>
        <v/>
      </c>
      <c r="W153" s="147" t="str">
        <f>IF(Tabel15[[#This Row],[Team Groen]]=Tabel15[[#This Row],[Winnaars]],Tabel15[[#This Row],[Team Groen]])</f>
        <v/>
      </c>
      <c r="X153" s="283"/>
      <c r="Y153" s="283"/>
      <c r="Z153" s="283"/>
      <c r="AA153" s="283"/>
      <c r="AL153" s="251" t="s">
        <v>157</v>
      </c>
      <c r="AM153" s="250" t="s">
        <v>162</v>
      </c>
      <c r="AN153" s="140" t="str">
        <f t="shared" si="21"/>
        <v>Tobi*Matthijs*</v>
      </c>
      <c r="AO153" s="160">
        <f>IF(Tabel5[[#This Row],[Aantal Games Rood]]=0,0,(Tabel5[[#This Row],[Wins Rood]])/Tabel5[[#This Row],[Aantal Games Rood]])</f>
        <v>0</v>
      </c>
      <c r="AP153" s="159">
        <f>IF(Tabel5[[#This Row],[Aantal Games Groen]]=0,0,(Tabel5[[#This Row],[Wins Groen]])/Tabel5[[#This Row],[Aantal Games Groen]])</f>
        <v>0</v>
      </c>
      <c r="AQ153" s="156">
        <f>IF(Tabel5[[#This Row],[Aantal games Alg]]=0,0,(Tabel5[[#This Row],[Wins Alg]])/Tabel5[[#This Row],[Aantal games Alg]])</f>
        <v>0</v>
      </c>
      <c r="AR153" s="135">
        <f>COUNTIF(Tabel15[Winaar rood],Tabel5[[#This Row],[Team]])</f>
        <v>0</v>
      </c>
      <c r="AS153" s="134">
        <f>COUNTIF(Tabel15[Winnaar Groen],Tabel5[[#This Row],[Team]])</f>
        <v>0</v>
      </c>
      <c r="AT153">
        <f>COUNTIF(Tabel15[Winnaars],Tabel5[[#This Row],[Team]])</f>
        <v>0</v>
      </c>
      <c r="AU153" s="135">
        <f>Tabel5[[#This Row],[Aantal Games Rood]]-Tabel5[[#This Row],[Wins Rood]]</f>
        <v>0</v>
      </c>
      <c r="AV153" s="136">
        <f>Tabel5[[#This Row],[Aantal Games Groen]]-Tabel5[[#This Row],[Wins Groen]]</f>
        <v>0</v>
      </c>
      <c r="AW153" s="137">
        <f>Tabel5[[#This Row],[Aantal games Alg]]-Tabel5[[#This Row],[Wins Alg]]</f>
        <v>0</v>
      </c>
      <c r="AX153" s="138">
        <f>COUNTIF(Tabel15[Team Rood],Tabel5[[#This Row],[Team]])</f>
        <v>0</v>
      </c>
      <c r="AY153" s="136">
        <f>COUNTIF(Tabel15[Team Groen],Tabel5[[#This Row],[Team]])</f>
        <v>0</v>
      </c>
      <c r="AZ153" s="137">
        <f>Tabel5[[#This Row],[Aantal Games Rood]]+Tabel5[[#This Row],[Aantal Games Groen]]</f>
        <v>0</v>
      </c>
      <c r="BA153" s="138">
        <f>SUMIF(Tabel15[Team Rood],Tabel5[[#This Row],[Team]],Tabel15[Score])</f>
        <v>0</v>
      </c>
      <c r="BB153" s="138">
        <f>SUMIF(Tabel15[Team Rood],Tabel5[[#This Row],[Team]],Tabel15[Score2])</f>
        <v>0</v>
      </c>
      <c r="BC153" s="134">
        <f>SUMIF(Tabel15[Team Groen],Tabel5[[#This Row],[Team]],Tabel15[Score3])</f>
        <v>0</v>
      </c>
      <c r="BD153" s="136">
        <f>SUMIF(Tabel15[Team Groen],Tabel5[[#This Row],[Team]],Tabel15[Score4])</f>
        <v>0</v>
      </c>
      <c r="BE153">
        <f>SUM(Tabel5[[#This Row],[Goals Verdediger]]+Tabel5[[#This Row],[Goals DefG]])</f>
        <v>0</v>
      </c>
      <c r="BF153">
        <f>IF(Tabel5[[#This Row],[Aantal games Alg]]=0,0,Tabel5[[#This Row],[Goals DefA]]/Tabel5[[#This Row],[Aantal games Alg]])</f>
        <v>0</v>
      </c>
      <c r="BG153">
        <f>SUM(Tabel5[[#This Row],[Goals Aanvaller]]+Tabel5[[#This Row],[Goals OffG]])</f>
        <v>0</v>
      </c>
      <c r="BH153">
        <f>IF(Tabel5[[#This Row],[Aantal games Alg]]=0,0,Tabel5[[#This Row],[Goals OffA]]/Tabel5[[#This Row],[Aantal games Alg]])</f>
        <v>0</v>
      </c>
      <c r="BI153" s="112">
        <f>Tabel5[[#This Row],[Goals DefA]]+Tabel5[[#This Row],[Goals OffA]]</f>
        <v>0</v>
      </c>
      <c r="BJ153" s="112">
        <f>IF(Tabel5[[#This Row],[Aantal games Alg]]=0,0,Tabel5[[#This Row],[Goals Alg]]/Tabel5[[#This Row],[Aantal games Alg]])</f>
        <v>0</v>
      </c>
      <c r="BK153" s="148">
        <f>SUMIF(Tabel15[Team Rood],Tabel5[[#This Row],[Team]],Tabel15[ET])</f>
        <v>0</v>
      </c>
      <c r="BL153" s="150">
        <f>SUMIF(Tabel15[Team Groen],Tabel5[[#This Row],[Team]],Tabel15[ET])</f>
        <v>0</v>
      </c>
      <c r="BM153" s="153">
        <f>SUM(Tabel5[[#This Row],[ET Groen tot]],Tabel5[[#This Row],[ET Rood tot]])</f>
        <v>0</v>
      </c>
      <c r="BN153" s="155">
        <f>IF(Tabel5[[#This Row],[Aantal games Alg]]=0,0,Tabel5[[#This Row],[ET tot]]/Tabel5[[#This Row],[Aantal games Alg]])</f>
        <v>0</v>
      </c>
    </row>
    <row r="154" spans="1:66" x14ac:dyDescent="0.25">
      <c r="A154" s="125" t="str">
        <f ca="1">IF(Tabel15[[#This Row],[Rood Verdediging]]&lt;&gt;"",IF(A154="",NOW(),A154),"")</f>
        <v/>
      </c>
      <c r="B154" s="128" t="str">
        <f ca="1">IF(Tabel15[[#This Row],[Rood Verdediging]]&lt;&gt;"",IF(B154="",NOW(),B154),"")</f>
        <v/>
      </c>
      <c r="C154" s="126" t="str">
        <f ca="1">IF(Tabel15[[#This Row],[Score]]&lt;&gt;"",IF(C154="",NOW(),C154),"")</f>
        <v/>
      </c>
      <c r="D154" s="182" t="str">
        <f ca="1">IF(OR(Tabel15[[#This Row],[Starttijd]]="",Tabel15[[#This Row],[Eindtijd]]=""),"",Tabel15[[#This Row],[Eindtijd]]-Tabel15[[#This Row],[Starttijd]])</f>
        <v/>
      </c>
      <c r="E154" s="74">
        <v>120</v>
      </c>
      <c r="F154" s="40"/>
      <c r="G154" s="76"/>
      <c r="H154" s="40"/>
      <c r="I154" s="76"/>
      <c r="J154" s="41"/>
      <c r="K154" s="78"/>
      <c r="L154" s="41"/>
      <c r="M154" s="78"/>
      <c r="N154" s="81" t="str">
        <f t="shared" si="17"/>
        <v/>
      </c>
      <c r="O154" s="82" t="str">
        <f t="shared" si="18"/>
        <v/>
      </c>
      <c r="P15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Row],[Score4]]&lt;&gt;""),IF(AND(N154&gt;O154,N154&gt;=11),"ROOD",IF(AND(O154&gt;=11,N154&lt;&gt;O154),"GROEN","")),"")</f>
        <v/>
      </c>
      <c r="Q154" s="86" t="str">
        <f t="shared" si="19"/>
        <v/>
      </c>
      <c r="R154" s="87" t="str">
        <f t="shared" si="20"/>
        <v/>
      </c>
      <c r="S154" s="147" t="str">
        <f>Tabel15[[#This Row],[Rood Verdediging]]&amp;Tabel15[[#This Row],[Rood Aanval]]</f>
        <v/>
      </c>
      <c r="T154" s="147" t="str">
        <f>Tabel15[[#This Row],[Groen Verdediging]]&amp;Tabel15[[#This Row],[Groen Aanval]]</f>
        <v/>
      </c>
      <c r="U154" s="147" t="str">
        <f>Tabel15[[#This Row],[Winnaar 1]]&amp;Tabel15[[#This Row],[Winnaar 2]]</f>
        <v/>
      </c>
      <c r="V154" s="147" t="str">
        <f>IF(Tabel15[[#This Row],[Team Rood]]=Tabel15[[#This Row],[Winnaars]],Tabel15[[#This Row],[Team Rood]])</f>
        <v/>
      </c>
      <c r="W154" s="147" t="str">
        <f>IF(Tabel15[[#This Row],[Team Groen]]=Tabel15[[#This Row],[Winnaars]],Tabel15[[#This Row],[Team Groen]])</f>
        <v/>
      </c>
      <c r="X154" s="283"/>
      <c r="Y154" s="283"/>
      <c r="Z154" s="283"/>
      <c r="AA154" s="283"/>
      <c r="AL154" s="251" t="s">
        <v>157</v>
      </c>
      <c r="AM154" s="250" t="s">
        <v>170</v>
      </c>
      <c r="AN154" s="140" t="str">
        <f t="shared" si="21"/>
        <v>Tobi*Nico*</v>
      </c>
      <c r="AO154" s="160">
        <f>IF(Tabel5[[#This Row],[Aantal Games Rood]]=0,0,(Tabel5[[#This Row],[Wins Rood]])/Tabel5[[#This Row],[Aantal Games Rood]])</f>
        <v>0</v>
      </c>
      <c r="AP154" s="159">
        <f>IF(Tabel5[[#This Row],[Aantal Games Groen]]=0,0,(Tabel5[[#This Row],[Wins Groen]])/Tabel5[[#This Row],[Aantal Games Groen]])</f>
        <v>0</v>
      </c>
      <c r="AQ154" s="156">
        <f>IF(Tabel5[[#This Row],[Aantal games Alg]]=0,0,(Tabel5[[#This Row],[Wins Alg]])/Tabel5[[#This Row],[Aantal games Alg]])</f>
        <v>0</v>
      </c>
      <c r="AR154" s="163">
        <f>COUNTIF(Tabel15[Winaar rood],Tabel5[[#This Row],[Team]])</f>
        <v>0</v>
      </c>
      <c r="AS154" s="169">
        <f>COUNTIF(Tabel15[Winnaar Groen],Tabel5[[#This Row],[Team]])</f>
        <v>0</v>
      </c>
      <c r="AT154" s="170">
        <f>COUNTIF(Tabel15[Winnaars],Tabel5[[#This Row],[Team]])</f>
        <v>0</v>
      </c>
      <c r="AU154" s="163">
        <f>Tabel5[[#This Row],[Aantal Games Rood]]-Tabel5[[#This Row],[Wins Rood]]</f>
        <v>0</v>
      </c>
      <c r="AV154" s="169">
        <f>Tabel5[[#This Row],[Aantal Games Groen]]-Tabel5[[#This Row],[Wins Groen]]</f>
        <v>0</v>
      </c>
      <c r="AW154" s="165">
        <f>Tabel5[[#This Row],[Aantal games Alg]]-Tabel5[[#This Row],[Wins Alg]]</f>
        <v>0</v>
      </c>
      <c r="AX154" s="171">
        <f>COUNTIF(Tabel15[Team Rood],Tabel5[[#This Row],[Team]])</f>
        <v>0</v>
      </c>
      <c r="AY154" s="169">
        <f>COUNTIF(Tabel15[Team Groen],Tabel5[[#This Row],[Team]])</f>
        <v>0</v>
      </c>
      <c r="AZ154" s="165">
        <f>Tabel5[[#This Row],[Aantal Games Rood]]+Tabel5[[#This Row],[Aantal Games Groen]]</f>
        <v>0</v>
      </c>
      <c r="BA154" s="171">
        <f>SUMIF(Tabel15[Team Rood],Tabel5[[#This Row],[Team]],Tabel15[Score])</f>
        <v>0</v>
      </c>
      <c r="BB154" s="171">
        <f>SUMIF(Tabel15[Team Rood],Tabel5[[#This Row],[Team]],Tabel15[Score2])</f>
        <v>0</v>
      </c>
      <c r="BC154" s="136">
        <f>SUMIF(Tabel15[Team Groen],Tabel5[[#This Row],[Team]],Tabel15[Score3])</f>
        <v>0</v>
      </c>
      <c r="BD154" s="169">
        <f>SUMIF(Tabel15[Team Groen],Tabel5[[#This Row],[Team]],Tabel15[Score4])</f>
        <v>0</v>
      </c>
      <c r="BE154" s="172">
        <f>SUM(Tabel5[[#This Row],[Goals Verdediger]]+Tabel5[[#This Row],[Goals DefG]])</f>
        <v>0</v>
      </c>
      <c r="BF154" s="170">
        <f>IF(Tabel5[[#This Row],[Aantal games Alg]]=0,0,Tabel5[[#This Row],[Goals DefA]]/Tabel5[[#This Row],[Aantal games Alg]])</f>
        <v>0</v>
      </c>
      <c r="BG154" s="172">
        <f>SUM(Tabel5[[#This Row],[Goals Aanvaller]]+Tabel5[[#This Row],[Goals OffG]])</f>
        <v>0</v>
      </c>
      <c r="BH154" s="170">
        <f>IF(Tabel5[[#This Row],[Aantal games Alg]]=0,0,Tabel5[[#This Row],[Goals OffA]]/Tabel5[[#This Row],[Aantal games Alg]])</f>
        <v>0</v>
      </c>
      <c r="BI154" s="170">
        <f>Tabel5[[#This Row],[Goals DefA]]+Tabel5[[#This Row],[Goals OffA]]</f>
        <v>0</v>
      </c>
      <c r="BJ154" s="170">
        <f>IF(Tabel5[[#This Row],[Aantal games Alg]]=0,0,Tabel5[[#This Row],[Goals Alg]]/Tabel5[[#This Row],[Aantal games Alg]])</f>
        <v>0</v>
      </c>
      <c r="BK154" s="148">
        <f>SUMIF(Tabel15[Team Rood],Tabel5[[#This Row],[Team]],Tabel15[ET])</f>
        <v>0</v>
      </c>
      <c r="BL154" s="150">
        <f>SUMIF(Tabel15[Team Groen],Tabel5[[#This Row],[Team]],Tabel15[ET])</f>
        <v>0</v>
      </c>
      <c r="BM154" s="153">
        <f>SUM(Tabel5[[#This Row],[ET Groen tot]],Tabel5[[#This Row],[ET Rood tot]])</f>
        <v>0</v>
      </c>
      <c r="BN154" s="155">
        <f>IF(Tabel5[[#This Row],[Aantal games Alg]]=0,0,Tabel5[[#This Row],[ET tot]]/Tabel5[[#This Row],[Aantal games Alg]])</f>
        <v>0</v>
      </c>
    </row>
    <row r="155" spans="1:66" x14ac:dyDescent="0.25">
      <c r="A155" s="125" t="str">
        <f ca="1">IF(Tabel15[[#This Row],[Rood Verdediging]]&lt;&gt;"",IF(A155="",NOW(),A155),"")</f>
        <v/>
      </c>
      <c r="B155" s="128" t="str">
        <f ca="1">IF(Tabel15[[#This Row],[Rood Verdediging]]&lt;&gt;"",IF(B155="",NOW(),B155),"")</f>
        <v/>
      </c>
      <c r="C155" s="126" t="str">
        <f ca="1">IF(Tabel15[[#This Row],[Score]]&lt;&gt;"",IF(C155="",NOW(),C155),"")</f>
        <v/>
      </c>
      <c r="D155" s="182" t="str">
        <f ca="1">IF(OR(Tabel15[[#This Row],[Starttijd]]="",Tabel15[[#This Row],[Eindtijd]]=""),"",Tabel15[[#This Row],[Eindtijd]]-Tabel15[[#This Row],[Starttijd]])</f>
        <v/>
      </c>
      <c r="E155" s="74">
        <v>120</v>
      </c>
      <c r="F155" s="40"/>
      <c r="G155" s="76"/>
      <c r="H155" s="40"/>
      <c r="I155" s="76"/>
      <c r="J155" s="41"/>
      <c r="K155" s="78"/>
      <c r="L155" s="41"/>
      <c r="M155" s="78"/>
      <c r="N155" s="81" t="str">
        <f t="shared" si="17"/>
        <v/>
      </c>
      <c r="O155" s="82" t="str">
        <f t="shared" si="18"/>
        <v/>
      </c>
      <c r="P15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Row],[Score4]]&lt;&gt;""),IF(AND(N155&gt;O155,N155&gt;=11),"ROOD",IF(AND(O155&gt;=11,N155&lt;&gt;O155),"GROEN","")),"")</f>
        <v/>
      </c>
      <c r="Q155" s="86" t="str">
        <f t="shared" si="19"/>
        <v/>
      </c>
      <c r="R155" s="87" t="str">
        <f t="shared" si="20"/>
        <v/>
      </c>
      <c r="S155" s="147" t="str">
        <f>Tabel15[[#This Row],[Rood Verdediging]]&amp;Tabel15[[#This Row],[Rood Aanval]]</f>
        <v/>
      </c>
      <c r="T155" s="147" t="str">
        <f>Tabel15[[#This Row],[Groen Verdediging]]&amp;Tabel15[[#This Row],[Groen Aanval]]</f>
        <v/>
      </c>
      <c r="U155" s="147" t="str">
        <f>Tabel15[[#This Row],[Winnaar 1]]&amp;Tabel15[[#This Row],[Winnaar 2]]</f>
        <v/>
      </c>
      <c r="V155" s="147" t="str">
        <f>IF(Tabel15[[#This Row],[Team Rood]]=Tabel15[[#This Row],[Winnaars]],Tabel15[[#This Row],[Team Rood]])</f>
        <v/>
      </c>
      <c r="W155" s="147" t="str">
        <f>IF(Tabel15[[#This Row],[Team Groen]]=Tabel15[[#This Row],[Winnaars]],Tabel15[[#This Row],[Team Groen]])</f>
        <v/>
      </c>
      <c r="X155" s="283"/>
      <c r="Y155" s="283"/>
      <c r="Z155" s="283"/>
      <c r="AA155" s="283"/>
      <c r="AL155" s="251" t="s">
        <v>157</v>
      </c>
      <c r="AM155" s="250" t="s">
        <v>169</v>
      </c>
      <c r="AN155" s="140" t="str">
        <f t="shared" si="21"/>
        <v>Tobi*Stef*</v>
      </c>
      <c r="AO155" s="160">
        <f>IF(Tabel5[[#This Row],[Aantal Games Rood]]=0,0,(Tabel5[[#This Row],[Wins Rood]])/Tabel5[[#This Row],[Aantal Games Rood]])</f>
        <v>0</v>
      </c>
      <c r="AP155" s="159">
        <f>IF(Tabel5[[#This Row],[Aantal Games Groen]]=0,0,(Tabel5[[#This Row],[Wins Groen]])/Tabel5[[#This Row],[Aantal Games Groen]])</f>
        <v>0</v>
      </c>
      <c r="AQ155" s="156">
        <f>IF(Tabel5[[#This Row],[Aantal games Alg]]=0,0,(Tabel5[[#This Row],[Wins Alg]])/Tabel5[[#This Row],[Aantal games Alg]])</f>
        <v>0</v>
      </c>
      <c r="AR155" s="135">
        <f>COUNTIF(Tabel15[Winaar rood],Tabel5[[#This Row],[Team]])</f>
        <v>0</v>
      </c>
      <c r="AS155" s="134">
        <f>COUNTIF(Tabel15[Winnaar Groen],Tabel5[[#This Row],[Team]])</f>
        <v>0</v>
      </c>
      <c r="AT155">
        <f>COUNTIF(Tabel15[Winnaars],Tabel5[[#This Row],[Team]])</f>
        <v>0</v>
      </c>
      <c r="AU155" s="135">
        <f>Tabel5[[#This Row],[Aantal Games Rood]]-Tabel5[[#This Row],[Wins Rood]]</f>
        <v>0</v>
      </c>
      <c r="AV155" s="136">
        <f>Tabel5[[#This Row],[Aantal Games Groen]]-Tabel5[[#This Row],[Wins Groen]]</f>
        <v>0</v>
      </c>
      <c r="AW155" s="137">
        <f>Tabel5[[#This Row],[Aantal games Alg]]-Tabel5[[#This Row],[Wins Alg]]</f>
        <v>0</v>
      </c>
      <c r="AX155" s="138">
        <f>COUNTIF(Tabel15[Team Rood],Tabel5[[#This Row],[Team]])</f>
        <v>0</v>
      </c>
      <c r="AY155" s="136">
        <f>COUNTIF(Tabel15[Team Groen],Tabel5[[#This Row],[Team]])</f>
        <v>0</v>
      </c>
      <c r="AZ155" s="137">
        <f>Tabel5[[#This Row],[Aantal Games Rood]]+Tabel5[[#This Row],[Aantal Games Groen]]</f>
        <v>0</v>
      </c>
      <c r="BA155" s="138">
        <f>SUMIF(Tabel15[Team Rood],Tabel5[[#This Row],[Team]],Tabel15[Score])</f>
        <v>0</v>
      </c>
      <c r="BB155" s="138">
        <f>SUMIF(Tabel15[Team Rood],Tabel5[[#This Row],[Team]],Tabel15[Score2])</f>
        <v>0</v>
      </c>
      <c r="BC155" s="134">
        <f>SUMIF(Tabel15[Team Groen],Tabel5[[#This Row],[Team]],Tabel15[Score3])</f>
        <v>0</v>
      </c>
      <c r="BD155" s="136">
        <f>SUMIF(Tabel15[Team Groen],Tabel5[[#This Row],[Team]],Tabel15[Score4])</f>
        <v>0</v>
      </c>
      <c r="BE155">
        <f>SUM(Tabel5[[#This Row],[Goals Verdediger]]+Tabel5[[#This Row],[Goals DefG]])</f>
        <v>0</v>
      </c>
      <c r="BF155">
        <f>IF(Tabel5[[#This Row],[Aantal games Alg]]=0,0,Tabel5[[#This Row],[Goals DefA]]/Tabel5[[#This Row],[Aantal games Alg]])</f>
        <v>0</v>
      </c>
      <c r="BG155">
        <f>SUM(Tabel5[[#This Row],[Goals Aanvaller]]+Tabel5[[#This Row],[Goals OffG]])</f>
        <v>0</v>
      </c>
      <c r="BH155">
        <f>IF(Tabel5[[#This Row],[Aantal games Alg]]=0,0,Tabel5[[#This Row],[Goals OffA]]/Tabel5[[#This Row],[Aantal games Alg]])</f>
        <v>0</v>
      </c>
      <c r="BI155" s="112">
        <f>Tabel5[[#This Row],[Goals DefA]]+Tabel5[[#This Row],[Goals OffA]]</f>
        <v>0</v>
      </c>
      <c r="BJ155" s="112">
        <f>IF(Tabel5[[#This Row],[Aantal games Alg]]=0,0,Tabel5[[#This Row],[Goals Alg]]/Tabel5[[#This Row],[Aantal games Alg]])</f>
        <v>0</v>
      </c>
      <c r="BK155" s="148">
        <f>SUMIF(Tabel15[Team Rood],Tabel5[[#This Row],[Team]],Tabel15[ET])</f>
        <v>0</v>
      </c>
      <c r="BL155" s="150">
        <f>SUMIF(Tabel15[Team Groen],Tabel5[[#This Row],[Team]],Tabel15[ET])</f>
        <v>0</v>
      </c>
      <c r="BM155" s="153">
        <f>SUM(Tabel5[[#This Row],[ET Groen tot]],Tabel5[[#This Row],[ET Rood tot]])</f>
        <v>0</v>
      </c>
      <c r="BN155" s="155">
        <f>IF(Tabel5[[#This Row],[Aantal games Alg]]=0,0,Tabel5[[#This Row],[ET tot]]/Tabel5[[#This Row],[Aantal games Alg]])</f>
        <v>0</v>
      </c>
    </row>
    <row r="156" spans="1:66" x14ac:dyDescent="0.25">
      <c r="A156" s="125" t="str">
        <f ca="1">IF(Tabel15[[#This Row],[Rood Verdediging]]&lt;&gt;"",IF(A156="",NOW(),A156),"")</f>
        <v/>
      </c>
      <c r="B156" s="128" t="str">
        <f ca="1">IF(Tabel15[[#This Row],[Rood Verdediging]]&lt;&gt;"",IF(B156="",NOW(),B156),"")</f>
        <v/>
      </c>
      <c r="C156" s="126" t="str">
        <f ca="1">IF(Tabel15[[#This Row],[Score]]&lt;&gt;"",IF(C156="",NOW(),C156),"")</f>
        <v/>
      </c>
      <c r="D156" s="182" t="str">
        <f ca="1">IF(OR(Tabel15[[#This Row],[Starttijd]]="",Tabel15[[#This Row],[Eindtijd]]=""),"",Tabel15[[#This Row],[Eindtijd]]-Tabel15[[#This Row],[Starttijd]])</f>
        <v/>
      </c>
      <c r="E156" s="74">
        <v>120</v>
      </c>
      <c r="F156" s="40"/>
      <c r="G156" s="76"/>
      <c r="H156" s="40"/>
      <c r="I156" s="76"/>
      <c r="J156" s="41"/>
      <c r="K156" s="78"/>
      <c r="L156" s="41"/>
      <c r="M156" s="78"/>
      <c r="N156" s="81" t="str">
        <f t="shared" si="17"/>
        <v/>
      </c>
      <c r="O156" s="82" t="str">
        <f t="shared" si="18"/>
        <v/>
      </c>
      <c r="P15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Row],[Score4]]&lt;&gt;""),IF(AND(N156&gt;O156,N156&gt;=11),"ROOD",IF(AND(O156&gt;=11,N156&lt;&gt;O156),"GROEN","")),"")</f>
        <v/>
      </c>
      <c r="Q156" s="86" t="str">
        <f t="shared" si="19"/>
        <v/>
      </c>
      <c r="R156" s="87" t="str">
        <f t="shared" si="20"/>
        <v/>
      </c>
      <c r="S156" s="147" t="str">
        <f>Tabel15[[#This Row],[Rood Verdediging]]&amp;Tabel15[[#This Row],[Rood Aanval]]</f>
        <v/>
      </c>
      <c r="T156" s="147" t="str">
        <f>Tabel15[[#This Row],[Groen Verdediging]]&amp;Tabel15[[#This Row],[Groen Aanval]]</f>
        <v/>
      </c>
      <c r="U156" s="147" t="str">
        <f>Tabel15[[#This Row],[Winnaar 1]]&amp;Tabel15[[#This Row],[Winnaar 2]]</f>
        <v/>
      </c>
      <c r="V156" s="147" t="str">
        <f>IF(Tabel15[[#This Row],[Team Rood]]=Tabel15[[#This Row],[Winnaars]],Tabel15[[#This Row],[Team Rood]])</f>
        <v/>
      </c>
      <c r="W156" s="147" t="str">
        <f>IF(Tabel15[[#This Row],[Team Groen]]=Tabel15[[#This Row],[Winnaars]],Tabel15[[#This Row],[Team Groen]])</f>
        <v/>
      </c>
      <c r="X156" s="283"/>
      <c r="Y156" s="283"/>
      <c r="Z156" s="283"/>
      <c r="AA156" s="283"/>
      <c r="AL156" s="251" t="s">
        <v>157</v>
      </c>
      <c r="AM156" s="250" t="s">
        <v>166</v>
      </c>
      <c r="AN156" s="140" t="str">
        <f t="shared" si="21"/>
        <v>Tobi*Stijn*</v>
      </c>
      <c r="AO156" s="160">
        <f>IF(Tabel5[[#This Row],[Aantal Games Rood]]=0,0,(Tabel5[[#This Row],[Wins Rood]])/Tabel5[[#This Row],[Aantal Games Rood]])</f>
        <v>0</v>
      </c>
      <c r="AP156" s="159">
        <f>IF(Tabel5[[#This Row],[Aantal Games Groen]]=0,0,(Tabel5[[#This Row],[Wins Groen]])/Tabel5[[#This Row],[Aantal Games Groen]])</f>
        <v>0</v>
      </c>
      <c r="AQ156" s="156">
        <f>IF(Tabel5[[#This Row],[Aantal games Alg]]=0,0,(Tabel5[[#This Row],[Wins Alg]])/Tabel5[[#This Row],[Aantal games Alg]])</f>
        <v>0</v>
      </c>
      <c r="AR156" s="135">
        <f>COUNTIF(Tabel15[Winaar rood],Tabel5[[#This Row],[Team]])</f>
        <v>0</v>
      </c>
      <c r="AS156" s="134">
        <f>COUNTIF(Tabel15[Winnaar Groen],Tabel5[[#This Row],[Team]])</f>
        <v>0</v>
      </c>
      <c r="AT156">
        <f>COUNTIF(Tabel15[Winnaars],Tabel5[[#This Row],[Team]])</f>
        <v>0</v>
      </c>
      <c r="AU156" s="135">
        <f>Tabel5[[#This Row],[Aantal Games Rood]]-Tabel5[[#This Row],[Wins Rood]]</f>
        <v>0</v>
      </c>
      <c r="AV156" s="136">
        <f>Tabel5[[#This Row],[Aantal Games Groen]]-Tabel5[[#This Row],[Wins Groen]]</f>
        <v>0</v>
      </c>
      <c r="AW156" s="137">
        <f>Tabel5[[#This Row],[Aantal games Alg]]-Tabel5[[#This Row],[Wins Alg]]</f>
        <v>0</v>
      </c>
      <c r="AX156" s="138">
        <f>COUNTIF(Tabel15[Team Rood],Tabel5[[#This Row],[Team]])</f>
        <v>0</v>
      </c>
      <c r="AY156" s="136">
        <f>COUNTIF(Tabel15[Team Groen],Tabel5[[#This Row],[Team]])</f>
        <v>0</v>
      </c>
      <c r="AZ156" s="137">
        <f>Tabel5[[#This Row],[Aantal Games Rood]]+Tabel5[[#This Row],[Aantal Games Groen]]</f>
        <v>0</v>
      </c>
      <c r="BA156" s="138">
        <f>SUMIF(Tabel15[Team Rood],Tabel5[[#This Row],[Team]],Tabel15[Score])</f>
        <v>0</v>
      </c>
      <c r="BB156" s="138">
        <f>SUMIF(Tabel15[Team Rood],Tabel5[[#This Row],[Team]],Tabel15[Score2])</f>
        <v>0</v>
      </c>
      <c r="BC156" s="134">
        <f>SUMIF(Tabel15[Team Groen],Tabel5[[#This Row],[Team]],Tabel15[Score3])</f>
        <v>0</v>
      </c>
      <c r="BD156" s="136">
        <f>SUMIF(Tabel15[Team Groen],Tabel5[[#This Row],[Team]],Tabel15[Score4])</f>
        <v>0</v>
      </c>
      <c r="BE156">
        <f>SUM(Tabel5[[#This Row],[Goals Verdediger]]+Tabel5[[#This Row],[Goals DefG]])</f>
        <v>0</v>
      </c>
      <c r="BF156">
        <f>IF(Tabel5[[#This Row],[Aantal games Alg]]=0,0,Tabel5[[#This Row],[Goals DefA]]/Tabel5[[#This Row],[Aantal games Alg]])</f>
        <v>0</v>
      </c>
      <c r="BG156">
        <f>SUM(Tabel5[[#This Row],[Goals Aanvaller]]+Tabel5[[#This Row],[Goals OffG]])</f>
        <v>0</v>
      </c>
      <c r="BH156">
        <f>IF(Tabel5[[#This Row],[Aantal games Alg]]=0,0,Tabel5[[#This Row],[Goals OffA]]/Tabel5[[#This Row],[Aantal games Alg]])</f>
        <v>0</v>
      </c>
      <c r="BI156" s="112">
        <f>Tabel5[[#This Row],[Goals DefA]]+Tabel5[[#This Row],[Goals OffA]]</f>
        <v>0</v>
      </c>
      <c r="BJ156" s="112">
        <f>IF(Tabel5[[#This Row],[Aantal games Alg]]=0,0,Tabel5[[#This Row],[Goals Alg]]/Tabel5[[#This Row],[Aantal games Alg]])</f>
        <v>0</v>
      </c>
      <c r="BK156" s="148">
        <f>SUMIF(Tabel15[Team Rood],Tabel5[[#This Row],[Team]],Tabel15[ET])</f>
        <v>0</v>
      </c>
      <c r="BL156" s="150">
        <f>SUMIF(Tabel15[Team Groen],Tabel5[[#This Row],[Team]],Tabel15[ET])</f>
        <v>0</v>
      </c>
      <c r="BM156" s="153">
        <f>SUM(Tabel5[[#This Row],[ET Groen tot]],Tabel5[[#This Row],[ET Rood tot]])</f>
        <v>0</v>
      </c>
      <c r="BN156" s="155">
        <f>IF(Tabel5[[#This Row],[Aantal games Alg]]=0,0,Tabel5[[#This Row],[ET tot]]/Tabel5[[#This Row],[Aantal games Alg]])</f>
        <v>0</v>
      </c>
    </row>
    <row r="157" spans="1:66" x14ac:dyDescent="0.25">
      <c r="A157" s="125" t="str">
        <f ca="1">IF(Tabel15[[#This Row],[Rood Verdediging]]&lt;&gt;"",IF(A157="",NOW(),A157),"")</f>
        <v/>
      </c>
      <c r="B157" s="128" t="str">
        <f ca="1">IF(Tabel15[[#This Row],[Rood Verdediging]]&lt;&gt;"",IF(B157="",NOW(),B157),"")</f>
        <v/>
      </c>
      <c r="C157" s="126" t="str">
        <f ca="1">IF(Tabel15[[#This Row],[Score]]&lt;&gt;"",IF(C157="",NOW(),C157),"")</f>
        <v/>
      </c>
      <c r="D157" s="182" t="str">
        <f ca="1">IF(OR(Tabel15[[#This Row],[Starttijd]]="",Tabel15[[#This Row],[Eindtijd]]=""),"",Tabel15[[#This Row],[Eindtijd]]-Tabel15[[#This Row],[Starttijd]])</f>
        <v/>
      </c>
      <c r="E157" s="74">
        <v>120</v>
      </c>
      <c r="F157" s="40"/>
      <c r="G157" s="76"/>
      <c r="H157" s="40"/>
      <c r="I157" s="76"/>
      <c r="J157" s="41"/>
      <c r="K157" s="78"/>
      <c r="L157" s="41"/>
      <c r="M157" s="78"/>
      <c r="N157" s="81" t="str">
        <f t="shared" si="17"/>
        <v/>
      </c>
      <c r="O157" s="82" t="str">
        <f t="shared" si="18"/>
        <v/>
      </c>
      <c r="P15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Row],[Score4]]&lt;&gt;""),IF(AND(N157&gt;O157,N157&gt;=11),"ROOD",IF(AND(O157&gt;=11,N157&lt;&gt;O157),"GROEN","")),"")</f>
        <v/>
      </c>
      <c r="Q157" s="86" t="str">
        <f t="shared" si="19"/>
        <v/>
      </c>
      <c r="R157" s="87" t="str">
        <f t="shared" si="20"/>
        <v/>
      </c>
      <c r="S157" s="147" t="str">
        <f>Tabel15[[#This Row],[Rood Verdediging]]&amp;Tabel15[[#This Row],[Rood Aanval]]</f>
        <v/>
      </c>
      <c r="T157" s="147" t="str">
        <f>Tabel15[[#This Row],[Groen Verdediging]]&amp;Tabel15[[#This Row],[Groen Aanval]]</f>
        <v/>
      </c>
      <c r="U157" s="147" t="str">
        <f>Tabel15[[#This Row],[Winnaar 1]]&amp;Tabel15[[#This Row],[Winnaar 2]]</f>
        <v/>
      </c>
      <c r="V157" s="147" t="str">
        <f>IF(Tabel15[[#This Row],[Team Rood]]=Tabel15[[#This Row],[Winnaars]],Tabel15[[#This Row],[Team Rood]])</f>
        <v/>
      </c>
      <c r="W157" s="147" t="str">
        <f>IF(Tabel15[[#This Row],[Team Groen]]=Tabel15[[#This Row],[Winnaars]],Tabel15[[#This Row],[Team Groen]])</f>
        <v/>
      </c>
      <c r="X157" s="283"/>
      <c r="Y157" s="283"/>
      <c r="Z157" s="283"/>
      <c r="AA157" s="283"/>
      <c r="AL157" s="258" t="s">
        <v>157</v>
      </c>
      <c r="AM157" s="258" t="s">
        <v>160</v>
      </c>
      <c r="AN157" s="140" t="str">
        <f t="shared" si="21"/>
        <v>Tobi*Tiemen*</v>
      </c>
      <c r="AO157" s="160">
        <f>IF(Tabel5[[#This Row],[Aantal Games Rood]]=0,0,(Tabel5[[#This Row],[Wins Rood]])/Tabel5[[#This Row],[Aantal Games Rood]])</f>
        <v>0</v>
      </c>
      <c r="AP157" s="159">
        <f>IF(Tabel5[[#This Row],[Aantal Games Groen]]=0,0,(Tabel5[[#This Row],[Wins Groen]])/Tabel5[[#This Row],[Aantal Games Groen]])</f>
        <v>0</v>
      </c>
      <c r="AQ157" s="156">
        <f>IF(Tabel5[[#This Row],[Aantal games Alg]]=0,0,(Tabel5[[#This Row],[Wins Alg]])/Tabel5[[#This Row],[Aantal games Alg]])</f>
        <v>0</v>
      </c>
      <c r="AR157" s="135">
        <f>COUNTIF(Tabel15[Winaar rood],Tabel5[[#This Row],[Team]])</f>
        <v>0</v>
      </c>
      <c r="AS157" s="134">
        <f>COUNTIF(Tabel15[Winnaar Groen],Tabel5[[#This Row],[Team]])</f>
        <v>0</v>
      </c>
      <c r="AT157">
        <f>COUNTIF(Tabel15[Winnaars],Tabel5[[#This Row],[Team]])</f>
        <v>0</v>
      </c>
      <c r="AU157" s="135">
        <f>Tabel5[[#This Row],[Aantal Games Rood]]-Tabel5[[#This Row],[Wins Rood]]</f>
        <v>0</v>
      </c>
      <c r="AV157" s="136">
        <f>Tabel5[[#This Row],[Aantal Games Groen]]-Tabel5[[#This Row],[Wins Groen]]</f>
        <v>0</v>
      </c>
      <c r="AW157" s="137">
        <f>Tabel5[[#This Row],[Aantal games Alg]]-Tabel5[[#This Row],[Wins Alg]]</f>
        <v>0</v>
      </c>
      <c r="AX157" s="138">
        <f>COUNTIF(Tabel15[Team Rood],Tabel5[[#This Row],[Team]])</f>
        <v>0</v>
      </c>
      <c r="AY157" s="136">
        <f>COUNTIF(Tabel15[Team Groen],Tabel5[[#This Row],[Team]])</f>
        <v>0</v>
      </c>
      <c r="AZ157" s="137">
        <f>Tabel5[[#This Row],[Aantal Games Rood]]+Tabel5[[#This Row],[Aantal Games Groen]]</f>
        <v>0</v>
      </c>
      <c r="BA157" s="138">
        <f>SUMIF(Tabel15[Team Rood],Tabel5[[#This Row],[Team]],Tabel15[Score])</f>
        <v>0</v>
      </c>
      <c r="BB157" s="138">
        <f>SUMIF(Tabel15[Team Rood],Tabel5[[#This Row],[Team]],Tabel15[Score2])</f>
        <v>0</v>
      </c>
      <c r="BC157" s="134">
        <f>SUMIF(Tabel15[Team Groen],Tabel5[[#This Row],[Team]],Tabel15[Score3])</f>
        <v>0</v>
      </c>
      <c r="BD157" s="136">
        <f>SUMIF(Tabel15[Team Groen],Tabel5[[#This Row],[Team]],Tabel15[Score4])</f>
        <v>0</v>
      </c>
      <c r="BE157">
        <f>SUM(Tabel5[[#This Row],[Goals Verdediger]]+Tabel5[[#This Row],[Goals DefG]])</f>
        <v>0</v>
      </c>
      <c r="BF157">
        <f>IF(Tabel5[[#This Row],[Aantal games Alg]]=0,0,Tabel5[[#This Row],[Goals DefA]]/Tabel5[[#This Row],[Aantal games Alg]])</f>
        <v>0</v>
      </c>
      <c r="BG157">
        <f>SUM(Tabel5[[#This Row],[Goals Aanvaller]]+Tabel5[[#This Row],[Goals OffG]])</f>
        <v>0</v>
      </c>
      <c r="BH157">
        <f>IF(Tabel5[[#This Row],[Aantal games Alg]]=0,0,Tabel5[[#This Row],[Goals OffA]]/Tabel5[[#This Row],[Aantal games Alg]])</f>
        <v>0</v>
      </c>
      <c r="BI157" s="112">
        <f>Tabel5[[#This Row],[Goals DefA]]+Tabel5[[#This Row],[Goals OffA]]</f>
        <v>0</v>
      </c>
      <c r="BJ157" s="112">
        <f>IF(Tabel5[[#This Row],[Aantal games Alg]]=0,0,Tabel5[[#This Row],[Goals Alg]]/Tabel5[[#This Row],[Aantal games Alg]])</f>
        <v>0</v>
      </c>
      <c r="BK157" s="148">
        <f>SUMIF(Tabel15[Team Rood],Tabel5[[#This Row],[Team]],Tabel15[ET])</f>
        <v>0</v>
      </c>
      <c r="BL157" s="150">
        <f>SUMIF(Tabel15[Team Groen],Tabel5[[#This Row],[Team]],Tabel15[ET])</f>
        <v>0</v>
      </c>
      <c r="BM157" s="153">
        <f>SUM(Tabel5[[#This Row],[ET Groen tot]],Tabel5[[#This Row],[ET Rood tot]])</f>
        <v>0</v>
      </c>
      <c r="BN157" s="155">
        <f>IF(Tabel5[[#This Row],[Aantal games Alg]]=0,0,Tabel5[[#This Row],[ET tot]]/Tabel5[[#This Row],[Aantal games Alg]])</f>
        <v>0</v>
      </c>
    </row>
    <row r="158" spans="1:66" x14ac:dyDescent="0.25">
      <c r="A158" s="125" t="str">
        <f ca="1">IF(Tabel15[[#This Row],[Rood Verdediging]]&lt;&gt;"",IF(A158="",NOW(),A158),"")</f>
        <v/>
      </c>
      <c r="B158" s="128" t="str">
        <f ca="1">IF(Tabel15[[#This Row],[Rood Verdediging]]&lt;&gt;"",IF(B158="",NOW(),B158),"")</f>
        <v/>
      </c>
      <c r="C158" s="126" t="str">
        <f ca="1">IF(Tabel15[[#This Row],[Score]]&lt;&gt;"",IF(C158="",NOW(),C158),"")</f>
        <v/>
      </c>
      <c r="D158" s="182" t="str">
        <f ca="1">IF(OR(Tabel15[[#This Row],[Starttijd]]="",Tabel15[[#This Row],[Eindtijd]]=""),"",Tabel15[[#This Row],[Eindtijd]]-Tabel15[[#This Row],[Starttijd]])</f>
        <v/>
      </c>
      <c r="E158" s="74">
        <v>120</v>
      </c>
      <c r="F158" s="40"/>
      <c r="G158" s="76"/>
      <c r="H158" s="40"/>
      <c r="I158" s="76"/>
      <c r="J158" s="41"/>
      <c r="K158" s="78"/>
      <c r="L158" s="41"/>
      <c r="M158" s="78"/>
      <c r="N158" s="81" t="str">
        <f t="shared" si="17"/>
        <v/>
      </c>
      <c r="O158" s="82" t="str">
        <f t="shared" si="18"/>
        <v/>
      </c>
      <c r="P15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Row],[Score4]]&lt;&gt;""),IF(AND(N158&gt;O158,N158&gt;=11),"ROOD",IF(AND(O158&gt;=11,N158&lt;&gt;O158),"GROEN","")),"")</f>
        <v/>
      </c>
      <c r="Q158" s="86" t="str">
        <f t="shared" si="19"/>
        <v/>
      </c>
      <c r="R158" s="87" t="str">
        <f t="shared" si="20"/>
        <v/>
      </c>
      <c r="S158" s="147" t="str">
        <f>Tabel15[[#This Row],[Rood Verdediging]]&amp;Tabel15[[#This Row],[Rood Aanval]]</f>
        <v/>
      </c>
      <c r="T158" s="147" t="str">
        <f>Tabel15[[#This Row],[Groen Verdediging]]&amp;Tabel15[[#This Row],[Groen Aanval]]</f>
        <v/>
      </c>
      <c r="U158" s="147" t="str">
        <f>Tabel15[[#This Row],[Winnaar 1]]&amp;Tabel15[[#This Row],[Winnaar 2]]</f>
        <v/>
      </c>
      <c r="V158" s="147" t="str">
        <f>IF(Tabel15[[#This Row],[Team Rood]]=Tabel15[[#This Row],[Winnaars]],Tabel15[[#This Row],[Team Rood]])</f>
        <v/>
      </c>
      <c r="W158" s="147" t="str">
        <f>IF(Tabel15[[#This Row],[Team Groen]]=Tabel15[[#This Row],[Winnaars]],Tabel15[[#This Row],[Team Groen]])</f>
        <v/>
      </c>
      <c r="X158" s="283"/>
      <c r="Y158" s="283"/>
      <c r="Z158" s="283"/>
      <c r="AA158" s="283"/>
    </row>
    <row r="159" spans="1:66" x14ac:dyDescent="0.25">
      <c r="A159" s="125" t="str">
        <f ca="1">IF(Tabel15[[#This Row],[Rood Verdediging]]&lt;&gt;"",IF(A159="",NOW(),A159),"")</f>
        <v/>
      </c>
      <c r="B159" s="128" t="str">
        <f ca="1">IF(Tabel15[[#This Row],[Rood Verdediging]]&lt;&gt;"",IF(B159="",NOW(),B159),"")</f>
        <v/>
      </c>
      <c r="C159" s="126" t="str">
        <f ca="1">IF(Tabel15[[#This Row],[Score]]&lt;&gt;"",IF(C159="",NOW(),C159),"")</f>
        <v/>
      </c>
      <c r="D159" s="182" t="str">
        <f ca="1">IF(OR(Tabel15[[#This Row],[Starttijd]]="",Tabel15[[#This Row],[Eindtijd]]=""),"",Tabel15[[#This Row],[Eindtijd]]-Tabel15[[#This Row],[Starttijd]])</f>
        <v/>
      </c>
      <c r="E159" s="74">
        <v>120</v>
      </c>
      <c r="F159" s="40"/>
      <c r="G159" s="76"/>
      <c r="H159" s="40"/>
      <c r="I159" s="76"/>
      <c r="J159" s="41"/>
      <c r="K159" s="78"/>
      <c r="L159" s="41"/>
      <c r="M159" s="78"/>
      <c r="N159" s="81" t="str">
        <f t="shared" si="17"/>
        <v/>
      </c>
      <c r="O159" s="82" t="str">
        <f t="shared" si="18"/>
        <v/>
      </c>
      <c r="P15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Row],[Score4]]&lt;&gt;""),IF(AND(N159&gt;O159,N159&gt;=11),"ROOD",IF(AND(O159&gt;=11,N159&lt;&gt;O159),"GROEN","")),"")</f>
        <v/>
      </c>
      <c r="Q159" s="86" t="str">
        <f t="shared" si="19"/>
        <v/>
      </c>
      <c r="R159" s="87" t="str">
        <f t="shared" si="20"/>
        <v/>
      </c>
      <c r="S159" s="147" t="str">
        <f>Tabel15[[#This Row],[Rood Verdediging]]&amp;Tabel15[[#This Row],[Rood Aanval]]</f>
        <v/>
      </c>
      <c r="T159" s="147" t="str">
        <f>Tabel15[[#This Row],[Groen Verdediging]]&amp;Tabel15[[#This Row],[Groen Aanval]]</f>
        <v/>
      </c>
      <c r="U159" s="147" t="str">
        <f>Tabel15[[#This Row],[Winnaar 1]]&amp;Tabel15[[#This Row],[Winnaar 2]]</f>
        <v/>
      </c>
      <c r="V159" s="147" t="str">
        <f>IF(Tabel15[[#This Row],[Team Rood]]=Tabel15[[#This Row],[Winnaars]],Tabel15[[#This Row],[Team Rood]])</f>
        <v/>
      </c>
      <c r="W159" s="147" t="str">
        <f>IF(Tabel15[[#This Row],[Team Groen]]=Tabel15[[#This Row],[Winnaars]],Tabel15[[#This Row],[Team Groen]])</f>
        <v/>
      </c>
      <c r="X159" s="283"/>
      <c r="Y159" s="283"/>
      <c r="Z159" s="283"/>
      <c r="AA159" s="283"/>
    </row>
    <row r="160" spans="1:66" x14ac:dyDescent="0.25">
      <c r="A160" s="125" t="str">
        <f ca="1">IF(Tabel15[[#This Row],[Rood Verdediging]]&lt;&gt;"",IF(A160="",NOW(),A160),"")</f>
        <v/>
      </c>
      <c r="B160" s="128" t="str">
        <f ca="1">IF(Tabel15[[#This Row],[Rood Verdediging]]&lt;&gt;"",IF(B160="",NOW(),B160),"")</f>
        <v/>
      </c>
      <c r="C160" s="126" t="str">
        <f ca="1">IF(Tabel15[[#This Row],[Score]]&lt;&gt;"",IF(C160="",NOW(),C160),"")</f>
        <v/>
      </c>
      <c r="D160" s="182" t="str">
        <f ca="1">IF(OR(Tabel15[[#This Row],[Starttijd]]="",Tabel15[[#This Row],[Eindtijd]]=""),"",Tabel15[[#This Row],[Eindtijd]]-Tabel15[[#This Row],[Starttijd]])</f>
        <v/>
      </c>
      <c r="E160" s="74">
        <v>120</v>
      </c>
      <c r="F160" s="40"/>
      <c r="G160" s="76"/>
      <c r="H160" s="40"/>
      <c r="I160" s="76"/>
      <c r="J160" s="41"/>
      <c r="K160" s="78"/>
      <c r="L160" s="41"/>
      <c r="M160" s="78"/>
      <c r="N160" s="81" t="str">
        <f t="shared" si="17"/>
        <v/>
      </c>
      <c r="O160" s="82" t="str">
        <f t="shared" si="18"/>
        <v/>
      </c>
      <c r="P16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Row],[Score4]]&lt;&gt;""),IF(AND(N160&gt;O160,N160&gt;=11),"ROOD",IF(AND(O160&gt;=11,N160&lt;&gt;O160),"GROEN","")),"")</f>
        <v/>
      </c>
      <c r="Q160" s="86" t="str">
        <f t="shared" si="19"/>
        <v/>
      </c>
      <c r="R160" s="87" t="str">
        <f t="shared" si="20"/>
        <v/>
      </c>
      <c r="S160" s="147" t="str">
        <f>Tabel15[[#This Row],[Rood Verdediging]]&amp;Tabel15[[#This Row],[Rood Aanval]]</f>
        <v/>
      </c>
      <c r="T160" s="147" t="str">
        <f>Tabel15[[#This Row],[Groen Verdediging]]&amp;Tabel15[[#This Row],[Groen Aanval]]</f>
        <v/>
      </c>
      <c r="U160" s="147" t="str">
        <f>Tabel15[[#This Row],[Winnaar 1]]&amp;Tabel15[[#This Row],[Winnaar 2]]</f>
        <v/>
      </c>
      <c r="V160" s="147" t="str">
        <f>IF(Tabel15[[#This Row],[Team Rood]]=Tabel15[[#This Row],[Winnaars]],Tabel15[[#This Row],[Team Rood]])</f>
        <v/>
      </c>
      <c r="W160" s="147" t="str">
        <f>IF(Tabel15[[#This Row],[Team Groen]]=Tabel15[[#This Row],[Winnaars]],Tabel15[[#This Row],[Team Groen]])</f>
        <v/>
      </c>
      <c r="X160" s="283"/>
      <c r="Y160" s="283"/>
      <c r="Z160" s="283"/>
      <c r="AA160" s="283"/>
    </row>
    <row r="161" spans="1:27" x14ac:dyDescent="0.25">
      <c r="A161" s="125" t="str">
        <f ca="1">IF(Tabel15[[#This Row],[Rood Verdediging]]&lt;&gt;"",IF(A161="",NOW(),A161),"")</f>
        <v/>
      </c>
      <c r="B161" s="128" t="str">
        <f ca="1">IF(Tabel15[[#This Row],[Rood Verdediging]]&lt;&gt;"",IF(B161="",NOW(),B161),"")</f>
        <v/>
      </c>
      <c r="C161" s="126" t="str">
        <f ca="1">IF(Tabel15[[#This Row],[Score]]&lt;&gt;"",IF(C161="",NOW(),C161),"")</f>
        <v/>
      </c>
      <c r="D161" s="182" t="str">
        <f ca="1">IF(OR(Tabel15[[#This Row],[Starttijd]]="",Tabel15[[#This Row],[Eindtijd]]=""),"",Tabel15[[#This Row],[Eindtijd]]-Tabel15[[#This Row],[Starttijd]])</f>
        <v/>
      </c>
      <c r="E161" s="74">
        <v>120</v>
      </c>
      <c r="F161" s="40"/>
      <c r="G161" s="76"/>
      <c r="H161" s="40"/>
      <c r="I161" s="76"/>
      <c r="J161" s="41"/>
      <c r="K161" s="78"/>
      <c r="L161" s="41"/>
      <c r="M161" s="78"/>
      <c r="N161" s="81" t="str">
        <f t="shared" si="17"/>
        <v/>
      </c>
      <c r="O161" s="82" t="str">
        <f t="shared" si="18"/>
        <v/>
      </c>
      <c r="P16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Row],[Score4]]&lt;&gt;""),IF(AND(N161&gt;O161,N161&gt;=11),"ROOD",IF(AND(O161&gt;=11,N161&lt;&gt;O161),"GROEN","")),"")</f>
        <v/>
      </c>
      <c r="Q161" s="86" t="str">
        <f t="shared" si="19"/>
        <v/>
      </c>
      <c r="R161" s="87" t="str">
        <f t="shared" si="20"/>
        <v/>
      </c>
      <c r="S161" s="147" t="str">
        <f>Tabel15[[#This Row],[Rood Verdediging]]&amp;Tabel15[[#This Row],[Rood Aanval]]</f>
        <v/>
      </c>
      <c r="T161" s="147" t="str">
        <f>Tabel15[[#This Row],[Groen Verdediging]]&amp;Tabel15[[#This Row],[Groen Aanval]]</f>
        <v/>
      </c>
      <c r="U161" s="147" t="str">
        <f>Tabel15[[#This Row],[Winnaar 1]]&amp;Tabel15[[#This Row],[Winnaar 2]]</f>
        <v/>
      </c>
      <c r="V161" s="147" t="str">
        <f>IF(Tabel15[[#This Row],[Team Rood]]=Tabel15[[#This Row],[Winnaars]],Tabel15[[#This Row],[Team Rood]])</f>
        <v/>
      </c>
      <c r="W161" s="147" t="str">
        <f>IF(Tabel15[[#This Row],[Team Groen]]=Tabel15[[#This Row],[Winnaars]],Tabel15[[#This Row],[Team Groen]])</f>
        <v/>
      </c>
      <c r="X161" s="283"/>
      <c r="Y161" s="283"/>
      <c r="Z161" s="283"/>
      <c r="AA161" s="283"/>
    </row>
    <row r="162" spans="1:27" x14ac:dyDescent="0.25">
      <c r="A162" s="125" t="str">
        <f ca="1">IF(Tabel15[[#This Row],[Rood Verdediging]]&lt;&gt;"",IF(A162="",NOW(),A162),"")</f>
        <v/>
      </c>
      <c r="B162" s="128" t="str">
        <f ca="1">IF(Tabel15[[#This Row],[Rood Verdediging]]&lt;&gt;"",IF(B162="",NOW(),B162),"")</f>
        <v/>
      </c>
      <c r="C162" s="126" t="str">
        <f ca="1">IF(Tabel15[[#This Row],[Score]]&lt;&gt;"",IF(C162="",NOW(),C162),"")</f>
        <v/>
      </c>
      <c r="D162" s="182" t="str">
        <f ca="1">IF(OR(Tabel15[[#This Row],[Starttijd]]="",Tabel15[[#This Row],[Eindtijd]]=""),"",Tabel15[[#This Row],[Eindtijd]]-Tabel15[[#This Row],[Starttijd]])</f>
        <v/>
      </c>
      <c r="E162" s="74">
        <v>120</v>
      </c>
      <c r="F162" s="40"/>
      <c r="G162" s="76"/>
      <c r="H162" s="40"/>
      <c r="I162" s="76"/>
      <c r="J162" s="41"/>
      <c r="K162" s="78"/>
      <c r="L162" s="41"/>
      <c r="M162" s="78"/>
      <c r="N162" s="81" t="str">
        <f t="shared" si="17"/>
        <v/>
      </c>
      <c r="O162" s="82" t="str">
        <f t="shared" si="18"/>
        <v/>
      </c>
      <c r="P16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Row],[Score4]]&lt;&gt;""),IF(AND(N162&gt;O162,N162&gt;=11),"ROOD",IF(AND(O162&gt;=11,N162&lt;&gt;O162),"GROEN","")),"")</f>
        <v/>
      </c>
      <c r="Q162" s="86" t="str">
        <f t="shared" si="19"/>
        <v/>
      </c>
      <c r="R162" s="87" t="str">
        <f t="shared" si="20"/>
        <v/>
      </c>
      <c r="S162" s="147" t="str">
        <f>Tabel15[[#This Row],[Rood Verdediging]]&amp;Tabel15[[#This Row],[Rood Aanval]]</f>
        <v/>
      </c>
      <c r="T162" s="147" t="str">
        <f>Tabel15[[#This Row],[Groen Verdediging]]&amp;Tabel15[[#This Row],[Groen Aanval]]</f>
        <v/>
      </c>
      <c r="U162" s="147" t="str">
        <f>Tabel15[[#This Row],[Winnaar 1]]&amp;Tabel15[[#This Row],[Winnaar 2]]</f>
        <v/>
      </c>
      <c r="V162" s="147" t="str">
        <f>IF(Tabel15[[#This Row],[Team Rood]]=Tabel15[[#This Row],[Winnaars]],Tabel15[[#This Row],[Team Rood]])</f>
        <v/>
      </c>
      <c r="W162" s="147" t="str">
        <f>IF(Tabel15[[#This Row],[Team Groen]]=Tabel15[[#This Row],[Winnaars]],Tabel15[[#This Row],[Team Groen]])</f>
        <v/>
      </c>
      <c r="X162" s="283"/>
      <c r="Y162" s="283"/>
      <c r="Z162" s="283"/>
      <c r="AA162" s="283"/>
    </row>
    <row r="163" spans="1:27" x14ac:dyDescent="0.25">
      <c r="A163" s="125" t="str">
        <f ca="1">IF(Tabel15[[#This Row],[Rood Verdediging]]&lt;&gt;"",IF(A163="",NOW(),A163),"")</f>
        <v/>
      </c>
      <c r="B163" s="128" t="str">
        <f ca="1">IF(Tabel15[[#This Row],[Rood Verdediging]]&lt;&gt;"",IF(B163="",NOW(),B163),"")</f>
        <v/>
      </c>
      <c r="C163" s="126" t="str">
        <f ca="1">IF(Tabel15[[#This Row],[Score]]&lt;&gt;"",IF(C163="",NOW(),C163),"")</f>
        <v/>
      </c>
      <c r="D163" s="182" t="str">
        <f ca="1">IF(OR(Tabel15[[#This Row],[Starttijd]]="",Tabel15[[#This Row],[Eindtijd]]=""),"",Tabel15[[#This Row],[Eindtijd]]-Tabel15[[#This Row],[Starttijd]])</f>
        <v/>
      </c>
      <c r="E163" s="74">
        <v>120</v>
      </c>
      <c r="F163" s="40"/>
      <c r="G163" s="76"/>
      <c r="H163" s="40"/>
      <c r="I163" s="76"/>
      <c r="J163" s="41"/>
      <c r="K163" s="78"/>
      <c r="L163" s="41"/>
      <c r="M163" s="78"/>
      <c r="N163" s="81" t="str">
        <f t="shared" si="17"/>
        <v/>
      </c>
      <c r="O163" s="82" t="str">
        <f t="shared" si="18"/>
        <v/>
      </c>
      <c r="P16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Row],[Score4]]&lt;&gt;""),IF(AND(N163&gt;O163,N163&gt;=11),"ROOD",IF(AND(O163&gt;=11,N163&lt;&gt;O163),"GROEN","")),"")</f>
        <v/>
      </c>
      <c r="Q163" s="86" t="str">
        <f t="shared" si="19"/>
        <v/>
      </c>
      <c r="R163" s="87" t="str">
        <f t="shared" si="20"/>
        <v/>
      </c>
      <c r="S163" s="147" t="str">
        <f>Tabel15[[#This Row],[Rood Verdediging]]&amp;Tabel15[[#This Row],[Rood Aanval]]</f>
        <v/>
      </c>
      <c r="T163" s="147" t="str">
        <f>Tabel15[[#This Row],[Groen Verdediging]]&amp;Tabel15[[#This Row],[Groen Aanval]]</f>
        <v/>
      </c>
      <c r="U163" s="147" t="str">
        <f>Tabel15[[#This Row],[Winnaar 1]]&amp;Tabel15[[#This Row],[Winnaar 2]]</f>
        <v/>
      </c>
      <c r="V163" s="147" t="str">
        <f>IF(Tabel15[[#This Row],[Team Rood]]=Tabel15[[#This Row],[Winnaars]],Tabel15[[#This Row],[Team Rood]])</f>
        <v/>
      </c>
      <c r="W163" s="147" t="str">
        <f>IF(Tabel15[[#This Row],[Team Groen]]=Tabel15[[#This Row],[Winnaars]],Tabel15[[#This Row],[Team Groen]])</f>
        <v/>
      </c>
      <c r="X163" s="283"/>
      <c r="Y163" s="283"/>
      <c r="Z163" s="283"/>
      <c r="AA163" s="283"/>
    </row>
    <row r="164" spans="1:27" x14ac:dyDescent="0.25">
      <c r="A164" s="125" t="str">
        <f ca="1">IF(Tabel15[[#This Row],[Rood Verdediging]]&lt;&gt;"",IF(A164="",NOW(),A164),"")</f>
        <v/>
      </c>
      <c r="B164" s="128" t="str">
        <f ca="1">IF(Tabel15[[#This Row],[Rood Verdediging]]&lt;&gt;"",IF(B164="",NOW(),B164),"")</f>
        <v/>
      </c>
      <c r="C164" s="126" t="str">
        <f ca="1">IF(Tabel15[[#This Row],[Score]]&lt;&gt;"",IF(C164="",NOW(),C164),"")</f>
        <v/>
      </c>
      <c r="D164" s="182" t="str">
        <f ca="1">IF(OR(Tabel15[[#This Row],[Starttijd]]="",Tabel15[[#This Row],[Eindtijd]]=""),"",Tabel15[[#This Row],[Eindtijd]]-Tabel15[[#This Row],[Starttijd]])</f>
        <v/>
      </c>
      <c r="E164" s="74">
        <v>120</v>
      </c>
      <c r="F164" s="40"/>
      <c r="G164" s="76"/>
      <c r="H164" s="40"/>
      <c r="I164" s="76"/>
      <c r="J164" s="41"/>
      <c r="K164" s="78"/>
      <c r="L164" s="41"/>
      <c r="M164" s="78"/>
      <c r="N164" s="81" t="str">
        <f t="shared" si="17"/>
        <v/>
      </c>
      <c r="O164" s="82" t="str">
        <f t="shared" si="18"/>
        <v/>
      </c>
      <c r="P16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Row],[Score4]]&lt;&gt;""),IF(AND(N164&gt;O164,N164&gt;=11),"ROOD",IF(AND(O164&gt;=11,N164&lt;&gt;O164),"GROEN","")),"")</f>
        <v/>
      </c>
      <c r="Q164" s="86" t="str">
        <f t="shared" si="19"/>
        <v/>
      </c>
      <c r="R164" s="87" t="str">
        <f t="shared" si="20"/>
        <v/>
      </c>
      <c r="S164" s="147" t="str">
        <f>Tabel15[[#This Row],[Rood Verdediging]]&amp;Tabel15[[#This Row],[Rood Aanval]]</f>
        <v/>
      </c>
      <c r="T164" s="147" t="str">
        <f>Tabel15[[#This Row],[Groen Verdediging]]&amp;Tabel15[[#This Row],[Groen Aanval]]</f>
        <v/>
      </c>
      <c r="U164" s="147" t="str">
        <f>Tabel15[[#This Row],[Winnaar 1]]&amp;Tabel15[[#This Row],[Winnaar 2]]</f>
        <v/>
      </c>
      <c r="V164" s="147" t="str">
        <f>IF(Tabel15[[#This Row],[Team Rood]]=Tabel15[[#This Row],[Winnaars]],Tabel15[[#This Row],[Team Rood]])</f>
        <v/>
      </c>
      <c r="W164" s="147" t="str">
        <f>IF(Tabel15[[#This Row],[Team Groen]]=Tabel15[[#This Row],[Winnaars]],Tabel15[[#This Row],[Team Groen]])</f>
        <v/>
      </c>
      <c r="X164" s="283"/>
      <c r="Y164" s="283"/>
      <c r="Z164" s="283"/>
      <c r="AA164" s="283"/>
    </row>
    <row r="165" spans="1:27" x14ac:dyDescent="0.25">
      <c r="A165" s="125" t="str">
        <f ca="1">IF(Tabel15[[#This Row],[Rood Verdediging]]&lt;&gt;"",IF(A165="",NOW(),A165),"")</f>
        <v/>
      </c>
      <c r="B165" s="128" t="str">
        <f ca="1">IF(Tabel15[[#This Row],[Rood Verdediging]]&lt;&gt;"",IF(B165="",NOW(),B165),"")</f>
        <v/>
      </c>
      <c r="C165" s="126" t="str">
        <f ca="1">IF(Tabel15[[#This Row],[Score]]&lt;&gt;"",IF(C165="",NOW(),C165),"")</f>
        <v/>
      </c>
      <c r="D165" s="182" t="str">
        <f ca="1">IF(OR(Tabel15[[#This Row],[Starttijd]]="",Tabel15[[#This Row],[Eindtijd]]=""),"",Tabel15[[#This Row],[Eindtijd]]-Tabel15[[#This Row],[Starttijd]])</f>
        <v/>
      </c>
      <c r="E165" s="74">
        <v>120</v>
      </c>
      <c r="F165" s="40"/>
      <c r="G165" s="76"/>
      <c r="H165" s="40"/>
      <c r="I165" s="76"/>
      <c r="J165" s="41"/>
      <c r="K165" s="78"/>
      <c r="L165" s="41"/>
      <c r="M165" s="78"/>
      <c r="N165" s="81" t="str">
        <f t="shared" si="17"/>
        <v/>
      </c>
      <c r="O165" s="82" t="str">
        <f t="shared" si="18"/>
        <v/>
      </c>
      <c r="P16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Row],[Score4]]&lt;&gt;""),IF(AND(N165&gt;O165,N165&gt;=11),"ROOD",IF(AND(O165&gt;=11,N165&lt;&gt;O165),"GROEN","")),"")</f>
        <v/>
      </c>
      <c r="Q165" s="86" t="str">
        <f t="shared" si="19"/>
        <v/>
      </c>
      <c r="R165" s="87" t="str">
        <f t="shared" si="20"/>
        <v/>
      </c>
      <c r="S165" s="147" t="str">
        <f>Tabel15[[#This Row],[Rood Verdediging]]&amp;Tabel15[[#This Row],[Rood Aanval]]</f>
        <v/>
      </c>
      <c r="T165" s="147" t="str">
        <f>Tabel15[[#This Row],[Groen Verdediging]]&amp;Tabel15[[#This Row],[Groen Aanval]]</f>
        <v/>
      </c>
      <c r="U165" s="147" t="str">
        <f>Tabel15[[#This Row],[Winnaar 1]]&amp;Tabel15[[#This Row],[Winnaar 2]]</f>
        <v/>
      </c>
      <c r="V165" s="147" t="str">
        <f>IF(Tabel15[[#This Row],[Team Rood]]=Tabel15[[#This Row],[Winnaars]],Tabel15[[#This Row],[Team Rood]])</f>
        <v/>
      </c>
      <c r="W165" s="147" t="str">
        <f>IF(Tabel15[[#This Row],[Team Groen]]=Tabel15[[#This Row],[Winnaars]],Tabel15[[#This Row],[Team Groen]])</f>
        <v/>
      </c>
      <c r="X165" s="283"/>
      <c r="Y165" s="283"/>
      <c r="Z165" s="283"/>
      <c r="AA165" s="283"/>
    </row>
    <row r="166" spans="1:27" x14ac:dyDescent="0.25">
      <c r="A166" s="125" t="str">
        <f ca="1">IF(Tabel15[[#This Row],[Rood Verdediging]]&lt;&gt;"",IF(A166="",NOW(),A166),"")</f>
        <v/>
      </c>
      <c r="B166" s="128" t="str">
        <f ca="1">IF(Tabel15[[#This Row],[Rood Verdediging]]&lt;&gt;"",IF(B166="",NOW(),B166),"")</f>
        <v/>
      </c>
      <c r="C166" s="126" t="str">
        <f ca="1">IF(Tabel15[[#This Row],[Score]]&lt;&gt;"",IF(C166="",NOW(),C166),"")</f>
        <v/>
      </c>
      <c r="D166" s="182" t="str">
        <f ca="1">IF(OR(Tabel15[[#This Row],[Starttijd]]="",Tabel15[[#This Row],[Eindtijd]]=""),"",Tabel15[[#This Row],[Eindtijd]]-Tabel15[[#This Row],[Starttijd]])</f>
        <v/>
      </c>
      <c r="E166" s="74">
        <v>120</v>
      </c>
      <c r="F166" s="40"/>
      <c r="G166" s="76"/>
      <c r="H166" s="40"/>
      <c r="I166" s="76"/>
      <c r="J166" s="41"/>
      <c r="K166" s="78"/>
      <c r="L166" s="41"/>
      <c r="M166" s="78"/>
      <c r="N166" s="81" t="str">
        <f t="shared" si="17"/>
        <v/>
      </c>
      <c r="O166" s="82" t="str">
        <f t="shared" si="18"/>
        <v/>
      </c>
      <c r="P16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Row],[Score4]]&lt;&gt;""),IF(AND(N166&gt;O166,N166&gt;=11),"ROOD",IF(AND(O166&gt;=11,N166&lt;&gt;O166),"GROEN","")),"")</f>
        <v/>
      </c>
      <c r="Q166" s="86" t="str">
        <f t="shared" si="19"/>
        <v/>
      </c>
      <c r="R166" s="87" t="str">
        <f t="shared" si="20"/>
        <v/>
      </c>
      <c r="S166" s="147" t="str">
        <f>Tabel15[[#This Row],[Rood Verdediging]]&amp;Tabel15[[#This Row],[Rood Aanval]]</f>
        <v/>
      </c>
      <c r="T166" s="147" t="str">
        <f>Tabel15[[#This Row],[Groen Verdediging]]&amp;Tabel15[[#This Row],[Groen Aanval]]</f>
        <v/>
      </c>
      <c r="U166" s="147" t="str">
        <f>Tabel15[[#This Row],[Winnaar 1]]&amp;Tabel15[[#This Row],[Winnaar 2]]</f>
        <v/>
      </c>
      <c r="V166" s="147" t="str">
        <f>IF(Tabel15[[#This Row],[Team Rood]]=Tabel15[[#This Row],[Winnaars]],Tabel15[[#This Row],[Team Rood]])</f>
        <v/>
      </c>
      <c r="W166" s="147" t="str">
        <f>IF(Tabel15[[#This Row],[Team Groen]]=Tabel15[[#This Row],[Winnaars]],Tabel15[[#This Row],[Team Groen]])</f>
        <v/>
      </c>
      <c r="X166" s="283"/>
      <c r="Y166" s="283"/>
      <c r="Z166" s="283"/>
      <c r="AA166" s="283"/>
    </row>
    <row r="167" spans="1:27" x14ac:dyDescent="0.25">
      <c r="A167" s="125" t="str">
        <f ca="1">IF(Tabel15[[#This Row],[Rood Verdediging]]&lt;&gt;"",IF(A167="",NOW(),A167),"")</f>
        <v/>
      </c>
      <c r="B167" s="128" t="str">
        <f ca="1">IF(Tabel15[[#This Row],[Rood Verdediging]]&lt;&gt;"",IF(B167="",NOW(),B167),"")</f>
        <v/>
      </c>
      <c r="C167" s="126" t="str">
        <f ca="1">IF(Tabel15[[#This Row],[Score]]&lt;&gt;"",IF(C167="",NOW(),C167),"")</f>
        <v/>
      </c>
      <c r="D167" s="182" t="str">
        <f ca="1">IF(OR(Tabel15[[#This Row],[Starttijd]]="",Tabel15[[#This Row],[Eindtijd]]=""),"",Tabel15[[#This Row],[Eindtijd]]-Tabel15[[#This Row],[Starttijd]])</f>
        <v/>
      </c>
      <c r="E167" s="74">
        <v>120</v>
      </c>
      <c r="F167" s="40"/>
      <c r="G167" s="76"/>
      <c r="H167" s="40"/>
      <c r="I167" s="76"/>
      <c r="J167" s="41"/>
      <c r="K167" s="78"/>
      <c r="L167" s="41"/>
      <c r="M167" s="78"/>
      <c r="N167" s="81" t="str">
        <f t="shared" si="17"/>
        <v/>
      </c>
      <c r="O167" s="82" t="str">
        <f t="shared" si="18"/>
        <v/>
      </c>
      <c r="P16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Row],[Score4]]&lt;&gt;""),IF(AND(N167&gt;O167,N167&gt;=11),"ROOD",IF(AND(O167&gt;=11,N167&lt;&gt;O167),"GROEN","")),"")</f>
        <v/>
      </c>
      <c r="Q167" s="86" t="str">
        <f t="shared" si="19"/>
        <v/>
      </c>
      <c r="R167" s="87" t="str">
        <f t="shared" si="20"/>
        <v/>
      </c>
      <c r="S167" s="147" t="str">
        <f>Tabel15[[#This Row],[Rood Verdediging]]&amp;Tabel15[[#This Row],[Rood Aanval]]</f>
        <v/>
      </c>
      <c r="T167" s="147" t="str">
        <f>Tabel15[[#This Row],[Groen Verdediging]]&amp;Tabel15[[#This Row],[Groen Aanval]]</f>
        <v/>
      </c>
      <c r="U167" s="147" t="str">
        <f>Tabel15[[#This Row],[Winnaar 1]]&amp;Tabel15[[#This Row],[Winnaar 2]]</f>
        <v/>
      </c>
      <c r="V167" s="147" t="str">
        <f>IF(Tabel15[[#This Row],[Team Rood]]=Tabel15[[#This Row],[Winnaars]],Tabel15[[#This Row],[Team Rood]])</f>
        <v/>
      </c>
      <c r="W167" s="147" t="str">
        <f>IF(Tabel15[[#This Row],[Team Groen]]=Tabel15[[#This Row],[Winnaars]],Tabel15[[#This Row],[Team Groen]])</f>
        <v/>
      </c>
      <c r="X167" s="283"/>
      <c r="Y167" s="283"/>
      <c r="Z167" s="283"/>
      <c r="AA167" s="283"/>
    </row>
    <row r="168" spans="1:27" x14ac:dyDescent="0.25">
      <c r="A168" s="125" t="str">
        <f ca="1">IF(Tabel15[[#This Row],[Rood Verdediging]]&lt;&gt;"",IF(A168="",NOW(),A168),"")</f>
        <v/>
      </c>
      <c r="B168" s="128" t="str">
        <f ca="1">IF(Tabel15[[#This Row],[Rood Verdediging]]&lt;&gt;"",IF(B168="",NOW(),B168),"")</f>
        <v/>
      </c>
      <c r="C168" s="126" t="str">
        <f ca="1">IF(Tabel15[[#This Row],[Score]]&lt;&gt;"",IF(C168="",NOW(),C168),"")</f>
        <v/>
      </c>
      <c r="D168" s="182" t="str">
        <f ca="1">IF(OR(Tabel15[[#This Row],[Starttijd]]="",Tabel15[[#This Row],[Eindtijd]]=""),"",Tabel15[[#This Row],[Eindtijd]]-Tabel15[[#This Row],[Starttijd]])</f>
        <v/>
      </c>
      <c r="E168" s="74">
        <v>120</v>
      </c>
      <c r="F168" s="40"/>
      <c r="G168" s="76"/>
      <c r="H168" s="40"/>
      <c r="I168" s="76"/>
      <c r="J168" s="41"/>
      <c r="K168" s="78"/>
      <c r="L168" s="41"/>
      <c r="M168" s="78"/>
      <c r="N168" s="81" t="str">
        <f t="shared" si="17"/>
        <v/>
      </c>
      <c r="O168" s="82" t="str">
        <f t="shared" si="18"/>
        <v/>
      </c>
      <c r="P16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Row],[Score4]]&lt;&gt;""),IF(AND(N168&gt;O168,N168&gt;=11),"ROOD",IF(AND(O168&gt;=11,N168&lt;&gt;O168),"GROEN","")),"")</f>
        <v/>
      </c>
      <c r="Q168" s="86" t="str">
        <f t="shared" si="19"/>
        <v/>
      </c>
      <c r="R168" s="87" t="str">
        <f t="shared" si="20"/>
        <v/>
      </c>
      <c r="S168" s="147" t="str">
        <f>Tabel15[[#This Row],[Rood Verdediging]]&amp;Tabel15[[#This Row],[Rood Aanval]]</f>
        <v/>
      </c>
      <c r="T168" s="147" t="str">
        <f>Tabel15[[#This Row],[Groen Verdediging]]&amp;Tabel15[[#This Row],[Groen Aanval]]</f>
        <v/>
      </c>
      <c r="U168" s="147" t="str">
        <f>Tabel15[[#This Row],[Winnaar 1]]&amp;Tabel15[[#This Row],[Winnaar 2]]</f>
        <v/>
      </c>
      <c r="V168" s="147" t="str">
        <f>IF(Tabel15[[#This Row],[Team Rood]]=Tabel15[[#This Row],[Winnaars]],Tabel15[[#This Row],[Team Rood]])</f>
        <v/>
      </c>
      <c r="W168" s="147" t="str">
        <f>IF(Tabel15[[#This Row],[Team Groen]]=Tabel15[[#This Row],[Winnaars]],Tabel15[[#This Row],[Team Groen]])</f>
        <v/>
      </c>
      <c r="X168" s="283"/>
      <c r="Y168" s="283"/>
      <c r="Z168" s="283"/>
      <c r="AA168" s="283"/>
    </row>
    <row r="169" spans="1:27" x14ac:dyDescent="0.25">
      <c r="A169" s="125" t="str">
        <f ca="1">IF(Tabel15[[#This Row],[Rood Verdediging]]&lt;&gt;"",IF(A169="",NOW(),A169),"")</f>
        <v/>
      </c>
      <c r="B169" s="128" t="str">
        <f ca="1">IF(Tabel15[[#This Row],[Rood Verdediging]]&lt;&gt;"",IF(B169="",NOW(),B169),"")</f>
        <v/>
      </c>
      <c r="C169" s="126" t="str">
        <f ca="1">IF(Tabel15[[#This Row],[Score]]&lt;&gt;"",IF(C169="",NOW(),C169),"")</f>
        <v/>
      </c>
      <c r="D169" s="182" t="str">
        <f ca="1">IF(OR(Tabel15[[#This Row],[Starttijd]]="",Tabel15[[#This Row],[Eindtijd]]=""),"",Tabel15[[#This Row],[Eindtijd]]-Tabel15[[#This Row],[Starttijd]])</f>
        <v/>
      </c>
      <c r="E169" s="74">
        <v>120</v>
      </c>
      <c r="F169" s="40"/>
      <c r="G169" s="76"/>
      <c r="H169" s="40"/>
      <c r="I169" s="76"/>
      <c r="J169" s="41"/>
      <c r="K169" s="78"/>
      <c r="L169" s="41"/>
      <c r="M169" s="78"/>
      <c r="N169" s="81" t="str">
        <f t="shared" si="17"/>
        <v/>
      </c>
      <c r="O169" s="82" t="str">
        <f t="shared" si="18"/>
        <v/>
      </c>
      <c r="P16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Row],[Score4]]&lt;&gt;""),IF(AND(N169&gt;O169,N169&gt;=11),"ROOD",IF(AND(O169&gt;=11,N169&lt;&gt;O169),"GROEN","")),"")</f>
        <v/>
      </c>
      <c r="Q169" s="86" t="str">
        <f t="shared" si="19"/>
        <v/>
      </c>
      <c r="R169" s="87" t="str">
        <f t="shared" si="20"/>
        <v/>
      </c>
      <c r="S169" s="147" t="str">
        <f>Tabel15[[#This Row],[Rood Verdediging]]&amp;Tabel15[[#This Row],[Rood Aanval]]</f>
        <v/>
      </c>
      <c r="T169" s="147" t="str">
        <f>Tabel15[[#This Row],[Groen Verdediging]]&amp;Tabel15[[#This Row],[Groen Aanval]]</f>
        <v/>
      </c>
      <c r="U169" s="147" t="str">
        <f>Tabel15[[#This Row],[Winnaar 1]]&amp;Tabel15[[#This Row],[Winnaar 2]]</f>
        <v/>
      </c>
      <c r="V169" s="147" t="str">
        <f>IF(Tabel15[[#This Row],[Team Rood]]=Tabel15[[#This Row],[Winnaars]],Tabel15[[#This Row],[Team Rood]])</f>
        <v/>
      </c>
      <c r="W169" s="147" t="str">
        <f>IF(Tabel15[[#This Row],[Team Groen]]=Tabel15[[#This Row],[Winnaars]],Tabel15[[#This Row],[Team Groen]])</f>
        <v/>
      </c>
      <c r="X169" s="283"/>
      <c r="Y169" s="283"/>
      <c r="Z169" s="283"/>
      <c r="AA169" s="283"/>
    </row>
    <row r="170" spans="1:27" x14ac:dyDescent="0.25">
      <c r="A170" s="125" t="str">
        <f ca="1">IF(Tabel15[[#This Row],[Rood Verdediging]]&lt;&gt;"",IF(A170="",NOW(),A170),"")</f>
        <v/>
      </c>
      <c r="B170" s="128" t="str">
        <f ca="1">IF(Tabel15[[#This Row],[Rood Verdediging]]&lt;&gt;"",IF(B170="",NOW(),B170),"")</f>
        <v/>
      </c>
      <c r="C170" s="126" t="str">
        <f ca="1">IF(Tabel15[[#This Row],[Score]]&lt;&gt;"",IF(C170="",NOW(),C170),"")</f>
        <v/>
      </c>
      <c r="D170" s="182" t="str">
        <f ca="1">IF(OR(Tabel15[[#This Row],[Starttijd]]="",Tabel15[[#This Row],[Eindtijd]]=""),"",Tabel15[[#This Row],[Eindtijd]]-Tabel15[[#This Row],[Starttijd]])</f>
        <v/>
      </c>
      <c r="E170" s="74">
        <v>120</v>
      </c>
      <c r="F170" s="40"/>
      <c r="G170" s="76"/>
      <c r="H170" s="40"/>
      <c r="I170" s="76"/>
      <c r="J170" s="41"/>
      <c r="K170" s="78"/>
      <c r="L170" s="41"/>
      <c r="M170" s="78"/>
      <c r="N170" s="81" t="str">
        <f t="shared" si="17"/>
        <v/>
      </c>
      <c r="O170" s="82" t="str">
        <f t="shared" si="18"/>
        <v/>
      </c>
      <c r="P17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Row],[Score4]]&lt;&gt;""),IF(AND(N170&gt;O170,N170&gt;=11),"ROOD",IF(AND(O170&gt;=11,N170&lt;&gt;O170),"GROEN","")),"")</f>
        <v/>
      </c>
      <c r="Q170" s="86" t="str">
        <f t="shared" si="19"/>
        <v/>
      </c>
      <c r="R170" s="87" t="str">
        <f t="shared" si="20"/>
        <v/>
      </c>
      <c r="S170" s="147" t="str">
        <f>Tabel15[[#This Row],[Rood Verdediging]]&amp;Tabel15[[#This Row],[Rood Aanval]]</f>
        <v/>
      </c>
      <c r="T170" s="147" t="str">
        <f>Tabel15[[#This Row],[Groen Verdediging]]&amp;Tabel15[[#This Row],[Groen Aanval]]</f>
        <v/>
      </c>
      <c r="U170" s="147" t="str">
        <f>Tabel15[[#This Row],[Winnaar 1]]&amp;Tabel15[[#This Row],[Winnaar 2]]</f>
        <v/>
      </c>
      <c r="V170" s="147" t="str">
        <f>IF(Tabel15[[#This Row],[Team Rood]]=Tabel15[[#This Row],[Winnaars]],Tabel15[[#This Row],[Team Rood]])</f>
        <v/>
      </c>
      <c r="W170" s="147" t="str">
        <f>IF(Tabel15[[#This Row],[Team Groen]]=Tabel15[[#This Row],[Winnaars]],Tabel15[[#This Row],[Team Groen]])</f>
        <v/>
      </c>
      <c r="X170" s="283"/>
      <c r="Y170" s="283"/>
      <c r="Z170" s="283"/>
      <c r="AA170" s="283"/>
    </row>
    <row r="171" spans="1:27" x14ac:dyDescent="0.25">
      <c r="A171" s="125" t="str">
        <f ca="1">IF(Tabel15[[#This Row],[Rood Verdediging]]&lt;&gt;"",IF(A171="",NOW(),A171),"")</f>
        <v/>
      </c>
      <c r="B171" s="128" t="str">
        <f ca="1">IF(Tabel15[[#This Row],[Rood Verdediging]]&lt;&gt;"",IF(B171="",NOW(),B171),"")</f>
        <v/>
      </c>
      <c r="C171" s="126" t="str">
        <f ca="1">IF(Tabel15[[#This Row],[Score]]&lt;&gt;"",IF(C171="",NOW(),C171),"")</f>
        <v/>
      </c>
      <c r="D171" s="182" t="str">
        <f ca="1">IF(OR(Tabel15[[#This Row],[Starttijd]]="",Tabel15[[#This Row],[Eindtijd]]=""),"",Tabel15[[#This Row],[Eindtijd]]-Tabel15[[#This Row],[Starttijd]])</f>
        <v/>
      </c>
      <c r="E171" s="74">
        <v>120</v>
      </c>
      <c r="F171" s="40"/>
      <c r="G171" s="76"/>
      <c r="H171" s="40"/>
      <c r="I171" s="76"/>
      <c r="J171" s="41"/>
      <c r="K171" s="78"/>
      <c r="L171" s="41"/>
      <c r="M171" s="78"/>
      <c r="N171" s="81" t="str">
        <f t="shared" si="17"/>
        <v/>
      </c>
      <c r="O171" s="82" t="str">
        <f t="shared" si="18"/>
        <v/>
      </c>
      <c r="P17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Row],[Score4]]&lt;&gt;""),IF(AND(N171&gt;O171,N171&gt;=11),"ROOD",IF(AND(O171&gt;=11,N171&lt;&gt;O171),"GROEN","")),"")</f>
        <v/>
      </c>
      <c r="Q171" s="86" t="str">
        <f t="shared" si="19"/>
        <v/>
      </c>
      <c r="R171" s="87" t="str">
        <f t="shared" si="20"/>
        <v/>
      </c>
      <c r="S171" s="147" t="str">
        <f>Tabel15[[#This Row],[Rood Verdediging]]&amp;Tabel15[[#This Row],[Rood Aanval]]</f>
        <v/>
      </c>
      <c r="T171" s="147" t="str">
        <f>Tabel15[[#This Row],[Groen Verdediging]]&amp;Tabel15[[#This Row],[Groen Aanval]]</f>
        <v/>
      </c>
      <c r="U171" s="147" t="str">
        <f>Tabel15[[#This Row],[Winnaar 1]]&amp;Tabel15[[#This Row],[Winnaar 2]]</f>
        <v/>
      </c>
      <c r="V171" s="147" t="str">
        <f>IF(Tabel15[[#This Row],[Team Rood]]=Tabel15[[#This Row],[Winnaars]],Tabel15[[#This Row],[Team Rood]])</f>
        <v/>
      </c>
      <c r="W171" s="147" t="str">
        <f>IF(Tabel15[[#This Row],[Team Groen]]=Tabel15[[#This Row],[Winnaars]],Tabel15[[#This Row],[Team Groen]])</f>
        <v/>
      </c>
      <c r="X171" s="283"/>
      <c r="Y171" s="283"/>
      <c r="Z171" s="283"/>
      <c r="AA171" s="283"/>
    </row>
    <row r="172" spans="1:27" x14ac:dyDescent="0.25">
      <c r="A172" s="125" t="str">
        <f ca="1">IF(Tabel15[[#This Row],[Rood Verdediging]]&lt;&gt;"",IF(A172="",NOW(),A172),"")</f>
        <v/>
      </c>
      <c r="B172" s="128" t="str">
        <f ca="1">IF(Tabel15[[#This Row],[Rood Verdediging]]&lt;&gt;"",IF(B172="",NOW(),B172),"")</f>
        <v/>
      </c>
      <c r="C172" s="126" t="str">
        <f ca="1">IF(Tabel15[[#This Row],[Score]]&lt;&gt;"",IF(C172="",NOW(),C172),"")</f>
        <v/>
      </c>
      <c r="D172" s="182" t="str">
        <f ca="1">IF(OR(Tabel15[[#This Row],[Starttijd]]="",Tabel15[[#This Row],[Eindtijd]]=""),"",Tabel15[[#This Row],[Eindtijd]]-Tabel15[[#This Row],[Starttijd]])</f>
        <v/>
      </c>
      <c r="E172" s="74">
        <v>120</v>
      </c>
      <c r="F172" s="40"/>
      <c r="G172" s="76"/>
      <c r="H172" s="40"/>
      <c r="I172" s="76"/>
      <c r="J172" s="41"/>
      <c r="K172" s="78"/>
      <c r="L172" s="41"/>
      <c r="M172" s="78"/>
      <c r="N172" s="81" t="str">
        <f t="shared" si="17"/>
        <v/>
      </c>
      <c r="O172" s="82" t="str">
        <f t="shared" si="18"/>
        <v/>
      </c>
      <c r="P17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Row],[Score4]]&lt;&gt;""),IF(AND(N172&gt;O172,N172&gt;=11),"ROOD",IF(AND(O172&gt;=11,N172&lt;&gt;O172),"GROEN","")),"")</f>
        <v/>
      </c>
      <c r="Q172" s="86" t="str">
        <f t="shared" si="19"/>
        <v/>
      </c>
      <c r="R172" s="87" t="str">
        <f t="shared" si="20"/>
        <v/>
      </c>
      <c r="S172" s="147" t="str">
        <f>Tabel15[[#This Row],[Rood Verdediging]]&amp;Tabel15[[#This Row],[Rood Aanval]]</f>
        <v/>
      </c>
      <c r="T172" s="147" t="str">
        <f>Tabel15[[#This Row],[Groen Verdediging]]&amp;Tabel15[[#This Row],[Groen Aanval]]</f>
        <v/>
      </c>
      <c r="U172" s="147" t="str">
        <f>Tabel15[[#This Row],[Winnaar 1]]&amp;Tabel15[[#This Row],[Winnaar 2]]</f>
        <v/>
      </c>
      <c r="V172" s="147" t="str">
        <f>IF(Tabel15[[#This Row],[Team Rood]]=Tabel15[[#This Row],[Winnaars]],Tabel15[[#This Row],[Team Rood]])</f>
        <v/>
      </c>
      <c r="W172" s="147" t="str">
        <f>IF(Tabel15[[#This Row],[Team Groen]]=Tabel15[[#This Row],[Winnaars]],Tabel15[[#This Row],[Team Groen]])</f>
        <v/>
      </c>
      <c r="X172" s="283"/>
      <c r="Y172" s="283"/>
      <c r="Z172" s="283"/>
      <c r="AA172" s="283"/>
    </row>
    <row r="173" spans="1:27" x14ac:dyDescent="0.25">
      <c r="A173" s="125" t="str">
        <f ca="1">IF(Tabel15[[#This Row],[Rood Verdediging]]&lt;&gt;"",IF(A173="",NOW(),A173),"")</f>
        <v/>
      </c>
      <c r="B173" s="128" t="str">
        <f ca="1">IF(Tabel15[[#This Row],[Rood Verdediging]]&lt;&gt;"",IF(B173="",NOW(),B173),"")</f>
        <v/>
      </c>
      <c r="C173" s="126" t="str">
        <f ca="1">IF(Tabel15[[#This Row],[Score]]&lt;&gt;"",IF(C173="",NOW(),C173),"")</f>
        <v/>
      </c>
      <c r="D173" s="182" t="str">
        <f ca="1">IF(OR(Tabel15[[#This Row],[Starttijd]]="",Tabel15[[#This Row],[Eindtijd]]=""),"",Tabel15[[#This Row],[Eindtijd]]-Tabel15[[#This Row],[Starttijd]])</f>
        <v/>
      </c>
      <c r="E173" s="74">
        <v>120</v>
      </c>
      <c r="F173" s="40"/>
      <c r="G173" s="76"/>
      <c r="H173" s="40"/>
      <c r="I173" s="76"/>
      <c r="J173" s="41"/>
      <c r="K173" s="78"/>
      <c r="L173" s="41"/>
      <c r="M173" s="78"/>
      <c r="N173" s="81" t="str">
        <f t="shared" si="17"/>
        <v/>
      </c>
      <c r="O173" s="82" t="str">
        <f t="shared" si="18"/>
        <v/>
      </c>
      <c r="P17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Row],[Score4]]&lt;&gt;""),IF(AND(N173&gt;O173,N173&gt;=11),"ROOD",IF(AND(O173&gt;=11,N173&lt;&gt;O173),"GROEN","")),"")</f>
        <v/>
      </c>
      <c r="Q173" s="86" t="str">
        <f t="shared" si="19"/>
        <v/>
      </c>
      <c r="R173" s="87" t="str">
        <f t="shared" si="20"/>
        <v/>
      </c>
      <c r="S173" s="147" t="str">
        <f>Tabel15[[#This Row],[Rood Verdediging]]&amp;Tabel15[[#This Row],[Rood Aanval]]</f>
        <v/>
      </c>
      <c r="T173" s="147" t="str">
        <f>Tabel15[[#This Row],[Groen Verdediging]]&amp;Tabel15[[#This Row],[Groen Aanval]]</f>
        <v/>
      </c>
      <c r="U173" s="147" t="str">
        <f>Tabel15[[#This Row],[Winnaar 1]]&amp;Tabel15[[#This Row],[Winnaar 2]]</f>
        <v/>
      </c>
      <c r="V173" s="147" t="str">
        <f>IF(Tabel15[[#This Row],[Team Rood]]=Tabel15[[#This Row],[Winnaars]],Tabel15[[#This Row],[Team Rood]])</f>
        <v/>
      </c>
      <c r="W173" s="147" t="str">
        <f>IF(Tabel15[[#This Row],[Team Groen]]=Tabel15[[#This Row],[Winnaars]],Tabel15[[#This Row],[Team Groen]])</f>
        <v/>
      </c>
      <c r="X173" s="283"/>
      <c r="Y173" s="283"/>
      <c r="Z173" s="283"/>
      <c r="AA173" s="283"/>
    </row>
    <row r="174" spans="1:27" x14ac:dyDescent="0.25">
      <c r="A174" s="125" t="str">
        <f ca="1">IF(Tabel15[[#This Row],[Rood Verdediging]]&lt;&gt;"",IF(A174="",NOW(),A174),"")</f>
        <v/>
      </c>
      <c r="B174" s="128" t="str">
        <f ca="1">IF(Tabel15[[#This Row],[Rood Verdediging]]&lt;&gt;"",IF(B174="",NOW(),B174),"")</f>
        <v/>
      </c>
      <c r="C174" s="126" t="str">
        <f ca="1">IF(Tabel15[[#This Row],[Score]]&lt;&gt;"",IF(C174="",NOW(),C174),"")</f>
        <v/>
      </c>
      <c r="D174" s="182" t="str">
        <f ca="1">IF(OR(Tabel15[[#This Row],[Starttijd]]="",Tabel15[[#This Row],[Eindtijd]]=""),"",Tabel15[[#This Row],[Eindtijd]]-Tabel15[[#This Row],[Starttijd]])</f>
        <v/>
      </c>
      <c r="E174" s="74">
        <v>120</v>
      </c>
      <c r="F174" s="40"/>
      <c r="G174" s="76"/>
      <c r="H174" s="40"/>
      <c r="I174" s="76"/>
      <c r="J174" s="41"/>
      <c r="K174" s="78"/>
      <c r="L174" s="41"/>
      <c r="M174" s="78"/>
      <c r="N174" s="81" t="str">
        <f t="shared" si="17"/>
        <v/>
      </c>
      <c r="O174" s="82" t="str">
        <f t="shared" si="18"/>
        <v/>
      </c>
      <c r="P17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Row],[Score4]]&lt;&gt;""),IF(AND(N174&gt;O174,N174&gt;=11),"ROOD",IF(AND(O174&gt;=11,N174&lt;&gt;O174),"GROEN","")),"")</f>
        <v/>
      </c>
      <c r="Q174" s="86" t="str">
        <f t="shared" si="19"/>
        <v/>
      </c>
      <c r="R174" s="87" t="str">
        <f t="shared" si="20"/>
        <v/>
      </c>
      <c r="S174" s="147" t="str">
        <f>Tabel15[[#This Row],[Rood Verdediging]]&amp;Tabel15[[#This Row],[Rood Aanval]]</f>
        <v/>
      </c>
      <c r="T174" s="147" t="str">
        <f>Tabel15[[#This Row],[Groen Verdediging]]&amp;Tabel15[[#This Row],[Groen Aanval]]</f>
        <v/>
      </c>
      <c r="U174" s="147" t="str">
        <f>Tabel15[[#This Row],[Winnaar 1]]&amp;Tabel15[[#This Row],[Winnaar 2]]</f>
        <v/>
      </c>
      <c r="V174" s="147" t="str">
        <f>IF(Tabel15[[#This Row],[Team Rood]]=Tabel15[[#This Row],[Winnaars]],Tabel15[[#This Row],[Team Rood]])</f>
        <v/>
      </c>
      <c r="W174" s="147" t="str">
        <f>IF(Tabel15[[#This Row],[Team Groen]]=Tabel15[[#This Row],[Winnaars]],Tabel15[[#This Row],[Team Groen]])</f>
        <v/>
      </c>
      <c r="X174" s="283"/>
      <c r="Y174" s="283"/>
      <c r="Z174" s="283"/>
      <c r="AA174" s="283"/>
    </row>
    <row r="175" spans="1:27" x14ac:dyDescent="0.25">
      <c r="A175" s="125" t="str">
        <f ca="1">IF(Tabel15[[#This Row],[Rood Verdediging]]&lt;&gt;"",IF(A175="",NOW(),A175),"")</f>
        <v/>
      </c>
      <c r="B175" s="128" t="str">
        <f ca="1">IF(Tabel15[[#This Row],[Rood Verdediging]]&lt;&gt;"",IF(B175="",NOW(),B175),"")</f>
        <v/>
      </c>
      <c r="C175" s="126" t="str">
        <f ca="1">IF(Tabel15[[#This Row],[Score]]&lt;&gt;"",IF(C175="",NOW(),C175),"")</f>
        <v/>
      </c>
      <c r="D175" s="182" t="str">
        <f ca="1">IF(OR(Tabel15[[#This Row],[Starttijd]]="",Tabel15[[#This Row],[Eindtijd]]=""),"",Tabel15[[#This Row],[Eindtijd]]-Tabel15[[#This Row],[Starttijd]])</f>
        <v/>
      </c>
      <c r="E175" s="74">
        <v>120</v>
      </c>
      <c r="F175" s="40"/>
      <c r="G175" s="76"/>
      <c r="H175" s="40"/>
      <c r="I175" s="76"/>
      <c r="J175" s="41"/>
      <c r="K175" s="78"/>
      <c r="L175" s="41"/>
      <c r="M175" s="78"/>
      <c r="N175" s="81" t="str">
        <f t="shared" si="17"/>
        <v/>
      </c>
      <c r="O175" s="82" t="str">
        <f t="shared" si="18"/>
        <v/>
      </c>
      <c r="P17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Row],[Score4]]&lt;&gt;""),IF(AND(N175&gt;O175,N175&gt;=11),"ROOD",IF(AND(O175&gt;=11,N175&lt;&gt;O175),"GROEN","")),"")</f>
        <v/>
      </c>
      <c r="Q175" s="86" t="str">
        <f t="shared" si="19"/>
        <v/>
      </c>
      <c r="R175" s="87" t="str">
        <f t="shared" si="20"/>
        <v/>
      </c>
      <c r="S175" s="147" t="str">
        <f>Tabel15[[#This Row],[Rood Verdediging]]&amp;Tabel15[[#This Row],[Rood Aanval]]</f>
        <v/>
      </c>
      <c r="T175" s="147" t="str">
        <f>Tabel15[[#This Row],[Groen Verdediging]]&amp;Tabel15[[#This Row],[Groen Aanval]]</f>
        <v/>
      </c>
      <c r="U175" s="147" t="str">
        <f>Tabel15[[#This Row],[Winnaar 1]]&amp;Tabel15[[#This Row],[Winnaar 2]]</f>
        <v/>
      </c>
      <c r="V175" s="147" t="str">
        <f>IF(Tabel15[[#This Row],[Team Rood]]=Tabel15[[#This Row],[Winnaars]],Tabel15[[#This Row],[Team Rood]])</f>
        <v/>
      </c>
      <c r="W175" s="147" t="str">
        <f>IF(Tabel15[[#This Row],[Team Groen]]=Tabel15[[#This Row],[Winnaars]],Tabel15[[#This Row],[Team Groen]])</f>
        <v/>
      </c>
      <c r="X175" s="283"/>
      <c r="Y175" s="283"/>
      <c r="Z175" s="283"/>
      <c r="AA175" s="283"/>
    </row>
    <row r="176" spans="1:27" x14ac:dyDescent="0.25">
      <c r="A176" s="125" t="str">
        <f ca="1">IF(Tabel15[[#This Row],[Rood Verdediging]]&lt;&gt;"",IF(A176="",NOW(),A176),"")</f>
        <v/>
      </c>
      <c r="B176" s="128" t="str">
        <f ca="1">IF(Tabel15[[#This Row],[Rood Verdediging]]&lt;&gt;"",IF(B176="",NOW(),B176),"")</f>
        <v/>
      </c>
      <c r="C176" s="126" t="str">
        <f ca="1">IF(Tabel15[[#This Row],[Score]]&lt;&gt;"",IF(C176="",NOW(),C176),"")</f>
        <v/>
      </c>
      <c r="D176" s="182" t="str">
        <f ca="1">IF(OR(Tabel15[[#This Row],[Starttijd]]="",Tabel15[[#This Row],[Eindtijd]]=""),"",Tabel15[[#This Row],[Eindtijd]]-Tabel15[[#This Row],[Starttijd]])</f>
        <v/>
      </c>
      <c r="E176" s="74">
        <v>120</v>
      </c>
      <c r="F176" s="40"/>
      <c r="G176" s="76"/>
      <c r="H176" s="40"/>
      <c r="I176" s="76"/>
      <c r="J176" s="41"/>
      <c r="K176" s="78"/>
      <c r="L176" s="41"/>
      <c r="M176" s="78"/>
      <c r="N176" s="81" t="str">
        <f t="shared" ref="N176:N239" si="22">IF(ISBLANK(F176),"",SUM(G176,I176))</f>
        <v/>
      </c>
      <c r="O176" s="82" t="str">
        <f t="shared" ref="O176:O239" si="23">IF(ISBLANK(F176),"",SUM(K176,M176))</f>
        <v/>
      </c>
      <c r="P17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Row],[Score4]]&lt;&gt;""),IF(AND(N176&gt;O176,N176&gt;=11),"ROOD",IF(AND(O176&gt;=11,N176&lt;&gt;O176),"GROEN","")),"")</f>
        <v/>
      </c>
      <c r="Q176" s="86" t="str">
        <f t="shared" si="19"/>
        <v/>
      </c>
      <c r="R176" s="87" t="str">
        <f t="shared" si="20"/>
        <v/>
      </c>
      <c r="S176" s="147" t="str">
        <f>Tabel15[[#This Row],[Rood Verdediging]]&amp;Tabel15[[#This Row],[Rood Aanval]]</f>
        <v/>
      </c>
      <c r="T176" s="147" t="str">
        <f>Tabel15[[#This Row],[Groen Verdediging]]&amp;Tabel15[[#This Row],[Groen Aanval]]</f>
        <v/>
      </c>
      <c r="U176" s="147" t="str">
        <f>Tabel15[[#This Row],[Winnaar 1]]&amp;Tabel15[[#This Row],[Winnaar 2]]</f>
        <v/>
      </c>
      <c r="V176" s="147" t="str">
        <f>IF(Tabel15[[#This Row],[Team Rood]]=Tabel15[[#This Row],[Winnaars]],Tabel15[[#This Row],[Team Rood]])</f>
        <v/>
      </c>
      <c r="W176" s="147" t="str">
        <f>IF(Tabel15[[#This Row],[Team Groen]]=Tabel15[[#This Row],[Winnaars]],Tabel15[[#This Row],[Team Groen]])</f>
        <v/>
      </c>
      <c r="X176" s="283"/>
      <c r="Y176" s="283"/>
      <c r="Z176" s="283"/>
      <c r="AA176" s="283"/>
    </row>
    <row r="177" spans="1:27" x14ac:dyDescent="0.25">
      <c r="A177" s="125" t="str">
        <f ca="1">IF(Tabel15[[#This Row],[Rood Verdediging]]&lt;&gt;"",IF(A177="",NOW(),A177),"")</f>
        <v/>
      </c>
      <c r="B177" s="128" t="str">
        <f ca="1">IF(Tabel15[[#This Row],[Rood Verdediging]]&lt;&gt;"",IF(B177="",NOW(),B177),"")</f>
        <v/>
      </c>
      <c r="C177" s="126" t="str">
        <f ca="1">IF(Tabel15[[#This Row],[Score]]&lt;&gt;"",IF(C177="",NOW(),C177),"")</f>
        <v/>
      </c>
      <c r="D177" s="182" t="str">
        <f ca="1">IF(OR(Tabel15[[#This Row],[Starttijd]]="",Tabel15[[#This Row],[Eindtijd]]=""),"",Tabel15[[#This Row],[Eindtijd]]-Tabel15[[#This Row],[Starttijd]])</f>
        <v/>
      </c>
      <c r="E177" s="74">
        <v>120</v>
      </c>
      <c r="F177" s="105"/>
      <c r="G177" s="106"/>
      <c r="H177" s="105"/>
      <c r="I177" s="106"/>
      <c r="J177" s="107"/>
      <c r="K177" s="108"/>
      <c r="L177" s="107"/>
      <c r="M177" s="108"/>
      <c r="N177" s="81" t="str">
        <f t="shared" si="22"/>
        <v/>
      </c>
      <c r="O177" s="82" t="str">
        <f t="shared" si="23"/>
        <v/>
      </c>
      <c r="P17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Row],[Score4]]&lt;&gt;""),IF(AND(N177&gt;O177,N177&gt;=11),"ROOD",IF(AND(O177&gt;=11,N177&lt;&gt;O177),"GROEN","")),"")</f>
        <v/>
      </c>
      <c r="Q177" s="86" t="str">
        <f t="shared" si="19"/>
        <v/>
      </c>
      <c r="R177" s="87" t="str">
        <f t="shared" si="20"/>
        <v/>
      </c>
      <c r="S177" s="147" t="str">
        <f>Tabel15[[#This Row],[Rood Verdediging]]&amp;Tabel15[[#This Row],[Rood Aanval]]</f>
        <v/>
      </c>
      <c r="T177" s="147" t="str">
        <f>Tabel15[[#This Row],[Groen Verdediging]]&amp;Tabel15[[#This Row],[Groen Aanval]]</f>
        <v/>
      </c>
      <c r="U177" s="147" t="str">
        <f>Tabel15[[#This Row],[Winnaar 1]]&amp;Tabel15[[#This Row],[Winnaar 2]]</f>
        <v/>
      </c>
      <c r="V177" s="147" t="str">
        <f>IF(Tabel15[[#This Row],[Team Rood]]=Tabel15[[#This Row],[Winnaars]],Tabel15[[#This Row],[Team Rood]])</f>
        <v/>
      </c>
      <c r="W177" s="147" t="str">
        <f>IF(Tabel15[[#This Row],[Team Groen]]=Tabel15[[#This Row],[Winnaars]],Tabel15[[#This Row],[Team Groen]])</f>
        <v/>
      </c>
      <c r="X177" s="283"/>
      <c r="Y177" s="283"/>
      <c r="Z177" s="283"/>
      <c r="AA177" s="283"/>
    </row>
    <row r="178" spans="1:27" x14ac:dyDescent="0.25">
      <c r="A178" s="125" t="str">
        <f ca="1">IF(Tabel15[[#This Row],[Rood Verdediging]]&lt;&gt;"",IF(A178="",NOW(),A178),"")</f>
        <v/>
      </c>
      <c r="B178" s="128" t="str">
        <f ca="1">IF(Tabel15[[#This Row],[Rood Verdediging]]&lt;&gt;"",IF(B178="",NOW(),B178),"")</f>
        <v/>
      </c>
      <c r="C178" s="126" t="str">
        <f ca="1">IF(Tabel15[[#This Row],[Score]]&lt;&gt;"",IF(C178="",NOW(),C178),"")</f>
        <v/>
      </c>
      <c r="D178" s="182" t="str">
        <f ca="1">IF(OR(Tabel15[[#This Row],[Starttijd]]="",Tabel15[[#This Row],[Eindtijd]]=""),"",Tabel15[[#This Row],[Eindtijd]]-Tabel15[[#This Row],[Starttijd]])</f>
        <v/>
      </c>
      <c r="E178" s="74">
        <v>120</v>
      </c>
      <c r="F178" s="40"/>
      <c r="G178" s="76"/>
      <c r="H178" s="40"/>
      <c r="I178" s="76"/>
      <c r="J178" s="41"/>
      <c r="K178" s="78"/>
      <c r="L178" s="41"/>
      <c r="M178" s="78"/>
      <c r="N178" s="81" t="str">
        <f t="shared" si="22"/>
        <v/>
      </c>
      <c r="O178" s="82" t="str">
        <f t="shared" si="23"/>
        <v/>
      </c>
      <c r="P17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Row],[Score4]]&lt;&gt;""),IF(AND(N178&gt;O178,N178&gt;=11),"ROOD",IF(AND(O178&gt;=11,N178&lt;&gt;O178),"GROEN","")),"")</f>
        <v/>
      </c>
      <c r="Q178" s="86" t="str">
        <f t="shared" si="19"/>
        <v/>
      </c>
      <c r="R178" s="87" t="str">
        <f t="shared" si="20"/>
        <v/>
      </c>
      <c r="S178" s="147" t="str">
        <f>Tabel15[[#This Row],[Rood Verdediging]]&amp;Tabel15[[#This Row],[Rood Aanval]]</f>
        <v/>
      </c>
      <c r="T178" s="147" t="str">
        <f>Tabel15[[#This Row],[Groen Verdediging]]&amp;Tabel15[[#This Row],[Groen Aanval]]</f>
        <v/>
      </c>
      <c r="U178" s="147" t="str">
        <f>Tabel15[[#This Row],[Winnaar 1]]&amp;Tabel15[[#This Row],[Winnaar 2]]</f>
        <v/>
      </c>
      <c r="V178" s="147" t="str">
        <f>IF(Tabel15[[#This Row],[Team Rood]]=Tabel15[[#This Row],[Winnaars]],Tabel15[[#This Row],[Team Rood]])</f>
        <v/>
      </c>
      <c r="W178" s="147" t="str">
        <f>IF(Tabel15[[#This Row],[Team Groen]]=Tabel15[[#This Row],[Winnaars]],Tabel15[[#This Row],[Team Groen]])</f>
        <v/>
      </c>
      <c r="X178" s="283"/>
      <c r="Y178" s="283"/>
      <c r="Z178" s="283"/>
      <c r="AA178" s="283"/>
    </row>
    <row r="179" spans="1:27" x14ac:dyDescent="0.25">
      <c r="A179" s="125" t="str">
        <f ca="1">IF(Tabel15[[#This Row],[Rood Verdediging]]&lt;&gt;"",IF(A179="",NOW(),A179),"")</f>
        <v/>
      </c>
      <c r="B179" s="128" t="str">
        <f ca="1">IF(Tabel15[[#This Row],[Rood Verdediging]]&lt;&gt;"",IF(B179="",NOW(),B179),"")</f>
        <v/>
      </c>
      <c r="C179" s="126" t="str">
        <f ca="1">IF(Tabel15[[#This Row],[Score]]&lt;&gt;"",IF(C179="",NOW(),C179),"")</f>
        <v/>
      </c>
      <c r="D179" s="182" t="str">
        <f ca="1">IF(OR(Tabel15[[#This Row],[Starttijd]]="",Tabel15[[#This Row],[Eindtijd]]=""),"",Tabel15[[#This Row],[Eindtijd]]-Tabel15[[#This Row],[Starttijd]])</f>
        <v/>
      </c>
      <c r="E179" s="74">
        <v>120</v>
      </c>
      <c r="F179" s="40"/>
      <c r="G179" s="76"/>
      <c r="H179" s="40"/>
      <c r="I179" s="76"/>
      <c r="J179" s="41"/>
      <c r="K179" s="78"/>
      <c r="L179" s="41"/>
      <c r="M179" s="78"/>
      <c r="N179" s="81" t="str">
        <f t="shared" si="22"/>
        <v/>
      </c>
      <c r="O179" s="82" t="str">
        <f t="shared" si="23"/>
        <v/>
      </c>
      <c r="P17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Row],[Score4]]&lt;&gt;""),IF(AND(N179&gt;O179,N179&gt;=11),"ROOD",IF(AND(O179&gt;=11,N179&lt;&gt;O179),"GROEN","")),"")</f>
        <v/>
      </c>
      <c r="Q179" s="86" t="str">
        <f t="shared" si="19"/>
        <v/>
      </c>
      <c r="R179" s="87" t="str">
        <f t="shared" si="20"/>
        <v/>
      </c>
      <c r="S179" s="147" t="str">
        <f>Tabel15[[#This Row],[Rood Verdediging]]&amp;Tabel15[[#This Row],[Rood Aanval]]</f>
        <v/>
      </c>
      <c r="T179" s="147" t="str">
        <f>Tabel15[[#This Row],[Groen Verdediging]]&amp;Tabel15[[#This Row],[Groen Aanval]]</f>
        <v/>
      </c>
      <c r="U179" s="147" t="str">
        <f>Tabel15[[#This Row],[Winnaar 1]]&amp;Tabel15[[#This Row],[Winnaar 2]]</f>
        <v/>
      </c>
      <c r="V179" s="147" t="str">
        <f>IF(Tabel15[[#This Row],[Team Rood]]=Tabel15[[#This Row],[Winnaars]],Tabel15[[#This Row],[Team Rood]])</f>
        <v/>
      </c>
      <c r="W179" s="147" t="str">
        <f>IF(Tabel15[[#This Row],[Team Groen]]=Tabel15[[#This Row],[Winnaars]],Tabel15[[#This Row],[Team Groen]])</f>
        <v/>
      </c>
      <c r="X179" s="283"/>
      <c r="Y179" s="283"/>
      <c r="Z179" s="283"/>
      <c r="AA179" s="283"/>
    </row>
    <row r="180" spans="1:27" x14ac:dyDescent="0.25">
      <c r="A180" s="125" t="str">
        <f ca="1">IF(Tabel15[[#This Row],[Rood Verdediging]]&lt;&gt;"",IF(A180="",NOW(),A180),"")</f>
        <v/>
      </c>
      <c r="B180" s="128" t="str">
        <f ca="1">IF(Tabel15[[#This Row],[Rood Verdediging]]&lt;&gt;"",IF(B180="",NOW(),B180),"")</f>
        <v/>
      </c>
      <c r="C180" s="126" t="str">
        <f ca="1">IF(Tabel15[[#This Row],[Score]]&lt;&gt;"",IF(C180="",NOW(),C180),"")</f>
        <v/>
      </c>
      <c r="D180" s="182" t="str">
        <f ca="1">IF(OR(Tabel15[[#This Row],[Starttijd]]="",Tabel15[[#This Row],[Eindtijd]]=""),"",Tabel15[[#This Row],[Eindtijd]]-Tabel15[[#This Row],[Starttijd]])</f>
        <v/>
      </c>
      <c r="E180" s="74">
        <v>120</v>
      </c>
      <c r="F180" s="40"/>
      <c r="G180" s="76"/>
      <c r="H180" s="40"/>
      <c r="I180" s="76"/>
      <c r="J180" s="41"/>
      <c r="K180" s="78"/>
      <c r="L180" s="41"/>
      <c r="M180" s="78"/>
      <c r="N180" s="81" t="str">
        <f t="shared" si="22"/>
        <v/>
      </c>
      <c r="O180" s="82" t="str">
        <f t="shared" si="23"/>
        <v/>
      </c>
      <c r="P18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Row],[Score4]]&lt;&gt;""),IF(AND(N180&gt;O180,N180&gt;=11),"ROOD",IF(AND(O180&gt;=11,N180&lt;&gt;O180),"GROEN","")),"")</f>
        <v/>
      </c>
      <c r="Q180" s="86" t="str">
        <f t="shared" si="19"/>
        <v/>
      </c>
      <c r="R180" s="87" t="str">
        <f t="shared" si="20"/>
        <v/>
      </c>
      <c r="S180" s="147" t="str">
        <f>Tabel15[[#This Row],[Rood Verdediging]]&amp;Tabel15[[#This Row],[Rood Aanval]]</f>
        <v/>
      </c>
      <c r="T180" s="147" t="str">
        <f>Tabel15[[#This Row],[Groen Verdediging]]&amp;Tabel15[[#This Row],[Groen Aanval]]</f>
        <v/>
      </c>
      <c r="U180" s="147" t="str">
        <f>Tabel15[[#This Row],[Winnaar 1]]&amp;Tabel15[[#This Row],[Winnaar 2]]</f>
        <v/>
      </c>
      <c r="V180" s="147" t="str">
        <f>IF(Tabel15[[#This Row],[Team Rood]]=Tabel15[[#This Row],[Winnaars]],Tabel15[[#This Row],[Team Rood]])</f>
        <v/>
      </c>
      <c r="W180" s="147" t="str">
        <f>IF(Tabel15[[#This Row],[Team Groen]]=Tabel15[[#This Row],[Winnaars]],Tabel15[[#This Row],[Team Groen]])</f>
        <v/>
      </c>
      <c r="X180" s="283"/>
      <c r="Y180" s="283"/>
      <c r="Z180" s="283"/>
      <c r="AA180" s="283"/>
    </row>
    <row r="181" spans="1:27" x14ac:dyDescent="0.25">
      <c r="A181" s="125" t="str">
        <f ca="1">IF(Tabel15[[#This Row],[Rood Verdediging]]&lt;&gt;"",IF(A181="",NOW(),A181),"")</f>
        <v/>
      </c>
      <c r="B181" s="128" t="str">
        <f ca="1">IF(Tabel15[[#This Row],[Rood Verdediging]]&lt;&gt;"",IF(B181="",NOW(),B181),"")</f>
        <v/>
      </c>
      <c r="C181" s="126" t="str">
        <f ca="1">IF(Tabel15[[#This Row],[Score]]&lt;&gt;"",IF(C181="",NOW(),C181),"")</f>
        <v/>
      </c>
      <c r="D181" s="182" t="str">
        <f ca="1">IF(OR(Tabel15[[#This Row],[Starttijd]]="",Tabel15[[#This Row],[Eindtijd]]=""),"",Tabel15[[#This Row],[Eindtijd]]-Tabel15[[#This Row],[Starttijd]])</f>
        <v/>
      </c>
      <c r="E181" s="74">
        <v>120</v>
      </c>
      <c r="F181" s="40"/>
      <c r="G181" s="76"/>
      <c r="H181" s="40"/>
      <c r="I181" s="76"/>
      <c r="J181" s="41"/>
      <c r="K181" s="78"/>
      <c r="L181" s="41"/>
      <c r="M181" s="78"/>
      <c r="N181" s="81" t="str">
        <f t="shared" si="22"/>
        <v/>
      </c>
      <c r="O181" s="82" t="str">
        <f t="shared" si="23"/>
        <v/>
      </c>
      <c r="P18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Row],[Score4]]&lt;&gt;""),IF(AND(N181&gt;O181,N181&gt;=11),"ROOD",IF(AND(O181&gt;=11,N181&lt;&gt;O181),"GROEN","")),"")</f>
        <v/>
      </c>
      <c r="Q181" s="86" t="str">
        <f t="shared" si="19"/>
        <v/>
      </c>
      <c r="R181" s="87" t="str">
        <f t="shared" si="20"/>
        <v/>
      </c>
      <c r="S181" s="147" t="str">
        <f>Tabel15[[#This Row],[Rood Verdediging]]&amp;Tabel15[[#This Row],[Rood Aanval]]</f>
        <v/>
      </c>
      <c r="T181" s="147" t="str">
        <f>Tabel15[[#This Row],[Groen Verdediging]]&amp;Tabel15[[#This Row],[Groen Aanval]]</f>
        <v/>
      </c>
      <c r="U181" s="147" t="str">
        <f>Tabel15[[#This Row],[Winnaar 1]]&amp;Tabel15[[#This Row],[Winnaar 2]]</f>
        <v/>
      </c>
      <c r="V181" s="147" t="str">
        <f>IF(Tabel15[[#This Row],[Team Rood]]=Tabel15[[#This Row],[Winnaars]],Tabel15[[#This Row],[Team Rood]])</f>
        <v/>
      </c>
      <c r="W181" s="147" t="str">
        <f>IF(Tabel15[[#This Row],[Team Groen]]=Tabel15[[#This Row],[Winnaars]],Tabel15[[#This Row],[Team Groen]])</f>
        <v/>
      </c>
      <c r="X181" s="283"/>
      <c r="Y181" s="283"/>
      <c r="Z181" s="283"/>
      <c r="AA181" s="283"/>
    </row>
    <row r="182" spans="1:27" x14ac:dyDescent="0.25">
      <c r="A182" s="125" t="str">
        <f ca="1">IF(Tabel15[[#This Row],[Rood Verdediging]]&lt;&gt;"",IF(A182="",NOW(),A182),"")</f>
        <v/>
      </c>
      <c r="B182" s="128" t="str">
        <f ca="1">IF(Tabel15[[#This Row],[Rood Verdediging]]&lt;&gt;"",IF(B182="",NOW(),B182),"")</f>
        <v/>
      </c>
      <c r="C182" s="126" t="str">
        <f ca="1">IF(Tabel15[[#This Row],[Score]]&lt;&gt;"",IF(C182="",NOW(),C182),"")</f>
        <v/>
      </c>
      <c r="D182" s="182" t="str">
        <f ca="1">IF(OR(Tabel15[[#This Row],[Starttijd]]="",Tabel15[[#This Row],[Eindtijd]]=""),"",Tabel15[[#This Row],[Eindtijd]]-Tabel15[[#This Row],[Starttijd]])</f>
        <v/>
      </c>
      <c r="E182" s="74">
        <v>120</v>
      </c>
      <c r="F182" s="40"/>
      <c r="G182" s="76"/>
      <c r="H182" s="40"/>
      <c r="I182" s="76"/>
      <c r="J182" s="41"/>
      <c r="K182" s="78"/>
      <c r="L182" s="41"/>
      <c r="M182" s="78"/>
      <c r="N182" s="81" t="str">
        <f t="shared" si="22"/>
        <v/>
      </c>
      <c r="O182" s="82" t="str">
        <f t="shared" si="23"/>
        <v/>
      </c>
      <c r="P18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Row],[Score4]]&lt;&gt;""),IF(AND(N182&gt;O182,N182&gt;=11),"ROOD",IF(AND(O182&gt;=11,N182&lt;&gt;O182),"GROEN","")),"")</f>
        <v/>
      </c>
      <c r="Q182" s="86" t="str">
        <f t="shared" si="19"/>
        <v/>
      </c>
      <c r="R182" s="87" t="str">
        <f t="shared" si="20"/>
        <v/>
      </c>
      <c r="S182" s="147" t="str">
        <f>Tabel15[[#This Row],[Rood Verdediging]]&amp;Tabel15[[#This Row],[Rood Aanval]]</f>
        <v/>
      </c>
      <c r="T182" s="147" t="str">
        <f>Tabel15[[#This Row],[Groen Verdediging]]&amp;Tabel15[[#This Row],[Groen Aanval]]</f>
        <v/>
      </c>
      <c r="U182" s="147" t="str">
        <f>Tabel15[[#This Row],[Winnaar 1]]&amp;Tabel15[[#This Row],[Winnaar 2]]</f>
        <v/>
      </c>
      <c r="V182" s="147" t="str">
        <f>IF(Tabel15[[#This Row],[Team Rood]]=Tabel15[[#This Row],[Winnaars]],Tabel15[[#This Row],[Team Rood]])</f>
        <v/>
      </c>
      <c r="W182" s="147" t="str">
        <f>IF(Tabel15[[#This Row],[Team Groen]]=Tabel15[[#This Row],[Winnaars]],Tabel15[[#This Row],[Team Groen]])</f>
        <v/>
      </c>
      <c r="X182" s="283"/>
      <c r="Y182" s="283"/>
      <c r="Z182" s="283"/>
      <c r="AA182" s="283"/>
    </row>
    <row r="183" spans="1:27" x14ac:dyDescent="0.25">
      <c r="A183" s="125" t="str">
        <f ca="1">IF(Tabel15[[#This Row],[Rood Verdediging]]&lt;&gt;"",IF(A183="",NOW(),A183),"")</f>
        <v/>
      </c>
      <c r="B183" s="128" t="str">
        <f ca="1">IF(Tabel15[[#This Row],[Rood Verdediging]]&lt;&gt;"",IF(B183="",NOW(),B183),"")</f>
        <v/>
      </c>
      <c r="C183" s="126" t="str">
        <f ca="1">IF(Tabel15[[#This Row],[Score]]&lt;&gt;"",IF(C183="",NOW(),C183),"")</f>
        <v/>
      </c>
      <c r="D183" s="182" t="str">
        <f ca="1">IF(OR(Tabel15[[#This Row],[Starttijd]]="",Tabel15[[#This Row],[Eindtijd]]=""),"",Tabel15[[#This Row],[Eindtijd]]-Tabel15[[#This Row],[Starttijd]])</f>
        <v/>
      </c>
      <c r="E183" s="74">
        <v>120</v>
      </c>
      <c r="F183" s="40"/>
      <c r="G183" s="76"/>
      <c r="H183" s="40"/>
      <c r="I183" s="76"/>
      <c r="J183" s="41"/>
      <c r="K183" s="78"/>
      <c r="L183" s="41"/>
      <c r="M183" s="78"/>
      <c r="N183" s="81" t="str">
        <f t="shared" si="22"/>
        <v/>
      </c>
      <c r="O183" s="82" t="str">
        <f t="shared" si="23"/>
        <v/>
      </c>
      <c r="P18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Row],[Score4]]&lt;&gt;""),IF(AND(N183&gt;O183,N183&gt;=11),"ROOD",IF(AND(O183&gt;=11,N183&lt;&gt;O183),"GROEN","")),"")</f>
        <v/>
      </c>
      <c r="Q183" s="86" t="str">
        <f t="shared" si="19"/>
        <v/>
      </c>
      <c r="R183" s="87" t="str">
        <f t="shared" si="20"/>
        <v/>
      </c>
      <c r="S183" s="147" t="str">
        <f>Tabel15[[#This Row],[Rood Verdediging]]&amp;Tabel15[[#This Row],[Rood Aanval]]</f>
        <v/>
      </c>
      <c r="T183" s="147" t="str">
        <f>Tabel15[[#This Row],[Groen Verdediging]]&amp;Tabel15[[#This Row],[Groen Aanval]]</f>
        <v/>
      </c>
      <c r="U183" s="147" t="str">
        <f>Tabel15[[#This Row],[Winnaar 1]]&amp;Tabel15[[#This Row],[Winnaar 2]]</f>
        <v/>
      </c>
      <c r="V183" s="147" t="str">
        <f>IF(Tabel15[[#This Row],[Team Rood]]=Tabel15[[#This Row],[Winnaars]],Tabel15[[#This Row],[Team Rood]])</f>
        <v/>
      </c>
      <c r="W183" s="147" t="str">
        <f>IF(Tabel15[[#This Row],[Team Groen]]=Tabel15[[#This Row],[Winnaars]],Tabel15[[#This Row],[Team Groen]])</f>
        <v/>
      </c>
      <c r="X183" s="283"/>
      <c r="Y183" s="283"/>
      <c r="Z183" s="283"/>
      <c r="AA183" s="283"/>
    </row>
    <row r="184" spans="1:27" x14ac:dyDescent="0.25">
      <c r="A184" s="125" t="str">
        <f ca="1">IF(Tabel15[[#This Row],[Rood Verdediging]]&lt;&gt;"",IF(A184="",NOW(),A184),"")</f>
        <v/>
      </c>
      <c r="B184" s="128" t="str">
        <f ca="1">IF(Tabel15[[#This Row],[Rood Verdediging]]&lt;&gt;"",IF(B184="",NOW(),B184),"")</f>
        <v/>
      </c>
      <c r="C184" s="126" t="str">
        <f ca="1">IF(Tabel15[[#This Row],[Score]]&lt;&gt;"",IF(C184="",NOW(),C184),"")</f>
        <v/>
      </c>
      <c r="D184" s="182" t="str">
        <f ca="1">IF(OR(Tabel15[[#This Row],[Starttijd]]="",Tabel15[[#This Row],[Eindtijd]]=""),"",Tabel15[[#This Row],[Eindtijd]]-Tabel15[[#This Row],[Starttijd]])</f>
        <v/>
      </c>
      <c r="E184" s="74">
        <v>120</v>
      </c>
      <c r="F184" s="40"/>
      <c r="G184" s="76"/>
      <c r="H184" s="40"/>
      <c r="I184" s="76"/>
      <c r="J184" s="41"/>
      <c r="K184" s="78"/>
      <c r="L184" s="41"/>
      <c r="M184" s="78"/>
      <c r="N184" s="81" t="str">
        <f t="shared" si="22"/>
        <v/>
      </c>
      <c r="O184" s="82" t="str">
        <f t="shared" si="23"/>
        <v/>
      </c>
      <c r="P18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Row],[Score4]]&lt;&gt;""),IF(AND(N184&gt;O184,N184&gt;=11),"ROOD",IF(AND(O184&gt;=11,N184&lt;&gt;O184),"GROEN","")),"")</f>
        <v/>
      </c>
      <c r="Q184" s="86" t="str">
        <f t="shared" si="19"/>
        <v/>
      </c>
      <c r="R184" s="87" t="str">
        <f t="shared" si="20"/>
        <v/>
      </c>
      <c r="S184" s="147" t="str">
        <f>Tabel15[[#This Row],[Rood Verdediging]]&amp;Tabel15[[#This Row],[Rood Aanval]]</f>
        <v/>
      </c>
      <c r="T184" s="147" t="str">
        <f>Tabel15[[#This Row],[Groen Verdediging]]&amp;Tabel15[[#This Row],[Groen Aanval]]</f>
        <v/>
      </c>
      <c r="U184" s="147" t="str">
        <f>Tabel15[[#This Row],[Winnaar 1]]&amp;Tabel15[[#This Row],[Winnaar 2]]</f>
        <v/>
      </c>
      <c r="V184" s="147" t="str">
        <f>IF(Tabel15[[#This Row],[Team Rood]]=Tabel15[[#This Row],[Winnaars]],Tabel15[[#This Row],[Team Rood]])</f>
        <v/>
      </c>
      <c r="W184" s="147" t="str">
        <f>IF(Tabel15[[#This Row],[Team Groen]]=Tabel15[[#This Row],[Winnaars]],Tabel15[[#This Row],[Team Groen]])</f>
        <v/>
      </c>
      <c r="X184" s="283"/>
      <c r="Y184" s="283"/>
      <c r="Z184" s="283"/>
      <c r="AA184" s="283"/>
    </row>
    <row r="185" spans="1:27" x14ac:dyDescent="0.25">
      <c r="A185" s="125" t="str">
        <f ca="1">IF(Tabel15[[#This Row],[Rood Verdediging]]&lt;&gt;"",IF(A185="",NOW(),A185),"")</f>
        <v/>
      </c>
      <c r="B185" s="128" t="str">
        <f ca="1">IF(Tabel15[[#This Row],[Rood Verdediging]]&lt;&gt;"",IF(B185="",NOW(),B185),"")</f>
        <v/>
      </c>
      <c r="C185" s="126" t="str">
        <f ca="1">IF(Tabel15[[#This Row],[Score]]&lt;&gt;"",IF(C185="",NOW(),C185),"")</f>
        <v/>
      </c>
      <c r="D185" s="182" t="str">
        <f ca="1">IF(OR(Tabel15[[#This Row],[Starttijd]]="",Tabel15[[#This Row],[Eindtijd]]=""),"",Tabel15[[#This Row],[Eindtijd]]-Tabel15[[#This Row],[Starttijd]])</f>
        <v/>
      </c>
      <c r="E185" s="74">
        <v>120</v>
      </c>
      <c r="F185" s="40"/>
      <c r="G185" s="76"/>
      <c r="H185" s="40"/>
      <c r="I185" s="76"/>
      <c r="J185" s="41"/>
      <c r="K185" s="78"/>
      <c r="L185" s="41"/>
      <c r="M185" s="78"/>
      <c r="N185" s="81" t="str">
        <f t="shared" si="22"/>
        <v/>
      </c>
      <c r="O185" s="82" t="str">
        <f t="shared" si="23"/>
        <v/>
      </c>
      <c r="P18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Row],[Score4]]&lt;&gt;""),IF(AND(N185&gt;O185,N185&gt;=11),"ROOD",IF(AND(O185&gt;=11,N185&lt;&gt;O185),"GROEN","")),"")</f>
        <v/>
      </c>
      <c r="Q185" s="86" t="str">
        <f t="shared" si="19"/>
        <v/>
      </c>
      <c r="R185" s="87" t="str">
        <f t="shared" si="20"/>
        <v/>
      </c>
      <c r="S185" s="147" t="str">
        <f>Tabel15[[#This Row],[Rood Verdediging]]&amp;Tabel15[[#This Row],[Rood Aanval]]</f>
        <v/>
      </c>
      <c r="T185" s="147" t="str">
        <f>Tabel15[[#This Row],[Groen Verdediging]]&amp;Tabel15[[#This Row],[Groen Aanval]]</f>
        <v/>
      </c>
      <c r="U185" s="147" t="str">
        <f>Tabel15[[#This Row],[Winnaar 1]]&amp;Tabel15[[#This Row],[Winnaar 2]]</f>
        <v/>
      </c>
      <c r="V185" s="147" t="str">
        <f>IF(Tabel15[[#This Row],[Team Rood]]=Tabel15[[#This Row],[Winnaars]],Tabel15[[#This Row],[Team Rood]])</f>
        <v/>
      </c>
      <c r="W185" s="147" t="str">
        <f>IF(Tabel15[[#This Row],[Team Groen]]=Tabel15[[#This Row],[Winnaars]],Tabel15[[#This Row],[Team Groen]])</f>
        <v/>
      </c>
      <c r="X185" s="283"/>
      <c r="Y185" s="283"/>
      <c r="Z185" s="283"/>
      <c r="AA185" s="283"/>
    </row>
    <row r="186" spans="1:27" x14ac:dyDescent="0.25">
      <c r="A186" s="125" t="str">
        <f ca="1">IF(Tabel15[[#This Row],[Rood Verdediging]]&lt;&gt;"",IF(A186="",NOW(),A186),"")</f>
        <v/>
      </c>
      <c r="B186" s="128" t="str">
        <f ca="1">IF(Tabel15[[#This Row],[Rood Verdediging]]&lt;&gt;"",IF(B186="",NOW(),B186),"")</f>
        <v/>
      </c>
      <c r="C186" s="126" t="str">
        <f ca="1">IF(Tabel15[[#This Row],[Score]]&lt;&gt;"",IF(C186="",NOW(),C186),"")</f>
        <v/>
      </c>
      <c r="D186" s="182" t="str">
        <f ca="1">IF(OR(Tabel15[[#This Row],[Starttijd]]="",Tabel15[[#This Row],[Eindtijd]]=""),"",Tabel15[[#This Row],[Eindtijd]]-Tabel15[[#This Row],[Starttijd]])</f>
        <v/>
      </c>
      <c r="E186" s="74">
        <v>120</v>
      </c>
      <c r="F186" s="40"/>
      <c r="G186" s="76"/>
      <c r="H186" s="40"/>
      <c r="I186" s="76"/>
      <c r="J186" s="41"/>
      <c r="K186" s="78"/>
      <c r="L186" s="41"/>
      <c r="M186" s="78"/>
      <c r="N186" s="81" t="str">
        <f t="shared" si="22"/>
        <v/>
      </c>
      <c r="O186" s="82" t="str">
        <f t="shared" si="23"/>
        <v/>
      </c>
      <c r="P18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Row],[Score4]]&lt;&gt;""),IF(AND(N186&gt;O186,N186&gt;=11),"ROOD",IF(AND(O186&gt;=11,N186&lt;&gt;O186),"GROEN","")),"")</f>
        <v/>
      </c>
      <c r="Q186" s="86" t="str">
        <f t="shared" si="19"/>
        <v/>
      </c>
      <c r="R186" s="87" t="str">
        <f t="shared" si="20"/>
        <v/>
      </c>
      <c r="S186" s="147" t="str">
        <f>Tabel15[[#This Row],[Rood Verdediging]]&amp;Tabel15[[#This Row],[Rood Aanval]]</f>
        <v/>
      </c>
      <c r="T186" s="147" t="str">
        <f>Tabel15[[#This Row],[Groen Verdediging]]&amp;Tabel15[[#This Row],[Groen Aanval]]</f>
        <v/>
      </c>
      <c r="U186" s="147" t="str">
        <f>Tabel15[[#This Row],[Winnaar 1]]&amp;Tabel15[[#This Row],[Winnaar 2]]</f>
        <v/>
      </c>
      <c r="V186" s="147" t="str">
        <f>IF(Tabel15[[#This Row],[Team Rood]]=Tabel15[[#This Row],[Winnaars]],Tabel15[[#This Row],[Team Rood]])</f>
        <v/>
      </c>
      <c r="W186" s="147" t="str">
        <f>IF(Tabel15[[#This Row],[Team Groen]]=Tabel15[[#This Row],[Winnaars]],Tabel15[[#This Row],[Team Groen]])</f>
        <v/>
      </c>
      <c r="X186" s="283"/>
      <c r="Y186" s="283"/>
      <c r="Z186" s="283"/>
      <c r="AA186" s="283"/>
    </row>
    <row r="187" spans="1:27" x14ac:dyDescent="0.25">
      <c r="A187" s="125" t="str">
        <f ca="1">IF(Tabel15[[#This Row],[Rood Verdediging]]&lt;&gt;"",IF(A187="",NOW(),A187),"")</f>
        <v/>
      </c>
      <c r="B187" s="128" t="str">
        <f ca="1">IF(Tabel15[[#This Row],[Rood Verdediging]]&lt;&gt;"",IF(B187="",NOW(),B187),"")</f>
        <v/>
      </c>
      <c r="C187" s="126" t="str">
        <f ca="1">IF(Tabel15[[#This Row],[Score]]&lt;&gt;"",IF(C187="",NOW(),C187),"")</f>
        <v/>
      </c>
      <c r="D187" s="182" t="str">
        <f ca="1">IF(OR(Tabel15[[#This Row],[Starttijd]]="",Tabel15[[#This Row],[Eindtijd]]=""),"",Tabel15[[#This Row],[Eindtijd]]-Tabel15[[#This Row],[Starttijd]])</f>
        <v/>
      </c>
      <c r="E187" s="74">
        <v>120</v>
      </c>
      <c r="F187" s="40"/>
      <c r="G187" s="76"/>
      <c r="H187" s="40"/>
      <c r="I187" s="76"/>
      <c r="J187" s="41"/>
      <c r="K187" s="78"/>
      <c r="L187" s="41"/>
      <c r="M187" s="78"/>
      <c r="N187" s="81" t="str">
        <f t="shared" si="22"/>
        <v/>
      </c>
      <c r="O187" s="82" t="str">
        <f t="shared" si="23"/>
        <v/>
      </c>
      <c r="P18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Row],[Score4]]&lt;&gt;""),IF(AND(N187&gt;O187,N187&gt;=11),"ROOD",IF(AND(O187&gt;=11,N187&lt;&gt;O187),"GROEN","")),"")</f>
        <v/>
      </c>
      <c r="Q187" s="86" t="str">
        <f t="shared" si="19"/>
        <v/>
      </c>
      <c r="R187" s="87" t="str">
        <f t="shared" si="20"/>
        <v/>
      </c>
      <c r="S187" s="147" t="str">
        <f>Tabel15[[#This Row],[Rood Verdediging]]&amp;Tabel15[[#This Row],[Rood Aanval]]</f>
        <v/>
      </c>
      <c r="T187" s="147" t="str">
        <f>Tabel15[[#This Row],[Groen Verdediging]]&amp;Tabel15[[#This Row],[Groen Aanval]]</f>
        <v/>
      </c>
      <c r="U187" s="147" t="str">
        <f>Tabel15[[#This Row],[Winnaar 1]]&amp;Tabel15[[#This Row],[Winnaar 2]]</f>
        <v/>
      </c>
      <c r="V187" s="147" t="str">
        <f>IF(Tabel15[[#This Row],[Team Rood]]=Tabel15[[#This Row],[Winnaars]],Tabel15[[#This Row],[Team Rood]])</f>
        <v/>
      </c>
      <c r="W187" s="147" t="str">
        <f>IF(Tabel15[[#This Row],[Team Groen]]=Tabel15[[#This Row],[Winnaars]],Tabel15[[#This Row],[Team Groen]])</f>
        <v/>
      </c>
      <c r="X187" s="283"/>
      <c r="Y187" s="283"/>
      <c r="Z187" s="283"/>
      <c r="AA187" s="283"/>
    </row>
    <row r="188" spans="1:27" x14ac:dyDescent="0.25">
      <c r="A188" s="125" t="str">
        <f ca="1">IF(Tabel15[[#This Row],[Rood Verdediging]]&lt;&gt;"",IF(A188="",NOW(),A188),"")</f>
        <v/>
      </c>
      <c r="B188" s="128" t="str">
        <f ca="1">IF(Tabel15[[#This Row],[Rood Verdediging]]&lt;&gt;"",IF(B188="",NOW(),B188),"")</f>
        <v/>
      </c>
      <c r="C188" s="126" t="str">
        <f ca="1">IF(Tabel15[[#This Row],[Score]]&lt;&gt;"",IF(C188="",NOW(),C188),"")</f>
        <v/>
      </c>
      <c r="D188" s="182" t="str">
        <f ca="1">IF(OR(Tabel15[[#This Row],[Starttijd]]="",Tabel15[[#This Row],[Eindtijd]]=""),"",Tabel15[[#This Row],[Eindtijd]]-Tabel15[[#This Row],[Starttijd]])</f>
        <v/>
      </c>
      <c r="E188" s="74">
        <v>120</v>
      </c>
      <c r="F188" s="40"/>
      <c r="G188" s="76"/>
      <c r="H188" s="40"/>
      <c r="I188" s="76"/>
      <c r="J188" s="41"/>
      <c r="K188" s="78"/>
      <c r="L188" s="41"/>
      <c r="M188" s="78"/>
      <c r="N188" s="81" t="str">
        <f t="shared" si="22"/>
        <v/>
      </c>
      <c r="O188" s="82" t="str">
        <f t="shared" si="23"/>
        <v/>
      </c>
      <c r="P18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Row],[Score4]]&lt;&gt;""),IF(AND(N188&gt;O188,N188&gt;=11),"ROOD",IF(AND(O188&gt;=11,N188&lt;&gt;O188),"GROEN","")),"")</f>
        <v/>
      </c>
      <c r="Q188" s="86" t="str">
        <f t="shared" si="19"/>
        <v/>
      </c>
      <c r="R188" s="87" t="str">
        <f t="shared" si="20"/>
        <v/>
      </c>
      <c r="S188" s="147" t="str">
        <f>Tabel15[[#This Row],[Rood Verdediging]]&amp;Tabel15[[#This Row],[Rood Aanval]]</f>
        <v/>
      </c>
      <c r="T188" s="147" t="str">
        <f>Tabel15[[#This Row],[Groen Verdediging]]&amp;Tabel15[[#This Row],[Groen Aanval]]</f>
        <v/>
      </c>
      <c r="U188" s="147" t="str">
        <f>Tabel15[[#This Row],[Winnaar 1]]&amp;Tabel15[[#This Row],[Winnaar 2]]</f>
        <v/>
      </c>
      <c r="V188" s="147" t="str">
        <f>IF(Tabel15[[#This Row],[Team Rood]]=Tabel15[[#This Row],[Winnaars]],Tabel15[[#This Row],[Team Rood]])</f>
        <v/>
      </c>
      <c r="W188" s="147" t="str">
        <f>IF(Tabel15[[#This Row],[Team Groen]]=Tabel15[[#This Row],[Winnaars]],Tabel15[[#This Row],[Team Groen]])</f>
        <v/>
      </c>
      <c r="X188" s="283"/>
      <c r="Y188" s="283"/>
      <c r="Z188" s="283"/>
      <c r="AA188" s="283"/>
    </row>
    <row r="189" spans="1:27" x14ac:dyDescent="0.25">
      <c r="A189" s="125" t="str">
        <f ca="1">IF(Tabel15[[#This Row],[Rood Verdediging]]&lt;&gt;"",IF(A189="",NOW(),A189),"")</f>
        <v/>
      </c>
      <c r="B189" s="128" t="str">
        <f ca="1">IF(Tabel15[[#This Row],[Rood Verdediging]]&lt;&gt;"",IF(B189="",NOW(),B189),"")</f>
        <v/>
      </c>
      <c r="C189" s="126" t="str">
        <f ca="1">IF(Tabel15[[#This Row],[Score]]&lt;&gt;"",IF(C189="",NOW(),C189),"")</f>
        <v/>
      </c>
      <c r="D189" s="182" t="str">
        <f ca="1">IF(OR(Tabel15[[#This Row],[Starttijd]]="",Tabel15[[#This Row],[Eindtijd]]=""),"",Tabel15[[#This Row],[Eindtijd]]-Tabel15[[#This Row],[Starttijd]])</f>
        <v/>
      </c>
      <c r="E189" s="74">
        <v>120</v>
      </c>
      <c r="F189" s="40"/>
      <c r="G189" s="76"/>
      <c r="H189" s="40"/>
      <c r="I189" s="76"/>
      <c r="J189" s="41"/>
      <c r="K189" s="78"/>
      <c r="L189" s="41"/>
      <c r="M189" s="78"/>
      <c r="N189" s="81" t="str">
        <f t="shared" si="22"/>
        <v/>
      </c>
      <c r="O189" s="82" t="str">
        <f t="shared" si="23"/>
        <v/>
      </c>
      <c r="P18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Row],[Score4]]&lt;&gt;""),IF(AND(N189&gt;O189,N189&gt;=11),"ROOD",IF(AND(O189&gt;=11,N189&lt;&gt;O189),"GROEN","")),"")</f>
        <v/>
      </c>
      <c r="Q189" s="86" t="str">
        <f t="shared" si="19"/>
        <v/>
      </c>
      <c r="R189" s="87" t="str">
        <f t="shared" si="20"/>
        <v/>
      </c>
      <c r="S189" s="147" t="str">
        <f>Tabel15[[#This Row],[Rood Verdediging]]&amp;Tabel15[[#This Row],[Rood Aanval]]</f>
        <v/>
      </c>
      <c r="T189" s="147" t="str">
        <f>Tabel15[[#This Row],[Groen Verdediging]]&amp;Tabel15[[#This Row],[Groen Aanval]]</f>
        <v/>
      </c>
      <c r="U189" s="147" t="str">
        <f>Tabel15[[#This Row],[Winnaar 1]]&amp;Tabel15[[#This Row],[Winnaar 2]]</f>
        <v/>
      </c>
      <c r="V189" s="147" t="str">
        <f>IF(Tabel15[[#This Row],[Team Rood]]=Tabel15[[#This Row],[Winnaars]],Tabel15[[#This Row],[Team Rood]])</f>
        <v/>
      </c>
      <c r="W189" s="147" t="str">
        <f>IF(Tabel15[[#This Row],[Team Groen]]=Tabel15[[#This Row],[Winnaars]],Tabel15[[#This Row],[Team Groen]])</f>
        <v/>
      </c>
      <c r="X189" s="283"/>
      <c r="Y189" s="283"/>
      <c r="Z189" s="283"/>
      <c r="AA189" s="283"/>
    </row>
    <row r="190" spans="1:27" x14ac:dyDescent="0.25">
      <c r="A190" s="125" t="str">
        <f ca="1">IF(Tabel15[[#This Row],[Rood Verdediging]]&lt;&gt;"",IF(A190="",NOW(),A190),"")</f>
        <v/>
      </c>
      <c r="B190" s="128" t="str">
        <f ca="1">IF(Tabel15[[#This Row],[Rood Verdediging]]&lt;&gt;"",IF(B190="",NOW(),B190),"")</f>
        <v/>
      </c>
      <c r="C190" s="126" t="str">
        <f ca="1">IF(Tabel15[[#This Row],[Score]]&lt;&gt;"",IF(C190="",NOW(),C190),"")</f>
        <v/>
      </c>
      <c r="D190" s="182" t="str">
        <f ca="1">IF(OR(Tabel15[[#This Row],[Starttijd]]="",Tabel15[[#This Row],[Eindtijd]]=""),"",Tabel15[[#This Row],[Eindtijd]]-Tabel15[[#This Row],[Starttijd]])</f>
        <v/>
      </c>
      <c r="E190" s="74">
        <v>120</v>
      </c>
      <c r="F190" s="40"/>
      <c r="G190" s="76"/>
      <c r="H190" s="40"/>
      <c r="I190" s="76"/>
      <c r="J190" s="41"/>
      <c r="K190" s="78"/>
      <c r="L190" s="41"/>
      <c r="M190" s="78"/>
      <c r="N190" s="81" t="str">
        <f t="shared" si="22"/>
        <v/>
      </c>
      <c r="O190" s="82" t="str">
        <f t="shared" si="23"/>
        <v/>
      </c>
      <c r="P19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Row],[Score4]]&lt;&gt;""),IF(AND(N190&gt;O190,N190&gt;=11),"ROOD",IF(AND(O190&gt;=11,N190&lt;&gt;O190),"GROEN","")),"")</f>
        <v/>
      </c>
      <c r="Q190" s="86" t="str">
        <f t="shared" si="19"/>
        <v/>
      </c>
      <c r="R190" s="87" t="str">
        <f t="shared" si="20"/>
        <v/>
      </c>
      <c r="S190" s="147" t="str">
        <f>Tabel15[[#This Row],[Rood Verdediging]]&amp;Tabel15[[#This Row],[Rood Aanval]]</f>
        <v/>
      </c>
      <c r="T190" s="147" t="str">
        <f>Tabel15[[#This Row],[Groen Verdediging]]&amp;Tabel15[[#This Row],[Groen Aanval]]</f>
        <v/>
      </c>
      <c r="U190" s="147" t="str">
        <f>Tabel15[[#This Row],[Winnaar 1]]&amp;Tabel15[[#This Row],[Winnaar 2]]</f>
        <v/>
      </c>
      <c r="V190" s="147" t="str">
        <f>IF(Tabel15[[#This Row],[Team Rood]]=Tabel15[[#This Row],[Winnaars]],Tabel15[[#This Row],[Team Rood]])</f>
        <v/>
      </c>
      <c r="W190" s="147" t="str">
        <f>IF(Tabel15[[#This Row],[Team Groen]]=Tabel15[[#This Row],[Winnaars]],Tabel15[[#This Row],[Team Groen]])</f>
        <v/>
      </c>
      <c r="X190" s="283"/>
      <c r="Y190" s="283"/>
      <c r="Z190" s="283"/>
      <c r="AA190" s="283"/>
    </row>
    <row r="191" spans="1:27" x14ac:dyDescent="0.25">
      <c r="A191" s="125" t="str">
        <f ca="1">IF(Tabel15[[#This Row],[Rood Verdediging]]&lt;&gt;"",IF(A191="",NOW(),A191),"")</f>
        <v/>
      </c>
      <c r="B191" s="128" t="str">
        <f ca="1">IF(Tabel15[[#This Row],[Rood Verdediging]]&lt;&gt;"",IF(B191="",NOW(),B191),"")</f>
        <v/>
      </c>
      <c r="C191" s="126" t="str">
        <f ca="1">IF(Tabel15[[#This Row],[Score]]&lt;&gt;"",IF(C191="",NOW(),C191),"")</f>
        <v/>
      </c>
      <c r="D191" s="182" t="str">
        <f ca="1">IF(OR(Tabel15[[#This Row],[Starttijd]]="",Tabel15[[#This Row],[Eindtijd]]=""),"",Tabel15[[#This Row],[Eindtijd]]-Tabel15[[#This Row],[Starttijd]])</f>
        <v/>
      </c>
      <c r="E191" s="74">
        <v>120</v>
      </c>
      <c r="F191" s="40"/>
      <c r="G191" s="76"/>
      <c r="H191" s="40"/>
      <c r="I191" s="76"/>
      <c r="J191" s="41"/>
      <c r="K191" s="78"/>
      <c r="L191" s="41"/>
      <c r="M191" s="78"/>
      <c r="N191" s="81" t="str">
        <f t="shared" si="22"/>
        <v/>
      </c>
      <c r="O191" s="82" t="str">
        <f t="shared" si="23"/>
        <v/>
      </c>
      <c r="P19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Row],[Score4]]&lt;&gt;""),IF(AND(N191&gt;O191,N191&gt;=11),"ROOD",IF(AND(O191&gt;=11,N191&lt;&gt;O191),"GROEN","")),"")</f>
        <v/>
      </c>
      <c r="Q191" s="86" t="str">
        <f t="shared" si="19"/>
        <v/>
      </c>
      <c r="R191" s="87" t="str">
        <f t="shared" si="20"/>
        <v/>
      </c>
      <c r="S191" s="147" t="str">
        <f>Tabel15[[#This Row],[Rood Verdediging]]&amp;Tabel15[[#This Row],[Rood Aanval]]</f>
        <v/>
      </c>
      <c r="T191" s="147" t="str">
        <f>Tabel15[[#This Row],[Groen Verdediging]]&amp;Tabel15[[#This Row],[Groen Aanval]]</f>
        <v/>
      </c>
      <c r="U191" s="147" t="str">
        <f>Tabel15[[#This Row],[Winnaar 1]]&amp;Tabel15[[#This Row],[Winnaar 2]]</f>
        <v/>
      </c>
      <c r="V191" s="147" t="str">
        <f>IF(Tabel15[[#This Row],[Team Rood]]=Tabel15[[#This Row],[Winnaars]],Tabel15[[#This Row],[Team Rood]])</f>
        <v/>
      </c>
      <c r="W191" s="147" t="str">
        <f>IF(Tabel15[[#This Row],[Team Groen]]=Tabel15[[#This Row],[Winnaars]],Tabel15[[#This Row],[Team Groen]])</f>
        <v/>
      </c>
      <c r="X191" s="283"/>
      <c r="Y191" s="283"/>
      <c r="Z191" s="283"/>
      <c r="AA191" s="283"/>
    </row>
    <row r="192" spans="1:27" x14ac:dyDescent="0.25">
      <c r="A192" s="125" t="str">
        <f ca="1">IF(Tabel15[[#This Row],[Rood Verdediging]]&lt;&gt;"",IF(A192="",NOW(),A192),"")</f>
        <v/>
      </c>
      <c r="B192" s="128" t="str">
        <f ca="1">IF(Tabel15[[#This Row],[Rood Verdediging]]&lt;&gt;"",IF(B192="",NOW(),B192),"")</f>
        <v/>
      </c>
      <c r="C192" s="126" t="str">
        <f ca="1">IF(Tabel15[[#This Row],[Score]]&lt;&gt;"",IF(C192="",NOW(),C192),"")</f>
        <v/>
      </c>
      <c r="D192" s="182" t="str">
        <f ca="1">IF(OR(Tabel15[[#This Row],[Starttijd]]="",Tabel15[[#This Row],[Eindtijd]]=""),"",Tabel15[[#This Row],[Eindtijd]]-Tabel15[[#This Row],[Starttijd]])</f>
        <v/>
      </c>
      <c r="E192" s="74">
        <v>120</v>
      </c>
      <c r="F192" s="40"/>
      <c r="G192" s="76"/>
      <c r="H192" s="40"/>
      <c r="I192" s="76"/>
      <c r="J192" s="41"/>
      <c r="K192" s="78"/>
      <c r="L192" s="41"/>
      <c r="M192" s="78"/>
      <c r="N192" s="81" t="str">
        <f t="shared" si="22"/>
        <v/>
      </c>
      <c r="O192" s="82" t="str">
        <f t="shared" si="23"/>
        <v/>
      </c>
      <c r="P19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Row],[Score4]]&lt;&gt;""),IF(AND(N192&gt;O192,N192&gt;=11),"ROOD",IF(AND(O192&gt;=11,N192&lt;&gt;O192),"GROEN","")),"")</f>
        <v/>
      </c>
      <c r="Q192" s="86" t="str">
        <f t="shared" si="19"/>
        <v/>
      </c>
      <c r="R192" s="87" t="str">
        <f t="shared" si="20"/>
        <v/>
      </c>
      <c r="S192" s="147" t="str">
        <f>Tabel15[[#This Row],[Rood Verdediging]]&amp;Tabel15[[#This Row],[Rood Aanval]]</f>
        <v/>
      </c>
      <c r="T192" s="147" t="str">
        <f>Tabel15[[#This Row],[Groen Verdediging]]&amp;Tabel15[[#This Row],[Groen Aanval]]</f>
        <v/>
      </c>
      <c r="U192" s="147" t="str">
        <f>Tabel15[[#This Row],[Winnaar 1]]&amp;Tabel15[[#This Row],[Winnaar 2]]</f>
        <v/>
      </c>
      <c r="V192" s="147" t="str">
        <f>IF(Tabel15[[#This Row],[Team Rood]]=Tabel15[[#This Row],[Winnaars]],Tabel15[[#This Row],[Team Rood]])</f>
        <v/>
      </c>
      <c r="W192" s="147" t="str">
        <f>IF(Tabel15[[#This Row],[Team Groen]]=Tabel15[[#This Row],[Winnaars]],Tabel15[[#This Row],[Team Groen]])</f>
        <v/>
      </c>
      <c r="X192" s="283"/>
      <c r="Y192" s="283"/>
      <c r="Z192" s="283"/>
      <c r="AA192" s="283"/>
    </row>
    <row r="193" spans="1:27" x14ac:dyDescent="0.25">
      <c r="A193" s="125" t="str">
        <f ca="1">IF(Tabel15[[#This Row],[Rood Verdediging]]&lt;&gt;"",IF(A193="",NOW(),A193),"")</f>
        <v/>
      </c>
      <c r="B193" s="128" t="str">
        <f ca="1">IF(Tabel15[[#This Row],[Rood Verdediging]]&lt;&gt;"",IF(B193="",NOW(),B193),"")</f>
        <v/>
      </c>
      <c r="C193" s="126" t="str">
        <f ca="1">IF(Tabel15[[#This Row],[Score]]&lt;&gt;"",IF(C193="",NOW(),C193),"")</f>
        <v/>
      </c>
      <c r="D193" s="182" t="str">
        <f ca="1">IF(OR(Tabel15[[#This Row],[Starttijd]]="",Tabel15[[#This Row],[Eindtijd]]=""),"",Tabel15[[#This Row],[Eindtijd]]-Tabel15[[#This Row],[Starttijd]])</f>
        <v/>
      </c>
      <c r="E193" s="74">
        <v>120</v>
      </c>
      <c r="F193" s="40"/>
      <c r="G193" s="76"/>
      <c r="H193" s="40"/>
      <c r="I193" s="76"/>
      <c r="J193" s="41"/>
      <c r="K193" s="78"/>
      <c r="L193" s="41"/>
      <c r="M193" s="78"/>
      <c r="N193" s="81" t="str">
        <f t="shared" si="22"/>
        <v/>
      </c>
      <c r="O193" s="82" t="str">
        <f t="shared" si="23"/>
        <v/>
      </c>
      <c r="P19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Row],[Score4]]&lt;&gt;""),IF(AND(N193&gt;O193,N193&gt;=11),"ROOD",IF(AND(O193&gt;=11,N193&lt;&gt;O193),"GROEN","")),"")</f>
        <v/>
      </c>
      <c r="Q193" s="86" t="str">
        <f t="shared" si="19"/>
        <v/>
      </c>
      <c r="R193" s="87" t="str">
        <f t="shared" si="20"/>
        <v/>
      </c>
      <c r="S193" s="147" t="str">
        <f>Tabel15[[#This Row],[Rood Verdediging]]&amp;Tabel15[[#This Row],[Rood Aanval]]</f>
        <v/>
      </c>
      <c r="T193" s="147" t="str">
        <f>Tabel15[[#This Row],[Groen Verdediging]]&amp;Tabel15[[#This Row],[Groen Aanval]]</f>
        <v/>
      </c>
      <c r="U193" s="147" t="str">
        <f>Tabel15[[#This Row],[Winnaar 1]]&amp;Tabel15[[#This Row],[Winnaar 2]]</f>
        <v/>
      </c>
      <c r="V193" s="147" t="str">
        <f>IF(Tabel15[[#This Row],[Team Rood]]=Tabel15[[#This Row],[Winnaars]],Tabel15[[#This Row],[Team Rood]])</f>
        <v/>
      </c>
      <c r="W193" s="147" t="str">
        <f>IF(Tabel15[[#This Row],[Team Groen]]=Tabel15[[#This Row],[Winnaars]],Tabel15[[#This Row],[Team Groen]])</f>
        <v/>
      </c>
      <c r="X193" s="283"/>
      <c r="Y193" s="283"/>
      <c r="Z193" s="283"/>
      <c r="AA193" s="283"/>
    </row>
    <row r="194" spans="1:27" x14ac:dyDescent="0.25">
      <c r="A194" s="125" t="str">
        <f ca="1">IF(Tabel15[[#This Row],[Rood Verdediging]]&lt;&gt;"",IF(A194="",NOW(),A194),"")</f>
        <v/>
      </c>
      <c r="B194" s="128" t="str">
        <f ca="1">IF(Tabel15[[#This Row],[Rood Verdediging]]&lt;&gt;"",IF(B194="",NOW(),B194),"")</f>
        <v/>
      </c>
      <c r="C194" s="126" t="str">
        <f ca="1">IF(Tabel15[[#This Row],[Score]]&lt;&gt;"",IF(C194="",NOW(),C194),"")</f>
        <v/>
      </c>
      <c r="D194" s="182" t="str">
        <f ca="1">IF(OR(Tabel15[[#This Row],[Starttijd]]="",Tabel15[[#This Row],[Eindtijd]]=""),"",Tabel15[[#This Row],[Eindtijd]]-Tabel15[[#This Row],[Starttijd]])</f>
        <v/>
      </c>
      <c r="E194" s="74">
        <v>120</v>
      </c>
      <c r="F194" s="40"/>
      <c r="G194" s="76"/>
      <c r="H194" s="40"/>
      <c r="I194" s="76"/>
      <c r="J194" s="41"/>
      <c r="K194" s="78"/>
      <c r="L194" s="41"/>
      <c r="M194" s="78"/>
      <c r="N194" s="81" t="str">
        <f t="shared" si="22"/>
        <v/>
      </c>
      <c r="O194" s="82" t="str">
        <f t="shared" si="23"/>
        <v/>
      </c>
      <c r="P19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Row],[Score4]]&lt;&gt;""),IF(AND(N194&gt;O194,N194&gt;=11),"ROOD",IF(AND(O194&gt;=11,N194&lt;&gt;O194),"GROEN","")),"")</f>
        <v/>
      </c>
      <c r="Q194" s="86" t="str">
        <f t="shared" ref="Q194:Q257" si="24">IF(N194&gt;O194,F194,IF(N194="","",J194))</f>
        <v/>
      </c>
      <c r="R194" s="87" t="str">
        <f t="shared" ref="R194:R257" si="25">IF(N194&gt;O194,H194,IF(N194="","",L194))</f>
        <v/>
      </c>
      <c r="S194" s="147" t="str">
        <f>Tabel15[[#This Row],[Rood Verdediging]]&amp;Tabel15[[#This Row],[Rood Aanval]]</f>
        <v/>
      </c>
      <c r="T194" s="147" t="str">
        <f>Tabel15[[#This Row],[Groen Verdediging]]&amp;Tabel15[[#This Row],[Groen Aanval]]</f>
        <v/>
      </c>
      <c r="U194" s="147" t="str">
        <f>Tabel15[[#This Row],[Winnaar 1]]&amp;Tabel15[[#This Row],[Winnaar 2]]</f>
        <v/>
      </c>
      <c r="V194" s="147" t="str">
        <f>IF(Tabel15[[#This Row],[Team Rood]]=Tabel15[[#This Row],[Winnaars]],Tabel15[[#This Row],[Team Rood]])</f>
        <v/>
      </c>
      <c r="W194" s="147" t="str">
        <f>IF(Tabel15[[#This Row],[Team Groen]]=Tabel15[[#This Row],[Winnaars]],Tabel15[[#This Row],[Team Groen]])</f>
        <v/>
      </c>
      <c r="X194" s="283"/>
      <c r="Y194" s="283"/>
      <c r="Z194" s="283"/>
      <c r="AA194" s="283"/>
    </row>
    <row r="195" spans="1:27" x14ac:dyDescent="0.25">
      <c r="A195" s="125" t="str">
        <f ca="1">IF(Tabel15[[#This Row],[Rood Verdediging]]&lt;&gt;"",IF(A195="",NOW(),A195),"")</f>
        <v/>
      </c>
      <c r="B195" s="128" t="str">
        <f ca="1">IF(Tabel15[[#This Row],[Rood Verdediging]]&lt;&gt;"",IF(B195="",NOW(),B195),"")</f>
        <v/>
      </c>
      <c r="C195" s="126" t="str">
        <f ca="1">IF(Tabel15[[#This Row],[Score]]&lt;&gt;"",IF(C195="",NOW(),C195),"")</f>
        <v/>
      </c>
      <c r="D195" s="182" t="str">
        <f ca="1">IF(OR(Tabel15[[#This Row],[Starttijd]]="",Tabel15[[#This Row],[Eindtijd]]=""),"",Tabel15[[#This Row],[Eindtijd]]-Tabel15[[#This Row],[Starttijd]])</f>
        <v/>
      </c>
      <c r="E195" s="74">
        <v>120</v>
      </c>
      <c r="F195" s="40"/>
      <c r="G195" s="76"/>
      <c r="H195" s="40"/>
      <c r="I195" s="76"/>
      <c r="J195" s="41"/>
      <c r="K195" s="78"/>
      <c r="L195" s="41"/>
      <c r="M195" s="78"/>
      <c r="N195" s="81" t="str">
        <f t="shared" si="22"/>
        <v/>
      </c>
      <c r="O195" s="82" t="str">
        <f t="shared" si="23"/>
        <v/>
      </c>
      <c r="P19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Row],[Score4]]&lt;&gt;""),IF(AND(N195&gt;O195,N195&gt;=11),"ROOD",IF(AND(O195&gt;=11,N195&lt;&gt;O195),"GROEN","")),"")</f>
        <v/>
      </c>
      <c r="Q195" s="86" t="str">
        <f t="shared" si="24"/>
        <v/>
      </c>
      <c r="R195" s="87" t="str">
        <f t="shared" si="25"/>
        <v/>
      </c>
      <c r="S195" s="147" t="str">
        <f>Tabel15[[#This Row],[Rood Verdediging]]&amp;Tabel15[[#This Row],[Rood Aanval]]</f>
        <v/>
      </c>
      <c r="T195" s="147" t="str">
        <f>Tabel15[[#This Row],[Groen Verdediging]]&amp;Tabel15[[#This Row],[Groen Aanval]]</f>
        <v/>
      </c>
      <c r="U195" s="147" t="str">
        <f>Tabel15[[#This Row],[Winnaar 1]]&amp;Tabel15[[#This Row],[Winnaar 2]]</f>
        <v/>
      </c>
      <c r="V195" s="147" t="str">
        <f>IF(Tabel15[[#This Row],[Team Rood]]=Tabel15[[#This Row],[Winnaars]],Tabel15[[#This Row],[Team Rood]])</f>
        <v/>
      </c>
      <c r="W195" s="147" t="str">
        <f>IF(Tabel15[[#This Row],[Team Groen]]=Tabel15[[#This Row],[Winnaars]],Tabel15[[#This Row],[Team Groen]])</f>
        <v/>
      </c>
      <c r="X195" s="283"/>
      <c r="Y195" s="283"/>
      <c r="Z195" s="283"/>
      <c r="AA195" s="283"/>
    </row>
    <row r="196" spans="1:27" x14ac:dyDescent="0.25">
      <c r="A196" s="125" t="str">
        <f ca="1">IF(Tabel15[[#This Row],[Rood Verdediging]]&lt;&gt;"",IF(A196="",NOW(),A196),"")</f>
        <v/>
      </c>
      <c r="B196" s="128" t="str">
        <f ca="1">IF(Tabel15[[#This Row],[Rood Verdediging]]&lt;&gt;"",IF(B196="",NOW(),B196),"")</f>
        <v/>
      </c>
      <c r="C196" s="126" t="str">
        <f ca="1">IF(Tabel15[[#This Row],[Score]]&lt;&gt;"",IF(C196="",NOW(),C196),"")</f>
        <v/>
      </c>
      <c r="D196" s="182" t="str">
        <f ca="1">IF(OR(Tabel15[[#This Row],[Starttijd]]="",Tabel15[[#This Row],[Eindtijd]]=""),"",Tabel15[[#This Row],[Eindtijd]]-Tabel15[[#This Row],[Starttijd]])</f>
        <v/>
      </c>
      <c r="E196" s="74">
        <v>120</v>
      </c>
      <c r="F196" s="40"/>
      <c r="G196" s="76"/>
      <c r="H196" s="40"/>
      <c r="I196" s="76"/>
      <c r="J196" s="41"/>
      <c r="K196" s="78"/>
      <c r="L196" s="41"/>
      <c r="M196" s="78"/>
      <c r="N196" s="81" t="str">
        <f t="shared" si="22"/>
        <v/>
      </c>
      <c r="O196" s="82" t="str">
        <f t="shared" si="23"/>
        <v/>
      </c>
      <c r="P19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Row],[Score4]]&lt;&gt;""),IF(AND(N196&gt;O196,N196&gt;=11),"ROOD",IF(AND(O196&gt;=11,N196&lt;&gt;O196),"GROEN","")),"")</f>
        <v/>
      </c>
      <c r="Q196" s="86" t="str">
        <f t="shared" si="24"/>
        <v/>
      </c>
      <c r="R196" s="87" t="str">
        <f t="shared" si="25"/>
        <v/>
      </c>
      <c r="S196" s="147" t="str">
        <f>Tabel15[[#This Row],[Rood Verdediging]]&amp;Tabel15[[#This Row],[Rood Aanval]]</f>
        <v/>
      </c>
      <c r="T196" s="147" t="str">
        <f>Tabel15[[#This Row],[Groen Verdediging]]&amp;Tabel15[[#This Row],[Groen Aanval]]</f>
        <v/>
      </c>
      <c r="U196" s="147" t="str">
        <f>Tabel15[[#This Row],[Winnaar 1]]&amp;Tabel15[[#This Row],[Winnaar 2]]</f>
        <v/>
      </c>
      <c r="V196" s="147" t="str">
        <f>IF(Tabel15[[#This Row],[Team Rood]]=Tabel15[[#This Row],[Winnaars]],Tabel15[[#This Row],[Team Rood]])</f>
        <v/>
      </c>
      <c r="W196" s="147" t="str">
        <f>IF(Tabel15[[#This Row],[Team Groen]]=Tabel15[[#This Row],[Winnaars]],Tabel15[[#This Row],[Team Groen]])</f>
        <v/>
      </c>
      <c r="X196" s="283"/>
      <c r="Y196" s="283"/>
      <c r="Z196" s="283"/>
      <c r="AA196" s="283"/>
    </row>
    <row r="197" spans="1:27" x14ac:dyDescent="0.25">
      <c r="A197" s="125" t="str">
        <f ca="1">IF(Tabel15[[#This Row],[Rood Verdediging]]&lt;&gt;"",IF(A197="",NOW(),A197),"")</f>
        <v/>
      </c>
      <c r="B197" s="128" t="str">
        <f ca="1">IF(Tabel15[[#This Row],[Rood Verdediging]]&lt;&gt;"",IF(B197="",NOW(),B197),"")</f>
        <v/>
      </c>
      <c r="C197" s="126" t="str">
        <f ca="1">IF(Tabel15[[#This Row],[Score]]&lt;&gt;"",IF(C197="",NOW(),C197),"")</f>
        <v/>
      </c>
      <c r="D197" s="182" t="str">
        <f ca="1">IF(OR(Tabel15[[#This Row],[Starttijd]]="",Tabel15[[#This Row],[Eindtijd]]=""),"",Tabel15[[#This Row],[Eindtijd]]-Tabel15[[#This Row],[Starttijd]])</f>
        <v/>
      </c>
      <c r="E197" s="74">
        <v>120</v>
      </c>
      <c r="F197" s="40"/>
      <c r="G197" s="76"/>
      <c r="H197" s="40"/>
      <c r="I197" s="76"/>
      <c r="J197" s="41"/>
      <c r="K197" s="78"/>
      <c r="L197" s="41"/>
      <c r="M197" s="78"/>
      <c r="N197" s="81" t="str">
        <f t="shared" si="22"/>
        <v/>
      </c>
      <c r="O197" s="82" t="str">
        <f t="shared" si="23"/>
        <v/>
      </c>
      <c r="P19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Row],[Score4]]&lt;&gt;""),IF(AND(N197&gt;O197,N197&gt;=11),"ROOD",IF(AND(O197&gt;=11,N197&lt;&gt;O197),"GROEN","")),"")</f>
        <v/>
      </c>
      <c r="Q197" s="86" t="str">
        <f t="shared" si="24"/>
        <v/>
      </c>
      <c r="R197" s="87" t="str">
        <f t="shared" si="25"/>
        <v/>
      </c>
      <c r="S197" s="147" t="str">
        <f>Tabel15[[#This Row],[Rood Verdediging]]&amp;Tabel15[[#This Row],[Rood Aanval]]</f>
        <v/>
      </c>
      <c r="T197" s="147" t="str">
        <f>Tabel15[[#This Row],[Groen Verdediging]]&amp;Tabel15[[#This Row],[Groen Aanval]]</f>
        <v/>
      </c>
      <c r="U197" s="147" t="str">
        <f>Tabel15[[#This Row],[Winnaar 1]]&amp;Tabel15[[#This Row],[Winnaar 2]]</f>
        <v/>
      </c>
      <c r="V197" s="147" t="str">
        <f>IF(Tabel15[[#This Row],[Team Rood]]=Tabel15[[#This Row],[Winnaars]],Tabel15[[#This Row],[Team Rood]])</f>
        <v/>
      </c>
      <c r="W197" s="147" t="str">
        <f>IF(Tabel15[[#This Row],[Team Groen]]=Tabel15[[#This Row],[Winnaars]],Tabel15[[#This Row],[Team Groen]])</f>
        <v/>
      </c>
      <c r="X197" s="283"/>
      <c r="Y197" s="283"/>
      <c r="Z197" s="283"/>
      <c r="AA197" s="283"/>
    </row>
    <row r="198" spans="1:27" x14ac:dyDescent="0.25">
      <c r="A198" s="125" t="str">
        <f ca="1">IF(Tabel15[[#This Row],[Rood Verdediging]]&lt;&gt;"",IF(A198="",NOW(),A198),"")</f>
        <v/>
      </c>
      <c r="B198" s="128" t="str">
        <f ca="1">IF(Tabel15[[#This Row],[Rood Verdediging]]&lt;&gt;"",IF(B198="",NOW(),B198),"")</f>
        <v/>
      </c>
      <c r="C198" s="126" t="str">
        <f ca="1">IF(Tabel15[[#This Row],[Score]]&lt;&gt;"",IF(C198="",NOW(),C198),"")</f>
        <v/>
      </c>
      <c r="D198" s="182" t="str">
        <f ca="1">IF(OR(Tabel15[[#This Row],[Starttijd]]="",Tabel15[[#This Row],[Eindtijd]]=""),"",Tabel15[[#This Row],[Eindtijd]]-Tabel15[[#This Row],[Starttijd]])</f>
        <v/>
      </c>
      <c r="E198" s="74">
        <v>120</v>
      </c>
      <c r="F198" s="40"/>
      <c r="G198" s="76"/>
      <c r="H198" s="40"/>
      <c r="I198" s="76"/>
      <c r="J198" s="41"/>
      <c r="K198" s="78"/>
      <c r="L198" s="41"/>
      <c r="M198" s="78"/>
      <c r="N198" s="81" t="str">
        <f t="shared" si="22"/>
        <v/>
      </c>
      <c r="O198" s="82" t="str">
        <f t="shared" si="23"/>
        <v/>
      </c>
      <c r="P19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Row],[Score4]]&lt;&gt;""),IF(AND(N198&gt;O198,N198&gt;=11),"ROOD",IF(AND(O198&gt;=11,N198&lt;&gt;O198),"GROEN","")),"")</f>
        <v/>
      </c>
      <c r="Q198" s="86" t="str">
        <f t="shared" si="24"/>
        <v/>
      </c>
      <c r="R198" s="87" t="str">
        <f t="shared" si="25"/>
        <v/>
      </c>
      <c r="S198" s="147" t="str">
        <f>Tabel15[[#This Row],[Rood Verdediging]]&amp;Tabel15[[#This Row],[Rood Aanval]]</f>
        <v/>
      </c>
      <c r="T198" s="147" t="str">
        <f>Tabel15[[#This Row],[Groen Verdediging]]&amp;Tabel15[[#This Row],[Groen Aanval]]</f>
        <v/>
      </c>
      <c r="U198" s="147" t="str">
        <f>Tabel15[[#This Row],[Winnaar 1]]&amp;Tabel15[[#This Row],[Winnaar 2]]</f>
        <v/>
      </c>
      <c r="V198" s="147" t="str">
        <f>IF(Tabel15[[#This Row],[Team Rood]]=Tabel15[[#This Row],[Winnaars]],Tabel15[[#This Row],[Team Rood]])</f>
        <v/>
      </c>
      <c r="W198" s="147" t="str">
        <f>IF(Tabel15[[#This Row],[Team Groen]]=Tabel15[[#This Row],[Winnaars]],Tabel15[[#This Row],[Team Groen]])</f>
        <v/>
      </c>
      <c r="X198" s="283"/>
      <c r="Y198" s="283"/>
      <c r="Z198" s="283"/>
      <c r="AA198" s="283"/>
    </row>
    <row r="199" spans="1:27" x14ac:dyDescent="0.25">
      <c r="A199" s="125" t="str">
        <f ca="1">IF(Tabel15[[#This Row],[Rood Verdediging]]&lt;&gt;"",IF(A199="",NOW(),A199),"")</f>
        <v/>
      </c>
      <c r="B199" s="128" t="str">
        <f ca="1">IF(Tabel15[[#This Row],[Rood Verdediging]]&lt;&gt;"",IF(B199="",NOW(),B199),"")</f>
        <v/>
      </c>
      <c r="C199" s="126" t="str">
        <f ca="1">IF(Tabel15[[#This Row],[Score]]&lt;&gt;"",IF(C199="",NOW(),C199),"")</f>
        <v/>
      </c>
      <c r="D199" s="182" t="str">
        <f ca="1">IF(OR(Tabel15[[#This Row],[Starttijd]]="",Tabel15[[#This Row],[Eindtijd]]=""),"",Tabel15[[#This Row],[Eindtijd]]-Tabel15[[#This Row],[Starttijd]])</f>
        <v/>
      </c>
      <c r="E199" s="74">
        <v>120</v>
      </c>
      <c r="F199" s="40"/>
      <c r="G199" s="76"/>
      <c r="H199" s="40"/>
      <c r="I199" s="76"/>
      <c r="J199" s="41"/>
      <c r="K199" s="78"/>
      <c r="L199" s="41"/>
      <c r="M199" s="78"/>
      <c r="N199" s="81" t="str">
        <f t="shared" si="22"/>
        <v/>
      </c>
      <c r="O199" s="82" t="str">
        <f t="shared" si="23"/>
        <v/>
      </c>
      <c r="P19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Row],[Score4]]&lt;&gt;""),IF(AND(N199&gt;O199,N199&gt;=11),"ROOD",IF(AND(O199&gt;=11,N199&lt;&gt;O199),"GROEN","")),"")</f>
        <v/>
      </c>
      <c r="Q199" s="86" t="str">
        <f t="shared" si="24"/>
        <v/>
      </c>
      <c r="R199" s="87" t="str">
        <f t="shared" si="25"/>
        <v/>
      </c>
      <c r="S199" s="147" t="str">
        <f>Tabel15[[#This Row],[Rood Verdediging]]&amp;Tabel15[[#This Row],[Rood Aanval]]</f>
        <v/>
      </c>
      <c r="T199" s="147" t="str">
        <f>Tabel15[[#This Row],[Groen Verdediging]]&amp;Tabel15[[#This Row],[Groen Aanval]]</f>
        <v/>
      </c>
      <c r="U199" s="147" t="str">
        <f>Tabel15[[#This Row],[Winnaar 1]]&amp;Tabel15[[#This Row],[Winnaar 2]]</f>
        <v/>
      </c>
      <c r="V199" s="147" t="str">
        <f>IF(Tabel15[[#This Row],[Team Rood]]=Tabel15[[#This Row],[Winnaars]],Tabel15[[#This Row],[Team Rood]])</f>
        <v/>
      </c>
      <c r="W199" s="147" t="str">
        <f>IF(Tabel15[[#This Row],[Team Groen]]=Tabel15[[#This Row],[Winnaars]],Tabel15[[#This Row],[Team Groen]])</f>
        <v/>
      </c>
      <c r="X199" s="283"/>
      <c r="Y199" s="283"/>
      <c r="Z199" s="283"/>
      <c r="AA199" s="283"/>
    </row>
    <row r="200" spans="1:27" x14ac:dyDescent="0.25">
      <c r="A200" s="125" t="str">
        <f ca="1">IF(Tabel15[[#This Row],[Rood Verdediging]]&lt;&gt;"",IF(A200="",NOW(),A200),"")</f>
        <v/>
      </c>
      <c r="B200" s="128" t="str">
        <f ca="1">IF(Tabel15[[#This Row],[Rood Verdediging]]&lt;&gt;"",IF(B200="",NOW(),B200),"")</f>
        <v/>
      </c>
      <c r="C200" s="126" t="str">
        <f ca="1">IF(Tabel15[[#This Row],[Score]]&lt;&gt;"",IF(C200="",NOW(),C200),"")</f>
        <v/>
      </c>
      <c r="D200" s="182" t="str">
        <f ca="1">IF(OR(Tabel15[[#This Row],[Starttijd]]="",Tabel15[[#This Row],[Eindtijd]]=""),"",Tabel15[[#This Row],[Eindtijd]]-Tabel15[[#This Row],[Starttijd]])</f>
        <v/>
      </c>
      <c r="E200" s="74">
        <v>120</v>
      </c>
      <c r="F200" s="40"/>
      <c r="G200" s="76"/>
      <c r="H200" s="40"/>
      <c r="I200" s="76"/>
      <c r="J200" s="41"/>
      <c r="K200" s="78"/>
      <c r="L200" s="41"/>
      <c r="M200" s="78"/>
      <c r="N200" s="81" t="str">
        <f t="shared" si="22"/>
        <v/>
      </c>
      <c r="O200" s="82" t="str">
        <f t="shared" si="23"/>
        <v/>
      </c>
      <c r="P20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Row],[Score4]]&lt;&gt;""),IF(AND(N200&gt;O200,N200&gt;=11),"ROOD",IF(AND(O200&gt;=11,N200&lt;&gt;O200),"GROEN","")),"")</f>
        <v/>
      </c>
      <c r="Q200" s="86" t="str">
        <f t="shared" si="24"/>
        <v/>
      </c>
      <c r="R200" s="87" t="str">
        <f t="shared" si="25"/>
        <v/>
      </c>
      <c r="S200" s="147" t="str">
        <f>Tabel15[[#This Row],[Rood Verdediging]]&amp;Tabel15[[#This Row],[Rood Aanval]]</f>
        <v/>
      </c>
      <c r="T200" s="147" t="str">
        <f>Tabel15[[#This Row],[Groen Verdediging]]&amp;Tabel15[[#This Row],[Groen Aanval]]</f>
        <v/>
      </c>
      <c r="U200" s="147" t="str">
        <f>Tabel15[[#This Row],[Winnaar 1]]&amp;Tabel15[[#This Row],[Winnaar 2]]</f>
        <v/>
      </c>
      <c r="V200" s="147" t="str">
        <f>IF(Tabel15[[#This Row],[Team Rood]]=Tabel15[[#This Row],[Winnaars]],Tabel15[[#This Row],[Team Rood]])</f>
        <v/>
      </c>
      <c r="W200" s="147" t="str">
        <f>IF(Tabel15[[#This Row],[Team Groen]]=Tabel15[[#This Row],[Winnaars]],Tabel15[[#This Row],[Team Groen]])</f>
        <v/>
      </c>
      <c r="X200" s="283"/>
      <c r="Y200" s="283"/>
      <c r="Z200" s="283"/>
      <c r="AA200" s="283"/>
    </row>
    <row r="201" spans="1:27" x14ac:dyDescent="0.25">
      <c r="A201" s="125" t="str">
        <f ca="1">IF(Tabel15[[#This Row],[Rood Verdediging]]&lt;&gt;"",IF(A201="",NOW(),A201),"")</f>
        <v/>
      </c>
      <c r="B201" s="128" t="str">
        <f ca="1">IF(Tabel15[[#This Row],[Rood Verdediging]]&lt;&gt;"",IF(B201="",NOW(),B201),"")</f>
        <v/>
      </c>
      <c r="C201" s="126" t="str">
        <f ca="1">IF(Tabel15[[#This Row],[Score]]&lt;&gt;"",IF(C201="",NOW(),C201),"")</f>
        <v/>
      </c>
      <c r="D201" s="182" t="str">
        <f ca="1">IF(OR(Tabel15[[#This Row],[Starttijd]]="",Tabel15[[#This Row],[Eindtijd]]=""),"",Tabel15[[#This Row],[Eindtijd]]-Tabel15[[#This Row],[Starttijd]])</f>
        <v/>
      </c>
      <c r="E201" s="74">
        <v>120</v>
      </c>
      <c r="F201" s="40"/>
      <c r="G201" s="76"/>
      <c r="H201" s="40"/>
      <c r="I201" s="76"/>
      <c r="J201" s="41"/>
      <c r="K201" s="78"/>
      <c r="L201" s="41"/>
      <c r="M201" s="78"/>
      <c r="N201" s="81" t="str">
        <f t="shared" si="22"/>
        <v/>
      </c>
      <c r="O201" s="82" t="str">
        <f t="shared" si="23"/>
        <v/>
      </c>
      <c r="P20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Row],[Score4]]&lt;&gt;""),IF(AND(N201&gt;O201,N201&gt;=11),"ROOD",IF(AND(O201&gt;=11,N201&lt;&gt;O201),"GROEN","")),"")</f>
        <v/>
      </c>
      <c r="Q201" s="86" t="str">
        <f t="shared" si="24"/>
        <v/>
      </c>
      <c r="R201" s="87" t="str">
        <f t="shared" si="25"/>
        <v/>
      </c>
      <c r="S201" s="147" t="str">
        <f>Tabel15[[#This Row],[Rood Verdediging]]&amp;Tabel15[[#This Row],[Rood Aanval]]</f>
        <v/>
      </c>
      <c r="T201" s="147" t="str">
        <f>Tabel15[[#This Row],[Groen Verdediging]]&amp;Tabel15[[#This Row],[Groen Aanval]]</f>
        <v/>
      </c>
      <c r="U201" s="147" t="str">
        <f>Tabel15[[#This Row],[Winnaar 1]]&amp;Tabel15[[#This Row],[Winnaar 2]]</f>
        <v/>
      </c>
      <c r="V201" s="147" t="str">
        <f>IF(Tabel15[[#This Row],[Team Rood]]=Tabel15[[#This Row],[Winnaars]],Tabel15[[#This Row],[Team Rood]])</f>
        <v/>
      </c>
      <c r="W201" s="147" t="str">
        <f>IF(Tabel15[[#This Row],[Team Groen]]=Tabel15[[#This Row],[Winnaars]],Tabel15[[#This Row],[Team Groen]])</f>
        <v/>
      </c>
      <c r="X201" s="283"/>
      <c r="Y201" s="283"/>
      <c r="Z201" s="283"/>
      <c r="AA201" s="283"/>
    </row>
    <row r="202" spans="1:27" x14ac:dyDescent="0.25">
      <c r="A202" s="125" t="str">
        <f ca="1">IF(Tabel15[[#This Row],[Rood Verdediging]]&lt;&gt;"",IF(A202="",NOW(),A202),"")</f>
        <v/>
      </c>
      <c r="B202" s="128" t="str">
        <f ca="1">IF(Tabel15[[#This Row],[Rood Verdediging]]&lt;&gt;"",IF(B202="",NOW(),B202),"")</f>
        <v/>
      </c>
      <c r="C202" s="126" t="str">
        <f ca="1">IF(Tabel15[[#This Row],[Score]]&lt;&gt;"",IF(C202="",NOW(),C202),"")</f>
        <v/>
      </c>
      <c r="D202" s="182" t="str">
        <f ca="1">IF(OR(Tabel15[[#This Row],[Starttijd]]="",Tabel15[[#This Row],[Eindtijd]]=""),"",Tabel15[[#This Row],[Eindtijd]]-Tabel15[[#This Row],[Starttijd]])</f>
        <v/>
      </c>
      <c r="E202" s="74">
        <v>120</v>
      </c>
      <c r="F202" s="40"/>
      <c r="G202" s="76"/>
      <c r="H202" s="40"/>
      <c r="I202" s="76"/>
      <c r="J202" s="41"/>
      <c r="K202" s="78"/>
      <c r="L202" s="41"/>
      <c r="M202" s="78"/>
      <c r="N202" s="81" t="str">
        <f t="shared" si="22"/>
        <v/>
      </c>
      <c r="O202" s="82" t="str">
        <f t="shared" si="23"/>
        <v/>
      </c>
      <c r="P20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Row],[Score4]]&lt;&gt;""),IF(AND(N202&gt;O202,N202&gt;=11),"ROOD",IF(AND(O202&gt;=11,N202&lt;&gt;O202),"GROEN","")),"")</f>
        <v/>
      </c>
      <c r="Q202" s="86" t="str">
        <f t="shared" si="24"/>
        <v/>
      </c>
      <c r="R202" s="87" t="str">
        <f t="shared" si="25"/>
        <v/>
      </c>
      <c r="S202" s="147" t="str">
        <f>Tabel15[[#This Row],[Rood Verdediging]]&amp;Tabel15[[#This Row],[Rood Aanval]]</f>
        <v/>
      </c>
      <c r="T202" s="147" t="str">
        <f>Tabel15[[#This Row],[Groen Verdediging]]&amp;Tabel15[[#This Row],[Groen Aanval]]</f>
        <v/>
      </c>
      <c r="U202" s="147" t="str">
        <f>Tabel15[[#This Row],[Winnaar 1]]&amp;Tabel15[[#This Row],[Winnaar 2]]</f>
        <v/>
      </c>
      <c r="V202" s="147" t="str">
        <f>IF(Tabel15[[#This Row],[Team Rood]]=Tabel15[[#This Row],[Winnaars]],Tabel15[[#This Row],[Team Rood]])</f>
        <v/>
      </c>
      <c r="W202" s="147" t="str">
        <f>IF(Tabel15[[#This Row],[Team Groen]]=Tabel15[[#This Row],[Winnaars]],Tabel15[[#This Row],[Team Groen]])</f>
        <v/>
      </c>
      <c r="X202" s="283"/>
      <c r="Y202" s="283"/>
      <c r="Z202" s="283"/>
      <c r="AA202" s="283"/>
    </row>
    <row r="203" spans="1:27" x14ac:dyDescent="0.25">
      <c r="A203" s="125" t="str">
        <f ca="1">IF(Tabel15[[#This Row],[Rood Verdediging]]&lt;&gt;"",IF(A203="",NOW(),A203),"")</f>
        <v/>
      </c>
      <c r="B203" s="128" t="str">
        <f ca="1">IF(Tabel15[[#This Row],[Rood Verdediging]]&lt;&gt;"",IF(B203="",NOW(),B203),"")</f>
        <v/>
      </c>
      <c r="C203" s="126" t="str">
        <f ca="1">IF(Tabel15[[#This Row],[Score]]&lt;&gt;"",IF(C203="",NOW(),C203),"")</f>
        <v/>
      </c>
      <c r="D203" s="182" t="str">
        <f ca="1">IF(OR(Tabel15[[#This Row],[Starttijd]]="",Tabel15[[#This Row],[Eindtijd]]=""),"",Tabel15[[#This Row],[Eindtijd]]-Tabel15[[#This Row],[Starttijd]])</f>
        <v/>
      </c>
      <c r="E203" s="74">
        <v>120</v>
      </c>
      <c r="F203" s="40"/>
      <c r="G203" s="76"/>
      <c r="H203" s="40"/>
      <c r="I203" s="76"/>
      <c r="J203" s="41"/>
      <c r="K203" s="78"/>
      <c r="L203" s="41"/>
      <c r="M203" s="78"/>
      <c r="N203" s="81" t="str">
        <f t="shared" si="22"/>
        <v/>
      </c>
      <c r="O203" s="82" t="str">
        <f t="shared" si="23"/>
        <v/>
      </c>
      <c r="P20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Row],[Score4]]&lt;&gt;""),IF(AND(N203&gt;O203,N203&gt;=11),"ROOD",IF(AND(O203&gt;=11,N203&lt;&gt;O203),"GROEN","")),"")</f>
        <v/>
      </c>
      <c r="Q203" s="86" t="str">
        <f t="shared" si="24"/>
        <v/>
      </c>
      <c r="R203" s="87" t="str">
        <f t="shared" si="25"/>
        <v/>
      </c>
      <c r="S203" s="147" t="str">
        <f>Tabel15[[#This Row],[Rood Verdediging]]&amp;Tabel15[[#This Row],[Rood Aanval]]</f>
        <v/>
      </c>
      <c r="T203" s="147" t="str">
        <f>Tabel15[[#This Row],[Groen Verdediging]]&amp;Tabel15[[#This Row],[Groen Aanval]]</f>
        <v/>
      </c>
      <c r="U203" s="147" t="str">
        <f>Tabel15[[#This Row],[Winnaar 1]]&amp;Tabel15[[#This Row],[Winnaar 2]]</f>
        <v/>
      </c>
      <c r="V203" s="147" t="str">
        <f>IF(Tabel15[[#This Row],[Team Rood]]=Tabel15[[#This Row],[Winnaars]],Tabel15[[#This Row],[Team Rood]])</f>
        <v/>
      </c>
      <c r="W203" s="147" t="str">
        <f>IF(Tabel15[[#This Row],[Team Groen]]=Tabel15[[#This Row],[Winnaars]],Tabel15[[#This Row],[Team Groen]])</f>
        <v/>
      </c>
      <c r="X203" s="283"/>
      <c r="Y203" s="283"/>
      <c r="Z203" s="283"/>
      <c r="AA203" s="283"/>
    </row>
    <row r="204" spans="1:27" x14ac:dyDescent="0.25">
      <c r="A204" s="125" t="str">
        <f ca="1">IF(Tabel15[[#This Row],[Rood Verdediging]]&lt;&gt;"",IF(A204="",NOW(),A204),"")</f>
        <v/>
      </c>
      <c r="B204" s="128" t="str">
        <f ca="1">IF(Tabel15[[#This Row],[Rood Verdediging]]&lt;&gt;"",IF(B204="",NOW(),B204),"")</f>
        <v/>
      </c>
      <c r="C204" s="126" t="str">
        <f ca="1">IF(Tabel15[[#This Row],[Score]]&lt;&gt;"",IF(C204="",NOW(),C204),"")</f>
        <v/>
      </c>
      <c r="D204" s="182" t="str">
        <f ca="1">IF(OR(Tabel15[[#This Row],[Starttijd]]="",Tabel15[[#This Row],[Eindtijd]]=""),"",Tabel15[[#This Row],[Eindtijd]]-Tabel15[[#This Row],[Starttijd]])</f>
        <v/>
      </c>
      <c r="E204" s="74">
        <v>120</v>
      </c>
      <c r="F204" s="40"/>
      <c r="G204" s="76"/>
      <c r="H204" s="40"/>
      <c r="I204" s="76"/>
      <c r="J204" s="41"/>
      <c r="K204" s="78"/>
      <c r="L204" s="41"/>
      <c r="M204" s="78"/>
      <c r="N204" s="81" t="str">
        <f t="shared" si="22"/>
        <v/>
      </c>
      <c r="O204" s="82" t="str">
        <f t="shared" si="23"/>
        <v/>
      </c>
      <c r="P20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Row],[Score4]]&lt;&gt;""),IF(AND(N204&gt;O204,N204&gt;=11),"ROOD",IF(AND(O204&gt;=11,N204&lt;&gt;O204),"GROEN","")),"")</f>
        <v/>
      </c>
      <c r="Q204" s="86" t="str">
        <f t="shared" si="24"/>
        <v/>
      </c>
      <c r="R204" s="87" t="str">
        <f t="shared" si="25"/>
        <v/>
      </c>
      <c r="S204" s="147" t="str">
        <f>Tabel15[[#This Row],[Rood Verdediging]]&amp;Tabel15[[#This Row],[Rood Aanval]]</f>
        <v/>
      </c>
      <c r="T204" s="147" t="str">
        <f>Tabel15[[#This Row],[Groen Verdediging]]&amp;Tabel15[[#This Row],[Groen Aanval]]</f>
        <v/>
      </c>
      <c r="U204" s="147" t="str">
        <f>Tabel15[[#This Row],[Winnaar 1]]&amp;Tabel15[[#This Row],[Winnaar 2]]</f>
        <v/>
      </c>
      <c r="V204" s="147" t="str">
        <f>IF(Tabel15[[#This Row],[Team Rood]]=Tabel15[[#This Row],[Winnaars]],Tabel15[[#This Row],[Team Rood]])</f>
        <v/>
      </c>
      <c r="W204" s="147" t="str">
        <f>IF(Tabel15[[#This Row],[Team Groen]]=Tabel15[[#This Row],[Winnaars]],Tabel15[[#This Row],[Team Groen]])</f>
        <v/>
      </c>
      <c r="X204" s="283"/>
      <c r="Y204" s="283"/>
      <c r="Z204" s="283"/>
      <c r="AA204" s="283"/>
    </row>
    <row r="205" spans="1:27" x14ac:dyDescent="0.25">
      <c r="A205" s="125" t="str">
        <f ca="1">IF(Tabel15[[#This Row],[Rood Verdediging]]&lt;&gt;"",IF(A205="",NOW(),A205),"")</f>
        <v/>
      </c>
      <c r="B205" s="128" t="str">
        <f ca="1">IF(Tabel15[[#This Row],[Rood Verdediging]]&lt;&gt;"",IF(B205="",NOW(),B205),"")</f>
        <v/>
      </c>
      <c r="C205" s="126" t="str">
        <f ca="1">IF(Tabel15[[#This Row],[Score]]&lt;&gt;"",IF(C205="",NOW(),C205),"")</f>
        <v/>
      </c>
      <c r="D205" s="182" t="str">
        <f ca="1">IF(OR(Tabel15[[#This Row],[Starttijd]]="",Tabel15[[#This Row],[Eindtijd]]=""),"",Tabel15[[#This Row],[Eindtijd]]-Tabel15[[#This Row],[Starttijd]])</f>
        <v/>
      </c>
      <c r="E205" s="74">
        <v>120</v>
      </c>
      <c r="F205" s="40"/>
      <c r="G205" s="76"/>
      <c r="H205" s="40"/>
      <c r="I205" s="76"/>
      <c r="J205" s="41"/>
      <c r="K205" s="78"/>
      <c r="L205" s="41"/>
      <c r="M205" s="78"/>
      <c r="N205" s="81" t="str">
        <f t="shared" si="22"/>
        <v/>
      </c>
      <c r="O205" s="82" t="str">
        <f t="shared" si="23"/>
        <v/>
      </c>
      <c r="P20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Row],[Score4]]&lt;&gt;""),IF(AND(N205&gt;O205,N205&gt;=11),"ROOD",IF(AND(O205&gt;=11,N205&lt;&gt;O205),"GROEN","")),"")</f>
        <v/>
      </c>
      <c r="Q205" s="86" t="str">
        <f t="shared" si="24"/>
        <v/>
      </c>
      <c r="R205" s="87" t="str">
        <f t="shared" si="25"/>
        <v/>
      </c>
      <c r="S205" s="147" t="str">
        <f>Tabel15[[#This Row],[Rood Verdediging]]&amp;Tabel15[[#This Row],[Rood Aanval]]</f>
        <v/>
      </c>
      <c r="T205" s="147" t="str">
        <f>Tabel15[[#This Row],[Groen Verdediging]]&amp;Tabel15[[#This Row],[Groen Aanval]]</f>
        <v/>
      </c>
      <c r="U205" s="147" t="str">
        <f>Tabel15[[#This Row],[Winnaar 1]]&amp;Tabel15[[#This Row],[Winnaar 2]]</f>
        <v/>
      </c>
      <c r="V205" s="147" t="str">
        <f>IF(Tabel15[[#This Row],[Team Rood]]=Tabel15[[#This Row],[Winnaars]],Tabel15[[#This Row],[Team Rood]])</f>
        <v/>
      </c>
      <c r="W205" s="147" t="str">
        <f>IF(Tabel15[[#This Row],[Team Groen]]=Tabel15[[#This Row],[Winnaars]],Tabel15[[#This Row],[Team Groen]])</f>
        <v/>
      </c>
      <c r="X205" s="283"/>
      <c r="Y205" s="283"/>
      <c r="Z205" s="283"/>
      <c r="AA205" s="283"/>
    </row>
    <row r="206" spans="1:27" x14ac:dyDescent="0.25">
      <c r="A206" s="125" t="str">
        <f ca="1">IF(Tabel15[[#This Row],[Rood Verdediging]]&lt;&gt;"",IF(A206="",NOW(),A206),"")</f>
        <v/>
      </c>
      <c r="B206" s="128" t="str">
        <f ca="1">IF(Tabel15[[#This Row],[Rood Verdediging]]&lt;&gt;"",IF(B206="",NOW(),B206),"")</f>
        <v/>
      </c>
      <c r="C206" s="126" t="str">
        <f ca="1">IF(Tabel15[[#This Row],[Score]]&lt;&gt;"",IF(C206="",NOW(),C206),"")</f>
        <v/>
      </c>
      <c r="D206" s="182" t="str">
        <f ca="1">IF(OR(Tabel15[[#This Row],[Starttijd]]="",Tabel15[[#This Row],[Eindtijd]]=""),"",Tabel15[[#This Row],[Eindtijd]]-Tabel15[[#This Row],[Starttijd]])</f>
        <v/>
      </c>
      <c r="E206" s="74">
        <v>120</v>
      </c>
      <c r="F206" s="40"/>
      <c r="G206" s="76"/>
      <c r="H206" s="40"/>
      <c r="I206" s="76"/>
      <c r="J206" s="41"/>
      <c r="K206" s="78"/>
      <c r="L206" s="41"/>
      <c r="M206" s="78"/>
      <c r="N206" s="81" t="str">
        <f t="shared" si="22"/>
        <v/>
      </c>
      <c r="O206" s="82" t="str">
        <f t="shared" si="23"/>
        <v/>
      </c>
      <c r="P20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Row],[Score4]]&lt;&gt;""),IF(AND(N206&gt;O206,N206&gt;=11),"ROOD",IF(AND(O206&gt;=11,N206&lt;&gt;O206),"GROEN","")),"")</f>
        <v/>
      </c>
      <c r="Q206" s="86" t="str">
        <f t="shared" si="24"/>
        <v/>
      </c>
      <c r="R206" s="87" t="str">
        <f t="shared" si="25"/>
        <v/>
      </c>
      <c r="S206" s="147" t="str">
        <f>Tabel15[[#This Row],[Rood Verdediging]]&amp;Tabel15[[#This Row],[Rood Aanval]]</f>
        <v/>
      </c>
      <c r="T206" s="147" t="str">
        <f>Tabel15[[#This Row],[Groen Verdediging]]&amp;Tabel15[[#This Row],[Groen Aanval]]</f>
        <v/>
      </c>
      <c r="U206" s="147" t="str">
        <f>Tabel15[[#This Row],[Winnaar 1]]&amp;Tabel15[[#This Row],[Winnaar 2]]</f>
        <v/>
      </c>
      <c r="V206" s="147" t="str">
        <f>IF(Tabel15[[#This Row],[Team Rood]]=Tabel15[[#This Row],[Winnaars]],Tabel15[[#This Row],[Team Rood]])</f>
        <v/>
      </c>
      <c r="W206" s="147" t="str">
        <f>IF(Tabel15[[#This Row],[Team Groen]]=Tabel15[[#This Row],[Winnaars]],Tabel15[[#This Row],[Team Groen]])</f>
        <v/>
      </c>
      <c r="X206" s="283"/>
      <c r="Y206" s="283"/>
      <c r="Z206" s="283"/>
      <c r="AA206" s="283"/>
    </row>
    <row r="207" spans="1:27" x14ac:dyDescent="0.25">
      <c r="A207" s="125" t="str">
        <f ca="1">IF(Tabel15[[#This Row],[Rood Verdediging]]&lt;&gt;"",IF(A207="",NOW(),A207),"")</f>
        <v/>
      </c>
      <c r="B207" s="128" t="str">
        <f ca="1">IF(Tabel15[[#This Row],[Rood Verdediging]]&lt;&gt;"",IF(B207="",NOW(),B207),"")</f>
        <v/>
      </c>
      <c r="C207" s="126" t="str">
        <f ca="1">IF(Tabel15[[#This Row],[Score]]&lt;&gt;"",IF(C207="",NOW(),C207),"")</f>
        <v/>
      </c>
      <c r="D207" s="182" t="str">
        <f ca="1">IF(OR(Tabel15[[#This Row],[Starttijd]]="",Tabel15[[#This Row],[Eindtijd]]=""),"",Tabel15[[#This Row],[Eindtijd]]-Tabel15[[#This Row],[Starttijd]])</f>
        <v/>
      </c>
      <c r="E207" s="74">
        <v>120</v>
      </c>
      <c r="F207" s="40"/>
      <c r="G207" s="76"/>
      <c r="H207" s="40"/>
      <c r="I207" s="76"/>
      <c r="J207" s="41"/>
      <c r="K207" s="78"/>
      <c r="L207" s="41"/>
      <c r="M207" s="78"/>
      <c r="N207" s="81" t="str">
        <f t="shared" si="22"/>
        <v/>
      </c>
      <c r="O207" s="82" t="str">
        <f t="shared" si="23"/>
        <v/>
      </c>
      <c r="P20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Row],[Score4]]&lt;&gt;""),IF(AND(N207&gt;O207,N207&gt;=11),"ROOD",IF(AND(O207&gt;=11,N207&lt;&gt;O207),"GROEN","")),"")</f>
        <v/>
      </c>
      <c r="Q207" s="86" t="str">
        <f t="shared" si="24"/>
        <v/>
      </c>
      <c r="R207" s="87" t="str">
        <f t="shared" si="25"/>
        <v/>
      </c>
      <c r="S207" s="147" t="str">
        <f>Tabel15[[#This Row],[Rood Verdediging]]&amp;Tabel15[[#This Row],[Rood Aanval]]</f>
        <v/>
      </c>
      <c r="T207" s="147" t="str">
        <f>Tabel15[[#This Row],[Groen Verdediging]]&amp;Tabel15[[#This Row],[Groen Aanval]]</f>
        <v/>
      </c>
      <c r="U207" s="147" t="str">
        <f>Tabel15[[#This Row],[Winnaar 1]]&amp;Tabel15[[#This Row],[Winnaar 2]]</f>
        <v/>
      </c>
      <c r="V207" s="147" t="str">
        <f>IF(Tabel15[[#This Row],[Team Rood]]=Tabel15[[#This Row],[Winnaars]],Tabel15[[#This Row],[Team Rood]])</f>
        <v/>
      </c>
      <c r="W207" s="147" t="str">
        <f>IF(Tabel15[[#This Row],[Team Groen]]=Tabel15[[#This Row],[Winnaars]],Tabel15[[#This Row],[Team Groen]])</f>
        <v/>
      </c>
      <c r="X207" s="283"/>
      <c r="Y207" s="283"/>
      <c r="Z207" s="283"/>
      <c r="AA207" s="283"/>
    </row>
    <row r="208" spans="1:27" x14ac:dyDescent="0.25">
      <c r="A208" s="125" t="str">
        <f ca="1">IF(Tabel15[[#This Row],[Rood Verdediging]]&lt;&gt;"",IF(A208="",NOW(),A208),"")</f>
        <v/>
      </c>
      <c r="B208" s="128" t="str">
        <f ca="1">IF(Tabel15[[#This Row],[Rood Verdediging]]&lt;&gt;"",IF(B208="",NOW(),B208),"")</f>
        <v/>
      </c>
      <c r="C208" s="126" t="str">
        <f ca="1">IF(Tabel15[[#This Row],[Score]]&lt;&gt;"",IF(C208="",NOW(),C208),"")</f>
        <v/>
      </c>
      <c r="D208" s="182" t="str">
        <f ca="1">IF(OR(Tabel15[[#This Row],[Starttijd]]="",Tabel15[[#This Row],[Eindtijd]]=""),"",Tabel15[[#This Row],[Eindtijd]]-Tabel15[[#This Row],[Starttijd]])</f>
        <v/>
      </c>
      <c r="E208" s="74">
        <v>120</v>
      </c>
      <c r="F208" s="40"/>
      <c r="G208" s="76"/>
      <c r="H208" s="40"/>
      <c r="I208" s="76"/>
      <c r="J208" s="41"/>
      <c r="K208" s="78"/>
      <c r="L208" s="41"/>
      <c r="M208" s="78"/>
      <c r="N208" s="81" t="str">
        <f t="shared" si="22"/>
        <v/>
      </c>
      <c r="O208" s="82" t="str">
        <f t="shared" si="23"/>
        <v/>
      </c>
      <c r="P20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Row],[Score4]]&lt;&gt;""),IF(AND(N208&gt;O208,N208&gt;=11),"ROOD",IF(AND(O208&gt;=11,N208&lt;&gt;O208),"GROEN","")),"")</f>
        <v/>
      </c>
      <c r="Q208" s="86" t="str">
        <f t="shared" si="24"/>
        <v/>
      </c>
      <c r="R208" s="87" t="str">
        <f t="shared" si="25"/>
        <v/>
      </c>
      <c r="S208" s="147" t="str">
        <f>Tabel15[[#This Row],[Rood Verdediging]]&amp;Tabel15[[#This Row],[Rood Aanval]]</f>
        <v/>
      </c>
      <c r="T208" s="147" t="str">
        <f>Tabel15[[#This Row],[Groen Verdediging]]&amp;Tabel15[[#This Row],[Groen Aanval]]</f>
        <v/>
      </c>
      <c r="U208" s="147" t="str">
        <f>Tabel15[[#This Row],[Winnaar 1]]&amp;Tabel15[[#This Row],[Winnaar 2]]</f>
        <v/>
      </c>
      <c r="V208" s="147" t="str">
        <f>IF(Tabel15[[#This Row],[Team Rood]]=Tabel15[[#This Row],[Winnaars]],Tabel15[[#This Row],[Team Rood]])</f>
        <v/>
      </c>
      <c r="W208" s="147" t="str">
        <f>IF(Tabel15[[#This Row],[Team Groen]]=Tabel15[[#This Row],[Winnaars]],Tabel15[[#This Row],[Team Groen]])</f>
        <v/>
      </c>
      <c r="X208" s="283"/>
      <c r="Y208" s="283"/>
      <c r="Z208" s="283"/>
      <c r="AA208" s="283"/>
    </row>
    <row r="209" spans="1:27" x14ac:dyDescent="0.25">
      <c r="A209" s="125" t="str">
        <f ca="1">IF(Tabel15[[#This Row],[Rood Verdediging]]&lt;&gt;"",IF(A209="",NOW(),A209),"")</f>
        <v/>
      </c>
      <c r="B209" s="128" t="str">
        <f ca="1">IF(Tabel15[[#This Row],[Rood Verdediging]]&lt;&gt;"",IF(B209="",NOW(),B209),"")</f>
        <v/>
      </c>
      <c r="C209" s="126" t="str">
        <f ca="1">IF(Tabel15[[#This Row],[Score]]&lt;&gt;"",IF(C209="",NOW(),C209),"")</f>
        <v/>
      </c>
      <c r="D209" s="182" t="str">
        <f ca="1">IF(OR(Tabel15[[#This Row],[Starttijd]]="",Tabel15[[#This Row],[Eindtijd]]=""),"",Tabel15[[#This Row],[Eindtijd]]-Tabel15[[#This Row],[Starttijd]])</f>
        <v/>
      </c>
      <c r="E209" s="74">
        <v>120</v>
      </c>
      <c r="F209" s="40"/>
      <c r="G209" s="76"/>
      <c r="H209" s="40"/>
      <c r="I209" s="76"/>
      <c r="J209" s="41"/>
      <c r="K209" s="78"/>
      <c r="L209" s="41"/>
      <c r="M209" s="78"/>
      <c r="N209" s="81" t="str">
        <f t="shared" si="22"/>
        <v/>
      </c>
      <c r="O209" s="82" t="str">
        <f t="shared" si="23"/>
        <v/>
      </c>
      <c r="P20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Row],[Score4]]&lt;&gt;""),IF(AND(N209&gt;O209,N209&gt;=11),"ROOD",IF(AND(O209&gt;=11,N209&lt;&gt;O209),"GROEN","")),"")</f>
        <v/>
      </c>
      <c r="Q209" s="86" t="str">
        <f t="shared" si="24"/>
        <v/>
      </c>
      <c r="R209" s="87" t="str">
        <f t="shared" si="25"/>
        <v/>
      </c>
      <c r="S209" s="147" t="str">
        <f>Tabel15[[#This Row],[Rood Verdediging]]&amp;Tabel15[[#This Row],[Rood Aanval]]</f>
        <v/>
      </c>
      <c r="T209" s="147" t="str">
        <f>Tabel15[[#This Row],[Groen Verdediging]]&amp;Tabel15[[#This Row],[Groen Aanval]]</f>
        <v/>
      </c>
      <c r="U209" s="147" t="str">
        <f>Tabel15[[#This Row],[Winnaar 1]]&amp;Tabel15[[#This Row],[Winnaar 2]]</f>
        <v/>
      </c>
      <c r="V209" s="147" t="str">
        <f>IF(Tabel15[[#This Row],[Team Rood]]=Tabel15[[#This Row],[Winnaars]],Tabel15[[#This Row],[Team Rood]])</f>
        <v/>
      </c>
      <c r="W209" s="147" t="str">
        <f>IF(Tabel15[[#This Row],[Team Groen]]=Tabel15[[#This Row],[Winnaars]],Tabel15[[#This Row],[Team Groen]])</f>
        <v/>
      </c>
      <c r="X209" s="283"/>
      <c r="Y209" s="283"/>
      <c r="Z209" s="283"/>
      <c r="AA209" s="283"/>
    </row>
    <row r="210" spans="1:27" x14ac:dyDescent="0.25">
      <c r="A210" s="125" t="str">
        <f ca="1">IF(Tabel15[[#This Row],[Rood Verdediging]]&lt;&gt;"",IF(A210="",NOW(),A210),"")</f>
        <v/>
      </c>
      <c r="B210" s="128" t="str">
        <f ca="1">IF(Tabel15[[#This Row],[Rood Verdediging]]&lt;&gt;"",IF(B210="",NOW(),B210),"")</f>
        <v/>
      </c>
      <c r="C210" s="126" t="str">
        <f ca="1">IF(Tabel15[[#This Row],[Score]]&lt;&gt;"",IF(C210="",NOW(),C210),"")</f>
        <v/>
      </c>
      <c r="D210" s="182" t="str">
        <f ca="1">IF(OR(Tabel15[[#This Row],[Starttijd]]="",Tabel15[[#This Row],[Eindtijd]]=""),"",Tabel15[[#This Row],[Eindtijd]]-Tabel15[[#This Row],[Starttijd]])</f>
        <v/>
      </c>
      <c r="E210" s="74">
        <v>120</v>
      </c>
      <c r="F210" s="40"/>
      <c r="G210" s="76"/>
      <c r="H210" s="40"/>
      <c r="I210" s="76"/>
      <c r="J210" s="41"/>
      <c r="K210" s="78"/>
      <c r="L210" s="41"/>
      <c r="M210" s="78"/>
      <c r="N210" s="81" t="str">
        <f t="shared" si="22"/>
        <v/>
      </c>
      <c r="O210" s="82" t="str">
        <f t="shared" si="23"/>
        <v/>
      </c>
      <c r="P21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Row],[Score4]]&lt;&gt;""),IF(AND(N210&gt;O210,N210&gt;=11),"ROOD",IF(AND(O210&gt;=11,N210&lt;&gt;O210),"GROEN","")),"")</f>
        <v/>
      </c>
      <c r="Q210" s="86" t="str">
        <f t="shared" si="24"/>
        <v/>
      </c>
      <c r="R210" s="87" t="str">
        <f t="shared" si="25"/>
        <v/>
      </c>
      <c r="S210" s="147" t="str">
        <f>Tabel15[[#This Row],[Rood Verdediging]]&amp;Tabel15[[#This Row],[Rood Aanval]]</f>
        <v/>
      </c>
      <c r="T210" s="147" t="str">
        <f>Tabel15[[#This Row],[Groen Verdediging]]&amp;Tabel15[[#This Row],[Groen Aanval]]</f>
        <v/>
      </c>
      <c r="U210" s="147" t="str">
        <f>Tabel15[[#This Row],[Winnaar 1]]&amp;Tabel15[[#This Row],[Winnaar 2]]</f>
        <v/>
      </c>
      <c r="V210" s="147" t="str">
        <f>IF(Tabel15[[#This Row],[Team Rood]]=Tabel15[[#This Row],[Winnaars]],Tabel15[[#This Row],[Team Rood]])</f>
        <v/>
      </c>
      <c r="W210" s="147" t="str">
        <f>IF(Tabel15[[#This Row],[Team Groen]]=Tabel15[[#This Row],[Winnaars]],Tabel15[[#This Row],[Team Groen]])</f>
        <v/>
      </c>
      <c r="X210" s="283"/>
      <c r="Y210" s="283"/>
      <c r="Z210" s="283"/>
      <c r="AA210" s="283"/>
    </row>
    <row r="211" spans="1:27" x14ac:dyDescent="0.25">
      <c r="A211" s="125" t="str">
        <f ca="1">IF(Tabel15[[#This Row],[Rood Verdediging]]&lt;&gt;"",IF(A211="",NOW(),A211),"")</f>
        <v/>
      </c>
      <c r="B211" s="128" t="str">
        <f ca="1">IF(Tabel15[[#This Row],[Rood Verdediging]]&lt;&gt;"",IF(B211="",NOW(),B211),"")</f>
        <v/>
      </c>
      <c r="C211" s="126" t="str">
        <f ca="1">IF(Tabel15[[#This Row],[Score]]&lt;&gt;"",IF(C211="",NOW(),C211),"")</f>
        <v/>
      </c>
      <c r="D211" s="182" t="str">
        <f ca="1">IF(OR(Tabel15[[#This Row],[Starttijd]]="",Tabel15[[#This Row],[Eindtijd]]=""),"",Tabel15[[#This Row],[Eindtijd]]-Tabel15[[#This Row],[Starttijd]])</f>
        <v/>
      </c>
      <c r="E211" s="74">
        <v>120</v>
      </c>
      <c r="F211" s="40"/>
      <c r="G211" s="76"/>
      <c r="H211" s="40"/>
      <c r="I211" s="76"/>
      <c r="J211" s="41"/>
      <c r="K211" s="78"/>
      <c r="L211" s="41"/>
      <c r="M211" s="78"/>
      <c r="N211" s="81" t="str">
        <f t="shared" si="22"/>
        <v/>
      </c>
      <c r="O211" s="82" t="str">
        <f t="shared" si="23"/>
        <v/>
      </c>
      <c r="P21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Row],[Score4]]&lt;&gt;""),IF(AND(N211&gt;O211,N211&gt;=11),"ROOD",IF(AND(O211&gt;=11,N211&lt;&gt;O211),"GROEN","")),"")</f>
        <v/>
      </c>
      <c r="Q211" s="86" t="str">
        <f t="shared" si="24"/>
        <v/>
      </c>
      <c r="R211" s="87" t="str">
        <f t="shared" si="25"/>
        <v/>
      </c>
      <c r="S211" s="147" t="str">
        <f>Tabel15[[#This Row],[Rood Verdediging]]&amp;Tabel15[[#This Row],[Rood Aanval]]</f>
        <v/>
      </c>
      <c r="T211" s="147" t="str">
        <f>Tabel15[[#This Row],[Groen Verdediging]]&amp;Tabel15[[#This Row],[Groen Aanval]]</f>
        <v/>
      </c>
      <c r="U211" s="147" t="str">
        <f>Tabel15[[#This Row],[Winnaar 1]]&amp;Tabel15[[#This Row],[Winnaar 2]]</f>
        <v/>
      </c>
      <c r="V211" s="147" t="str">
        <f>IF(Tabel15[[#This Row],[Team Rood]]=Tabel15[[#This Row],[Winnaars]],Tabel15[[#This Row],[Team Rood]])</f>
        <v/>
      </c>
      <c r="W211" s="147" t="str">
        <f>IF(Tabel15[[#This Row],[Team Groen]]=Tabel15[[#This Row],[Winnaars]],Tabel15[[#This Row],[Team Groen]])</f>
        <v/>
      </c>
      <c r="X211" s="283"/>
      <c r="Y211" s="283"/>
      <c r="Z211" s="283"/>
      <c r="AA211" s="283"/>
    </row>
    <row r="212" spans="1:27" x14ac:dyDescent="0.25">
      <c r="A212" s="125" t="str">
        <f ca="1">IF(Tabel15[[#This Row],[Rood Verdediging]]&lt;&gt;"",IF(A212="",NOW(),A212),"")</f>
        <v/>
      </c>
      <c r="B212" s="128" t="str">
        <f ca="1">IF(Tabel15[[#This Row],[Rood Verdediging]]&lt;&gt;"",IF(B212="",NOW(),B212),"")</f>
        <v/>
      </c>
      <c r="C212" s="126" t="str">
        <f ca="1">IF(Tabel15[[#This Row],[Score]]&lt;&gt;"",IF(C212="",NOW(),C212),"")</f>
        <v/>
      </c>
      <c r="D212" s="182" t="str">
        <f ca="1">IF(OR(Tabel15[[#This Row],[Starttijd]]="",Tabel15[[#This Row],[Eindtijd]]=""),"",Tabel15[[#This Row],[Eindtijd]]-Tabel15[[#This Row],[Starttijd]])</f>
        <v/>
      </c>
      <c r="E212" s="74">
        <v>120</v>
      </c>
      <c r="F212" s="40"/>
      <c r="G212" s="76"/>
      <c r="H212" s="40"/>
      <c r="I212" s="76"/>
      <c r="J212" s="41"/>
      <c r="K212" s="78"/>
      <c r="L212" s="41"/>
      <c r="M212" s="78"/>
      <c r="N212" s="81" t="str">
        <f t="shared" si="22"/>
        <v/>
      </c>
      <c r="O212" s="82" t="str">
        <f t="shared" si="23"/>
        <v/>
      </c>
      <c r="P21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Row],[Score4]]&lt;&gt;""),IF(AND(N212&gt;O212,N212&gt;=11),"ROOD",IF(AND(O212&gt;=11,N212&lt;&gt;O212),"GROEN","")),"")</f>
        <v/>
      </c>
      <c r="Q212" s="86" t="str">
        <f t="shared" si="24"/>
        <v/>
      </c>
      <c r="R212" s="87" t="str">
        <f t="shared" si="25"/>
        <v/>
      </c>
      <c r="S212" s="147" t="str">
        <f>Tabel15[[#This Row],[Rood Verdediging]]&amp;Tabel15[[#This Row],[Rood Aanval]]</f>
        <v/>
      </c>
      <c r="T212" s="147" t="str">
        <f>Tabel15[[#This Row],[Groen Verdediging]]&amp;Tabel15[[#This Row],[Groen Aanval]]</f>
        <v/>
      </c>
      <c r="U212" s="147" t="str">
        <f>Tabel15[[#This Row],[Winnaar 1]]&amp;Tabel15[[#This Row],[Winnaar 2]]</f>
        <v/>
      </c>
      <c r="V212" s="147" t="str">
        <f>IF(Tabel15[[#This Row],[Team Rood]]=Tabel15[[#This Row],[Winnaars]],Tabel15[[#This Row],[Team Rood]])</f>
        <v/>
      </c>
      <c r="W212" s="147" t="str">
        <f>IF(Tabel15[[#This Row],[Team Groen]]=Tabel15[[#This Row],[Winnaars]],Tabel15[[#This Row],[Team Groen]])</f>
        <v/>
      </c>
      <c r="X212" s="283"/>
      <c r="Y212" s="283"/>
      <c r="Z212" s="283"/>
      <c r="AA212" s="283"/>
    </row>
    <row r="213" spans="1:27" x14ac:dyDescent="0.25">
      <c r="A213" s="125" t="str">
        <f ca="1">IF(Tabel15[[#This Row],[Rood Verdediging]]&lt;&gt;"",IF(A213="",NOW(),A213),"")</f>
        <v/>
      </c>
      <c r="B213" s="128" t="str">
        <f ca="1">IF(Tabel15[[#This Row],[Rood Verdediging]]&lt;&gt;"",IF(B213="",NOW(),B213),"")</f>
        <v/>
      </c>
      <c r="C213" s="126" t="str">
        <f ca="1">IF(Tabel15[[#This Row],[Score]]&lt;&gt;"",IF(C213="",NOW(),C213),"")</f>
        <v/>
      </c>
      <c r="D213" s="182" t="str">
        <f ca="1">IF(OR(Tabel15[[#This Row],[Starttijd]]="",Tabel15[[#This Row],[Eindtijd]]=""),"",Tabel15[[#This Row],[Eindtijd]]-Tabel15[[#This Row],[Starttijd]])</f>
        <v/>
      </c>
      <c r="E213" s="74">
        <v>120</v>
      </c>
      <c r="F213" s="40"/>
      <c r="G213" s="76"/>
      <c r="H213" s="40"/>
      <c r="I213" s="76"/>
      <c r="J213" s="41"/>
      <c r="K213" s="78"/>
      <c r="L213" s="41"/>
      <c r="M213" s="78"/>
      <c r="N213" s="81" t="str">
        <f t="shared" si="22"/>
        <v/>
      </c>
      <c r="O213" s="82" t="str">
        <f t="shared" si="23"/>
        <v/>
      </c>
      <c r="P21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Row],[Score4]]&lt;&gt;""),IF(AND(N213&gt;O213,N213&gt;=11),"ROOD",IF(AND(O213&gt;=11,N213&lt;&gt;O213),"GROEN","")),"")</f>
        <v/>
      </c>
      <c r="Q213" s="86" t="str">
        <f t="shared" si="24"/>
        <v/>
      </c>
      <c r="R213" s="87" t="str">
        <f t="shared" si="25"/>
        <v/>
      </c>
      <c r="S213" s="147" t="str">
        <f>Tabel15[[#This Row],[Rood Verdediging]]&amp;Tabel15[[#This Row],[Rood Aanval]]</f>
        <v/>
      </c>
      <c r="T213" s="147" t="str">
        <f>Tabel15[[#This Row],[Groen Verdediging]]&amp;Tabel15[[#This Row],[Groen Aanval]]</f>
        <v/>
      </c>
      <c r="U213" s="147" t="str">
        <f>Tabel15[[#This Row],[Winnaar 1]]&amp;Tabel15[[#This Row],[Winnaar 2]]</f>
        <v/>
      </c>
      <c r="V213" s="147" t="str">
        <f>IF(Tabel15[[#This Row],[Team Rood]]=Tabel15[[#This Row],[Winnaars]],Tabel15[[#This Row],[Team Rood]])</f>
        <v/>
      </c>
      <c r="W213" s="147" t="str">
        <f>IF(Tabel15[[#This Row],[Team Groen]]=Tabel15[[#This Row],[Winnaars]],Tabel15[[#This Row],[Team Groen]])</f>
        <v/>
      </c>
      <c r="X213" s="283"/>
      <c r="Y213" s="283"/>
      <c r="Z213" s="283"/>
      <c r="AA213" s="283"/>
    </row>
    <row r="214" spans="1:27" x14ac:dyDescent="0.25">
      <c r="A214" s="125" t="str">
        <f ca="1">IF(Tabel15[[#This Row],[Rood Verdediging]]&lt;&gt;"",IF(A214="",NOW(),A214),"")</f>
        <v/>
      </c>
      <c r="B214" s="128" t="str">
        <f ca="1">IF(Tabel15[[#This Row],[Rood Verdediging]]&lt;&gt;"",IF(B214="",NOW(),B214),"")</f>
        <v/>
      </c>
      <c r="C214" s="126" t="str">
        <f ca="1">IF(Tabel15[[#This Row],[Score]]&lt;&gt;"",IF(C214="",NOW(),C214),"")</f>
        <v/>
      </c>
      <c r="D214" s="182" t="str">
        <f ca="1">IF(OR(Tabel15[[#This Row],[Starttijd]]="",Tabel15[[#This Row],[Eindtijd]]=""),"",Tabel15[[#This Row],[Eindtijd]]-Tabel15[[#This Row],[Starttijd]])</f>
        <v/>
      </c>
      <c r="E214" s="74">
        <v>120</v>
      </c>
      <c r="F214" s="40"/>
      <c r="G214" s="76"/>
      <c r="H214" s="40"/>
      <c r="I214" s="76"/>
      <c r="J214" s="41"/>
      <c r="K214" s="78"/>
      <c r="L214" s="41"/>
      <c r="M214" s="78"/>
      <c r="N214" s="81" t="str">
        <f t="shared" si="22"/>
        <v/>
      </c>
      <c r="O214" s="82" t="str">
        <f t="shared" si="23"/>
        <v/>
      </c>
      <c r="P21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Row],[Score4]]&lt;&gt;""),IF(AND(N214&gt;O214,N214&gt;=11),"ROOD",IF(AND(O214&gt;=11,N214&lt;&gt;O214),"GROEN","")),"")</f>
        <v/>
      </c>
      <c r="Q214" s="86" t="str">
        <f t="shared" si="24"/>
        <v/>
      </c>
      <c r="R214" s="87" t="str">
        <f t="shared" si="25"/>
        <v/>
      </c>
      <c r="S214" s="147" t="str">
        <f>Tabel15[[#This Row],[Rood Verdediging]]&amp;Tabel15[[#This Row],[Rood Aanval]]</f>
        <v/>
      </c>
      <c r="T214" s="147" t="str">
        <f>Tabel15[[#This Row],[Groen Verdediging]]&amp;Tabel15[[#This Row],[Groen Aanval]]</f>
        <v/>
      </c>
      <c r="U214" s="147" t="str">
        <f>Tabel15[[#This Row],[Winnaar 1]]&amp;Tabel15[[#This Row],[Winnaar 2]]</f>
        <v/>
      </c>
      <c r="V214" s="147" t="str">
        <f>IF(Tabel15[[#This Row],[Team Rood]]=Tabel15[[#This Row],[Winnaars]],Tabel15[[#This Row],[Team Rood]])</f>
        <v/>
      </c>
      <c r="W214" s="147" t="str">
        <f>IF(Tabel15[[#This Row],[Team Groen]]=Tabel15[[#This Row],[Winnaars]],Tabel15[[#This Row],[Team Groen]])</f>
        <v/>
      </c>
      <c r="X214" s="283"/>
      <c r="Y214" s="283"/>
      <c r="Z214" s="283"/>
      <c r="AA214" s="283"/>
    </row>
    <row r="215" spans="1:27" x14ac:dyDescent="0.25">
      <c r="A215" s="125" t="str">
        <f ca="1">IF(Tabel15[[#This Row],[Rood Verdediging]]&lt;&gt;"",IF(A215="",NOW(),A215),"")</f>
        <v/>
      </c>
      <c r="B215" s="128" t="str">
        <f ca="1">IF(Tabel15[[#This Row],[Rood Verdediging]]&lt;&gt;"",IF(B215="",NOW(),B215),"")</f>
        <v/>
      </c>
      <c r="C215" s="126" t="str">
        <f ca="1">IF(Tabel15[[#This Row],[Score]]&lt;&gt;"",IF(C215="",NOW(),C215),"")</f>
        <v/>
      </c>
      <c r="D215" s="182" t="str">
        <f ca="1">IF(OR(Tabel15[[#This Row],[Starttijd]]="",Tabel15[[#This Row],[Eindtijd]]=""),"",Tabel15[[#This Row],[Eindtijd]]-Tabel15[[#This Row],[Starttijd]])</f>
        <v/>
      </c>
      <c r="E215" s="74">
        <v>120</v>
      </c>
      <c r="F215" s="40"/>
      <c r="G215" s="76"/>
      <c r="H215" s="40"/>
      <c r="I215" s="76"/>
      <c r="J215" s="41"/>
      <c r="K215" s="78"/>
      <c r="L215" s="41"/>
      <c r="M215" s="78"/>
      <c r="N215" s="81" t="str">
        <f t="shared" si="22"/>
        <v/>
      </c>
      <c r="O215" s="82" t="str">
        <f t="shared" si="23"/>
        <v/>
      </c>
      <c r="P21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Row],[Score4]]&lt;&gt;""),IF(AND(N215&gt;O215,N215&gt;=11),"ROOD",IF(AND(O215&gt;=11,N215&lt;&gt;O215),"GROEN","")),"")</f>
        <v/>
      </c>
      <c r="Q215" s="86" t="str">
        <f t="shared" si="24"/>
        <v/>
      </c>
      <c r="R215" s="87" t="str">
        <f t="shared" si="25"/>
        <v/>
      </c>
      <c r="S215" s="147" t="str">
        <f>Tabel15[[#This Row],[Rood Verdediging]]&amp;Tabel15[[#This Row],[Rood Aanval]]</f>
        <v/>
      </c>
      <c r="T215" s="147" t="str">
        <f>Tabel15[[#This Row],[Groen Verdediging]]&amp;Tabel15[[#This Row],[Groen Aanval]]</f>
        <v/>
      </c>
      <c r="U215" s="147" t="str">
        <f>Tabel15[[#This Row],[Winnaar 1]]&amp;Tabel15[[#This Row],[Winnaar 2]]</f>
        <v/>
      </c>
      <c r="V215" s="147" t="str">
        <f>IF(Tabel15[[#This Row],[Team Rood]]=Tabel15[[#This Row],[Winnaars]],Tabel15[[#This Row],[Team Rood]])</f>
        <v/>
      </c>
      <c r="W215" s="147" t="str">
        <f>IF(Tabel15[[#This Row],[Team Groen]]=Tabel15[[#This Row],[Winnaars]],Tabel15[[#This Row],[Team Groen]])</f>
        <v/>
      </c>
      <c r="X215" s="283"/>
      <c r="Y215" s="283"/>
      <c r="Z215" s="283"/>
      <c r="AA215" s="283"/>
    </row>
    <row r="216" spans="1:27" x14ac:dyDescent="0.25">
      <c r="A216" s="125" t="str">
        <f ca="1">IF(Tabel15[[#This Row],[Rood Verdediging]]&lt;&gt;"",IF(A216="",NOW(),A216),"")</f>
        <v/>
      </c>
      <c r="B216" s="128" t="str">
        <f ca="1">IF(Tabel15[[#This Row],[Rood Verdediging]]&lt;&gt;"",IF(B216="",NOW(),B216),"")</f>
        <v/>
      </c>
      <c r="C216" s="126" t="str">
        <f ca="1">IF(Tabel15[[#This Row],[Score]]&lt;&gt;"",IF(C216="",NOW(),C216),"")</f>
        <v/>
      </c>
      <c r="D216" s="182" t="str">
        <f ca="1">IF(OR(Tabel15[[#This Row],[Starttijd]]="",Tabel15[[#This Row],[Eindtijd]]=""),"",Tabel15[[#This Row],[Eindtijd]]-Tabel15[[#This Row],[Starttijd]])</f>
        <v/>
      </c>
      <c r="E216" s="74">
        <v>120</v>
      </c>
      <c r="F216" s="40"/>
      <c r="G216" s="76"/>
      <c r="H216" s="40"/>
      <c r="I216" s="76"/>
      <c r="J216" s="41"/>
      <c r="K216" s="78"/>
      <c r="L216" s="41"/>
      <c r="M216" s="78"/>
      <c r="N216" s="81" t="str">
        <f t="shared" si="22"/>
        <v/>
      </c>
      <c r="O216" s="82" t="str">
        <f t="shared" si="23"/>
        <v/>
      </c>
      <c r="P21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Row],[Score4]]&lt;&gt;""),IF(AND(N216&gt;O216,N216&gt;=11),"ROOD",IF(AND(O216&gt;=11,N216&lt;&gt;O216),"GROEN","")),"")</f>
        <v/>
      </c>
      <c r="Q216" s="86" t="str">
        <f t="shared" si="24"/>
        <v/>
      </c>
      <c r="R216" s="87" t="str">
        <f t="shared" si="25"/>
        <v/>
      </c>
      <c r="S216" s="147" t="str">
        <f>Tabel15[[#This Row],[Rood Verdediging]]&amp;Tabel15[[#This Row],[Rood Aanval]]</f>
        <v/>
      </c>
      <c r="T216" s="147" t="str">
        <f>Tabel15[[#This Row],[Groen Verdediging]]&amp;Tabel15[[#This Row],[Groen Aanval]]</f>
        <v/>
      </c>
      <c r="U216" s="147" t="str">
        <f>Tabel15[[#This Row],[Winnaar 1]]&amp;Tabel15[[#This Row],[Winnaar 2]]</f>
        <v/>
      </c>
      <c r="V216" s="147" t="str">
        <f>IF(Tabel15[[#This Row],[Team Rood]]=Tabel15[[#This Row],[Winnaars]],Tabel15[[#This Row],[Team Rood]])</f>
        <v/>
      </c>
      <c r="W216" s="147" t="str">
        <f>IF(Tabel15[[#This Row],[Team Groen]]=Tabel15[[#This Row],[Winnaars]],Tabel15[[#This Row],[Team Groen]])</f>
        <v/>
      </c>
      <c r="X216" s="283"/>
      <c r="Y216" s="283"/>
      <c r="Z216" s="283"/>
      <c r="AA216" s="283"/>
    </row>
    <row r="217" spans="1:27" x14ac:dyDescent="0.25">
      <c r="A217" s="125" t="str">
        <f ca="1">IF(Tabel15[[#This Row],[Rood Verdediging]]&lt;&gt;"",IF(A217="",NOW(),A217),"")</f>
        <v/>
      </c>
      <c r="B217" s="128" t="str">
        <f ca="1">IF(Tabel15[[#This Row],[Rood Verdediging]]&lt;&gt;"",IF(B217="",NOW(),B217),"")</f>
        <v/>
      </c>
      <c r="C217" s="126" t="str">
        <f ca="1">IF(Tabel15[[#This Row],[Score]]&lt;&gt;"",IF(C217="",NOW(),C217),"")</f>
        <v/>
      </c>
      <c r="D217" s="182" t="str">
        <f ca="1">IF(OR(Tabel15[[#This Row],[Starttijd]]="",Tabel15[[#This Row],[Eindtijd]]=""),"",Tabel15[[#This Row],[Eindtijd]]-Tabel15[[#This Row],[Starttijd]])</f>
        <v/>
      </c>
      <c r="E217" s="74">
        <v>120</v>
      </c>
      <c r="F217" s="40"/>
      <c r="G217" s="76"/>
      <c r="H217" s="40"/>
      <c r="I217" s="76"/>
      <c r="J217" s="41"/>
      <c r="K217" s="78"/>
      <c r="L217" s="41"/>
      <c r="M217" s="78"/>
      <c r="N217" s="81" t="str">
        <f t="shared" si="22"/>
        <v/>
      </c>
      <c r="O217" s="82" t="str">
        <f t="shared" si="23"/>
        <v/>
      </c>
      <c r="P21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Row],[Score4]]&lt;&gt;""),IF(AND(N217&gt;O217,N217&gt;=11),"ROOD",IF(AND(O217&gt;=11,N217&lt;&gt;O217),"GROEN","")),"")</f>
        <v/>
      </c>
      <c r="Q217" s="86" t="str">
        <f t="shared" si="24"/>
        <v/>
      </c>
      <c r="R217" s="87" t="str">
        <f t="shared" si="25"/>
        <v/>
      </c>
      <c r="S217" s="147" t="str">
        <f>Tabel15[[#This Row],[Rood Verdediging]]&amp;Tabel15[[#This Row],[Rood Aanval]]</f>
        <v/>
      </c>
      <c r="T217" s="147" t="str">
        <f>Tabel15[[#This Row],[Groen Verdediging]]&amp;Tabel15[[#This Row],[Groen Aanval]]</f>
        <v/>
      </c>
      <c r="U217" s="147" t="str">
        <f>Tabel15[[#This Row],[Winnaar 1]]&amp;Tabel15[[#This Row],[Winnaar 2]]</f>
        <v/>
      </c>
      <c r="V217" s="147" t="str">
        <f>IF(Tabel15[[#This Row],[Team Rood]]=Tabel15[[#This Row],[Winnaars]],Tabel15[[#This Row],[Team Rood]])</f>
        <v/>
      </c>
      <c r="W217" s="147" t="str">
        <f>IF(Tabel15[[#This Row],[Team Groen]]=Tabel15[[#This Row],[Winnaars]],Tabel15[[#This Row],[Team Groen]])</f>
        <v/>
      </c>
      <c r="X217" s="283"/>
      <c r="Y217" s="283"/>
      <c r="Z217" s="283"/>
      <c r="AA217" s="283"/>
    </row>
    <row r="218" spans="1:27" x14ac:dyDescent="0.25">
      <c r="A218" s="125" t="str">
        <f ca="1">IF(Tabel15[[#This Row],[Rood Verdediging]]&lt;&gt;"",IF(A218="",NOW(),A218),"")</f>
        <v/>
      </c>
      <c r="B218" s="128" t="str">
        <f ca="1">IF(Tabel15[[#This Row],[Rood Verdediging]]&lt;&gt;"",IF(B218="",NOW(),B218),"")</f>
        <v/>
      </c>
      <c r="C218" s="126" t="str">
        <f ca="1">IF(Tabel15[[#This Row],[Score]]&lt;&gt;"",IF(C218="",NOW(),C218),"")</f>
        <v/>
      </c>
      <c r="D218" s="182" t="str">
        <f ca="1">IF(OR(Tabel15[[#This Row],[Starttijd]]="",Tabel15[[#This Row],[Eindtijd]]=""),"",Tabel15[[#This Row],[Eindtijd]]-Tabel15[[#This Row],[Starttijd]])</f>
        <v/>
      </c>
      <c r="E218" s="74">
        <v>120</v>
      </c>
      <c r="F218" s="40"/>
      <c r="G218" s="76"/>
      <c r="H218" s="40"/>
      <c r="I218" s="76"/>
      <c r="J218" s="41"/>
      <c r="K218" s="78"/>
      <c r="L218" s="41"/>
      <c r="M218" s="78"/>
      <c r="N218" s="81" t="str">
        <f t="shared" si="22"/>
        <v/>
      </c>
      <c r="O218" s="82" t="str">
        <f t="shared" si="23"/>
        <v/>
      </c>
      <c r="P21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Row],[Score4]]&lt;&gt;""),IF(AND(N218&gt;O218,N218&gt;=11),"ROOD",IF(AND(O218&gt;=11,N218&lt;&gt;O218),"GROEN","")),"")</f>
        <v/>
      </c>
      <c r="Q218" s="86" t="str">
        <f t="shared" si="24"/>
        <v/>
      </c>
      <c r="R218" s="87" t="str">
        <f t="shared" si="25"/>
        <v/>
      </c>
      <c r="S218" s="147" t="str">
        <f>Tabel15[[#This Row],[Rood Verdediging]]&amp;Tabel15[[#This Row],[Rood Aanval]]</f>
        <v/>
      </c>
      <c r="T218" s="147" t="str">
        <f>Tabel15[[#This Row],[Groen Verdediging]]&amp;Tabel15[[#This Row],[Groen Aanval]]</f>
        <v/>
      </c>
      <c r="U218" s="147" t="str">
        <f>Tabel15[[#This Row],[Winnaar 1]]&amp;Tabel15[[#This Row],[Winnaar 2]]</f>
        <v/>
      </c>
      <c r="V218" s="147" t="str">
        <f>IF(Tabel15[[#This Row],[Team Rood]]=Tabel15[[#This Row],[Winnaars]],Tabel15[[#This Row],[Team Rood]])</f>
        <v/>
      </c>
      <c r="W218" s="147" t="str">
        <f>IF(Tabel15[[#This Row],[Team Groen]]=Tabel15[[#This Row],[Winnaars]],Tabel15[[#This Row],[Team Groen]])</f>
        <v/>
      </c>
      <c r="X218" s="283"/>
      <c r="Y218" s="283"/>
      <c r="Z218" s="283"/>
      <c r="AA218" s="283"/>
    </row>
    <row r="219" spans="1:27" x14ac:dyDescent="0.25">
      <c r="A219" s="125" t="str">
        <f ca="1">IF(Tabel15[[#This Row],[Rood Verdediging]]&lt;&gt;"",IF(A219="",NOW(),A219),"")</f>
        <v/>
      </c>
      <c r="B219" s="128" t="str">
        <f ca="1">IF(Tabel15[[#This Row],[Rood Verdediging]]&lt;&gt;"",IF(B219="",NOW(),B219),"")</f>
        <v/>
      </c>
      <c r="C219" s="126" t="str">
        <f ca="1">IF(Tabel15[[#This Row],[Score]]&lt;&gt;"",IF(C219="",NOW(),C219),"")</f>
        <v/>
      </c>
      <c r="D219" s="182" t="str">
        <f ca="1">IF(OR(Tabel15[[#This Row],[Starttijd]]="",Tabel15[[#This Row],[Eindtijd]]=""),"",Tabel15[[#This Row],[Eindtijd]]-Tabel15[[#This Row],[Starttijd]])</f>
        <v/>
      </c>
      <c r="E219" s="74">
        <v>120</v>
      </c>
      <c r="F219" s="40"/>
      <c r="G219" s="76"/>
      <c r="H219" s="40"/>
      <c r="I219" s="76"/>
      <c r="J219" s="41"/>
      <c r="K219" s="78"/>
      <c r="L219" s="41"/>
      <c r="M219" s="78"/>
      <c r="N219" s="81" t="str">
        <f t="shared" si="22"/>
        <v/>
      </c>
      <c r="O219" s="82" t="str">
        <f t="shared" si="23"/>
        <v/>
      </c>
      <c r="P21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Row],[Score4]]&lt;&gt;""),IF(AND(N219&gt;O219,N219&gt;=11),"ROOD",IF(AND(O219&gt;=11,N219&lt;&gt;O219),"GROEN","")),"")</f>
        <v/>
      </c>
      <c r="Q219" s="86" t="str">
        <f t="shared" si="24"/>
        <v/>
      </c>
      <c r="R219" s="87" t="str">
        <f t="shared" si="25"/>
        <v/>
      </c>
      <c r="S219" s="147" t="str">
        <f>Tabel15[[#This Row],[Rood Verdediging]]&amp;Tabel15[[#This Row],[Rood Aanval]]</f>
        <v/>
      </c>
      <c r="T219" s="147" t="str">
        <f>Tabel15[[#This Row],[Groen Verdediging]]&amp;Tabel15[[#This Row],[Groen Aanval]]</f>
        <v/>
      </c>
      <c r="U219" s="147" t="str">
        <f>Tabel15[[#This Row],[Winnaar 1]]&amp;Tabel15[[#This Row],[Winnaar 2]]</f>
        <v/>
      </c>
      <c r="V219" s="147" t="str">
        <f>IF(Tabel15[[#This Row],[Team Rood]]=Tabel15[[#This Row],[Winnaars]],Tabel15[[#This Row],[Team Rood]])</f>
        <v/>
      </c>
      <c r="W219" s="147" t="str">
        <f>IF(Tabel15[[#This Row],[Team Groen]]=Tabel15[[#This Row],[Winnaars]],Tabel15[[#This Row],[Team Groen]])</f>
        <v/>
      </c>
      <c r="X219" s="283"/>
      <c r="Y219" s="283"/>
      <c r="Z219" s="283"/>
      <c r="AA219" s="283"/>
    </row>
    <row r="220" spans="1:27" x14ac:dyDescent="0.25">
      <c r="A220" s="125" t="str">
        <f ca="1">IF(Tabel15[[#This Row],[Rood Verdediging]]&lt;&gt;"",IF(A220="",NOW(),A220),"")</f>
        <v/>
      </c>
      <c r="B220" s="128" t="str">
        <f ca="1">IF(Tabel15[[#This Row],[Rood Verdediging]]&lt;&gt;"",IF(B220="",NOW(),B220),"")</f>
        <v/>
      </c>
      <c r="C220" s="126" t="str">
        <f ca="1">IF(Tabel15[[#This Row],[Score]]&lt;&gt;"",IF(C220="",NOW(),C220),"")</f>
        <v/>
      </c>
      <c r="D220" s="182" t="str">
        <f ca="1">IF(OR(Tabel15[[#This Row],[Starttijd]]="",Tabel15[[#This Row],[Eindtijd]]=""),"",Tabel15[[#This Row],[Eindtijd]]-Tabel15[[#This Row],[Starttijd]])</f>
        <v/>
      </c>
      <c r="E220" s="74">
        <v>120</v>
      </c>
      <c r="F220" s="40"/>
      <c r="G220" s="76"/>
      <c r="H220" s="40"/>
      <c r="I220" s="76"/>
      <c r="J220" s="41"/>
      <c r="K220" s="78"/>
      <c r="L220" s="41"/>
      <c r="M220" s="78"/>
      <c r="N220" s="81" t="str">
        <f t="shared" si="22"/>
        <v/>
      </c>
      <c r="O220" s="82" t="str">
        <f t="shared" si="23"/>
        <v/>
      </c>
      <c r="P22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Row],[Score4]]&lt;&gt;""),IF(AND(N220&gt;O220,N220&gt;=11),"ROOD",IF(AND(O220&gt;=11,N220&lt;&gt;O220),"GROEN","")),"")</f>
        <v/>
      </c>
      <c r="Q220" s="86" t="str">
        <f t="shared" si="24"/>
        <v/>
      </c>
      <c r="R220" s="87" t="str">
        <f t="shared" si="25"/>
        <v/>
      </c>
      <c r="S220" s="147" t="str">
        <f>Tabel15[[#This Row],[Rood Verdediging]]&amp;Tabel15[[#This Row],[Rood Aanval]]</f>
        <v/>
      </c>
      <c r="T220" s="147" t="str">
        <f>Tabel15[[#This Row],[Groen Verdediging]]&amp;Tabel15[[#This Row],[Groen Aanval]]</f>
        <v/>
      </c>
      <c r="U220" s="147" t="str">
        <f>Tabel15[[#This Row],[Winnaar 1]]&amp;Tabel15[[#This Row],[Winnaar 2]]</f>
        <v/>
      </c>
      <c r="V220" s="147" t="str">
        <f>IF(Tabel15[[#This Row],[Team Rood]]=Tabel15[[#This Row],[Winnaars]],Tabel15[[#This Row],[Team Rood]])</f>
        <v/>
      </c>
      <c r="W220" s="147" t="str">
        <f>IF(Tabel15[[#This Row],[Team Groen]]=Tabel15[[#This Row],[Winnaars]],Tabel15[[#This Row],[Team Groen]])</f>
        <v/>
      </c>
      <c r="X220" s="283"/>
      <c r="Y220" s="283"/>
      <c r="Z220" s="283"/>
      <c r="AA220" s="283"/>
    </row>
    <row r="221" spans="1:27" x14ac:dyDescent="0.25">
      <c r="A221" s="125" t="str">
        <f ca="1">IF(Tabel15[[#This Row],[Rood Verdediging]]&lt;&gt;"",IF(A221="",NOW(),A221),"")</f>
        <v/>
      </c>
      <c r="B221" s="128" t="str">
        <f ca="1">IF(Tabel15[[#This Row],[Rood Verdediging]]&lt;&gt;"",IF(B221="",NOW(),B221),"")</f>
        <v/>
      </c>
      <c r="C221" s="126" t="str">
        <f ca="1">IF(Tabel15[[#This Row],[Score]]&lt;&gt;"",IF(C221="",NOW(),C221),"")</f>
        <v/>
      </c>
      <c r="D221" s="182" t="str">
        <f ca="1">IF(OR(Tabel15[[#This Row],[Starttijd]]="",Tabel15[[#This Row],[Eindtijd]]=""),"",Tabel15[[#This Row],[Eindtijd]]-Tabel15[[#This Row],[Starttijd]])</f>
        <v/>
      </c>
      <c r="E221" s="74">
        <v>120</v>
      </c>
      <c r="F221" s="40"/>
      <c r="G221" s="76"/>
      <c r="H221" s="40"/>
      <c r="I221" s="76"/>
      <c r="J221" s="41"/>
      <c r="K221" s="78"/>
      <c r="L221" s="41"/>
      <c r="M221" s="78"/>
      <c r="N221" s="81" t="str">
        <f t="shared" si="22"/>
        <v/>
      </c>
      <c r="O221" s="82" t="str">
        <f t="shared" si="23"/>
        <v/>
      </c>
      <c r="P22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Row],[Score4]]&lt;&gt;""),IF(AND(N221&gt;O221,N221&gt;=11),"ROOD",IF(AND(O221&gt;=11,N221&lt;&gt;O221),"GROEN","")),"")</f>
        <v/>
      </c>
      <c r="Q221" s="86" t="str">
        <f t="shared" si="24"/>
        <v/>
      </c>
      <c r="R221" s="87" t="str">
        <f t="shared" si="25"/>
        <v/>
      </c>
      <c r="S221" s="147" t="str">
        <f>Tabel15[[#This Row],[Rood Verdediging]]&amp;Tabel15[[#This Row],[Rood Aanval]]</f>
        <v/>
      </c>
      <c r="T221" s="147" t="str">
        <f>Tabel15[[#This Row],[Groen Verdediging]]&amp;Tabel15[[#This Row],[Groen Aanval]]</f>
        <v/>
      </c>
      <c r="U221" s="147" t="str">
        <f>Tabel15[[#This Row],[Winnaar 1]]&amp;Tabel15[[#This Row],[Winnaar 2]]</f>
        <v/>
      </c>
      <c r="V221" s="147" t="str">
        <f>IF(Tabel15[[#This Row],[Team Rood]]=Tabel15[[#This Row],[Winnaars]],Tabel15[[#This Row],[Team Rood]])</f>
        <v/>
      </c>
      <c r="W221" s="147" t="str">
        <f>IF(Tabel15[[#This Row],[Team Groen]]=Tabel15[[#This Row],[Winnaars]],Tabel15[[#This Row],[Team Groen]])</f>
        <v/>
      </c>
      <c r="X221" s="283"/>
      <c r="Y221" s="283"/>
      <c r="Z221" s="283"/>
      <c r="AA221" s="283"/>
    </row>
    <row r="222" spans="1:27" x14ac:dyDescent="0.25">
      <c r="A222" s="125" t="str">
        <f ca="1">IF(Tabel15[[#This Row],[Rood Verdediging]]&lt;&gt;"",IF(A222="",NOW(),A222),"")</f>
        <v/>
      </c>
      <c r="B222" s="128" t="str">
        <f ca="1">IF(Tabel15[[#This Row],[Rood Verdediging]]&lt;&gt;"",IF(B222="",NOW(),B222),"")</f>
        <v/>
      </c>
      <c r="C222" s="126" t="str">
        <f ca="1">IF(Tabel15[[#This Row],[Score]]&lt;&gt;"",IF(C222="",NOW(),C222),"")</f>
        <v/>
      </c>
      <c r="D222" s="182" t="str">
        <f ca="1">IF(OR(Tabel15[[#This Row],[Starttijd]]="",Tabel15[[#This Row],[Eindtijd]]=""),"",Tabel15[[#This Row],[Eindtijd]]-Tabel15[[#This Row],[Starttijd]])</f>
        <v/>
      </c>
      <c r="E222" s="74">
        <v>120</v>
      </c>
      <c r="F222" s="40"/>
      <c r="G222" s="76"/>
      <c r="H222" s="40"/>
      <c r="I222" s="76"/>
      <c r="J222" s="41"/>
      <c r="K222" s="78"/>
      <c r="L222" s="41"/>
      <c r="M222" s="78"/>
      <c r="N222" s="81" t="str">
        <f t="shared" si="22"/>
        <v/>
      </c>
      <c r="O222" s="82" t="str">
        <f t="shared" si="23"/>
        <v/>
      </c>
      <c r="P22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Row],[Score4]]&lt;&gt;""),IF(AND(N222&gt;O222,N222&gt;=11),"ROOD",IF(AND(O222&gt;=11,N222&lt;&gt;O222),"GROEN","")),"")</f>
        <v/>
      </c>
      <c r="Q222" s="86" t="str">
        <f t="shared" si="24"/>
        <v/>
      </c>
      <c r="R222" s="87" t="str">
        <f t="shared" si="25"/>
        <v/>
      </c>
      <c r="S222" s="147" t="str">
        <f>Tabel15[[#This Row],[Rood Verdediging]]&amp;Tabel15[[#This Row],[Rood Aanval]]</f>
        <v/>
      </c>
      <c r="T222" s="147" t="str">
        <f>Tabel15[[#This Row],[Groen Verdediging]]&amp;Tabel15[[#This Row],[Groen Aanval]]</f>
        <v/>
      </c>
      <c r="U222" s="147" t="str">
        <f>Tabel15[[#This Row],[Winnaar 1]]&amp;Tabel15[[#This Row],[Winnaar 2]]</f>
        <v/>
      </c>
      <c r="V222" s="147" t="str">
        <f>IF(Tabel15[[#This Row],[Team Rood]]=Tabel15[[#This Row],[Winnaars]],Tabel15[[#This Row],[Team Rood]])</f>
        <v/>
      </c>
      <c r="W222" s="147" t="str">
        <f>IF(Tabel15[[#This Row],[Team Groen]]=Tabel15[[#This Row],[Winnaars]],Tabel15[[#This Row],[Team Groen]])</f>
        <v/>
      </c>
      <c r="X222" s="283"/>
      <c r="Y222" s="283"/>
      <c r="Z222" s="283"/>
      <c r="AA222" s="283"/>
    </row>
    <row r="223" spans="1:27" x14ac:dyDescent="0.25">
      <c r="A223" s="125" t="str">
        <f ca="1">IF(Tabel15[[#This Row],[Rood Verdediging]]&lt;&gt;"",IF(A223="",NOW(),A223),"")</f>
        <v/>
      </c>
      <c r="B223" s="128" t="str">
        <f ca="1">IF(Tabel15[[#This Row],[Rood Verdediging]]&lt;&gt;"",IF(B223="",NOW(),B223),"")</f>
        <v/>
      </c>
      <c r="C223" s="126" t="str">
        <f ca="1">IF(Tabel15[[#This Row],[Score]]&lt;&gt;"",IF(C223="",NOW(),C223),"")</f>
        <v/>
      </c>
      <c r="D223" s="182" t="str">
        <f ca="1">IF(OR(Tabel15[[#This Row],[Starttijd]]="",Tabel15[[#This Row],[Eindtijd]]=""),"",Tabel15[[#This Row],[Eindtijd]]-Tabel15[[#This Row],[Starttijd]])</f>
        <v/>
      </c>
      <c r="E223" s="74">
        <v>120</v>
      </c>
      <c r="F223" s="40"/>
      <c r="G223" s="76"/>
      <c r="H223" s="40"/>
      <c r="I223" s="76"/>
      <c r="J223" s="41"/>
      <c r="K223" s="78"/>
      <c r="L223" s="41"/>
      <c r="M223" s="78"/>
      <c r="N223" s="81" t="str">
        <f t="shared" si="22"/>
        <v/>
      </c>
      <c r="O223" s="82" t="str">
        <f t="shared" si="23"/>
        <v/>
      </c>
      <c r="P22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Row],[Score4]]&lt;&gt;""),IF(AND(N223&gt;O223,N223&gt;=11),"ROOD",IF(AND(O223&gt;=11,N223&lt;&gt;O223),"GROEN","")),"")</f>
        <v/>
      </c>
      <c r="Q223" s="86" t="str">
        <f t="shared" si="24"/>
        <v/>
      </c>
      <c r="R223" s="87" t="str">
        <f t="shared" si="25"/>
        <v/>
      </c>
      <c r="S223" s="147" t="str">
        <f>Tabel15[[#This Row],[Rood Verdediging]]&amp;Tabel15[[#This Row],[Rood Aanval]]</f>
        <v/>
      </c>
      <c r="T223" s="147" t="str">
        <f>Tabel15[[#This Row],[Groen Verdediging]]&amp;Tabel15[[#This Row],[Groen Aanval]]</f>
        <v/>
      </c>
      <c r="U223" s="147" t="str">
        <f>Tabel15[[#This Row],[Winnaar 1]]&amp;Tabel15[[#This Row],[Winnaar 2]]</f>
        <v/>
      </c>
      <c r="V223" s="147" t="str">
        <f>IF(Tabel15[[#This Row],[Team Rood]]=Tabel15[[#This Row],[Winnaars]],Tabel15[[#This Row],[Team Rood]])</f>
        <v/>
      </c>
      <c r="W223" s="147" t="str">
        <f>IF(Tabel15[[#This Row],[Team Groen]]=Tabel15[[#This Row],[Winnaars]],Tabel15[[#This Row],[Team Groen]])</f>
        <v/>
      </c>
      <c r="X223" s="283"/>
      <c r="Y223" s="283"/>
      <c r="Z223" s="283"/>
      <c r="AA223" s="283"/>
    </row>
    <row r="224" spans="1:27" x14ac:dyDescent="0.25">
      <c r="A224" s="125" t="str">
        <f ca="1">IF(Tabel15[[#This Row],[Rood Verdediging]]&lt;&gt;"",IF(A224="",NOW(),A224),"")</f>
        <v/>
      </c>
      <c r="B224" s="128" t="str">
        <f ca="1">IF(Tabel15[[#This Row],[Rood Verdediging]]&lt;&gt;"",IF(B224="",NOW(),B224),"")</f>
        <v/>
      </c>
      <c r="C224" s="126" t="str">
        <f ca="1">IF(Tabel15[[#This Row],[Score]]&lt;&gt;"",IF(C224="",NOW(),C224),"")</f>
        <v/>
      </c>
      <c r="D224" s="182" t="str">
        <f ca="1">IF(OR(Tabel15[[#This Row],[Starttijd]]="",Tabel15[[#This Row],[Eindtijd]]=""),"",Tabel15[[#This Row],[Eindtijd]]-Tabel15[[#This Row],[Starttijd]])</f>
        <v/>
      </c>
      <c r="E224" s="74">
        <v>120</v>
      </c>
      <c r="F224" s="40"/>
      <c r="G224" s="76"/>
      <c r="H224" s="40"/>
      <c r="I224" s="76"/>
      <c r="J224" s="41"/>
      <c r="K224" s="78"/>
      <c r="L224" s="41"/>
      <c r="M224" s="78"/>
      <c r="N224" s="81" t="str">
        <f t="shared" si="22"/>
        <v/>
      </c>
      <c r="O224" s="82" t="str">
        <f t="shared" si="23"/>
        <v/>
      </c>
      <c r="P22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Row],[Score4]]&lt;&gt;""),IF(AND(N224&gt;O224,N224&gt;=11),"ROOD",IF(AND(O224&gt;=11,N224&lt;&gt;O224),"GROEN","")),"")</f>
        <v/>
      </c>
      <c r="Q224" s="86" t="str">
        <f t="shared" si="24"/>
        <v/>
      </c>
      <c r="R224" s="87" t="str">
        <f t="shared" si="25"/>
        <v/>
      </c>
      <c r="S224" s="147" t="str">
        <f>Tabel15[[#This Row],[Rood Verdediging]]&amp;Tabel15[[#This Row],[Rood Aanval]]</f>
        <v/>
      </c>
      <c r="T224" s="147" t="str">
        <f>Tabel15[[#This Row],[Groen Verdediging]]&amp;Tabel15[[#This Row],[Groen Aanval]]</f>
        <v/>
      </c>
      <c r="U224" s="147" t="str">
        <f>Tabel15[[#This Row],[Winnaar 1]]&amp;Tabel15[[#This Row],[Winnaar 2]]</f>
        <v/>
      </c>
      <c r="V224" s="147" t="str">
        <f>IF(Tabel15[[#This Row],[Team Rood]]=Tabel15[[#This Row],[Winnaars]],Tabel15[[#This Row],[Team Rood]])</f>
        <v/>
      </c>
      <c r="W224" s="147" t="str">
        <f>IF(Tabel15[[#This Row],[Team Groen]]=Tabel15[[#This Row],[Winnaars]],Tabel15[[#This Row],[Team Groen]])</f>
        <v/>
      </c>
      <c r="X224" s="283"/>
      <c r="Y224" s="283"/>
      <c r="Z224" s="283"/>
      <c r="AA224" s="283"/>
    </row>
    <row r="225" spans="1:27" x14ac:dyDescent="0.25">
      <c r="A225" s="125" t="str">
        <f ca="1">IF(Tabel15[[#This Row],[Rood Verdediging]]&lt;&gt;"",IF(A225="",NOW(),A225),"")</f>
        <v/>
      </c>
      <c r="B225" s="128" t="str">
        <f ca="1">IF(Tabel15[[#This Row],[Rood Verdediging]]&lt;&gt;"",IF(B225="",NOW(),B225),"")</f>
        <v/>
      </c>
      <c r="C225" s="126" t="str">
        <f ca="1">IF(Tabel15[[#This Row],[Score]]&lt;&gt;"",IF(C225="",NOW(),C225),"")</f>
        <v/>
      </c>
      <c r="D225" s="182" t="str">
        <f ca="1">IF(OR(Tabel15[[#This Row],[Starttijd]]="",Tabel15[[#This Row],[Eindtijd]]=""),"",Tabel15[[#This Row],[Eindtijd]]-Tabel15[[#This Row],[Starttijd]])</f>
        <v/>
      </c>
      <c r="E225" s="74">
        <v>120</v>
      </c>
      <c r="F225" s="40"/>
      <c r="G225" s="76"/>
      <c r="H225" s="40"/>
      <c r="I225" s="76"/>
      <c r="J225" s="41"/>
      <c r="K225" s="78"/>
      <c r="L225" s="41"/>
      <c r="M225" s="78"/>
      <c r="N225" s="81" t="str">
        <f t="shared" si="22"/>
        <v/>
      </c>
      <c r="O225" s="82" t="str">
        <f t="shared" si="23"/>
        <v/>
      </c>
      <c r="P22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Row],[Score4]]&lt;&gt;""),IF(AND(N225&gt;O225,N225&gt;=11),"ROOD",IF(AND(O225&gt;=11,N225&lt;&gt;O225),"GROEN","")),"")</f>
        <v/>
      </c>
      <c r="Q225" s="86" t="str">
        <f t="shared" si="24"/>
        <v/>
      </c>
      <c r="R225" s="87" t="str">
        <f t="shared" si="25"/>
        <v/>
      </c>
      <c r="S225" s="147" t="str">
        <f>Tabel15[[#This Row],[Rood Verdediging]]&amp;Tabel15[[#This Row],[Rood Aanval]]</f>
        <v/>
      </c>
      <c r="T225" s="147" t="str">
        <f>Tabel15[[#This Row],[Groen Verdediging]]&amp;Tabel15[[#This Row],[Groen Aanval]]</f>
        <v/>
      </c>
      <c r="U225" s="147" t="str">
        <f>Tabel15[[#This Row],[Winnaar 1]]&amp;Tabel15[[#This Row],[Winnaar 2]]</f>
        <v/>
      </c>
      <c r="V225" s="147" t="str">
        <f>IF(Tabel15[[#This Row],[Team Rood]]=Tabel15[[#This Row],[Winnaars]],Tabel15[[#This Row],[Team Rood]])</f>
        <v/>
      </c>
      <c r="W225" s="147" t="str">
        <f>IF(Tabel15[[#This Row],[Team Groen]]=Tabel15[[#This Row],[Winnaars]],Tabel15[[#This Row],[Team Groen]])</f>
        <v/>
      </c>
      <c r="X225" s="283"/>
      <c r="Y225" s="283"/>
      <c r="Z225" s="283"/>
      <c r="AA225" s="283"/>
    </row>
    <row r="226" spans="1:27" x14ac:dyDescent="0.25">
      <c r="A226" s="125" t="str">
        <f ca="1">IF(Tabel15[[#This Row],[Rood Verdediging]]&lt;&gt;"",IF(A226="",NOW(),A226),"")</f>
        <v/>
      </c>
      <c r="B226" s="128" t="str">
        <f ca="1">IF(Tabel15[[#This Row],[Rood Verdediging]]&lt;&gt;"",IF(B226="",NOW(),B226),"")</f>
        <v/>
      </c>
      <c r="C226" s="126" t="str">
        <f ca="1">IF(Tabel15[[#This Row],[Score]]&lt;&gt;"",IF(C226="",NOW(),C226),"")</f>
        <v/>
      </c>
      <c r="D226" s="182" t="str">
        <f ca="1">IF(OR(Tabel15[[#This Row],[Starttijd]]="",Tabel15[[#This Row],[Eindtijd]]=""),"",Tabel15[[#This Row],[Eindtijd]]-Tabel15[[#This Row],[Starttijd]])</f>
        <v/>
      </c>
      <c r="E226" s="74">
        <v>120</v>
      </c>
      <c r="F226" s="40"/>
      <c r="G226" s="76"/>
      <c r="H226" s="40"/>
      <c r="I226" s="76"/>
      <c r="J226" s="41"/>
      <c r="K226" s="78"/>
      <c r="L226" s="41"/>
      <c r="M226" s="78"/>
      <c r="N226" s="81" t="str">
        <f t="shared" si="22"/>
        <v/>
      </c>
      <c r="O226" s="82" t="str">
        <f t="shared" si="23"/>
        <v/>
      </c>
      <c r="P22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Row],[Score4]]&lt;&gt;""),IF(AND(N226&gt;O226,N226&gt;=11),"ROOD",IF(AND(O226&gt;=11,N226&lt;&gt;O226),"GROEN","")),"")</f>
        <v/>
      </c>
      <c r="Q226" s="86" t="str">
        <f t="shared" si="24"/>
        <v/>
      </c>
      <c r="R226" s="87" t="str">
        <f t="shared" si="25"/>
        <v/>
      </c>
      <c r="S226" s="147" t="str">
        <f>Tabel15[[#This Row],[Rood Verdediging]]&amp;Tabel15[[#This Row],[Rood Aanval]]</f>
        <v/>
      </c>
      <c r="T226" s="147" t="str">
        <f>Tabel15[[#This Row],[Groen Verdediging]]&amp;Tabel15[[#This Row],[Groen Aanval]]</f>
        <v/>
      </c>
      <c r="U226" s="147" t="str">
        <f>Tabel15[[#This Row],[Winnaar 1]]&amp;Tabel15[[#This Row],[Winnaar 2]]</f>
        <v/>
      </c>
      <c r="V226" s="147" t="str">
        <f>IF(Tabel15[[#This Row],[Team Rood]]=Tabel15[[#This Row],[Winnaars]],Tabel15[[#This Row],[Team Rood]])</f>
        <v/>
      </c>
      <c r="W226" s="147" t="str">
        <f>IF(Tabel15[[#This Row],[Team Groen]]=Tabel15[[#This Row],[Winnaars]],Tabel15[[#This Row],[Team Groen]])</f>
        <v/>
      </c>
      <c r="X226" s="283"/>
      <c r="Y226" s="283"/>
      <c r="Z226" s="283"/>
      <c r="AA226" s="283"/>
    </row>
    <row r="227" spans="1:27" x14ac:dyDescent="0.25">
      <c r="A227" s="125" t="str">
        <f ca="1">IF(Tabel15[[#This Row],[Rood Verdediging]]&lt;&gt;"",IF(A227="",NOW(),A227),"")</f>
        <v/>
      </c>
      <c r="B227" s="128" t="str">
        <f ca="1">IF(Tabel15[[#This Row],[Rood Verdediging]]&lt;&gt;"",IF(B227="",NOW(),B227),"")</f>
        <v/>
      </c>
      <c r="C227" s="126" t="str">
        <f ca="1">IF(Tabel15[[#This Row],[Score]]&lt;&gt;"",IF(C227="",NOW(),C227),"")</f>
        <v/>
      </c>
      <c r="D227" s="182" t="str">
        <f ca="1">IF(OR(Tabel15[[#This Row],[Starttijd]]="",Tabel15[[#This Row],[Eindtijd]]=""),"",Tabel15[[#This Row],[Eindtijd]]-Tabel15[[#This Row],[Starttijd]])</f>
        <v/>
      </c>
      <c r="E227" s="74">
        <v>120</v>
      </c>
      <c r="F227" s="40"/>
      <c r="G227" s="76"/>
      <c r="H227" s="40"/>
      <c r="I227" s="76"/>
      <c r="J227" s="41"/>
      <c r="K227" s="78"/>
      <c r="L227" s="41"/>
      <c r="M227" s="78"/>
      <c r="N227" s="81" t="str">
        <f t="shared" si="22"/>
        <v/>
      </c>
      <c r="O227" s="82" t="str">
        <f t="shared" si="23"/>
        <v/>
      </c>
      <c r="P22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Row],[Score4]]&lt;&gt;""),IF(AND(N227&gt;O227,N227&gt;=11),"ROOD",IF(AND(O227&gt;=11,N227&lt;&gt;O227),"GROEN","")),"")</f>
        <v/>
      </c>
      <c r="Q227" s="86" t="str">
        <f t="shared" si="24"/>
        <v/>
      </c>
      <c r="R227" s="87" t="str">
        <f t="shared" si="25"/>
        <v/>
      </c>
      <c r="S227" s="147" t="str">
        <f>Tabel15[[#This Row],[Rood Verdediging]]&amp;Tabel15[[#This Row],[Rood Aanval]]</f>
        <v/>
      </c>
      <c r="T227" s="147" t="str">
        <f>Tabel15[[#This Row],[Groen Verdediging]]&amp;Tabel15[[#This Row],[Groen Aanval]]</f>
        <v/>
      </c>
      <c r="U227" s="147" t="str">
        <f>Tabel15[[#This Row],[Winnaar 1]]&amp;Tabel15[[#This Row],[Winnaar 2]]</f>
        <v/>
      </c>
      <c r="V227" s="147" t="str">
        <f>IF(Tabel15[[#This Row],[Team Rood]]=Tabel15[[#This Row],[Winnaars]],Tabel15[[#This Row],[Team Rood]])</f>
        <v/>
      </c>
      <c r="W227" s="147" t="str">
        <f>IF(Tabel15[[#This Row],[Team Groen]]=Tabel15[[#This Row],[Winnaars]],Tabel15[[#This Row],[Team Groen]])</f>
        <v/>
      </c>
      <c r="X227" s="283"/>
      <c r="Y227" s="283"/>
      <c r="Z227" s="283"/>
      <c r="AA227" s="283"/>
    </row>
    <row r="228" spans="1:27" x14ac:dyDescent="0.25">
      <c r="A228" s="125" t="str">
        <f ca="1">IF(Tabel15[[#This Row],[Rood Verdediging]]&lt;&gt;"",IF(A228="",NOW(),A228),"")</f>
        <v/>
      </c>
      <c r="B228" s="128" t="str">
        <f ca="1">IF(Tabel15[[#This Row],[Rood Verdediging]]&lt;&gt;"",IF(B228="",NOW(),B228),"")</f>
        <v/>
      </c>
      <c r="C228" s="126" t="str">
        <f ca="1">IF(Tabel15[[#This Row],[Score]]&lt;&gt;"",IF(C228="",NOW(),C228),"")</f>
        <v/>
      </c>
      <c r="D228" s="182" t="str">
        <f ca="1">IF(OR(Tabel15[[#This Row],[Starttijd]]="",Tabel15[[#This Row],[Eindtijd]]=""),"",Tabel15[[#This Row],[Eindtijd]]-Tabel15[[#This Row],[Starttijd]])</f>
        <v/>
      </c>
      <c r="E228" s="74">
        <v>120</v>
      </c>
      <c r="F228" s="40"/>
      <c r="G228" s="76"/>
      <c r="H228" s="40"/>
      <c r="I228" s="76"/>
      <c r="J228" s="41"/>
      <c r="K228" s="78"/>
      <c r="L228" s="41"/>
      <c r="M228" s="78"/>
      <c r="N228" s="81" t="str">
        <f t="shared" si="22"/>
        <v/>
      </c>
      <c r="O228" s="82" t="str">
        <f t="shared" si="23"/>
        <v/>
      </c>
      <c r="P22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Row],[Score4]]&lt;&gt;""),IF(AND(N228&gt;O228,N228&gt;=11),"ROOD",IF(AND(O228&gt;=11,N228&lt;&gt;O228),"GROEN","")),"")</f>
        <v/>
      </c>
      <c r="Q228" s="86" t="str">
        <f t="shared" si="24"/>
        <v/>
      </c>
      <c r="R228" s="87" t="str">
        <f t="shared" si="25"/>
        <v/>
      </c>
      <c r="S228" s="147" t="str">
        <f>Tabel15[[#This Row],[Rood Verdediging]]&amp;Tabel15[[#This Row],[Rood Aanval]]</f>
        <v/>
      </c>
      <c r="T228" s="147" t="str">
        <f>Tabel15[[#This Row],[Groen Verdediging]]&amp;Tabel15[[#This Row],[Groen Aanval]]</f>
        <v/>
      </c>
      <c r="U228" s="147" t="str">
        <f>Tabel15[[#This Row],[Winnaar 1]]&amp;Tabel15[[#This Row],[Winnaar 2]]</f>
        <v/>
      </c>
      <c r="V228" s="147" t="str">
        <f>IF(Tabel15[[#This Row],[Team Rood]]=Tabel15[[#This Row],[Winnaars]],Tabel15[[#This Row],[Team Rood]])</f>
        <v/>
      </c>
      <c r="W228" s="147" t="str">
        <f>IF(Tabel15[[#This Row],[Team Groen]]=Tabel15[[#This Row],[Winnaars]],Tabel15[[#This Row],[Team Groen]])</f>
        <v/>
      </c>
      <c r="X228" s="283"/>
      <c r="Y228" s="283"/>
      <c r="Z228" s="283"/>
      <c r="AA228" s="283"/>
    </row>
    <row r="229" spans="1:27" x14ac:dyDescent="0.25">
      <c r="A229" s="125" t="str">
        <f ca="1">IF(Tabel15[[#This Row],[Rood Verdediging]]&lt;&gt;"",IF(A229="",NOW(),A229),"")</f>
        <v/>
      </c>
      <c r="B229" s="128" t="str">
        <f ca="1">IF(Tabel15[[#This Row],[Rood Verdediging]]&lt;&gt;"",IF(B229="",NOW(),B229),"")</f>
        <v/>
      </c>
      <c r="C229" s="126" t="str">
        <f ca="1">IF(Tabel15[[#This Row],[Score]]&lt;&gt;"",IF(C229="",NOW(),C229),"")</f>
        <v/>
      </c>
      <c r="D229" s="182" t="str">
        <f ca="1">IF(OR(Tabel15[[#This Row],[Starttijd]]="",Tabel15[[#This Row],[Eindtijd]]=""),"",Tabel15[[#This Row],[Eindtijd]]-Tabel15[[#This Row],[Starttijd]])</f>
        <v/>
      </c>
      <c r="E229" s="74">
        <v>120</v>
      </c>
      <c r="F229" s="40"/>
      <c r="G229" s="76"/>
      <c r="H229" s="40"/>
      <c r="I229" s="76"/>
      <c r="J229" s="41"/>
      <c r="K229" s="78"/>
      <c r="L229" s="41"/>
      <c r="M229" s="78"/>
      <c r="N229" s="81" t="str">
        <f t="shared" si="22"/>
        <v/>
      </c>
      <c r="O229" s="82" t="str">
        <f t="shared" si="23"/>
        <v/>
      </c>
      <c r="P22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Row],[Score4]]&lt;&gt;""),IF(AND(N229&gt;O229,N229&gt;=11),"ROOD",IF(AND(O229&gt;=11,N229&lt;&gt;O229),"GROEN","")),"")</f>
        <v/>
      </c>
      <c r="Q229" s="86" t="str">
        <f t="shared" si="24"/>
        <v/>
      </c>
      <c r="R229" s="87" t="str">
        <f t="shared" si="25"/>
        <v/>
      </c>
      <c r="S229" s="147" t="str">
        <f>Tabel15[[#This Row],[Rood Verdediging]]&amp;Tabel15[[#This Row],[Rood Aanval]]</f>
        <v/>
      </c>
      <c r="T229" s="147" t="str">
        <f>Tabel15[[#This Row],[Groen Verdediging]]&amp;Tabel15[[#This Row],[Groen Aanval]]</f>
        <v/>
      </c>
      <c r="U229" s="147" t="str">
        <f>Tabel15[[#This Row],[Winnaar 1]]&amp;Tabel15[[#This Row],[Winnaar 2]]</f>
        <v/>
      </c>
      <c r="V229" s="147" t="str">
        <f>IF(Tabel15[[#This Row],[Team Rood]]=Tabel15[[#This Row],[Winnaars]],Tabel15[[#This Row],[Team Rood]])</f>
        <v/>
      </c>
      <c r="W229" s="147" t="str">
        <f>IF(Tabel15[[#This Row],[Team Groen]]=Tabel15[[#This Row],[Winnaars]],Tabel15[[#This Row],[Team Groen]])</f>
        <v/>
      </c>
      <c r="X229" s="283"/>
      <c r="Y229" s="283"/>
      <c r="Z229" s="283"/>
      <c r="AA229" s="283"/>
    </row>
    <row r="230" spans="1:27" x14ac:dyDescent="0.25">
      <c r="A230" s="125" t="str">
        <f ca="1">IF(Tabel15[[#This Row],[Rood Verdediging]]&lt;&gt;"",IF(A230="",NOW(),A230),"")</f>
        <v/>
      </c>
      <c r="B230" s="128" t="str">
        <f ca="1">IF(Tabel15[[#This Row],[Rood Verdediging]]&lt;&gt;"",IF(B230="",NOW(),B230),"")</f>
        <v/>
      </c>
      <c r="C230" s="126" t="str">
        <f ca="1">IF(Tabel15[[#This Row],[Score]]&lt;&gt;"",IF(C230="",NOW(),C230),"")</f>
        <v/>
      </c>
      <c r="D230" s="182" t="str">
        <f ca="1">IF(OR(Tabel15[[#This Row],[Starttijd]]="",Tabel15[[#This Row],[Eindtijd]]=""),"",Tabel15[[#This Row],[Eindtijd]]-Tabel15[[#This Row],[Starttijd]])</f>
        <v/>
      </c>
      <c r="E230" s="74">
        <v>120</v>
      </c>
      <c r="F230" s="40"/>
      <c r="G230" s="76"/>
      <c r="H230" s="40"/>
      <c r="I230" s="76"/>
      <c r="J230" s="41"/>
      <c r="K230" s="78"/>
      <c r="L230" s="41"/>
      <c r="M230" s="78"/>
      <c r="N230" s="81" t="str">
        <f t="shared" si="22"/>
        <v/>
      </c>
      <c r="O230" s="82" t="str">
        <f t="shared" si="23"/>
        <v/>
      </c>
      <c r="P23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Row],[Score4]]&lt;&gt;""),IF(AND(N230&gt;O230,N230&gt;=11),"ROOD",IF(AND(O230&gt;=11,N230&lt;&gt;O230),"GROEN","")),"")</f>
        <v/>
      </c>
      <c r="Q230" s="86" t="str">
        <f t="shared" si="24"/>
        <v/>
      </c>
      <c r="R230" s="87" t="str">
        <f t="shared" si="25"/>
        <v/>
      </c>
      <c r="S230" s="147" t="str">
        <f>Tabel15[[#This Row],[Rood Verdediging]]&amp;Tabel15[[#This Row],[Rood Aanval]]</f>
        <v/>
      </c>
      <c r="T230" s="147" t="str">
        <f>Tabel15[[#This Row],[Groen Verdediging]]&amp;Tabel15[[#This Row],[Groen Aanval]]</f>
        <v/>
      </c>
      <c r="U230" s="147" t="str">
        <f>Tabel15[[#This Row],[Winnaar 1]]&amp;Tabel15[[#This Row],[Winnaar 2]]</f>
        <v/>
      </c>
      <c r="V230" s="147" t="str">
        <f>IF(Tabel15[[#This Row],[Team Rood]]=Tabel15[[#This Row],[Winnaars]],Tabel15[[#This Row],[Team Rood]])</f>
        <v/>
      </c>
      <c r="W230" s="147" t="str">
        <f>IF(Tabel15[[#This Row],[Team Groen]]=Tabel15[[#This Row],[Winnaars]],Tabel15[[#This Row],[Team Groen]])</f>
        <v/>
      </c>
      <c r="X230" s="283"/>
      <c r="Y230" s="283"/>
      <c r="Z230" s="283"/>
      <c r="AA230" s="283"/>
    </row>
    <row r="231" spans="1:27" x14ac:dyDescent="0.25">
      <c r="A231" s="125" t="str">
        <f ca="1">IF(Tabel15[[#This Row],[Rood Verdediging]]&lt;&gt;"",IF(A231="",NOW(),A231),"")</f>
        <v/>
      </c>
      <c r="B231" s="128" t="str">
        <f ca="1">IF(Tabel15[[#This Row],[Rood Verdediging]]&lt;&gt;"",IF(B231="",NOW(),B231),"")</f>
        <v/>
      </c>
      <c r="C231" s="126" t="str">
        <f ca="1">IF(Tabel15[[#This Row],[Score]]&lt;&gt;"",IF(C231="",NOW(),C231),"")</f>
        <v/>
      </c>
      <c r="D231" s="182" t="str">
        <f ca="1">IF(OR(Tabel15[[#This Row],[Starttijd]]="",Tabel15[[#This Row],[Eindtijd]]=""),"",Tabel15[[#This Row],[Eindtijd]]-Tabel15[[#This Row],[Starttijd]])</f>
        <v/>
      </c>
      <c r="E231" s="74">
        <v>120</v>
      </c>
      <c r="F231" s="40"/>
      <c r="G231" s="76"/>
      <c r="H231" s="40"/>
      <c r="I231" s="76"/>
      <c r="J231" s="41"/>
      <c r="K231" s="78"/>
      <c r="L231" s="41"/>
      <c r="M231" s="78"/>
      <c r="N231" s="81" t="str">
        <f t="shared" si="22"/>
        <v/>
      </c>
      <c r="O231" s="82" t="str">
        <f t="shared" si="23"/>
        <v/>
      </c>
      <c r="P23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Row],[Score4]]&lt;&gt;""),IF(AND(N231&gt;O231,N231&gt;=11),"ROOD",IF(AND(O231&gt;=11,N231&lt;&gt;O231),"GROEN","")),"")</f>
        <v/>
      </c>
      <c r="Q231" s="86" t="str">
        <f t="shared" si="24"/>
        <v/>
      </c>
      <c r="R231" s="87" t="str">
        <f t="shared" si="25"/>
        <v/>
      </c>
      <c r="S231" s="147" t="str">
        <f>Tabel15[[#This Row],[Rood Verdediging]]&amp;Tabel15[[#This Row],[Rood Aanval]]</f>
        <v/>
      </c>
      <c r="T231" s="147" t="str">
        <f>Tabel15[[#This Row],[Groen Verdediging]]&amp;Tabel15[[#This Row],[Groen Aanval]]</f>
        <v/>
      </c>
      <c r="U231" s="147" t="str">
        <f>Tabel15[[#This Row],[Winnaar 1]]&amp;Tabel15[[#This Row],[Winnaar 2]]</f>
        <v/>
      </c>
      <c r="V231" s="147" t="str">
        <f>IF(Tabel15[[#This Row],[Team Rood]]=Tabel15[[#This Row],[Winnaars]],Tabel15[[#This Row],[Team Rood]])</f>
        <v/>
      </c>
      <c r="W231" s="147" t="str">
        <f>IF(Tabel15[[#This Row],[Team Groen]]=Tabel15[[#This Row],[Winnaars]],Tabel15[[#This Row],[Team Groen]])</f>
        <v/>
      </c>
      <c r="X231" s="283"/>
      <c r="Y231" s="283"/>
      <c r="Z231" s="283"/>
      <c r="AA231" s="283"/>
    </row>
    <row r="232" spans="1:27" x14ac:dyDescent="0.25">
      <c r="A232" s="125" t="str">
        <f ca="1">IF(Tabel15[[#This Row],[Rood Verdediging]]&lt;&gt;"",IF(A232="",NOW(),A232),"")</f>
        <v/>
      </c>
      <c r="B232" s="128" t="str">
        <f ca="1">IF(Tabel15[[#This Row],[Rood Verdediging]]&lt;&gt;"",IF(B232="",NOW(),B232),"")</f>
        <v/>
      </c>
      <c r="C232" s="126" t="str">
        <f ca="1">IF(Tabel15[[#This Row],[Score]]&lt;&gt;"",IF(C232="",NOW(),C232),"")</f>
        <v/>
      </c>
      <c r="D232" s="182" t="str">
        <f ca="1">IF(OR(Tabel15[[#This Row],[Starttijd]]="",Tabel15[[#This Row],[Eindtijd]]=""),"",Tabel15[[#This Row],[Eindtijd]]-Tabel15[[#This Row],[Starttijd]])</f>
        <v/>
      </c>
      <c r="E232" s="74">
        <v>120</v>
      </c>
      <c r="F232" s="40"/>
      <c r="G232" s="76"/>
      <c r="H232" s="40"/>
      <c r="I232" s="76"/>
      <c r="J232" s="41"/>
      <c r="K232" s="78"/>
      <c r="L232" s="41"/>
      <c r="M232" s="78"/>
      <c r="N232" s="81" t="str">
        <f t="shared" si="22"/>
        <v/>
      </c>
      <c r="O232" s="82" t="str">
        <f t="shared" si="23"/>
        <v/>
      </c>
      <c r="P23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Row],[Score4]]&lt;&gt;""),IF(AND(N232&gt;O232,N232&gt;=11),"ROOD",IF(AND(O232&gt;=11,N232&lt;&gt;O232),"GROEN","")),"")</f>
        <v/>
      </c>
      <c r="Q232" s="86" t="str">
        <f t="shared" si="24"/>
        <v/>
      </c>
      <c r="R232" s="87" t="str">
        <f t="shared" si="25"/>
        <v/>
      </c>
      <c r="S232" s="147" t="str">
        <f>Tabel15[[#This Row],[Rood Verdediging]]&amp;Tabel15[[#This Row],[Rood Aanval]]</f>
        <v/>
      </c>
      <c r="T232" s="147" t="str">
        <f>Tabel15[[#This Row],[Groen Verdediging]]&amp;Tabel15[[#This Row],[Groen Aanval]]</f>
        <v/>
      </c>
      <c r="U232" s="147" t="str">
        <f>Tabel15[[#This Row],[Winnaar 1]]&amp;Tabel15[[#This Row],[Winnaar 2]]</f>
        <v/>
      </c>
      <c r="V232" s="147" t="str">
        <f>IF(Tabel15[[#This Row],[Team Rood]]=Tabel15[[#This Row],[Winnaars]],Tabel15[[#This Row],[Team Rood]])</f>
        <v/>
      </c>
      <c r="W232" s="147" t="str">
        <f>IF(Tabel15[[#This Row],[Team Groen]]=Tabel15[[#This Row],[Winnaars]],Tabel15[[#This Row],[Team Groen]])</f>
        <v/>
      </c>
      <c r="X232" s="283"/>
      <c r="Y232" s="283"/>
      <c r="Z232" s="283"/>
      <c r="AA232" s="283"/>
    </row>
    <row r="233" spans="1:27" x14ac:dyDescent="0.25">
      <c r="A233" s="125" t="str">
        <f ca="1">IF(Tabel15[[#This Row],[Rood Verdediging]]&lt;&gt;"",IF(A233="",NOW(),A233),"")</f>
        <v/>
      </c>
      <c r="B233" s="128" t="str">
        <f ca="1">IF(Tabel15[[#This Row],[Rood Verdediging]]&lt;&gt;"",IF(B233="",NOW(),B233),"")</f>
        <v/>
      </c>
      <c r="C233" s="126" t="str">
        <f ca="1">IF(Tabel15[[#This Row],[Score]]&lt;&gt;"",IF(C233="",NOW(),C233),"")</f>
        <v/>
      </c>
      <c r="D233" s="182" t="str">
        <f ca="1">IF(OR(Tabel15[[#This Row],[Starttijd]]="",Tabel15[[#This Row],[Eindtijd]]=""),"",Tabel15[[#This Row],[Eindtijd]]-Tabel15[[#This Row],[Starttijd]])</f>
        <v/>
      </c>
      <c r="E233" s="74">
        <v>120</v>
      </c>
      <c r="F233" s="40"/>
      <c r="G233" s="76"/>
      <c r="H233" s="40"/>
      <c r="I233" s="76"/>
      <c r="J233" s="41"/>
      <c r="K233" s="78"/>
      <c r="L233" s="41"/>
      <c r="M233" s="78"/>
      <c r="N233" s="81" t="str">
        <f t="shared" si="22"/>
        <v/>
      </c>
      <c r="O233" s="82" t="str">
        <f t="shared" si="23"/>
        <v/>
      </c>
      <c r="P23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Row],[Score4]]&lt;&gt;""),IF(AND(N233&gt;O233,N233&gt;=11),"ROOD",IF(AND(O233&gt;=11,N233&lt;&gt;O233),"GROEN","")),"")</f>
        <v/>
      </c>
      <c r="Q233" s="86" t="str">
        <f t="shared" si="24"/>
        <v/>
      </c>
      <c r="R233" s="87" t="str">
        <f t="shared" si="25"/>
        <v/>
      </c>
      <c r="S233" s="147" t="str">
        <f>Tabel15[[#This Row],[Rood Verdediging]]&amp;Tabel15[[#This Row],[Rood Aanval]]</f>
        <v/>
      </c>
      <c r="T233" s="147" t="str">
        <f>Tabel15[[#This Row],[Groen Verdediging]]&amp;Tabel15[[#This Row],[Groen Aanval]]</f>
        <v/>
      </c>
      <c r="U233" s="147" t="str">
        <f>Tabel15[[#This Row],[Winnaar 1]]&amp;Tabel15[[#This Row],[Winnaar 2]]</f>
        <v/>
      </c>
      <c r="V233" s="147" t="str">
        <f>IF(Tabel15[[#This Row],[Team Rood]]=Tabel15[[#This Row],[Winnaars]],Tabel15[[#This Row],[Team Rood]])</f>
        <v/>
      </c>
      <c r="W233" s="147" t="str">
        <f>IF(Tabel15[[#This Row],[Team Groen]]=Tabel15[[#This Row],[Winnaars]],Tabel15[[#This Row],[Team Groen]])</f>
        <v/>
      </c>
      <c r="X233" s="283"/>
      <c r="Y233" s="283"/>
      <c r="Z233" s="283"/>
      <c r="AA233" s="283"/>
    </row>
    <row r="234" spans="1:27" x14ac:dyDescent="0.25">
      <c r="A234" s="125" t="str">
        <f ca="1">IF(Tabel15[[#This Row],[Rood Verdediging]]&lt;&gt;"",IF(A234="",NOW(),A234),"")</f>
        <v/>
      </c>
      <c r="B234" s="128" t="str">
        <f ca="1">IF(Tabel15[[#This Row],[Rood Verdediging]]&lt;&gt;"",IF(B234="",NOW(),B234),"")</f>
        <v/>
      </c>
      <c r="C234" s="126" t="str">
        <f ca="1">IF(Tabel15[[#This Row],[Score]]&lt;&gt;"",IF(C234="",NOW(),C234),"")</f>
        <v/>
      </c>
      <c r="D234" s="182" t="str">
        <f ca="1">IF(OR(Tabel15[[#This Row],[Starttijd]]="",Tabel15[[#This Row],[Eindtijd]]=""),"",Tabel15[[#This Row],[Eindtijd]]-Tabel15[[#This Row],[Starttijd]])</f>
        <v/>
      </c>
      <c r="E234" s="74">
        <v>120</v>
      </c>
      <c r="F234" s="40"/>
      <c r="G234" s="76"/>
      <c r="H234" s="40"/>
      <c r="I234" s="76"/>
      <c r="J234" s="41"/>
      <c r="K234" s="78"/>
      <c r="L234" s="41"/>
      <c r="M234" s="78"/>
      <c r="N234" s="81" t="str">
        <f t="shared" si="22"/>
        <v/>
      </c>
      <c r="O234" s="82" t="str">
        <f t="shared" si="23"/>
        <v/>
      </c>
      <c r="P23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Row],[Score4]]&lt;&gt;""),IF(AND(N234&gt;O234,N234&gt;=11),"ROOD",IF(AND(O234&gt;=11,N234&lt;&gt;O234),"GROEN","")),"")</f>
        <v/>
      </c>
      <c r="Q234" s="86" t="str">
        <f t="shared" si="24"/>
        <v/>
      </c>
      <c r="R234" s="87" t="str">
        <f t="shared" si="25"/>
        <v/>
      </c>
      <c r="S234" s="147" t="str">
        <f>Tabel15[[#This Row],[Rood Verdediging]]&amp;Tabel15[[#This Row],[Rood Aanval]]</f>
        <v/>
      </c>
      <c r="T234" s="147" t="str">
        <f>Tabel15[[#This Row],[Groen Verdediging]]&amp;Tabel15[[#This Row],[Groen Aanval]]</f>
        <v/>
      </c>
      <c r="U234" s="147" t="str">
        <f>Tabel15[[#This Row],[Winnaar 1]]&amp;Tabel15[[#This Row],[Winnaar 2]]</f>
        <v/>
      </c>
      <c r="V234" s="147" t="str">
        <f>IF(Tabel15[[#This Row],[Team Rood]]=Tabel15[[#This Row],[Winnaars]],Tabel15[[#This Row],[Team Rood]])</f>
        <v/>
      </c>
      <c r="W234" s="147" t="str">
        <f>IF(Tabel15[[#This Row],[Team Groen]]=Tabel15[[#This Row],[Winnaars]],Tabel15[[#This Row],[Team Groen]])</f>
        <v/>
      </c>
      <c r="X234" s="283"/>
      <c r="Y234" s="283"/>
      <c r="Z234" s="283"/>
      <c r="AA234" s="283"/>
    </row>
    <row r="235" spans="1:27" x14ac:dyDescent="0.25">
      <c r="A235" s="125" t="str">
        <f ca="1">IF(Tabel15[[#This Row],[Rood Verdediging]]&lt;&gt;"",IF(A235="",NOW(),A235),"")</f>
        <v/>
      </c>
      <c r="B235" s="128" t="str">
        <f ca="1">IF(Tabel15[[#This Row],[Rood Verdediging]]&lt;&gt;"",IF(B235="",NOW(),B235),"")</f>
        <v/>
      </c>
      <c r="C235" s="126" t="str">
        <f ca="1">IF(Tabel15[[#This Row],[Score]]&lt;&gt;"",IF(C235="",NOW(),C235),"")</f>
        <v/>
      </c>
      <c r="D235" s="182" t="str">
        <f ca="1">IF(OR(Tabel15[[#This Row],[Starttijd]]="",Tabel15[[#This Row],[Eindtijd]]=""),"",Tabel15[[#This Row],[Eindtijd]]-Tabel15[[#This Row],[Starttijd]])</f>
        <v/>
      </c>
      <c r="E235" s="74">
        <v>120</v>
      </c>
      <c r="F235" s="40"/>
      <c r="G235" s="76"/>
      <c r="H235" s="40"/>
      <c r="I235" s="76"/>
      <c r="J235" s="41"/>
      <c r="K235" s="78"/>
      <c r="L235" s="41"/>
      <c r="M235" s="78"/>
      <c r="N235" s="81" t="str">
        <f t="shared" si="22"/>
        <v/>
      </c>
      <c r="O235" s="82" t="str">
        <f t="shared" si="23"/>
        <v/>
      </c>
      <c r="P23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Row],[Score4]]&lt;&gt;""),IF(AND(N235&gt;O235,N235&gt;=11),"ROOD",IF(AND(O235&gt;=11,N235&lt;&gt;O235),"GROEN","")),"")</f>
        <v/>
      </c>
      <c r="Q235" s="86" t="str">
        <f t="shared" si="24"/>
        <v/>
      </c>
      <c r="R235" s="87" t="str">
        <f t="shared" si="25"/>
        <v/>
      </c>
      <c r="S235" s="147" t="str">
        <f>Tabel15[[#This Row],[Rood Verdediging]]&amp;Tabel15[[#This Row],[Rood Aanval]]</f>
        <v/>
      </c>
      <c r="T235" s="147" t="str">
        <f>Tabel15[[#This Row],[Groen Verdediging]]&amp;Tabel15[[#This Row],[Groen Aanval]]</f>
        <v/>
      </c>
      <c r="U235" s="147" t="str">
        <f>Tabel15[[#This Row],[Winnaar 1]]&amp;Tabel15[[#This Row],[Winnaar 2]]</f>
        <v/>
      </c>
      <c r="V235" s="147" t="str">
        <f>IF(Tabel15[[#This Row],[Team Rood]]=Tabel15[[#This Row],[Winnaars]],Tabel15[[#This Row],[Team Rood]])</f>
        <v/>
      </c>
      <c r="W235" s="147" t="str">
        <f>IF(Tabel15[[#This Row],[Team Groen]]=Tabel15[[#This Row],[Winnaars]],Tabel15[[#This Row],[Team Groen]])</f>
        <v/>
      </c>
      <c r="X235" s="283"/>
      <c r="Y235" s="283"/>
      <c r="Z235" s="283"/>
      <c r="AA235" s="283"/>
    </row>
    <row r="236" spans="1:27" x14ac:dyDescent="0.25">
      <c r="A236" s="125" t="str">
        <f ca="1">IF(Tabel15[[#This Row],[Rood Verdediging]]&lt;&gt;"",IF(A236="",NOW(),A236),"")</f>
        <v/>
      </c>
      <c r="B236" s="128" t="str">
        <f ca="1">IF(Tabel15[[#This Row],[Rood Verdediging]]&lt;&gt;"",IF(B236="",NOW(),B236),"")</f>
        <v/>
      </c>
      <c r="C236" s="126" t="str">
        <f ca="1">IF(Tabel15[[#This Row],[Score]]&lt;&gt;"",IF(C236="",NOW(),C236),"")</f>
        <v/>
      </c>
      <c r="D236" s="182" t="str">
        <f ca="1">IF(OR(Tabel15[[#This Row],[Starttijd]]="",Tabel15[[#This Row],[Eindtijd]]=""),"",Tabel15[[#This Row],[Eindtijd]]-Tabel15[[#This Row],[Starttijd]])</f>
        <v/>
      </c>
      <c r="E236" s="74">
        <v>120</v>
      </c>
      <c r="F236" s="40"/>
      <c r="G236" s="76"/>
      <c r="H236" s="40"/>
      <c r="I236" s="76"/>
      <c r="J236" s="41"/>
      <c r="K236" s="78"/>
      <c r="L236" s="41"/>
      <c r="M236" s="78"/>
      <c r="N236" s="81" t="str">
        <f t="shared" si="22"/>
        <v/>
      </c>
      <c r="O236" s="82" t="str">
        <f t="shared" si="23"/>
        <v/>
      </c>
      <c r="P23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Row],[Score4]]&lt;&gt;""),IF(AND(N236&gt;O236,N236&gt;=11),"ROOD",IF(AND(O236&gt;=11,N236&lt;&gt;O236),"GROEN","")),"")</f>
        <v/>
      </c>
      <c r="Q236" s="86" t="str">
        <f t="shared" si="24"/>
        <v/>
      </c>
      <c r="R236" s="87" t="str">
        <f t="shared" si="25"/>
        <v/>
      </c>
      <c r="S236" s="147" t="str">
        <f>Tabel15[[#This Row],[Rood Verdediging]]&amp;Tabel15[[#This Row],[Rood Aanval]]</f>
        <v/>
      </c>
      <c r="T236" s="147" t="str">
        <f>Tabel15[[#This Row],[Groen Verdediging]]&amp;Tabel15[[#This Row],[Groen Aanval]]</f>
        <v/>
      </c>
      <c r="U236" s="147" t="str">
        <f>Tabel15[[#This Row],[Winnaar 1]]&amp;Tabel15[[#This Row],[Winnaar 2]]</f>
        <v/>
      </c>
      <c r="V236" s="147" t="str">
        <f>IF(Tabel15[[#This Row],[Team Rood]]=Tabel15[[#This Row],[Winnaars]],Tabel15[[#This Row],[Team Rood]])</f>
        <v/>
      </c>
      <c r="W236" s="147" t="str">
        <f>IF(Tabel15[[#This Row],[Team Groen]]=Tabel15[[#This Row],[Winnaars]],Tabel15[[#This Row],[Team Groen]])</f>
        <v/>
      </c>
      <c r="X236" s="283"/>
      <c r="Y236" s="283"/>
      <c r="Z236" s="283"/>
      <c r="AA236" s="283"/>
    </row>
    <row r="237" spans="1:27" x14ac:dyDescent="0.25">
      <c r="A237" s="125" t="str">
        <f ca="1">IF(Tabel15[[#This Row],[Rood Verdediging]]&lt;&gt;"",IF(A237="",NOW(),A237),"")</f>
        <v/>
      </c>
      <c r="B237" s="128" t="str">
        <f ca="1">IF(Tabel15[[#This Row],[Rood Verdediging]]&lt;&gt;"",IF(B237="",NOW(),B237),"")</f>
        <v/>
      </c>
      <c r="C237" s="126" t="str">
        <f ca="1">IF(Tabel15[[#This Row],[Score]]&lt;&gt;"",IF(C237="",NOW(),C237),"")</f>
        <v/>
      </c>
      <c r="D237" s="182" t="str">
        <f ca="1">IF(OR(Tabel15[[#This Row],[Starttijd]]="",Tabel15[[#This Row],[Eindtijd]]=""),"",Tabel15[[#This Row],[Eindtijd]]-Tabel15[[#This Row],[Starttijd]])</f>
        <v/>
      </c>
      <c r="E237" s="74">
        <v>120</v>
      </c>
      <c r="F237" s="40"/>
      <c r="G237" s="76"/>
      <c r="H237" s="40"/>
      <c r="I237" s="76"/>
      <c r="J237" s="41"/>
      <c r="K237" s="78"/>
      <c r="L237" s="41"/>
      <c r="M237" s="78"/>
      <c r="N237" s="81" t="str">
        <f t="shared" si="22"/>
        <v/>
      </c>
      <c r="O237" s="82" t="str">
        <f t="shared" si="23"/>
        <v/>
      </c>
      <c r="P23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Row],[Score4]]&lt;&gt;""),IF(AND(N237&gt;O237,N237&gt;=11),"ROOD",IF(AND(O237&gt;=11,N237&lt;&gt;O237),"GROEN","")),"")</f>
        <v/>
      </c>
      <c r="Q237" s="86" t="str">
        <f t="shared" si="24"/>
        <v/>
      </c>
      <c r="R237" s="87" t="str">
        <f t="shared" si="25"/>
        <v/>
      </c>
      <c r="S237" s="147" t="str">
        <f>Tabel15[[#This Row],[Rood Verdediging]]&amp;Tabel15[[#This Row],[Rood Aanval]]</f>
        <v/>
      </c>
      <c r="T237" s="147" t="str">
        <f>Tabel15[[#This Row],[Groen Verdediging]]&amp;Tabel15[[#This Row],[Groen Aanval]]</f>
        <v/>
      </c>
      <c r="U237" s="147" t="str">
        <f>Tabel15[[#This Row],[Winnaar 1]]&amp;Tabel15[[#This Row],[Winnaar 2]]</f>
        <v/>
      </c>
      <c r="V237" s="147" t="str">
        <f>IF(Tabel15[[#This Row],[Team Rood]]=Tabel15[[#This Row],[Winnaars]],Tabel15[[#This Row],[Team Rood]])</f>
        <v/>
      </c>
      <c r="W237" s="147" t="str">
        <f>IF(Tabel15[[#This Row],[Team Groen]]=Tabel15[[#This Row],[Winnaars]],Tabel15[[#This Row],[Team Groen]])</f>
        <v/>
      </c>
      <c r="X237" s="283"/>
      <c r="Y237" s="283"/>
      <c r="Z237" s="283"/>
      <c r="AA237" s="283"/>
    </row>
    <row r="238" spans="1:27" x14ac:dyDescent="0.25">
      <c r="A238" s="125" t="str">
        <f ca="1">IF(Tabel15[[#This Row],[Rood Verdediging]]&lt;&gt;"",IF(A238="",NOW(),A238),"")</f>
        <v/>
      </c>
      <c r="B238" s="128" t="str">
        <f ca="1">IF(Tabel15[[#This Row],[Rood Verdediging]]&lt;&gt;"",IF(B238="",NOW(),B238),"")</f>
        <v/>
      </c>
      <c r="C238" s="126" t="str">
        <f ca="1">IF(Tabel15[[#This Row],[Score]]&lt;&gt;"",IF(C238="",NOW(),C238),"")</f>
        <v/>
      </c>
      <c r="D238" s="182" t="str">
        <f ca="1">IF(OR(Tabel15[[#This Row],[Starttijd]]="",Tabel15[[#This Row],[Eindtijd]]=""),"",Tabel15[[#This Row],[Eindtijd]]-Tabel15[[#This Row],[Starttijd]])</f>
        <v/>
      </c>
      <c r="E238" s="74">
        <v>120</v>
      </c>
      <c r="F238" s="205"/>
      <c r="G238" s="210"/>
      <c r="H238" s="205"/>
      <c r="I238" s="210"/>
      <c r="J238" s="206"/>
      <c r="K238" s="212"/>
      <c r="L238" s="206"/>
      <c r="M238" s="212"/>
      <c r="N238" s="81" t="str">
        <f t="shared" si="22"/>
        <v/>
      </c>
      <c r="O238" s="82" t="str">
        <f t="shared" si="23"/>
        <v/>
      </c>
      <c r="P23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Row],[Score4]]&lt;&gt;""),IF(AND(N238&gt;O238,N238&gt;=11),"ROOD",IF(AND(O238&gt;=11,N238&lt;&gt;O238),"GROEN","")),"")</f>
        <v/>
      </c>
      <c r="Q238" s="86" t="str">
        <f t="shared" si="24"/>
        <v/>
      </c>
      <c r="R238" s="87" t="str">
        <f t="shared" si="25"/>
        <v/>
      </c>
      <c r="S238" s="147" t="str">
        <f>Tabel15[[#This Row],[Rood Verdediging]]&amp;Tabel15[[#This Row],[Rood Aanval]]</f>
        <v/>
      </c>
      <c r="T238" s="147" t="str">
        <f>Tabel15[[#This Row],[Groen Verdediging]]&amp;Tabel15[[#This Row],[Groen Aanval]]</f>
        <v/>
      </c>
      <c r="U238" s="147" t="str">
        <f>Tabel15[[#This Row],[Winnaar 1]]&amp;Tabel15[[#This Row],[Winnaar 2]]</f>
        <v/>
      </c>
      <c r="V238" s="147" t="str">
        <f>IF(Tabel15[[#This Row],[Team Rood]]=Tabel15[[#This Row],[Winnaars]],Tabel15[[#This Row],[Team Rood]])</f>
        <v/>
      </c>
      <c r="W238" s="147" t="str">
        <f>IF(Tabel15[[#This Row],[Team Groen]]=Tabel15[[#This Row],[Winnaars]],Tabel15[[#This Row],[Team Groen]])</f>
        <v/>
      </c>
      <c r="X238" s="283"/>
      <c r="Y238" s="283"/>
      <c r="Z238" s="283"/>
      <c r="AA238" s="283"/>
    </row>
    <row r="239" spans="1:27" x14ac:dyDescent="0.25">
      <c r="A239" s="125" t="str">
        <f ca="1">IF(Tabel15[[#This Row],[Rood Verdediging]]&lt;&gt;"",IF(A239="",NOW(),A239),"")</f>
        <v/>
      </c>
      <c r="B239" s="128" t="str">
        <f ca="1">IF(Tabel15[[#This Row],[Rood Verdediging]]&lt;&gt;"",IF(B239="",NOW(),B239),"")</f>
        <v/>
      </c>
      <c r="C239" s="126" t="str">
        <f ca="1">IF(Tabel15[[#This Row],[Score]]&lt;&gt;"",IF(C239="",NOW(),C239),"")</f>
        <v/>
      </c>
      <c r="D239" s="182" t="str">
        <f ca="1">IF(OR(Tabel15[[#This Row],[Starttijd]]="",Tabel15[[#This Row],[Eindtijd]]=""),"",Tabel15[[#This Row],[Eindtijd]]-Tabel15[[#This Row],[Starttijd]])</f>
        <v/>
      </c>
      <c r="E239" s="74">
        <v>120</v>
      </c>
      <c r="F239" s="40"/>
      <c r="G239" s="76"/>
      <c r="H239" s="40"/>
      <c r="I239" s="76"/>
      <c r="J239" s="41"/>
      <c r="K239" s="78"/>
      <c r="L239" s="41"/>
      <c r="M239" s="78"/>
      <c r="N239" s="81" t="str">
        <f t="shared" si="22"/>
        <v/>
      </c>
      <c r="O239" s="82" t="str">
        <f t="shared" si="23"/>
        <v/>
      </c>
      <c r="P23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Row],[Score4]]&lt;&gt;""),IF(AND(N239&gt;O239,N239&gt;=11),"ROOD",IF(AND(O239&gt;=11,N239&lt;&gt;O239),"GROEN","")),"")</f>
        <v/>
      </c>
      <c r="Q239" s="86" t="str">
        <f t="shared" si="24"/>
        <v/>
      </c>
      <c r="R239" s="87" t="str">
        <f t="shared" si="25"/>
        <v/>
      </c>
      <c r="S239" s="147" t="str">
        <f>Tabel15[[#This Row],[Rood Verdediging]]&amp;Tabel15[[#This Row],[Rood Aanval]]</f>
        <v/>
      </c>
      <c r="T239" s="147" t="str">
        <f>Tabel15[[#This Row],[Groen Verdediging]]&amp;Tabel15[[#This Row],[Groen Aanval]]</f>
        <v/>
      </c>
      <c r="U239" s="147" t="str">
        <f>Tabel15[[#This Row],[Winnaar 1]]&amp;Tabel15[[#This Row],[Winnaar 2]]</f>
        <v/>
      </c>
      <c r="V239" s="147" t="str">
        <f>IF(Tabel15[[#This Row],[Team Rood]]=Tabel15[[#This Row],[Winnaars]],Tabel15[[#This Row],[Team Rood]])</f>
        <v/>
      </c>
      <c r="W239" s="147" t="str">
        <f>IF(Tabel15[[#This Row],[Team Groen]]=Tabel15[[#This Row],[Winnaars]],Tabel15[[#This Row],[Team Groen]])</f>
        <v/>
      </c>
      <c r="X239" s="283"/>
      <c r="Y239" s="283"/>
      <c r="Z239" s="283"/>
      <c r="AA239" s="283"/>
    </row>
    <row r="240" spans="1:27" x14ac:dyDescent="0.25">
      <c r="A240" s="125" t="str">
        <f ca="1">IF(Tabel15[[#This Row],[Rood Verdediging]]&lt;&gt;"",IF(A240="",NOW(),A240),"")</f>
        <v/>
      </c>
      <c r="B240" s="128" t="str">
        <f ca="1">IF(Tabel15[[#This Row],[Rood Verdediging]]&lt;&gt;"",IF(B240="",NOW(),B240),"")</f>
        <v/>
      </c>
      <c r="C240" s="126" t="str">
        <f ca="1">IF(Tabel15[[#This Row],[Score]]&lt;&gt;"",IF(C240="",NOW(),C240),"")</f>
        <v/>
      </c>
      <c r="D240" s="182" t="str">
        <f ca="1">IF(OR(Tabel15[[#This Row],[Starttijd]]="",Tabel15[[#This Row],[Eindtijd]]=""),"",Tabel15[[#This Row],[Eindtijd]]-Tabel15[[#This Row],[Starttijd]])</f>
        <v/>
      </c>
      <c r="E240" s="74">
        <v>120</v>
      </c>
      <c r="F240" s="40"/>
      <c r="G240" s="76"/>
      <c r="H240" s="40"/>
      <c r="I240" s="76"/>
      <c r="J240" s="41"/>
      <c r="K240" s="78"/>
      <c r="L240" s="41"/>
      <c r="M240" s="78"/>
      <c r="N240" s="81" t="str">
        <f t="shared" ref="N240:N305" si="26">IF(ISBLANK(F240),"",SUM(G240,I240))</f>
        <v/>
      </c>
      <c r="O240" s="82" t="str">
        <f t="shared" ref="O240:O305" si="27">IF(ISBLANK(F240),"",SUM(K240,M240))</f>
        <v/>
      </c>
      <c r="P24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Row],[Score4]]&lt;&gt;""),IF(AND(N240&gt;O240,N240&gt;=11),"ROOD",IF(AND(O240&gt;=11,N240&lt;&gt;O240),"GROEN","")),"")</f>
        <v/>
      </c>
      <c r="Q240" s="86" t="str">
        <f t="shared" si="24"/>
        <v/>
      </c>
      <c r="R240" s="87" t="str">
        <f t="shared" si="25"/>
        <v/>
      </c>
      <c r="S240" s="147" t="str">
        <f>Tabel15[[#This Row],[Rood Verdediging]]&amp;Tabel15[[#This Row],[Rood Aanval]]</f>
        <v/>
      </c>
      <c r="T240" s="147" t="str">
        <f>Tabel15[[#This Row],[Groen Verdediging]]&amp;Tabel15[[#This Row],[Groen Aanval]]</f>
        <v/>
      </c>
      <c r="U240" s="147" t="str">
        <f>Tabel15[[#This Row],[Winnaar 1]]&amp;Tabel15[[#This Row],[Winnaar 2]]</f>
        <v/>
      </c>
      <c r="V240" s="147" t="str">
        <f>IF(Tabel15[[#This Row],[Team Rood]]=Tabel15[[#This Row],[Winnaars]],Tabel15[[#This Row],[Team Rood]])</f>
        <v/>
      </c>
      <c r="W240" s="147" t="str">
        <f>IF(Tabel15[[#This Row],[Team Groen]]=Tabel15[[#This Row],[Winnaars]],Tabel15[[#This Row],[Team Groen]])</f>
        <v/>
      </c>
      <c r="X240" s="283"/>
      <c r="Y240" s="283"/>
      <c r="Z240" s="283"/>
      <c r="AA240" s="283"/>
    </row>
    <row r="241" spans="1:27" x14ac:dyDescent="0.25">
      <c r="A241" s="125" t="str">
        <f ca="1">IF(Tabel15[[#This Row],[Rood Verdediging]]&lt;&gt;"",IF(A241="",NOW(),A241),"")</f>
        <v/>
      </c>
      <c r="B241" s="128" t="str">
        <f ca="1">IF(Tabel15[[#This Row],[Rood Verdediging]]&lt;&gt;"",IF(B241="",NOW(),B241),"")</f>
        <v/>
      </c>
      <c r="C241" s="126" t="str">
        <f ca="1">IF(Tabel15[[#This Row],[Score]]&lt;&gt;"",IF(C241="",NOW(),C241),"")</f>
        <v/>
      </c>
      <c r="D241" s="182" t="str">
        <f ca="1">IF(OR(Tabel15[[#This Row],[Starttijd]]="",Tabel15[[#This Row],[Eindtijd]]=""),"",Tabel15[[#This Row],[Eindtijd]]-Tabel15[[#This Row],[Starttijd]])</f>
        <v/>
      </c>
      <c r="E241" s="74">
        <v>120</v>
      </c>
      <c r="F241" s="40"/>
      <c r="G241" s="76"/>
      <c r="H241" s="40"/>
      <c r="I241" s="76"/>
      <c r="J241" s="41"/>
      <c r="K241" s="78"/>
      <c r="L241" s="41"/>
      <c r="M241" s="78"/>
      <c r="N241" s="81" t="str">
        <f t="shared" si="26"/>
        <v/>
      </c>
      <c r="O241" s="82" t="str">
        <f t="shared" si="27"/>
        <v/>
      </c>
      <c r="P24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Row],[Score4]]&lt;&gt;""),IF(AND(N241&gt;O241,N241&gt;=11),"ROOD",IF(AND(O241&gt;=11,N241&lt;&gt;O241),"GROEN","")),"")</f>
        <v/>
      </c>
      <c r="Q241" s="86" t="str">
        <f t="shared" si="24"/>
        <v/>
      </c>
      <c r="R241" s="87" t="str">
        <f t="shared" si="25"/>
        <v/>
      </c>
      <c r="S241" s="147" t="str">
        <f>Tabel15[[#This Row],[Rood Verdediging]]&amp;Tabel15[[#This Row],[Rood Aanval]]</f>
        <v/>
      </c>
      <c r="T241" s="147" t="str">
        <f>Tabel15[[#This Row],[Groen Verdediging]]&amp;Tabel15[[#This Row],[Groen Aanval]]</f>
        <v/>
      </c>
      <c r="U241" s="147" t="str">
        <f>Tabel15[[#This Row],[Winnaar 1]]&amp;Tabel15[[#This Row],[Winnaar 2]]</f>
        <v/>
      </c>
      <c r="V241" s="147" t="str">
        <f>IF(Tabel15[[#This Row],[Team Rood]]=Tabel15[[#This Row],[Winnaars]],Tabel15[[#This Row],[Team Rood]])</f>
        <v/>
      </c>
      <c r="W241" s="147" t="str">
        <f>IF(Tabel15[[#This Row],[Team Groen]]=Tabel15[[#This Row],[Winnaars]],Tabel15[[#This Row],[Team Groen]])</f>
        <v/>
      </c>
      <c r="X241" s="283"/>
      <c r="Y241" s="283"/>
      <c r="Z241" s="283"/>
      <c r="AA241" s="283"/>
    </row>
    <row r="242" spans="1:27" x14ac:dyDescent="0.25">
      <c r="A242" s="125" t="str">
        <f ca="1">IF(Tabel15[[#This Row],[Rood Verdediging]]&lt;&gt;"",IF(A242="",NOW(),A242),"")</f>
        <v/>
      </c>
      <c r="B242" s="128" t="str">
        <f ca="1">IF(Tabel15[[#This Row],[Rood Verdediging]]&lt;&gt;"",IF(B242="",NOW(),B242),"")</f>
        <v/>
      </c>
      <c r="C242" s="126" t="str">
        <f ca="1">IF(Tabel15[[#This Row],[Score]]&lt;&gt;"",IF(C242="",NOW(),C242),"")</f>
        <v/>
      </c>
      <c r="D242" s="182" t="str">
        <f ca="1">IF(OR(Tabel15[[#This Row],[Starttijd]]="",Tabel15[[#This Row],[Eindtijd]]=""),"",Tabel15[[#This Row],[Eindtijd]]-Tabel15[[#This Row],[Starttijd]])</f>
        <v/>
      </c>
      <c r="E242" s="74">
        <v>120</v>
      </c>
      <c r="F242" s="40"/>
      <c r="G242" s="76"/>
      <c r="H242" s="40"/>
      <c r="I242" s="76"/>
      <c r="J242" s="41"/>
      <c r="K242" s="78"/>
      <c r="L242" s="41"/>
      <c r="M242" s="78"/>
      <c r="N242" s="81" t="str">
        <f t="shared" si="26"/>
        <v/>
      </c>
      <c r="O242" s="82" t="str">
        <f t="shared" si="27"/>
        <v/>
      </c>
      <c r="P24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Row],[Score4]]&lt;&gt;""),IF(AND(N242&gt;O242,N242&gt;=11),"ROOD",IF(AND(O242&gt;=11,N242&lt;&gt;O242),"GROEN","")),"")</f>
        <v/>
      </c>
      <c r="Q242" s="86" t="str">
        <f t="shared" si="24"/>
        <v/>
      </c>
      <c r="R242" s="87" t="str">
        <f t="shared" si="25"/>
        <v/>
      </c>
      <c r="S242" s="147" t="str">
        <f>Tabel15[[#This Row],[Rood Verdediging]]&amp;Tabel15[[#This Row],[Rood Aanval]]</f>
        <v/>
      </c>
      <c r="T242" s="147" t="str">
        <f>Tabel15[[#This Row],[Groen Verdediging]]&amp;Tabel15[[#This Row],[Groen Aanval]]</f>
        <v/>
      </c>
      <c r="U242" s="147" t="str">
        <f>Tabel15[[#This Row],[Winnaar 1]]&amp;Tabel15[[#This Row],[Winnaar 2]]</f>
        <v/>
      </c>
      <c r="V242" s="147" t="str">
        <f>IF(Tabel15[[#This Row],[Team Rood]]=Tabel15[[#This Row],[Winnaars]],Tabel15[[#This Row],[Team Rood]])</f>
        <v/>
      </c>
      <c r="W242" s="147" t="str">
        <f>IF(Tabel15[[#This Row],[Team Groen]]=Tabel15[[#This Row],[Winnaars]],Tabel15[[#This Row],[Team Groen]])</f>
        <v/>
      </c>
      <c r="X242" s="283"/>
      <c r="Y242" s="283"/>
      <c r="Z242" s="283"/>
      <c r="AA242" s="283"/>
    </row>
    <row r="243" spans="1:27" x14ac:dyDescent="0.25">
      <c r="A243" s="125" t="str">
        <f ca="1">IF(Tabel15[[#This Row],[Rood Verdediging]]&lt;&gt;"",IF(A243="",NOW(),A243),"")</f>
        <v/>
      </c>
      <c r="B243" s="128" t="str">
        <f ca="1">IF(Tabel15[[#This Row],[Rood Verdediging]]&lt;&gt;"",IF(B243="",NOW(),B243),"")</f>
        <v/>
      </c>
      <c r="C243" s="126" t="str">
        <f ca="1">IF(Tabel15[[#This Row],[Score]]&lt;&gt;"",IF(C243="",NOW(),C243),"")</f>
        <v/>
      </c>
      <c r="D243" s="182" t="str">
        <f ca="1">IF(OR(Tabel15[[#This Row],[Starttijd]]="",Tabel15[[#This Row],[Eindtijd]]=""),"",Tabel15[[#This Row],[Eindtijd]]-Tabel15[[#This Row],[Starttijd]])</f>
        <v/>
      </c>
      <c r="E243" s="74">
        <v>120</v>
      </c>
      <c r="F243" s="40"/>
      <c r="G243" s="76"/>
      <c r="H243" s="40"/>
      <c r="I243" s="76"/>
      <c r="J243" s="41"/>
      <c r="K243" s="78"/>
      <c r="L243" s="41"/>
      <c r="M243" s="78"/>
      <c r="N243" s="81" t="str">
        <f t="shared" si="26"/>
        <v/>
      </c>
      <c r="O243" s="82" t="str">
        <f t="shared" si="27"/>
        <v/>
      </c>
      <c r="P24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Row],[Score4]]&lt;&gt;""),IF(AND(N243&gt;O243,N243&gt;=11),"ROOD",IF(AND(O243&gt;=11,N243&lt;&gt;O243),"GROEN","")),"")</f>
        <v/>
      </c>
      <c r="Q243" s="86" t="str">
        <f t="shared" si="24"/>
        <v/>
      </c>
      <c r="R243" s="87" t="str">
        <f t="shared" si="25"/>
        <v/>
      </c>
      <c r="S243" s="147" t="str">
        <f>Tabel15[[#This Row],[Rood Verdediging]]&amp;Tabel15[[#This Row],[Rood Aanval]]</f>
        <v/>
      </c>
      <c r="T243" s="147" t="str">
        <f>Tabel15[[#This Row],[Groen Verdediging]]&amp;Tabel15[[#This Row],[Groen Aanval]]</f>
        <v/>
      </c>
      <c r="U243" s="147" t="str">
        <f>Tabel15[[#This Row],[Winnaar 1]]&amp;Tabel15[[#This Row],[Winnaar 2]]</f>
        <v/>
      </c>
      <c r="V243" s="147" t="str">
        <f>IF(Tabel15[[#This Row],[Team Rood]]=Tabel15[[#This Row],[Winnaars]],Tabel15[[#This Row],[Team Rood]])</f>
        <v/>
      </c>
      <c r="W243" s="147" t="str">
        <f>IF(Tabel15[[#This Row],[Team Groen]]=Tabel15[[#This Row],[Winnaars]],Tabel15[[#This Row],[Team Groen]])</f>
        <v/>
      </c>
      <c r="X243" s="283"/>
      <c r="Y243" s="283"/>
      <c r="Z243" s="283"/>
      <c r="AA243" s="283"/>
    </row>
    <row r="244" spans="1:27" x14ac:dyDescent="0.25">
      <c r="A244" s="125" t="str">
        <f ca="1">IF(Tabel15[[#This Row],[Rood Verdediging]]&lt;&gt;"",IF(A244="",NOW(),A244),"")</f>
        <v/>
      </c>
      <c r="B244" s="128" t="str">
        <f ca="1">IF(Tabel15[[#This Row],[Rood Verdediging]]&lt;&gt;"",IF(B244="",NOW(),B244),"")</f>
        <v/>
      </c>
      <c r="C244" s="126" t="str">
        <f ca="1">IF(Tabel15[[#This Row],[Score]]&lt;&gt;"",IF(C244="",NOW(),C244),"")</f>
        <v/>
      </c>
      <c r="D244" s="182" t="str">
        <f ca="1">IF(OR(Tabel15[[#This Row],[Starttijd]]="",Tabel15[[#This Row],[Eindtijd]]=""),"",Tabel15[[#This Row],[Eindtijd]]-Tabel15[[#This Row],[Starttijd]])</f>
        <v/>
      </c>
      <c r="E244" s="74">
        <v>120</v>
      </c>
      <c r="F244" s="40"/>
      <c r="G244" s="76"/>
      <c r="H244" s="40"/>
      <c r="I244" s="76"/>
      <c r="J244" s="41"/>
      <c r="K244" s="78"/>
      <c r="L244" s="41"/>
      <c r="M244" s="78"/>
      <c r="N244" s="81" t="str">
        <f t="shared" si="26"/>
        <v/>
      </c>
      <c r="O244" s="82" t="str">
        <f t="shared" si="27"/>
        <v/>
      </c>
      <c r="P24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Row],[Score4]]&lt;&gt;""),IF(AND(N244&gt;O244,N244&gt;=11),"ROOD",IF(AND(O244&gt;=11,N244&lt;&gt;O244),"GROEN","")),"")</f>
        <v/>
      </c>
      <c r="Q244" s="86" t="str">
        <f t="shared" si="24"/>
        <v/>
      </c>
      <c r="R244" s="87" t="str">
        <f t="shared" si="25"/>
        <v/>
      </c>
      <c r="S244" s="147" t="str">
        <f>Tabel15[[#This Row],[Rood Verdediging]]&amp;Tabel15[[#This Row],[Rood Aanval]]</f>
        <v/>
      </c>
      <c r="T244" s="147" t="str">
        <f>Tabel15[[#This Row],[Groen Verdediging]]&amp;Tabel15[[#This Row],[Groen Aanval]]</f>
        <v/>
      </c>
      <c r="U244" s="147" t="str">
        <f>Tabel15[[#This Row],[Winnaar 1]]&amp;Tabel15[[#This Row],[Winnaar 2]]</f>
        <v/>
      </c>
      <c r="V244" s="147" t="str">
        <f>IF(Tabel15[[#This Row],[Team Rood]]=Tabel15[[#This Row],[Winnaars]],Tabel15[[#This Row],[Team Rood]])</f>
        <v/>
      </c>
      <c r="W244" s="147" t="str">
        <f>IF(Tabel15[[#This Row],[Team Groen]]=Tabel15[[#This Row],[Winnaars]],Tabel15[[#This Row],[Team Groen]])</f>
        <v/>
      </c>
      <c r="X244" s="283"/>
      <c r="Y244" s="283"/>
      <c r="Z244" s="283"/>
      <c r="AA244" s="283"/>
    </row>
    <row r="245" spans="1:27" x14ac:dyDescent="0.25">
      <c r="A245" s="125" t="str">
        <f ca="1">IF(Tabel15[[#This Row],[Rood Verdediging]]&lt;&gt;"",IF(A245="",NOW(),A245),"")</f>
        <v/>
      </c>
      <c r="B245" s="128" t="str">
        <f ca="1">IF(Tabel15[[#This Row],[Rood Verdediging]]&lt;&gt;"",IF(B245="",NOW(),B245),"")</f>
        <v/>
      </c>
      <c r="C245" s="126" t="str">
        <f ca="1">IF(Tabel15[[#This Row],[Score]]&lt;&gt;"",IF(C245="",NOW(),C245),"")</f>
        <v/>
      </c>
      <c r="D245" s="182" t="str">
        <f ca="1">IF(OR(Tabel15[[#This Row],[Starttijd]]="",Tabel15[[#This Row],[Eindtijd]]=""),"",Tabel15[[#This Row],[Eindtijd]]-Tabel15[[#This Row],[Starttijd]])</f>
        <v/>
      </c>
      <c r="E245" s="74">
        <v>120</v>
      </c>
      <c r="F245" s="40"/>
      <c r="G245" s="76"/>
      <c r="H245" s="40"/>
      <c r="I245" s="76"/>
      <c r="J245" s="41"/>
      <c r="K245" s="78"/>
      <c r="L245" s="41"/>
      <c r="M245" s="78"/>
      <c r="N245" s="81" t="str">
        <f t="shared" si="26"/>
        <v/>
      </c>
      <c r="O245" s="82" t="str">
        <f t="shared" si="27"/>
        <v/>
      </c>
      <c r="P24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Row],[Score4]]&lt;&gt;""),IF(AND(N245&gt;O245,N245&gt;=11),"ROOD",IF(AND(O245&gt;=11,N245&lt;&gt;O245),"GROEN","")),"")</f>
        <v/>
      </c>
      <c r="Q245" s="86" t="str">
        <f t="shared" si="24"/>
        <v/>
      </c>
      <c r="R245" s="87" t="str">
        <f t="shared" si="25"/>
        <v/>
      </c>
      <c r="S245" s="147" t="str">
        <f>Tabel15[[#This Row],[Rood Verdediging]]&amp;Tabel15[[#This Row],[Rood Aanval]]</f>
        <v/>
      </c>
      <c r="T245" s="147" t="str">
        <f>Tabel15[[#This Row],[Groen Verdediging]]&amp;Tabel15[[#This Row],[Groen Aanval]]</f>
        <v/>
      </c>
      <c r="U245" s="147" t="str">
        <f>Tabel15[[#This Row],[Winnaar 1]]&amp;Tabel15[[#This Row],[Winnaar 2]]</f>
        <v/>
      </c>
      <c r="V245" s="147" t="str">
        <f>IF(Tabel15[[#This Row],[Team Rood]]=Tabel15[[#This Row],[Winnaars]],Tabel15[[#This Row],[Team Rood]])</f>
        <v/>
      </c>
      <c r="W245" s="147" t="str">
        <f>IF(Tabel15[[#This Row],[Team Groen]]=Tabel15[[#This Row],[Winnaars]],Tabel15[[#This Row],[Team Groen]])</f>
        <v/>
      </c>
      <c r="X245" s="283"/>
      <c r="Y245" s="283"/>
      <c r="Z245" s="283"/>
      <c r="AA245" s="283"/>
    </row>
    <row r="246" spans="1:27" x14ac:dyDescent="0.25">
      <c r="A246" s="125" t="str">
        <f ca="1">IF(Tabel15[[#This Row],[Rood Verdediging]]&lt;&gt;"",IF(A246="",NOW(),A246),"")</f>
        <v/>
      </c>
      <c r="B246" s="128" t="str">
        <f ca="1">IF(Tabel15[[#This Row],[Rood Verdediging]]&lt;&gt;"",IF(B246="",NOW(),B246),"")</f>
        <v/>
      </c>
      <c r="C246" s="126" t="str">
        <f ca="1">IF(Tabel15[[#This Row],[Score]]&lt;&gt;"",IF(C246="",NOW(),C246),"")</f>
        <v/>
      </c>
      <c r="D246" s="182" t="str">
        <f ca="1">IF(OR(Tabel15[[#This Row],[Starttijd]]="",Tabel15[[#This Row],[Eindtijd]]=""),"",Tabel15[[#This Row],[Eindtijd]]-Tabel15[[#This Row],[Starttijd]])</f>
        <v/>
      </c>
      <c r="E246" s="74">
        <v>120</v>
      </c>
      <c r="F246" s="40"/>
      <c r="G246" s="76"/>
      <c r="H246" s="40"/>
      <c r="I246" s="76"/>
      <c r="J246" s="41"/>
      <c r="K246" s="78"/>
      <c r="L246" s="41"/>
      <c r="M246" s="78"/>
      <c r="N246" s="81" t="str">
        <f t="shared" si="26"/>
        <v/>
      </c>
      <c r="O246" s="82" t="str">
        <f t="shared" si="27"/>
        <v/>
      </c>
      <c r="P24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Row],[Score4]]&lt;&gt;""),IF(AND(N246&gt;O246,N246&gt;=11),"ROOD",IF(AND(O246&gt;=11,N246&lt;&gt;O246),"GROEN","")),"")</f>
        <v/>
      </c>
      <c r="Q246" s="86" t="str">
        <f t="shared" si="24"/>
        <v/>
      </c>
      <c r="R246" s="87" t="str">
        <f t="shared" si="25"/>
        <v/>
      </c>
      <c r="S246" s="147" t="str">
        <f>Tabel15[[#This Row],[Rood Verdediging]]&amp;Tabel15[[#This Row],[Rood Aanval]]</f>
        <v/>
      </c>
      <c r="T246" s="147" t="str">
        <f>Tabel15[[#This Row],[Groen Verdediging]]&amp;Tabel15[[#This Row],[Groen Aanval]]</f>
        <v/>
      </c>
      <c r="U246" s="147" t="str">
        <f>Tabel15[[#This Row],[Winnaar 1]]&amp;Tabel15[[#This Row],[Winnaar 2]]</f>
        <v/>
      </c>
      <c r="V246" s="147" t="str">
        <f>IF(Tabel15[[#This Row],[Team Rood]]=Tabel15[[#This Row],[Winnaars]],Tabel15[[#This Row],[Team Rood]])</f>
        <v/>
      </c>
      <c r="W246" s="147" t="str">
        <f>IF(Tabel15[[#This Row],[Team Groen]]=Tabel15[[#This Row],[Winnaars]],Tabel15[[#This Row],[Team Groen]])</f>
        <v/>
      </c>
      <c r="X246" s="283"/>
      <c r="Y246" s="283"/>
      <c r="Z246" s="283"/>
      <c r="AA246" s="283"/>
    </row>
    <row r="247" spans="1:27" x14ac:dyDescent="0.25">
      <c r="A247" s="125" t="str">
        <f ca="1">IF(Tabel15[[#This Row],[Rood Verdediging]]&lt;&gt;"",IF(A247="",NOW(),A247),"")</f>
        <v/>
      </c>
      <c r="B247" s="128" t="str">
        <f ca="1">IF(Tabel15[[#This Row],[Rood Verdediging]]&lt;&gt;"",IF(B247="",NOW(),B247),"")</f>
        <v/>
      </c>
      <c r="C247" s="126" t="str">
        <f ca="1">IF(Tabel15[[#This Row],[Score]]&lt;&gt;"",IF(C247="",NOW(),C247),"")</f>
        <v/>
      </c>
      <c r="D247" s="182" t="str">
        <f ca="1">IF(OR(Tabel15[[#This Row],[Starttijd]]="",Tabel15[[#This Row],[Eindtijd]]=""),"",Tabel15[[#This Row],[Eindtijd]]-Tabel15[[#This Row],[Starttijd]])</f>
        <v/>
      </c>
      <c r="E247" s="74">
        <v>120</v>
      </c>
      <c r="F247" s="40"/>
      <c r="G247" s="76"/>
      <c r="H247" s="40"/>
      <c r="I247" s="76"/>
      <c r="J247" s="41"/>
      <c r="K247" s="78"/>
      <c r="L247" s="41"/>
      <c r="M247" s="78"/>
      <c r="N247" s="81" t="str">
        <f t="shared" si="26"/>
        <v/>
      </c>
      <c r="O247" s="82" t="str">
        <f t="shared" si="27"/>
        <v/>
      </c>
      <c r="P24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Row],[Score4]]&lt;&gt;""),IF(AND(N247&gt;O247,N247&gt;=11),"ROOD",IF(AND(O247&gt;=11,N247&lt;&gt;O247),"GROEN","")),"")</f>
        <v/>
      </c>
      <c r="Q247" s="86" t="str">
        <f t="shared" si="24"/>
        <v/>
      </c>
      <c r="R247" s="87" t="str">
        <f t="shared" si="25"/>
        <v/>
      </c>
      <c r="S247" s="147" t="str">
        <f>Tabel15[[#This Row],[Rood Verdediging]]&amp;Tabel15[[#This Row],[Rood Aanval]]</f>
        <v/>
      </c>
      <c r="T247" s="147" t="str">
        <f>Tabel15[[#This Row],[Groen Verdediging]]&amp;Tabel15[[#This Row],[Groen Aanval]]</f>
        <v/>
      </c>
      <c r="U247" s="147" t="str">
        <f>Tabel15[[#This Row],[Winnaar 1]]&amp;Tabel15[[#This Row],[Winnaar 2]]</f>
        <v/>
      </c>
      <c r="V247" s="147" t="str">
        <f>IF(Tabel15[[#This Row],[Team Rood]]=Tabel15[[#This Row],[Winnaars]],Tabel15[[#This Row],[Team Rood]])</f>
        <v/>
      </c>
      <c r="W247" s="147" t="str">
        <f>IF(Tabel15[[#This Row],[Team Groen]]=Tabel15[[#This Row],[Winnaars]],Tabel15[[#This Row],[Team Groen]])</f>
        <v/>
      </c>
      <c r="X247" s="283"/>
      <c r="Y247" s="283"/>
      <c r="Z247" s="283"/>
      <c r="AA247" s="283"/>
    </row>
    <row r="248" spans="1:27" x14ac:dyDescent="0.25">
      <c r="A248" s="125" t="str">
        <f ca="1">IF(Tabel15[[#This Row],[Rood Verdediging]]&lt;&gt;"",IF(A248="",NOW(),A248),"")</f>
        <v/>
      </c>
      <c r="B248" s="128" t="str">
        <f ca="1">IF(Tabel15[[#This Row],[Rood Verdediging]]&lt;&gt;"",IF(B248="",NOW(),B248),"")</f>
        <v/>
      </c>
      <c r="C248" s="126" t="str">
        <f ca="1">IF(Tabel15[[#This Row],[Score]]&lt;&gt;"",IF(C248="",NOW(),C248),"")</f>
        <v/>
      </c>
      <c r="D248" s="182" t="str">
        <f ca="1">IF(OR(Tabel15[[#This Row],[Starttijd]]="",Tabel15[[#This Row],[Eindtijd]]=""),"",Tabel15[[#This Row],[Eindtijd]]-Tabel15[[#This Row],[Starttijd]])</f>
        <v/>
      </c>
      <c r="E248" s="74">
        <v>120</v>
      </c>
      <c r="F248" s="40"/>
      <c r="G248" s="76"/>
      <c r="H248" s="40"/>
      <c r="I248" s="76"/>
      <c r="J248" s="41"/>
      <c r="K248" s="78"/>
      <c r="L248" s="41"/>
      <c r="M248" s="78"/>
      <c r="N248" s="81" t="str">
        <f t="shared" si="26"/>
        <v/>
      </c>
      <c r="O248" s="82" t="str">
        <f t="shared" si="27"/>
        <v/>
      </c>
      <c r="P24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Row],[Score4]]&lt;&gt;""),IF(AND(N248&gt;O248,N248&gt;=11),"ROOD",IF(AND(O248&gt;=11,N248&lt;&gt;O248),"GROEN","")),"")</f>
        <v/>
      </c>
      <c r="Q248" s="86" t="str">
        <f t="shared" si="24"/>
        <v/>
      </c>
      <c r="R248" s="87" t="str">
        <f t="shared" si="25"/>
        <v/>
      </c>
      <c r="S248" s="147" t="str">
        <f>Tabel15[[#This Row],[Rood Verdediging]]&amp;Tabel15[[#This Row],[Rood Aanval]]</f>
        <v/>
      </c>
      <c r="T248" s="147" t="str">
        <f>Tabel15[[#This Row],[Groen Verdediging]]&amp;Tabel15[[#This Row],[Groen Aanval]]</f>
        <v/>
      </c>
      <c r="U248" s="147" t="str">
        <f>Tabel15[[#This Row],[Winnaar 1]]&amp;Tabel15[[#This Row],[Winnaar 2]]</f>
        <v/>
      </c>
      <c r="V248" s="147" t="str">
        <f>IF(Tabel15[[#This Row],[Team Rood]]=Tabel15[[#This Row],[Winnaars]],Tabel15[[#This Row],[Team Rood]])</f>
        <v/>
      </c>
      <c r="W248" s="147" t="str">
        <f>IF(Tabel15[[#This Row],[Team Groen]]=Tabel15[[#This Row],[Winnaars]],Tabel15[[#This Row],[Team Groen]])</f>
        <v/>
      </c>
      <c r="X248" s="283"/>
      <c r="Y248" s="283"/>
      <c r="Z248" s="283"/>
      <c r="AA248" s="283"/>
    </row>
    <row r="249" spans="1:27" x14ac:dyDescent="0.25">
      <c r="A249" s="125" t="str">
        <f ca="1">IF(Tabel15[[#This Row],[Rood Verdediging]]&lt;&gt;"",IF(A249="",NOW(),A249),"")</f>
        <v/>
      </c>
      <c r="B249" s="128" t="str">
        <f ca="1">IF(Tabel15[[#This Row],[Rood Verdediging]]&lt;&gt;"",IF(B249="",NOW(),B249),"")</f>
        <v/>
      </c>
      <c r="C249" s="126" t="str">
        <f ca="1">IF(Tabel15[[#This Row],[Score]]&lt;&gt;"",IF(C249="",NOW(),C249),"")</f>
        <v/>
      </c>
      <c r="D249" s="182" t="str">
        <f ca="1">IF(OR(Tabel15[[#This Row],[Starttijd]]="",Tabel15[[#This Row],[Eindtijd]]=""),"",Tabel15[[#This Row],[Eindtijd]]-Tabel15[[#This Row],[Starttijd]])</f>
        <v/>
      </c>
      <c r="E249" s="74">
        <v>120</v>
      </c>
      <c r="F249" s="40"/>
      <c r="G249" s="76"/>
      <c r="H249" s="40"/>
      <c r="I249" s="76"/>
      <c r="J249" s="41"/>
      <c r="K249" s="78"/>
      <c r="L249" s="41"/>
      <c r="M249" s="78"/>
      <c r="N249" s="81" t="str">
        <f t="shared" si="26"/>
        <v/>
      </c>
      <c r="O249" s="82" t="str">
        <f t="shared" si="27"/>
        <v/>
      </c>
      <c r="P24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Row],[Score4]]&lt;&gt;""),IF(AND(N249&gt;O249,N249&gt;=11),"ROOD",IF(AND(O249&gt;=11,N249&lt;&gt;O249),"GROEN","")),"")</f>
        <v/>
      </c>
      <c r="Q249" s="86" t="str">
        <f t="shared" si="24"/>
        <v/>
      </c>
      <c r="R249" s="87" t="str">
        <f t="shared" si="25"/>
        <v/>
      </c>
      <c r="S249" s="147" t="str">
        <f>Tabel15[[#This Row],[Rood Verdediging]]&amp;Tabel15[[#This Row],[Rood Aanval]]</f>
        <v/>
      </c>
      <c r="T249" s="147" t="str">
        <f>Tabel15[[#This Row],[Groen Verdediging]]&amp;Tabel15[[#This Row],[Groen Aanval]]</f>
        <v/>
      </c>
      <c r="U249" s="147" t="str">
        <f>Tabel15[[#This Row],[Winnaar 1]]&amp;Tabel15[[#This Row],[Winnaar 2]]</f>
        <v/>
      </c>
      <c r="V249" s="147" t="str">
        <f>IF(Tabel15[[#This Row],[Team Rood]]=Tabel15[[#This Row],[Winnaars]],Tabel15[[#This Row],[Team Rood]])</f>
        <v/>
      </c>
      <c r="W249" s="147" t="str">
        <f>IF(Tabel15[[#This Row],[Team Groen]]=Tabel15[[#This Row],[Winnaars]],Tabel15[[#This Row],[Team Groen]])</f>
        <v/>
      </c>
      <c r="X249" s="283"/>
      <c r="Y249" s="283"/>
      <c r="Z249" s="283"/>
      <c r="AA249" s="283"/>
    </row>
    <row r="250" spans="1:27" x14ac:dyDescent="0.25">
      <c r="A250" s="125" t="str">
        <f ca="1">IF(Tabel15[[#This Row],[Rood Verdediging]]&lt;&gt;"",IF(A250="",NOW(),A250),"")</f>
        <v/>
      </c>
      <c r="B250" s="128" t="str">
        <f ca="1">IF(Tabel15[[#This Row],[Rood Verdediging]]&lt;&gt;"",IF(B250="",NOW(),B250),"")</f>
        <v/>
      </c>
      <c r="C250" s="126" t="str">
        <f ca="1">IF(Tabel15[[#This Row],[Score]]&lt;&gt;"",IF(C250="",NOW(),C250),"")</f>
        <v/>
      </c>
      <c r="D250" s="182" t="str">
        <f ca="1">IF(OR(Tabel15[[#This Row],[Starttijd]]="",Tabel15[[#This Row],[Eindtijd]]=""),"",Tabel15[[#This Row],[Eindtijd]]-Tabel15[[#This Row],[Starttijd]])</f>
        <v/>
      </c>
      <c r="E250" s="74">
        <v>120</v>
      </c>
      <c r="F250" s="40"/>
      <c r="G250" s="76"/>
      <c r="H250" s="40"/>
      <c r="I250" s="76"/>
      <c r="J250" s="41"/>
      <c r="K250" s="78"/>
      <c r="L250" s="41"/>
      <c r="M250" s="78"/>
      <c r="N250" s="81" t="str">
        <f t="shared" si="26"/>
        <v/>
      </c>
      <c r="O250" s="82" t="str">
        <f t="shared" si="27"/>
        <v/>
      </c>
      <c r="P25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Row],[Score4]]&lt;&gt;""),IF(AND(N250&gt;O250,N250&gt;=11),"ROOD",IF(AND(O250&gt;=11,N250&lt;&gt;O250),"GROEN","")),"")</f>
        <v/>
      </c>
      <c r="Q250" s="86" t="str">
        <f t="shared" si="24"/>
        <v/>
      </c>
      <c r="R250" s="87" t="str">
        <f t="shared" si="25"/>
        <v/>
      </c>
      <c r="S250" s="147" t="str">
        <f>Tabel15[[#This Row],[Rood Verdediging]]&amp;Tabel15[[#This Row],[Rood Aanval]]</f>
        <v/>
      </c>
      <c r="T250" s="147" t="str">
        <f>Tabel15[[#This Row],[Groen Verdediging]]&amp;Tabel15[[#This Row],[Groen Aanval]]</f>
        <v/>
      </c>
      <c r="U250" s="147" t="str">
        <f>Tabel15[[#This Row],[Winnaar 1]]&amp;Tabel15[[#This Row],[Winnaar 2]]</f>
        <v/>
      </c>
      <c r="V250" s="147" t="str">
        <f>IF(Tabel15[[#This Row],[Team Rood]]=Tabel15[[#This Row],[Winnaars]],Tabel15[[#This Row],[Team Rood]])</f>
        <v/>
      </c>
      <c r="W250" s="147" t="str">
        <f>IF(Tabel15[[#This Row],[Team Groen]]=Tabel15[[#This Row],[Winnaars]],Tabel15[[#This Row],[Team Groen]])</f>
        <v/>
      </c>
      <c r="X250" s="283"/>
      <c r="Y250" s="283"/>
      <c r="Z250" s="283"/>
      <c r="AA250" s="283"/>
    </row>
    <row r="251" spans="1:27" x14ac:dyDescent="0.25">
      <c r="A251" s="125" t="str">
        <f ca="1">IF(Tabel15[[#This Row],[Rood Verdediging]]&lt;&gt;"",IF(A251="",NOW(),A251),"")</f>
        <v/>
      </c>
      <c r="B251" s="128" t="str">
        <f ca="1">IF(Tabel15[[#This Row],[Rood Verdediging]]&lt;&gt;"",IF(B251="",NOW(),B251),"")</f>
        <v/>
      </c>
      <c r="C251" s="126" t="str">
        <f ca="1">IF(Tabel15[[#This Row],[Score]]&lt;&gt;"",IF(C251="",NOW(),C251),"")</f>
        <v/>
      </c>
      <c r="D251" s="182" t="str">
        <f ca="1">IF(OR(Tabel15[[#This Row],[Starttijd]]="",Tabel15[[#This Row],[Eindtijd]]=""),"",Tabel15[[#This Row],[Eindtijd]]-Tabel15[[#This Row],[Starttijd]])</f>
        <v/>
      </c>
      <c r="E251" s="74">
        <v>120</v>
      </c>
      <c r="F251" s="40"/>
      <c r="G251" s="76"/>
      <c r="H251" s="40"/>
      <c r="I251" s="76"/>
      <c r="J251" s="41"/>
      <c r="K251" s="78"/>
      <c r="L251" s="41"/>
      <c r="M251" s="78"/>
      <c r="N251" s="81" t="str">
        <f t="shared" si="26"/>
        <v/>
      </c>
      <c r="O251" s="82" t="str">
        <f t="shared" si="27"/>
        <v/>
      </c>
      <c r="P25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Row],[Score4]]&lt;&gt;""),IF(AND(N251&gt;O251,N251&gt;=11),"ROOD",IF(AND(O251&gt;=11,N251&lt;&gt;O251),"GROEN","")),"")</f>
        <v/>
      </c>
      <c r="Q251" s="86" t="str">
        <f t="shared" si="24"/>
        <v/>
      </c>
      <c r="R251" s="87" t="str">
        <f t="shared" si="25"/>
        <v/>
      </c>
      <c r="S251" s="147" t="str">
        <f>Tabel15[[#This Row],[Rood Verdediging]]&amp;Tabel15[[#This Row],[Rood Aanval]]</f>
        <v/>
      </c>
      <c r="T251" s="147" t="str">
        <f>Tabel15[[#This Row],[Groen Verdediging]]&amp;Tabel15[[#This Row],[Groen Aanval]]</f>
        <v/>
      </c>
      <c r="U251" s="147" t="str">
        <f>Tabel15[[#This Row],[Winnaar 1]]&amp;Tabel15[[#This Row],[Winnaar 2]]</f>
        <v/>
      </c>
      <c r="V251" s="147" t="str">
        <f>IF(Tabel15[[#This Row],[Team Rood]]=Tabel15[[#This Row],[Winnaars]],Tabel15[[#This Row],[Team Rood]])</f>
        <v/>
      </c>
      <c r="W251" s="147" t="str">
        <f>IF(Tabel15[[#This Row],[Team Groen]]=Tabel15[[#This Row],[Winnaars]],Tabel15[[#This Row],[Team Groen]])</f>
        <v/>
      </c>
      <c r="X251" s="283"/>
      <c r="Y251" s="283"/>
      <c r="Z251" s="283"/>
      <c r="AA251" s="283"/>
    </row>
    <row r="252" spans="1:27" x14ac:dyDescent="0.25">
      <c r="A252" s="125" t="str">
        <f ca="1">IF(Tabel15[[#This Row],[Rood Verdediging]]&lt;&gt;"",IF(A252="",NOW(),A252),"")</f>
        <v/>
      </c>
      <c r="B252" s="128" t="str">
        <f ca="1">IF(Tabel15[[#This Row],[Rood Verdediging]]&lt;&gt;"",IF(B252="",NOW(),B252),"")</f>
        <v/>
      </c>
      <c r="C252" s="126" t="str">
        <f ca="1">IF(Tabel15[[#This Row],[Score]]&lt;&gt;"",IF(C252="",NOW(),C252),"")</f>
        <v/>
      </c>
      <c r="D252" s="182" t="str">
        <f ca="1">IF(OR(Tabel15[[#This Row],[Starttijd]]="",Tabel15[[#This Row],[Eindtijd]]=""),"",Tabel15[[#This Row],[Eindtijd]]-Tabel15[[#This Row],[Starttijd]])</f>
        <v/>
      </c>
      <c r="E252" s="74">
        <v>120</v>
      </c>
      <c r="F252" s="40"/>
      <c r="G252" s="76"/>
      <c r="H252" s="40"/>
      <c r="I252" s="76"/>
      <c r="J252" s="41"/>
      <c r="K252" s="78"/>
      <c r="L252" s="41"/>
      <c r="M252" s="78"/>
      <c r="N252" s="81" t="str">
        <f t="shared" si="26"/>
        <v/>
      </c>
      <c r="O252" s="82" t="str">
        <f t="shared" si="27"/>
        <v/>
      </c>
      <c r="P25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Row],[Score4]]&lt;&gt;""),IF(AND(N252&gt;O252,N252&gt;=11),"ROOD",IF(AND(O252&gt;=11,N252&lt;&gt;O252),"GROEN","")),"")</f>
        <v/>
      </c>
      <c r="Q252" s="86" t="str">
        <f t="shared" si="24"/>
        <v/>
      </c>
      <c r="R252" s="87" t="str">
        <f t="shared" si="25"/>
        <v/>
      </c>
      <c r="S252" s="147" t="str">
        <f>Tabel15[[#This Row],[Rood Verdediging]]&amp;Tabel15[[#This Row],[Rood Aanval]]</f>
        <v/>
      </c>
      <c r="T252" s="147" t="str">
        <f>Tabel15[[#This Row],[Groen Verdediging]]&amp;Tabel15[[#This Row],[Groen Aanval]]</f>
        <v/>
      </c>
      <c r="U252" s="147" t="str">
        <f>Tabel15[[#This Row],[Winnaar 1]]&amp;Tabel15[[#This Row],[Winnaar 2]]</f>
        <v/>
      </c>
      <c r="V252" s="147" t="str">
        <f>IF(Tabel15[[#This Row],[Team Rood]]=Tabel15[[#This Row],[Winnaars]],Tabel15[[#This Row],[Team Rood]])</f>
        <v/>
      </c>
      <c r="W252" s="147" t="str">
        <f>IF(Tabel15[[#This Row],[Team Groen]]=Tabel15[[#This Row],[Winnaars]],Tabel15[[#This Row],[Team Groen]])</f>
        <v/>
      </c>
      <c r="X252" s="283"/>
      <c r="Y252" s="283"/>
      <c r="Z252" s="283"/>
      <c r="AA252" s="283"/>
    </row>
    <row r="253" spans="1:27" x14ac:dyDescent="0.25">
      <c r="A253" s="125" t="str">
        <f ca="1">IF(Tabel15[[#This Row],[Rood Verdediging]]&lt;&gt;"",IF(A253="",NOW(),A253),"")</f>
        <v/>
      </c>
      <c r="B253" s="128" t="str">
        <f ca="1">IF(Tabel15[[#This Row],[Rood Verdediging]]&lt;&gt;"",IF(B253="",NOW(),B253),"")</f>
        <v/>
      </c>
      <c r="C253" s="126" t="str">
        <f ca="1">IF(Tabel15[[#This Row],[Score]]&lt;&gt;"",IF(C253="",NOW(),C253),"")</f>
        <v/>
      </c>
      <c r="D253" s="182" t="str">
        <f ca="1">IF(OR(Tabel15[[#This Row],[Starttijd]]="",Tabel15[[#This Row],[Eindtijd]]=""),"",Tabel15[[#This Row],[Eindtijd]]-Tabel15[[#This Row],[Starttijd]])</f>
        <v/>
      </c>
      <c r="E253" s="74">
        <v>120</v>
      </c>
      <c r="F253" s="40"/>
      <c r="G253" s="76"/>
      <c r="H253" s="40"/>
      <c r="I253" s="76"/>
      <c r="J253" s="41"/>
      <c r="K253" s="78"/>
      <c r="L253" s="41"/>
      <c r="M253" s="78"/>
      <c r="N253" s="81" t="str">
        <f t="shared" si="26"/>
        <v/>
      </c>
      <c r="O253" s="82" t="str">
        <f t="shared" si="27"/>
        <v/>
      </c>
      <c r="P25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Row],[Score4]]&lt;&gt;""),IF(AND(N253&gt;O253,N253&gt;=11),"ROOD",IF(AND(O253&gt;=11,N253&lt;&gt;O253),"GROEN","")),"")</f>
        <v/>
      </c>
      <c r="Q253" s="86" t="str">
        <f t="shared" si="24"/>
        <v/>
      </c>
      <c r="R253" s="87" t="str">
        <f t="shared" si="25"/>
        <v/>
      </c>
      <c r="S253" s="147" t="str">
        <f>Tabel15[[#This Row],[Rood Verdediging]]&amp;Tabel15[[#This Row],[Rood Aanval]]</f>
        <v/>
      </c>
      <c r="T253" s="147" t="str">
        <f>Tabel15[[#This Row],[Groen Verdediging]]&amp;Tabel15[[#This Row],[Groen Aanval]]</f>
        <v/>
      </c>
      <c r="U253" s="147" t="str">
        <f>Tabel15[[#This Row],[Winnaar 1]]&amp;Tabel15[[#This Row],[Winnaar 2]]</f>
        <v/>
      </c>
      <c r="V253" s="147" t="str">
        <f>IF(Tabel15[[#This Row],[Team Rood]]=Tabel15[[#This Row],[Winnaars]],Tabel15[[#This Row],[Team Rood]])</f>
        <v/>
      </c>
      <c r="W253" s="147" t="str">
        <f>IF(Tabel15[[#This Row],[Team Groen]]=Tabel15[[#This Row],[Winnaars]],Tabel15[[#This Row],[Team Groen]])</f>
        <v/>
      </c>
      <c r="X253" s="283"/>
      <c r="Y253" s="283"/>
      <c r="Z253" s="283"/>
      <c r="AA253" s="283"/>
    </row>
    <row r="254" spans="1:27" x14ac:dyDescent="0.25">
      <c r="A254" s="125" t="str">
        <f ca="1">IF(Tabel15[[#This Row],[Rood Verdediging]]&lt;&gt;"",IF(A254="",NOW(),A254),"")</f>
        <v/>
      </c>
      <c r="B254" s="128" t="str">
        <f ca="1">IF(Tabel15[[#This Row],[Rood Verdediging]]&lt;&gt;"",IF(B254="",NOW(),B254),"")</f>
        <v/>
      </c>
      <c r="C254" s="126" t="str">
        <f ca="1">IF(Tabel15[[#This Row],[Score]]&lt;&gt;"",IF(C254="",NOW(),C254),"")</f>
        <v/>
      </c>
      <c r="D254" s="182" t="str">
        <f ca="1">IF(OR(Tabel15[[#This Row],[Starttijd]]="",Tabel15[[#This Row],[Eindtijd]]=""),"",Tabel15[[#This Row],[Eindtijd]]-Tabel15[[#This Row],[Starttijd]])</f>
        <v/>
      </c>
      <c r="E254" s="74">
        <v>120</v>
      </c>
      <c r="F254" s="40"/>
      <c r="G254" s="76"/>
      <c r="H254" s="40"/>
      <c r="I254" s="76"/>
      <c r="J254" s="41"/>
      <c r="K254" s="78"/>
      <c r="L254" s="41"/>
      <c r="M254" s="78"/>
      <c r="N254" s="81" t="str">
        <f t="shared" si="26"/>
        <v/>
      </c>
      <c r="O254" s="82" t="str">
        <f t="shared" si="27"/>
        <v/>
      </c>
      <c r="P25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Row],[Score4]]&lt;&gt;""),IF(AND(N254&gt;O254,N254&gt;=11),"ROOD",IF(AND(O254&gt;=11,N254&lt;&gt;O254),"GROEN","")),"")</f>
        <v/>
      </c>
      <c r="Q254" s="86" t="str">
        <f t="shared" si="24"/>
        <v/>
      </c>
      <c r="R254" s="87" t="str">
        <f t="shared" si="25"/>
        <v/>
      </c>
      <c r="S254" s="147" t="str">
        <f>Tabel15[[#This Row],[Rood Verdediging]]&amp;Tabel15[[#This Row],[Rood Aanval]]</f>
        <v/>
      </c>
      <c r="T254" s="147" t="str">
        <f>Tabel15[[#This Row],[Groen Verdediging]]&amp;Tabel15[[#This Row],[Groen Aanval]]</f>
        <v/>
      </c>
      <c r="U254" s="147" t="str">
        <f>Tabel15[[#This Row],[Winnaar 1]]&amp;Tabel15[[#This Row],[Winnaar 2]]</f>
        <v/>
      </c>
      <c r="V254" s="147" t="str">
        <f>IF(Tabel15[[#This Row],[Team Rood]]=Tabel15[[#This Row],[Winnaars]],Tabel15[[#This Row],[Team Rood]])</f>
        <v/>
      </c>
      <c r="W254" s="147" t="str">
        <f>IF(Tabel15[[#This Row],[Team Groen]]=Tabel15[[#This Row],[Winnaars]],Tabel15[[#This Row],[Team Groen]])</f>
        <v/>
      </c>
      <c r="X254" s="283"/>
      <c r="Y254" s="283"/>
      <c r="Z254" s="283"/>
      <c r="AA254" s="283"/>
    </row>
    <row r="255" spans="1:27" x14ac:dyDescent="0.25">
      <c r="A255" s="125" t="str">
        <f ca="1">IF(Tabel15[[#This Row],[Rood Verdediging]]&lt;&gt;"",IF(A255="",NOW(),A255),"")</f>
        <v/>
      </c>
      <c r="B255" s="128" t="str">
        <f ca="1">IF(Tabel15[[#This Row],[Rood Verdediging]]&lt;&gt;"",IF(B255="",NOW(),B255),"")</f>
        <v/>
      </c>
      <c r="C255" s="126" t="str">
        <f ca="1">IF(Tabel15[[#This Row],[Score]]&lt;&gt;"",IF(C255="",NOW(),C255),"")</f>
        <v/>
      </c>
      <c r="D255" s="182" t="str">
        <f ca="1">IF(OR(Tabel15[[#This Row],[Starttijd]]="",Tabel15[[#This Row],[Eindtijd]]=""),"",Tabel15[[#This Row],[Eindtijd]]-Tabel15[[#This Row],[Starttijd]])</f>
        <v/>
      </c>
      <c r="E255" s="74">
        <v>120</v>
      </c>
      <c r="F255" s="40"/>
      <c r="G255" s="76"/>
      <c r="H255" s="40"/>
      <c r="I255" s="76"/>
      <c r="J255" s="41"/>
      <c r="K255" s="78"/>
      <c r="L255" s="41"/>
      <c r="M255" s="78"/>
      <c r="N255" s="81" t="str">
        <f t="shared" si="26"/>
        <v/>
      </c>
      <c r="O255" s="82" t="str">
        <f t="shared" si="27"/>
        <v/>
      </c>
      <c r="P25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Row],[Score4]]&lt;&gt;""),IF(AND(N255&gt;O255,N255&gt;=11),"ROOD",IF(AND(O255&gt;=11,N255&lt;&gt;O255),"GROEN","")),"")</f>
        <v/>
      </c>
      <c r="Q255" s="86" t="str">
        <f t="shared" si="24"/>
        <v/>
      </c>
      <c r="R255" s="87" t="str">
        <f t="shared" si="25"/>
        <v/>
      </c>
      <c r="S255" s="147" t="str">
        <f>Tabel15[[#This Row],[Rood Verdediging]]&amp;Tabel15[[#This Row],[Rood Aanval]]</f>
        <v/>
      </c>
      <c r="T255" s="147" t="str">
        <f>Tabel15[[#This Row],[Groen Verdediging]]&amp;Tabel15[[#This Row],[Groen Aanval]]</f>
        <v/>
      </c>
      <c r="U255" s="147" t="str">
        <f>Tabel15[[#This Row],[Winnaar 1]]&amp;Tabel15[[#This Row],[Winnaar 2]]</f>
        <v/>
      </c>
      <c r="V255" s="147" t="str">
        <f>IF(Tabel15[[#This Row],[Team Rood]]=Tabel15[[#This Row],[Winnaars]],Tabel15[[#This Row],[Team Rood]])</f>
        <v/>
      </c>
      <c r="W255" s="147" t="str">
        <f>IF(Tabel15[[#This Row],[Team Groen]]=Tabel15[[#This Row],[Winnaars]],Tabel15[[#This Row],[Team Groen]])</f>
        <v/>
      </c>
      <c r="X255" s="283"/>
      <c r="Y255" s="283"/>
      <c r="Z255" s="283"/>
      <c r="AA255" s="283"/>
    </row>
    <row r="256" spans="1:27" x14ac:dyDescent="0.25">
      <c r="A256" s="125" t="str">
        <f ca="1">IF(Tabel15[[#This Row],[Rood Verdediging]]&lt;&gt;"",IF(A256="",NOW(),A256),"")</f>
        <v/>
      </c>
      <c r="B256" s="128" t="str">
        <f ca="1">IF(Tabel15[[#This Row],[Rood Verdediging]]&lt;&gt;"",IF(B256="",NOW(),B256),"")</f>
        <v/>
      </c>
      <c r="C256" s="126" t="str">
        <f ca="1">IF(Tabel15[[#This Row],[Score]]&lt;&gt;"",IF(C256="",NOW(),C256),"")</f>
        <v/>
      </c>
      <c r="D256" s="182" t="str">
        <f ca="1">IF(OR(Tabel15[[#This Row],[Starttijd]]="",Tabel15[[#This Row],[Eindtijd]]=""),"",Tabel15[[#This Row],[Eindtijd]]-Tabel15[[#This Row],[Starttijd]])</f>
        <v/>
      </c>
      <c r="E256" s="74">
        <v>120</v>
      </c>
      <c r="F256" s="40"/>
      <c r="G256" s="76"/>
      <c r="H256" s="40"/>
      <c r="I256" s="76"/>
      <c r="J256" s="41"/>
      <c r="K256" s="78"/>
      <c r="L256" s="41"/>
      <c r="M256" s="78"/>
      <c r="N256" s="81" t="str">
        <f t="shared" si="26"/>
        <v/>
      </c>
      <c r="O256" s="82" t="str">
        <f t="shared" si="27"/>
        <v/>
      </c>
      <c r="P25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Row],[Score4]]&lt;&gt;""),IF(AND(N256&gt;O256,N256&gt;=11),"ROOD",IF(AND(O256&gt;=11,N256&lt;&gt;O256),"GROEN","")),"")</f>
        <v/>
      </c>
      <c r="Q256" s="86" t="str">
        <f t="shared" si="24"/>
        <v/>
      </c>
      <c r="R256" s="87" t="str">
        <f t="shared" si="25"/>
        <v/>
      </c>
      <c r="S256" s="147" t="str">
        <f>Tabel15[[#This Row],[Rood Verdediging]]&amp;Tabel15[[#This Row],[Rood Aanval]]</f>
        <v/>
      </c>
      <c r="T256" s="147" t="str">
        <f>Tabel15[[#This Row],[Groen Verdediging]]&amp;Tabel15[[#This Row],[Groen Aanval]]</f>
        <v/>
      </c>
      <c r="U256" s="147" t="str">
        <f>Tabel15[[#This Row],[Winnaar 1]]&amp;Tabel15[[#This Row],[Winnaar 2]]</f>
        <v/>
      </c>
      <c r="V256" s="147" t="str">
        <f>IF(Tabel15[[#This Row],[Team Rood]]=Tabel15[[#This Row],[Winnaars]],Tabel15[[#This Row],[Team Rood]])</f>
        <v/>
      </c>
      <c r="W256" s="147" t="str">
        <f>IF(Tabel15[[#This Row],[Team Groen]]=Tabel15[[#This Row],[Winnaars]],Tabel15[[#This Row],[Team Groen]])</f>
        <v/>
      </c>
      <c r="X256" s="283"/>
      <c r="Y256" s="283"/>
      <c r="Z256" s="283"/>
      <c r="AA256" s="283"/>
    </row>
    <row r="257" spans="1:27" x14ac:dyDescent="0.25">
      <c r="A257" s="125" t="str">
        <f ca="1">IF(Tabel15[[#This Row],[Rood Verdediging]]&lt;&gt;"",IF(A257="",NOW(),A257),"")</f>
        <v/>
      </c>
      <c r="B257" s="128" t="str">
        <f ca="1">IF(Tabel15[[#This Row],[Rood Verdediging]]&lt;&gt;"",IF(B257="",NOW(),B257),"")</f>
        <v/>
      </c>
      <c r="C257" s="126" t="str">
        <f ca="1">IF(Tabel15[[#This Row],[Score]]&lt;&gt;"",IF(C257="",NOW(),C257),"")</f>
        <v/>
      </c>
      <c r="D257" s="182" t="str">
        <f ca="1">IF(OR(Tabel15[[#This Row],[Starttijd]]="",Tabel15[[#This Row],[Eindtijd]]=""),"",Tabel15[[#This Row],[Eindtijd]]-Tabel15[[#This Row],[Starttijd]])</f>
        <v/>
      </c>
      <c r="E257" s="74">
        <v>120</v>
      </c>
      <c r="F257" s="40"/>
      <c r="G257" s="76"/>
      <c r="H257" s="40"/>
      <c r="I257" s="76"/>
      <c r="J257" s="41"/>
      <c r="K257" s="78"/>
      <c r="L257" s="41"/>
      <c r="M257" s="78"/>
      <c r="N257" s="81" t="str">
        <f t="shared" si="26"/>
        <v/>
      </c>
      <c r="O257" s="82" t="str">
        <f t="shared" si="27"/>
        <v/>
      </c>
      <c r="P25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Row],[Score4]]&lt;&gt;""),IF(AND(N257&gt;O257,N257&gt;=11),"ROOD",IF(AND(O257&gt;=11,N257&lt;&gt;O257),"GROEN","")),"")</f>
        <v/>
      </c>
      <c r="Q257" s="86" t="str">
        <f t="shared" si="24"/>
        <v/>
      </c>
      <c r="R257" s="87" t="str">
        <f t="shared" si="25"/>
        <v/>
      </c>
      <c r="S257" s="147" t="str">
        <f>Tabel15[[#This Row],[Rood Verdediging]]&amp;Tabel15[[#This Row],[Rood Aanval]]</f>
        <v/>
      </c>
      <c r="T257" s="147" t="str">
        <f>Tabel15[[#This Row],[Groen Verdediging]]&amp;Tabel15[[#This Row],[Groen Aanval]]</f>
        <v/>
      </c>
      <c r="U257" s="147" t="str">
        <f>Tabel15[[#This Row],[Winnaar 1]]&amp;Tabel15[[#This Row],[Winnaar 2]]</f>
        <v/>
      </c>
      <c r="V257" s="147" t="str">
        <f>IF(Tabel15[[#This Row],[Team Rood]]=Tabel15[[#This Row],[Winnaars]],Tabel15[[#This Row],[Team Rood]])</f>
        <v/>
      </c>
      <c r="W257" s="147" t="str">
        <f>IF(Tabel15[[#This Row],[Team Groen]]=Tabel15[[#This Row],[Winnaars]],Tabel15[[#This Row],[Team Groen]])</f>
        <v/>
      </c>
      <c r="X257" s="283"/>
      <c r="Y257" s="283"/>
      <c r="Z257" s="283"/>
      <c r="AA257" s="283"/>
    </row>
    <row r="258" spans="1:27" x14ac:dyDescent="0.25">
      <c r="A258" s="125" t="str">
        <f ca="1">IF(Tabel15[[#This Row],[Rood Verdediging]]&lt;&gt;"",IF(A258="",NOW(),A258),"")</f>
        <v/>
      </c>
      <c r="B258" s="128" t="str">
        <f ca="1">IF(Tabel15[[#This Row],[Rood Verdediging]]&lt;&gt;"",IF(B258="",NOW(),B258),"")</f>
        <v/>
      </c>
      <c r="C258" s="126" t="str">
        <f ca="1">IF(Tabel15[[#This Row],[Score]]&lt;&gt;"",IF(C258="",NOW(),C258),"")</f>
        <v/>
      </c>
      <c r="D258" s="182" t="str">
        <f ca="1">IF(OR(Tabel15[[#This Row],[Starttijd]]="",Tabel15[[#This Row],[Eindtijd]]=""),"",Tabel15[[#This Row],[Eindtijd]]-Tabel15[[#This Row],[Starttijd]])</f>
        <v/>
      </c>
      <c r="E258" s="74">
        <v>120</v>
      </c>
      <c r="F258" s="40"/>
      <c r="G258" s="76"/>
      <c r="H258" s="40"/>
      <c r="I258" s="76"/>
      <c r="J258" s="41"/>
      <c r="K258" s="78"/>
      <c r="L258" s="41"/>
      <c r="M258" s="78"/>
      <c r="N258" s="81" t="str">
        <f t="shared" si="26"/>
        <v/>
      </c>
      <c r="O258" s="82" t="str">
        <f t="shared" si="27"/>
        <v/>
      </c>
      <c r="P25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Row],[Score4]]&lt;&gt;""),IF(AND(N258&gt;O258,N258&gt;=11),"ROOD",IF(AND(O258&gt;=11,N258&lt;&gt;O258),"GROEN","")),"")</f>
        <v/>
      </c>
      <c r="Q258" s="86" t="str">
        <f t="shared" ref="Q258:Q305" si="28">IF(N258&gt;O258,F258,IF(N258="","",J258))</f>
        <v/>
      </c>
      <c r="R258" s="87" t="str">
        <f t="shared" ref="R258:R305" si="29">IF(N258&gt;O258,H258,IF(N258="","",L258))</f>
        <v/>
      </c>
      <c r="S258" s="147" t="str">
        <f>Tabel15[[#This Row],[Rood Verdediging]]&amp;Tabel15[[#This Row],[Rood Aanval]]</f>
        <v/>
      </c>
      <c r="T258" s="147" t="str">
        <f>Tabel15[[#This Row],[Groen Verdediging]]&amp;Tabel15[[#This Row],[Groen Aanval]]</f>
        <v/>
      </c>
      <c r="U258" s="147" t="str">
        <f>Tabel15[[#This Row],[Winnaar 1]]&amp;Tabel15[[#This Row],[Winnaar 2]]</f>
        <v/>
      </c>
      <c r="V258" s="147" t="str">
        <f>IF(Tabel15[[#This Row],[Team Rood]]=Tabel15[[#This Row],[Winnaars]],Tabel15[[#This Row],[Team Rood]])</f>
        <v/>
      </c>
      <c r="W258" s="147" t="str">
        <f>IF(Tabel15[[#This Row],[Team Groen]]=Tabel15[[#This Row],[Winnaars]],Tabel15[[#This Row],[Team Groen]])</f>
        <v/>
      </c>
      <c r="X258" s="283"/>
      <c r="Y258" s="283"/>
      <c r="Z258" s="283"/>
      <c r="AA258" s="283"/>
    </row>
    <row r="259" spans="1:27" x14ac:dyDescent="0.25">
      <c r="A259" s="125" t="str">
        <f ca="1">IF(Tabel15[[#This Row],[Rood Verdediging]]&lt;&gt;"",IF(A259="",NOW(),A259),"")</f>
        <v/>
      </c>
      <c r="B259" s="128" t="str">
        <f ca="1">IF(Tabel15[[#This Row],[Rood Verdediging]]&lt;&gt;"",IF(B259="",NOW(),B259),"")</f>
        <v/>
      </c>
      <c r="C259" s="126" t="str">
        <f ca="1">IF(Tabel15[[#This Row],[Score]]&lt;&gt;"",IF(C259="",NOW(),C259),"")</f>
        <v/>
      </c>
      <c r="D259" s="182" t="str">
        <f ca="1">IF(OR(Tabel15[[#This Row],[Starttijd]]="",Tabel15[[#This Row],[Eindtijd]]=""),"",Tabel15[[#This Row],[Eindtijd]]-Tabel15[[#This Row],[Starttijd]])</f>
        <v/>
      </c>
      <c r="E259" s="74">
        <v>120</v>
      </c>
      <c r="F259" s="40"/>
      <c r="G259" s="76"/>
      <c r="H259" s="40"/>
      <c r="I259" s="76"/>
      <c r="J259" s="41"/>
      <c r="K259" s="78"/>
      <c r="L259" s="41"/>
      <c r="M259" s="78"/>
      <c r="N259" s="81" t="str">
        <f t="shared" si="26"/>
        <v/>
      </c>
      <c r="O259" s="82" t="str">
        <f t="shared" si="27"/>
        <v/>
      </c>
      <c r="P25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Row],[Score4]]&lt;&gt;""),IF(AND(N259&gt;O259,N259&gt;=11),"ROOD",IF(AND(O259&gt;=11,N259&lt;&gt;O259),"GROEN","")),"")</f>
        <v/>
      </c>
      <c r="Q259" s="86" t="str">
        <f t="shared" si="28"/>
        <v/>
      </c>
      <c r="R259" s="87" t="str">
        <f t="shared" si="29"/>
        <v/>
      </c>
      <c r="S259" s="147" t="str">
        <f>Tabel15[[#This Row],[Rood Verdediging]]&amp;Tabel15[[#This Row],[Rood Aanval]]</f>
        <v/>
      </c>
      <c r="T259" s="147" t="str">
        <f>Tabel15[[#This Row],[Groen Verdediging]]&amp;Tabel15[[#This Row],[Groen Aanval]]</f>
        <v/>
      </c>
      <c r="U259" s="147" t="str">
        <f>Tabel15[[#This Row],[Winnaar 1]]&amp;Tabel15[[#This Row],[Winnaar 2]]</f>
        <v/>
      </c>
      <c r="V259" s="147" t="str">
        <f>IF(Tabel15[[#This Row],[Team Rood]]=Tabel15[[#This Row],[Winnaars]],Tabel15[[#This Row],[Team Rood]])</f>
        <v/>
      </c>
      <c r="W259" s="147" t="str">
        <f>IF(Tabel15[[#This Row],[Team Groen]]=Tabel15[[#This Row],[Winnaars]],Tabel15[[#This Row],[Team Groen]])</f>
        <v/>
      </c>
      <c r="X259" s="283"/>
      <c r="Y259" s="283"/>
      <c r="Z259" s="283"/>
      <c r="AA259" s="283"/>
    </row>
    <row r="260" spans="1:27" x14ac:dyDescent="0.25">
      <c r="A260" s="125" t="str">
        <f ca="1">IF(Tabel15[[#This Row],[Rood Verdediging]]&lt;&gt;"",IF(A260="",NOW(),A260),"")</f>
        <v/>
      </c>
      <c r="B260" s="128" t="str">
        <f ca="1">IF(Tabel15[[#This Row],[Rood Verdediging]]&lt;&gt;"",IF(B260="",NOW(),B260),"")</f>
        <v/>
      </c>
      <c r="C260" s="126" t="str">
        <f ca="1">IF(Tabel15[[#This Row],[Score]]&lt;&gt;"",IF(C260="",NOW(),C260),"")</f>
        <v/>
      </c>
      <c r="D260" s="182" t="str">
        <f ca="1">IF(OR(Tabel15[[#This Row],[Starttijd]]="",Tabel15[[#This Row],[Eindtijd]]=""),"",Tabel15[[#This Row],[Eindtijd]]-Tabel15[[#This Row],[Starttijd]])</f>
        <v/>
      </c>
      <c r="E260" s="74">
        <v>120</v>
      </c>
      <c r="F260" s="40"/>
      <c r="G260" s="76"/>
      <c r="H260" s="40"/>
      <c r="I260" s="76"/>
      <c r="J260" s="41"/>
      <c r="K260" s="78"/>
      <c r="L260" s="41"/>
      <c r="M260" s="78"/>
      <c r="N260" s="81" t="str">
        <f t="shared" si="26"/>
        <v/>
      </c>
      <c r="O260" s="82" t="str">
        <f t="shared" si="27"/>
        <v/>
      </c>
      <c r="P26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Row],[Score4]]&lt;&gt;""),IF(AND(N260&gt;O260,N260&gt;=11),"ROOD",IF(AND(O260&gt;=11,N260&lt;&gt;O260),"GROEN","")),"")</f>
        <v/>
      </c>
      <c r="Q260" s="86" t="str">
        <f t="shared" si="28"/>
        <v/>
      </c>
      <c r="R260" s="87" t="str">
        <f t="shared" si="29"/>
        <v/>
      </c>
      <c r="S260" s="147" t="str">
        <f>Tabel15[[#This Row],[Rood Verdediging]]&amp;Tabel15[[#This Row],[Rood Aanval]]</f>
        <v/>
      </c>
      <c r="T260" s="147" t="str">
        <f>Tabel15[[#This Row],[Groen Verdediging]]&amp;Tabel15[[#This Row],[Groen Aanval]]</f>
        <v/>
      </c>
      <c r="U260" s="147" t="str">
        <f>Tabel15[[#This Row],[Winnaar 1]]&amp;Tabel15[[#This Row],[Winnaar 2]]</f>
        <v/>
      </c>
      <c r="V260" s="147" t="str">
        <f>IF(Tabel15[[#This Row],[Team Rood]]=Tabel15[[#This Row],[Winnaars]],Tabel15[[#This Row],[Team Rood]])</f>
        <v/>
      </c>
      <c r="W260" s="147" t="str">
        <f>IF(Tabel15[[#This Row],[Team Groen]]=Tabel15[[#This Row],[Winnaars]],Tabel15[[#This Row],[Team Groen]])</f>
        <v/>
      </c>
      <c r="X260" s="283"/>
      <c r="Y260" s="283"/>
      <c r="Z260" s="283"/>
      <c r="AA260" s="283"/>
    </row>
    <row r="261" spans="1:27" x14ac:dyDescent="0.25">
      <c r="A261" s="125" t="str">
        <f ca="1">IF(Tabel15[[#This Row],[Rood Verdediging]]&lt;&gt;"",IF(A261="",NOW(),A261),"")</f>
        <v/>
      </c>
      <c r="B261" s="128" t="str">
        <f ca="1">IF(Tabel15[[#This Row],[Rood Verdediging]]&lt;&gt;"",IF(B261="",NOW(),B261),"")</f>
        <v/>
      </c>
      <c r="C261" s="126" t="str">
        <f ca="1">IF(Tabel15[[#This Row],[Score]]&lt;&gt;"",IF(C261="",NOW(),C261),"")</f>
        <v/>
      </c>
      <c r="D261" s="182" t="str">
        <f ca="1">IF(OR(Tabel15[[#This Row],[Starttijd]]="",Tabel15[[#This Row],[Eindtijd]]=""),"",Tabel15[[#This Row],[Eindtijd]]-Tabel15[[#This Row],[Starttijd]])</f>
        <v/>
      </c>
      <c r="E261" s="74">
        <v>120</v>
      </c>
      <c r="F261" s="40"/>
      <c r="G261" s="76"/>
      <c r="H261" s="40"/>
      <c r="I261" s="76"/>
      <c r="J261" s="41"/>
      <c r="K261" s="78"/>
      <c r="L261" s="41"/>
      <c r="M261" s="78"/>
      <c r="N261" s="81" t="str">
        <f t="shared" si="26"/>
        <v/>
      </c>
      <c r="O261" s="82" t="str">
        <f t="shared" si="27"/>
        <v/>
      </c>
      <c r="P26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Row],[Score4]]&lt;&gt;""),IF(AND(N261&gt;O261,N261&gt;=11),"ROOD",IF(AND(O261&gt;=11,N261&lt;&gt;O261),"GROEN","")),"")</f>
        <v/>
      </c>
      <c r="Q261" s="86" t="str">
        <f t="shared" si="28"/>
        <v/>
      </c>
      <c r="R261" s="87" t="str">
        <f t="shared" si="29"/>
        <v/>
      </c>
      <c r="S261" s="147" t="str">
        <f>Tabel15[[#This Row],[Rood Verdediging]]&amp;Tabel15[[#This Row],[Rood Aanval]]</f>
        <v/>
      </c>
      <c r="T261" s="147" t="str">
        <f>Tabel15[[#This Row],[Groen Verdediging]]&amp;Tabel15[[#This Row],[Groen Aanval]]</f>
        <v/>
      </c>
      <c r="U261" s="147" t="str">
        <f>Tabel15[[#This Row],[Winnaar 1]]&amp;Tabel15[[#This Row],[Winnaar 2]]</f>
        <v/>
      </c>
      <c r="V261" s="147" t="str">
        <f>IF(Tabel15[[#This Row],[Team Rood]]=Tabel15[[#This Row],[Winnaars]],Tabel15[[#This Row],[Team Rood]])</f>
        <v/>
      </c>
      <c r="W261" s="147" t="str">
        <f>IF(Tabel15[[#This Row],[Team Groen]]=Tabel15[[#This Row],[Winnaars]],Tabel15[[#This Row],[Team Groen]])</f>
        <v/>
      </c>
      <c r="X261" s="283"/>
      <c r="Y261" s="283"/>
      <c r="Z261" s="283"/>
      <c r="AA261" s="283"/>
    </row>
    <row r="262" spans="1:27" x14ac:dyDescent="0.25">
      <c r="A262" s="125" t="str">
        <f ca="1">IF(Tabel15[[#This Row],[Rood Verdediging]]&lt;&gt;"",IF(A262="",NOW(),A262),"")</f>
        <v/>
      </c>
      <c r="B262" s="128" t="str">
        <f ca="1">IF(Tabel15[[#This Row],[Rood Verdediging]]&lt;&gt;"",IF(B262="",NOW(),B262),"")</f>
        <v/>
      </c>
      <c r="C262" s="126" t="str">
        <f ca="1">IF(Tabel15[[#This Row],[Score]]&lt;&gt;"",IF(C262="",NOW(),C262),"")</f>
        <v/>
      </c>
      <c r="D262" s="182" t="str">
        <f ca="1">IF(OR(Tabel15[[#This Row],[Starttijd]]="",Tabel15[[#This Row],[Eindtijd]]=""),"",Tabel15[[#This Row],[Eindtijd]]-Tabel15[[#This Row],[Starttijd]])</f>
        <v/>
      </c>
      <c r="E262" s="74">
        <v>120</v>
      </c>
      <c r="F262" s="40"/>
      <c r="G262" s="76"/>
      <c r="H262" s="40"/>
      <c r="I262" s="76"/>
      <c r="J262" s="41"/>
      <c r="K262" s="78"/>
      <c r="L262" s="41"/>
      <c r="M262" s="78"/>
      <c r="N262" s="81" t="str">
        <f t="shared" si="26"/>
        <v/>
      </c>
      <c r="O262" s="82" t="str">
        <f t="shared" si="27"/>
        <v/>
      </c>
      <c r="P26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Row],[Score4]]&lt;&gt;""),IF(AND(N262&gt;O262,N262&gt;=11),"ROOD",IF(AND(O262&gt;=11,N262&lt;&gt;O262),"GROEN","")),"")</f>
        <v/>
      </c>
      <c r="Q262" s="86" t="str">
        <f t="shared" si="28"/>
        <v/>
      </c>
      <c r="R262" s="87" t="str">
        <f t="shared" si="29"/>
        <v/>
      </c>
      <c r="S262" s="147" t="str">
        <f>Tabel15[[#This Row],[Rood Verdediging]]&amp;Tabel15[[#This Row],[Rood Aanval]]</f>
        <v/>
      </c>
      <c r="T262" s="147" t="str">
        <f>Tabel15[[#This Row],[Groen Verdediging]]&amp;Tabel15[[#This Row],[Groen Aanval]]</f>
        <v/>
      </c>
      <c r="U262" s="147" t="str">
        <f>Tabel15[[#This Row],[Winnaar 1]]&amp;Tabel15[[#This Row],[Winnaar 2]]</f>
        <v/>
      </c>
      <c r="V262" s="147" t="str">
        <f>IF(Tabel15[[#This Row],[Team Rood]]=Tabel15[[#This Row],[Winnaars]],Tabel15[[#This Row],[Team Rood]])</f>
        <v/>
      </c>
      <c r="W262" s="147" t="str">
        <f>IF(Tabel15[[#This Row],[Team Groen]]=Tabel15[[#This Row],[Winnaars]],Tabel15[[#This Row],[Team Groen]])</f>
        <v/>
      </c>
      <c r="X262" s="283"/>
      <c r="Y262" s="283"/>
      <c r="Z262" s="283"/>
      <c r="AA262" s="283"/>
    </row>
    <row r="263" spans="1:27" x14ac:dyDescent="0.25">
      <c r="A263" s="125" t="str">
        <f ca="1">IF(Tabel15[[#This Row],[Rood Verdediging]]&lt;&gt;"",IF(A263="",NOW(),A263),"")</f>
        <v/>
      </c>
      <c r="B263" s="128" t="str">
        <f ca="1">IF(Tabel15[[#This Row],[Rood Verdediging]]&lt;&gt;"",IF(B263="",NOW(),B263),"")</f>
        <v/>
      </c>
      <c r="C263" s="126" t="str">
        <f ca="1">IF(Tabel15[[#This Row],[Score]]&lt;&gt;"",IF(C263="",NOW(),C263),"")</f>
        <v/>
      </c>
      <c r="D263" s="182" t="str">
        <f ca="1">IF(OR(Tabel15[[#This Row],[Starttijd]]="",Tabel15[[#This Row],[Eindtijd]]=""),"",Tabel15[[#This Row],[Eindtijd]]-Tabel15[[#This Row],[Starttijd]])</f>
        <v/>
      </c>
      <c r="E263" s="74">
        <v>120</v>
      </c>
      <c r="F263" s="40"/>
      <c r="G263" s="76"/>
      <c r="H263" s="40"/>
      <c r="I263" s="76"/>
      <c r="J263" s="41"/>
      <c r="K263" s="78"/>
      <c r="L263" s="41"/>
      <c r="M263" s="78"/>
      <c r="N263" s="81" t="str">
        <f t="shared" si="26"/>
        <v/>
      </c>
      <c r="O263" s="82" t="str">
        <f t="shared" si="27"/>
        <v/>
      </c>
      <c r="P26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Row],[Score4]]&lt;&gt;""),IF(AND(N263&gt;O263,N263&gt;=11),"ROOD",IF(AND(O263&gt;=11,N263&lt;&gt;O263),"GROEN","")),"")</f>
        <v/>
      </c>
      <c r="Q263" s="86" t="str">
        <f t="shared" si="28"/>
        <v/>
      </c>
      <c r="R263" s="87" t="str">
        <f t="shared" si="29"/>
        <v/>
      </c>
      <c r="S263" s="147" t="str">
        <f>Tabel15[[#This Row],[Rood Verdediging]]&amp;Tabel15[[#This Row],[Rood Aanval]]</f>
        <v/>
      </c>
      <c r="T263" s="147" t="str">
        <f>Tabel15[[#This Row],[Groen Verdediging]]&amp;Tabel15[[#This Row],[Groen Aanval]]</f>
        <v/>
      </c>
      <c r="U263" s="147" t="str">
        <f>Tabel15[[#This Row],[Winnaar 1]]&amp;Tabel15[[#This Row],[Winnaar 2]]</f>
        <v/>
      </c>
      <c r="V263" s="147" t="str">
        <f>IF(Tabel15[[#This Row],[Team Rood]]=Tabel15[[#This Row],[Winnaars]],Tabel15[[#This Row],[Team Rood]])</f>
        <v/>
      </c>
      <c r="W263" s="147" t="str">
        <f>IF(Tabel15[[#This Row],[Team Groen]]=Tabel15[[#This Row],[Winnaars]],Tabel15[[#This Row],[Team Groen]])</f>
        <v/>
      </c>
      <c r="X263" s="283"/>
      <c r="Y263" s="283"/>
      <c r="Z263" s="283"/>
      <c r="AA263" s="283"/>
    </row>
    <row r="264" spans="1:27" x14ac:dyDescent="0.25">
      <c r="A264" s="125" t="str">
        <f ca="1">IF(Tabel15[[#This Row],[Rood Verdediging]]&lt;&gt;"",IF(A264="",NOW(),A264),"")</f>
        <v/>
      </c>
      <c r="B264" s="128" t="str">
        <f ca="1">IF(Tabel15[[#This Row],[Rood Verdediging]]&lt;&gt;"",IF(B264="",NOW(),B264),"")</f>
        <v/>
      </c>
      <c r="C264" s="126" t="str">
        <f ca="1">IF(Tabel15[[#This Row],[Score]]&lt;&gt;"",IF(C264="",NOW(),C264),"")</f>
        <v/>
      </c>
      <c r="D264" s="182" t="str">
        <f ca="1">IF(OR(Tabel15[[#This Row],[Starttijd]]="",Tabel15[[#This Row],[Eindtijd]]=""),"",Tabel15[[#This Row],[Eindtijd]]-Tabel15[[#This Row],[Starttijd]])</f>
        <v/>
      </c>
      <c r="E264" s="74">
        <v>120</v>
      </c>
      <c r="F264" s="40"/>
      <c r="G264" s="76"/>
      <c r="H264" s="40"/>
      <c r="I264" s="76"/>
      <c r="J264" s="41"/>
      <c r="K264" s="78"/>
      <c r="L264" s="41"/>
      <c r="M264" s="78"/>
      <c r="N264" s="81" t="str">
        <f t="shared" si="26"/>
        <v/>
      </c>
      <c r="O264" s="82" t="str">
        <f t="shared" si="27"/>
        <v/>
      </c>
      <c r="P26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Row],[Score4]]&lt;&gt;""),IF(AND(N264&gt;O264,N264&gt;=11),"ROOD",IF(AND(O264&gt;=11,N264&lt;&gt;O264),"GROEN","")),"")</f>
        <v/>
      </c>
      <c r="Q264" s="86" t="str">
        <f t="shared" si="28"/>
        <v/>
      </c>
      <c r="R264" s="87" t="str">
        <f t="shared" si="29"/>
        <v/>
      </c>
      <c r="S264" s="147" t="str">
        <f>Tabel15[[#This Row],[Rood Verdediging]]&amp;Tabel15[[#This Row],[Rood Aanval]]</f>
        <v/>
      </c>
      <c r="T264" s="147" t="str">
        <f>Tabel15[[#This Row],[Groen Verdediging]]&amp;Tabel15[[#This Row],[Groen Aanval]]</f>
        <v/>
      </c>
      <c r="U264" s="147" t="str">
        <f>Tabel15[[#This Row],[Winnaar 1]]&amp;Tabel15[[#This Row],[Winnaar 2]]</f>
        <v/>
      </c>
      <c r="V264" s="147" t="str">
        <f>IF(Tabel15[[#This Row],[Team Rood]]=Tabel15[[#This Row],[Winnaars]],Tabel15[[#This Row],[Team Rood]])</f>
        <v/>
      </c>
      <c r="W264" s="147" t="str">
        <f>IF(Tabel15[[#This Row],[Team Groen]]=Tabel15[[#This Row],[Winnaars]],Tabel15[[#This Row],[Team Groen]])</f>
        <v/>
      </c>
      <c r="X264" s="283"/>
      <c r="Y264" s="283"/>
      <c r="Z264" s="283"/>
      <c r="AA264" s="283"/>
    </row>
    <row r="265" spans="1:27" x14ac:dyDescent="0.25">
      <c r="A265" s="125" t="str">
        <f ca="1">IF(Tabel15[[#This Row],[Rood Verdediging]]&lt;&gt;"",IF(A265="",NOW(),A265),"")</f>
        <v/>
      </c>
      <c r="B265" s="128" t="str">
        <f ca="1">IF(Tabel15[[#This Row],[Rood Verdediging]]&lt;&gt;"",IF(B265="",NOW(),B265),"")</f>
        <v/>
      </c>
      <c r="C265" s="126" t="str">
        <f ca="1">IF(Tabel15[[#This Row],[Score]]&lt;&gt;"",IF(C265="",NOW(),C265),"")</f>
        <v/>
      </c>
      <c r="D265" s="182" t="str">
        <f ca="1">IF(OR(Tabel15[[#This Row],[Starttijd]]="",Tabel15[[#This Row],[Eindtijd]]=""),"",Tabel15[[#This Row],[Eindtijd]]-Tabel15[[#This Row],[Starttijd]])</f>
        <v/>
      </c>
      <c r="E265" s="74">
        <v>120</v>
      </c>
      <c r="F265" s="40"/>
      <c r="G265" s="76"/>
      <c r="H265" s="40"/>
      <c r="I265" s="76"/>
      <c r="J265" s="41"/>
      <c r="K265" s="78"/>
      <c r="L265" s="41"/>
      <c r="M265" s="78"/>
      <c r="N265" s="81" t="str">
        <f t="shared" si="26"/>
        <v/>
      </c>
      <c r="O265" s="82" t="str">
        <f t="shared" si="27"/>
        <v/>
      </c>
      <c r="P26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Row],[Score4]]&lt;&gt;""),IF(AND(N265&gt;O265,N265&gt;=11),"ROOD",IF(AND(O265&gt;=11,N265&lt;&gt;O265),"GROEN","")),"")</f>
        <v/>
      </c>
      <c r="Q265" s="86" t="str">
        <f t="shared" si="28"/>
        <v/>
      </c>
      <c r="R265" s="87" t="str">
        <f t="shared" si="29"/>
        <v/>
      </c>
      <c r="S265" s="147" t="str">
        <f>Tabel15[[#This Row],[Rood Verdediging]]&amp;Tabel15[[#This Row],[Rood Aanval]]</f>
        <v/>
      </c>
      <c r="T265" s="147" t="str">
        <f>Tabel15[[#This Row],[Groen Verdediging]]&amp;Tabel15[[#This Row],[Groen Aanval]]</f>
        <v/>
      </c>
      <c r="U265" s="147" t="str">
        <f>Tabel15[[#This Row],[Winnaar 1]]&amp;Tabel15[[#This Row],[Winnaar 2]]</f>
        <v/>
      </c>
      <c r="V265" s="147" t="str">
        <f>IF(Tabel15[[#This Row],[Team Rood]]=Tabel15[[#This Row],[Winnaars]],Tabel15[[#This Row],[Team Rood]])</f>
        <v/>
      </c>
      <c r="W265" s="147" t="str">
        <f>IF(Tabel15[[#This Row],[Team Groen]]=Tabel15[[#This Row],[Winnaars]],Tabel15[[#This Row],[Team Groen]])</f>
        <v/>
      </c>
      <c r="X265" s="283"/>
      <c r="Y265" s="283"/>
      <c r="Z265" s="283"/>
      <c r="AA265" s="283"/>
    </row>
    <row r="266" spans="1:27" x14ac:dyDescent="0.25">
      <c r="A266" s="125" t="str">
        <f ca="1">IF(Tabel15[[#This Row],[Rood Verdediging]]&lt;&gt;"",IF(A266="",NOW(),A266),"")</f>
        <v/>
      </c>
      <c r="B266" s="128" t="str">
        <f ca="1">IF(Tabel15[[#This Row],[Rood Verdediging]]&lt;&gt;"",IF(B266="",NOW(),B266),"")</f>
        <v/>
      </c>
      <c r="C266" s="126" t="str">
        <f ca="1">IF(Tabel15[[#This Row],[Score]]&lt;&gt;"",IF(C266="",NOW(),C266),"")</f>
        <v/>
      </c>
      <c r="D266" s="182" t="str">
        <f ca="1">IF(OR(Tabel15[[#This Row],[Starttijd]]="",Tabel15[[#This Row],[Eindtijd]]=""),"",Tabel15[[#This Row],[Eindtijd]]-Tabel15[[#This Row],[Starttijd]])</f>
        <v/>
      </c>
      <c r="E266" s="74">
        <v>120</v>
      </c>
      <c r="F266" s="40"/>
      <c r="G266" s="76"/>
      <c r="H266" s="40"/>
      <c r="I266" s="76"/>
      <c r="J266" s="41"/>
      <c r="K266" s="78"/>
      <c r="L266" s="41"/>
      <c r="M266" s="78"/>
      <c r="N266" s="81" t="str">
        <f t="shared" si="26"/>
        <v/>
      </c>
      <c r="O266" s="82" t="str">
        <f t="shared" si="27"/>
        <v/>
      </c>
      <c r="P26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Row],[Score4]]&lt;&gt;""),IF(AND(N266&gt;O266,N266&gt;=11),"ROOD",IF(AND(O266&gt;=11,N266&lt;&gt;O266),"GROEN","")),"")</f>
        <v/>
      </c>
      <c r="Q266" s="86" t="str">
        <f t="shared" si="28"/>
        <v/>
      </c>
      <c r="R266" s="87" t="str">
        <f t="shared" si="29"/>
        <v/>
      </c>
      <c r="S266" s="147" t="str">
        <f>Tabel15[[#This Row],[Rood Verdediging]]&amp;Tabel15[[#This Row],[Rood Aanval]]</f>
        <v/>
      </c>
      <c r="T266" s="147" t="str">
        <f>Tabel15[[#This Row],[Groen Verdediging]]&amp;Tabel15[[#This Row],[Groen Aanval]]</f>
        <v/>
      </c>
      <c r="U266" s="147" t="str">
        <f>Tabel15[[#This Row],[Winnaar 1]]&amp;Tabel15[[#This Row],[Winnaar 2]]</f>
        <v/>
      </c>
      <c r="V266" s="147" t="str">
        <f>IF(Tabel15[[#This Row],[Team Rood]]=Tabel15[[#This Row],[Winnaars]],Tabel15[[#This Row],[Team Rood]])</f>
        <v/>
      </c>
      <c r="W266" s="147" t="str">
        <f>IF(Tabel15[[#This Row],[Team Groen]]=Tabel15[[#This Row],[Winnaars]],Tabel15[[#This Row],[Team Groen]])</f>
        <v/>
      </c>
      <c r="X266" s="283"/>
      <c r="Y266" s="283"/>
      <c r="Z266" s="283"/>
      <c r="AA266" s="283"/>
    </row>
    <row r="267" spans="1:27" x14ac:dyDescent="0.25">
      <c r="A267" s="125" t="str">
        <f ca="1">IF(Tabel15[[#This Row],[Rood Verdediging]]&lt;&gt;"",IF(A267="",NOW(),A267),"")</f>
        <v/>
      </c>
      <c r="B267" s="128" t="str">
        <f ca="1">IF(Tabel15[[#This Row],[Rood Verdediging]]&lt;&gt;"",IF(B267="",NOW(),B267),"")</f>
        <v/>
      </c>
      <c r="C267" s="126" t="str">
        <f ca="1">IF(Tabel15[[#This Row],[Score]]&lt;&gt;"",IF(C267="",NOW(),C267),"")</f>
        <v/>
      </c>
      <c r="D267" s="182" t="str">
        <f ca="1">IF(OR(Tabel15[[#This Row],[Starttijd]]="",Tabel15[[#This Row],[Eindtijd]]=""),"",Tabel15[[#This Row],[Eindtijd]]-Tabel15[[#This Row],[Starttijd]])</f>
        <v/>
      </c>
      <c r="E267" s="74">
        <v>120</v>
      </c>
      <c r="F267" s="40"/>
      <c r="G267" s="76"/>
      <c r="H267" s="40"/>
      <c r="I267" s="76"/>
      <c r="J267" s="41"/>
      <c r="K267" s="78"/>
      <c r="L267" s="41"/>
      <c r="M267" s="78"/>
      <c r="N267" s="81" t="str">
        <f t="shared" si="26"/>
        <v/>
      </c>
      <c r="O267" s="82" t="str">
        <f t="shared" si="27"/>
        <v/>
      </c>
      <c r="P26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Row],[Score4]]&lt;&gt;""),IF(AND(N267&gt;O267,N267&gt;=11),"ROOD",IF(AND(O267&gt;=11,N267&lt;&gt;O267),"GROEN","")),"")</f>
        <v/>
      </c>
      <c r="Q267" s="86" t="str">
        <f t="shared" si="28"/>
        <v/>
      </c>
      <c r="R267" s="87" t="str">
        <f t="shared" si="29"/>
        <v/>
      </c>
      <c r="S267" s="147" t="str">
        <f>Tabel15[[#This Row],[Rood Verdediging]]&amp;Tabel15[[#This Row],[Rood Aanval]]</f>
        <v/>
      </c>
      <c r="T267" s="147" t="str">
        <f>Tabel15[[#This Row],[Groen Verdediging]]&amp;Tabel15[[#This Row],[Groen Aanval]]</f>
        <v/>
      </c>
      <c r="U267" s="147" t="str">
        <f>Tabel15[[#This Row],[Winnaar 1]]&amp;Tabel15[[#This Row],[Winnaar 2]]</f>
        <v/>
      </c>
      <c r="V267" s="147" t="str">
        <f>IF(Tabel15[[#This Row],[Team Rood]]=Tabel15[[#This Row],[Winnaars]],Tabel15[[#This Row],[Team Rood]])</f>
        <v/>
      </c>
      <c r="W267" s="147" t="str">
        <f>IF(Tabel15[[#This Row],[Team Groen]]=Tabel15[[#This Row],[Winnaars]],Tabel15[[#This Row],[Team Groen]])</f>
        <v/>
      </c>
      <c r="X267" s="283"/>
      <c r="Y267" s="283"/>
      <c r="Z267" s="283"/>
      <c r="AA267" s="283"/>
    </row>
    <row r="268" spans="1:27" x14ac:dyDescent="0.25">
      <c r="A268" s="125" t="str">
        <f ca="1">IF(Tabel15[[#This Row],[Rood Verdediging]]&lt;&gt;"",IF(A268="",NOW(),A268),"")</f>
        <v/>
      </c>
      <c r="B268" s="128" t="str">
        <f ca="1">IF(Tabel15[[#This Row],[Rood Verdediging]]&lt;&gt;"",IF(B268="",NOW(),B268),"")</f>
        <v/>
      </c>
      <c r="C268" s="126" t="str">
        <f ca="1">IF(Tabel15[[#This Row],[Score]]&lt;&gt;"",IF(C268="",NOW(),C268),"")</f>
        <v/>
      </c>
      <c r="D268" s="182" t="str">
        <f ca="1">IF(OR(Tabel15[[#This Row],[Starttijd]]="",Tabel15[[#This Row],[Eindtijd]]=""),"",Tabel15[[#This Row],[Eindtijd]]-Tabel15[[#This Row],[Starttijd]])</f>
        <v/>
      </c>
      <c r="E268" s="74">
        <v>120</v>
      </c>
      <c r="F268" s="40"/>
      <c r="G268" s="76"/>
      <c r="H268" s="40"/>
      <c r="I268" s="76"/>
      <c r="J268" s="41"/>
      <c r="K268" s="78"/>
      <c r="L268" s="41"/>
      <c r="M268" s="78"/>
      <c r="N268" s="81" t="str">
        <f t="shared" si="26"/>
        <v/>
      </c>
      <c r="O268" s="82" t="str">
        <f t="shared" si="27"/>
        <v/>
      </c>
      <c r="P26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Row],[Score4]]&lt;&gt;""),IF(AND(N268&gt;O268,N268&gt;=11),"ROOD",IF(AND(O268&gt;=11,N268&lt;&gt;O268),"GROEN","")),"")</f>
        <v/>
      </c>
      <c r="Q268" s="86" t="str">
        <f t="shared" si="28"/>
        <v/>
      </c>
      <c r="R268" s="87" t="str">
        <f t="shared" si="29"/>
        <v/>
      </c>
      <c r="S268" s="147" t="str">
        <f>Tabel15[[#This Row],[Rood Verdediging]]&amp;Tabel15[[#This Row],[Rood Aanval]]</f>
        <v/>
      </c>
      <c r="T268" s="147" t="str">
        <f>Tabel15[[#This Row],[Groen Verdediging]]&amp;Tabel15[[#This Row],[Groen Aanval]]</f>
        <v/>
      </c>
      <c r="U268" s="147" t="str">
        <f>Tabel15[[#This Row],[Winnaar 1]]&amp;Tabel15[[#This Row],[Winnaar 2]]</f>
        <v/>
      </c>
      <c r="V268" s="147" t="str">
        <f>IF(Tabel15[[#This Row],[Team Rood]]=Tabel15[[#This Row],[Winnaars]],Tabel15[[#This Row],[Team Rood]])</f>
        <v/>
      </c>
      <c r="W268" s="147" t="str">
        <f>IF(Tabel15[[#This Row],[Team Groen]]=Tabel15[[#This Row],[Winnaars]],Tabel15[[#This Row],[Team Groen]])</f>
        <v/>
      </c>
      <c r="X268" s="283"/>
      <c r="Y268" s="283"/>
      <c r="Z268" s="283"/>
      <c r="AA268" s="283"/>
    </row>
    <row r="269" spans="1:27" x14ac:dyDescent="0.25">
      <c r="A269" s="125" t="str">
        <f ca="1">IF(Tabel15[[#This Row],[Rood Verdediging]]&lt;&gt;"",IF(A269="",NOW(),A269),"")</f>
        <v/>
      </c>
      <c r="B269" s="128" t="str">
        <f ca="1">IF(Tabel15[[#This Row],[Rood Verdediging]]&lt;&gt;"",IF(B269="",NOW(),B269),"")</f>
        <v/>
      </c>
      <c r="C269" s="126" t="str">
        <f ca="1">IF(Tabel15[[#This Row],[Score]]&lt;&gt;"",IF(C269="",NOW(),C269),"")</f>
        <v/>
      </c>
      <c r="D269" s="182" t="str">
        <f ca="1">IF(OR(Tabel15[[#This Row],[Starttijd]]="",Tabel15[[#This Row],[Eindtijd]]=""),"",Tabel15[[#This Row],[Eindtijd]]-Tabel15[[#This Row],[Starttijd]])</f>
        <v/>
      </c>
      <c r="E269" s="74">
        <v>120</v>
      </c>
      <c r="F269" s="40"/>
      <c r="G269" s="76"/>
      <c r="H269" s="40"/>
      <c r="I269" s="76"/>
      <c r="J269" s="41"/>
      <c r="K269" s="78"/>
      <c r="L269" s="41"/>
      <c r="M269" s="78"/>
      <c r="N269" s="81" t="str">
        <f t="shared" si="26"/>
        <v/>
      </c>
      <c r="O269" s="82" t="str">
        <f t="shared" si="27"/>
        <v/>
      </c>
      <c r="P26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Row],[Score4]]&lt;&gt;""),IF(AND(N269&gt;O269,N269&gt;=11),"ROOD",IF(AND(O269&gt;=11,N269&lt;&gt;O269),"GROEN","")),"")</f>
        <v/>
      </c>
      <c r="Q269" s="86" t="str">
        <f t="shared" si="28"/>
        <v/>
      </c>
      <c r="R269" s="87" t="str">
        <f t="shared" si="29"/>
        <v/>
      </c>
      <c r="S269" s="147" t="str">
        <f>Tabel15[[#This Row],[Rood Verdediging]]&amp;Tabel15[[#This Row],[Rood Aanval]]</f>
        <v/>
      </c>
      <c r="T269" s="147" t="str">
        <f>Tabel15[[#This Row],[Groen Verdediging]]&amp;Tabel15[[#This Row],[Groen Aanval]]</f>
        <v/>
      </c>
      <c r="U269" s="147" t="str">
        <f>Tabel15[[#This Row],[Winnaar 1]]&amp;Tabel15[[#This Row],[Winnaar 2]]</f>
        <v/>
      </c>
      <c r="V269" s="147" t="str">
        <f>IF(Tabel15[[#This Row],[Team Rood]]=Tabel15[[#This Row],[Winnaars]],Tabel15[[#This Row],[Team Rood]])</f>
        <v/>
      </c>
      <c r="W269" s="147" t="str">
        <f>IF(Tabel15[[#This Row],[Team Groen]]=Tabel15[[#This Row],[Winnaars]],Tabel15[[#This Row],[Team Groen]])</f>
        <v/>
      </c>
      <c r="X269" s="283"/>
      <c r="Y269" s="283"/>
      <c r="Z269" s="283"/>
      <c r="AA269" s="283"/>
    </row>
    <row r="270" spans="1:27" x14ac:dyDescent="0.25">
      <c r="A270" s="125" t="str">
        <f ca="1">IF(Tabel15[[#This Row],[Rood Verdediging]]&lt;&gt;"",IF(A270="",NOW(),A270),"")</f>
        <v/>
      </c>
      <c r="B270" s="128" t="str">
        <f ca="1">IF(Tabel15[[#This Row],[Rood Verdediging]]&lt;&gt;"",IF(B270="",NOW(),B270),"")</f>
        <v/>
      </c>
      <c r="C270" s="126" t="str">
        <f ca="1">IF(Tabel15[[#This Row],[Score]]&lt;&gt;"",IF(C270="",NOW(),C270),"")</f>
        <v/>
      </c>
      <c r="D270" s="182" t="str">
        <f ca="1">IF(OR(Tabel15[[#This Row],[Starttijd]]="",Tabel15[[#This Row],[Eindtijd]]=""),"",Tabel15[[#This Row],[Eindtijd]]-Tabel15[[#This Row],[Starttijd]])</f>
        <v/>
      </c>
      <c r="E270" s="74">
        <v>120</v>
      </c>
      <c r="F270" s="40"/>
      <c r="G270" s="76"/>
      <c r="H270" s="40"/>
      <c r="I270" s="76"/>
      <c r="J270" s="41"/>
      <c r="K270" s="78"/>
      <c r="L270" s="41"/>
      <c r="M270" s="78"/>
      <c r="N270" s="81" t="str">
        <f t="shared" si="26"/>
        <v/>
      </c>
      <c r="O270" s="82" t="str">
        <f t="shared" si="27"/>
        <v/>
      </c>
      <c r="P27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Row],[Score4]]&lt;&gt;""),IF(AND(N270&gt;O270,N270&gt;=11),"ROOD",IF(AND(O270&gt;=11,N270&lt;&gt;O270),"GROEN","")),"")</f>
        <v/>
      </c>
      <c r="Q270" s="86" t="str">
        <f t="shared" si="28"/>
        <v/>
      </c>
      <c r="R270" s="87" t="str">
        <f t="shared" si="29"/>
        <v/>
      </c>
      <c r="S270" s="147" t="str">
        <f>Tabel15[[#This Row],[Rood Verdediging]]&amp;Tabel15[[#This Row],[Rood Aanval]]</f>
        <v/>
      </c>
      <c r="T270" s="147" t="str">
        <f>Tabel15[[#This Row],[Groen Verdediging]]&amp;Tabel15[[#This Row],[Groen Aanval]]</f>
        <v/>
      </c>
      <c r="U270" s="147" t="str">
        <f>Tabel15[[#This Row],[Winnaar 1]]&amp;Tabel15[[#This Row],[Winnaar 2]]</f>
        <v/>
      </c>
      <c r="V270" s="147" t="str">
        <f>IF(Tabel15[[#This Row],[Team Rood]]=Tabel15[[#This Row],[Winnaars]],Tabel15[[#This Row],[Team Rood]])</f>
        <v/>
      </c>
      <c r="W270" s="147" t="str">
        <f>IF(Tabel15[[#This Row],[Team Groen]]=Tabel15[[#This Row],[Winnaars]],Tabel15[[#This Row],[Team Groen]])</f>
        <v/>
      </c>
      <c r="X270" s="283"/>
      <c r="Y270" s="283"/>
      <c r="Z270" s="283"/>
      <c r="AA270" s="283"/>
    </row>
    <row r="271" spans="1:27" x14ac:dyDescent="0.25">
      <c r="A271" s="125" t="str">
        <f ca="1">IF(Tabel15[[#This Row],[Rood Verdediging]]&lt;&gt;"",IF(A271="",NOW(),A271),"")</f>
        <v/>
      </c>
      <c r="B271" s="128" t="str">
        <f ca="1">IF(Tabel15[[#This Row],[Rood Verdediging]]&lt;&gt;"",IF(B271="",NOW(),B271),"")</f>
        <v/>
      </c>
      <c r="C271" s="126" t="str">
        <f ca="1">IF(Tabel15[[#This Row],[Score]]&lt;&gt;"",IF(C271="",NOW(),C271),"")</f>
        <v/>
      </c>
      <c r="D271" s="182" t="str">
        <f ca="1">IF(OR(Tabel15[[#This Row],[Starttijd]]="",Tabel15[[#This Row],[Eindtijd]]=""),"",Tabel15[[#This Row],[Eindtijd]]-Tabel15[[#This Row],[Starttijd]])</f>
        <v/>
      </c>
      <c r="E271" s="74">
        <v>120</v>
      </c>
      <c r="F271" s="40"/>
      <c r="G271" s="76"/>
      <c r="H271" s="40"/>
      <c r="I271" s="76"/>
      <c r="J271" s="41"/>
      <c r="K271" s="78"/>
      <c r="L271" s="41"/>
      <c r="M271" s="78"/>
      <c r="N271" s="81" t="str">
        <f t="shared" si="26"/>
        <v/>
      </c>
      <c r="O271" s="82" t="str">
        <f t="shared" si="27"/>
        <v/>
      </c>
      <c r="P27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Row],[Score4]]&lt;&gt;""),IF(AND(N271&gt;O271,N271&gt;=11),"ROOD",IF(AND(O271&gt;=11,N271&lt;&gt;O271),"GROEN","")),"")</f>
        <v/>
      </c>
      <c r="Q271" s="86" t="str">
        <f t="shared" si="28"/>
        <v/>
      </c>
      <c r="R271" s="87" t="str">
        <f t="shared" si="29"/>
        <v/>
      </c>
      <c r="S271" s="147" t="str">
        <f>Tabel15[[#This Row],[Rood Verdediging]]&amp;Tabel15[[#This Row],[Rood Aanval]]</f>
        <v/>
      </c>
      <c r="T271" s="147" t="str">
        <f>Tabel15[[#This Row],[Groen Verdediging]]&amp;Tabel15[[#This Row],[Groen Aanval]]</f>
        <v/>
      </c>
      <c r="U271" s="147" t="str">
        <f>Tabel15[[#This Row],[Winnaar 1]]&amp;Tabel15[[#This Row],[Winnaar 2]]</f>
        <v/>
      </c>
      <c r="V271" s="147" t="str">
        <f>IF(Tabel15[[#This Row],[Team Rood]]=Tabel15[[#This Row],[Winnaars]],Tabel15[[#This Row],[Team Rood]])</f>
        <v/>
      </c>
      <c r="W271" s="147" t="str">
        <f>IF(Tabel15[[#This Row],[Team Groen]]=Tabel15[[#This Row],[Winnaars]],Tabel15[[#This Row],[Team Groen]])</f>
        <v/>
      </c>
      <c r="X271" s="283"/>
      <c r="Y271" s="283"/>
      <c r="Z271" s="283"/>
      <c r="AA271" s="283"/>
    </row>
    <row r="272" spans="1:27" x14ac:dyDescent="0.25">
      <c r="A272" s="125" t="str">
        <f ca="1">IF(Tabel15[[#This Row],[Rood Verdediging]]&lt;&gt;"",IF(A272="",NOW(),A272),"")</f>
        <v/>
      </c>
      <c r="B272" s="128" t="str">
        <f ca="1">IF(Tabel15[[#This Row],[Rood Verdediging]]&lt;&gt;"",IF(B272="",NOW(),B272),"")</f>
        <v/>
      </c>
      <c r="C272" s="126" t="str">
        <f ca="1">IF(Tabel15[[#This Row],[Score]]&lt;&gt;"",IF(C272="",NOW(),C272),"")</f>
        <v/>
      </c>
      <c r="D272" s="182" t="str">
        <f ca="1">IF(OR(Tabel15[[#This Row],[Starttijd]]="",Tabel15[[#This Row],[Eindtijd]]=""),"",Tabel15[[#This Row],[Eindtijd]]-Tabel15[[#This Row],[Starttijd]])</f>
        <v/>
      </c>
      <c r="E272" s="74">
        <v>120</v>
      </c>
      <c r="F272" s="40"/>
      <c r="G272" s="76"/>
      <c r="H272" s="40"/>
      <c r="I272" s="76"/>
      <c r="J272" s="41"/>
      <c r="K272" s="78"/>
      <c r="L272" s="41"/>
      <c r="M272" s="78"/>
      <c r="N272" s="81" t="str">
        <f t="shared" si="26"/>
        <v/>
      </c>
      <c r="O272" s="82" t="str">
        <f t="shared" si="27"/>
        <v/>
      </c>
      <c r="P27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Row],[Score4]]&lt;&gt;""),IF(AND(N272&gt;O272,N272&gt;=11),"ROOD",IF(AND(O272&gt;=11,N272&lt;&gt;O272),"GROEN","")),"")</f>
        <v/>
      </c>
      <c r="Q272" s="86" t="str">
        <f t="shared" si="28"/>
        <v/>
      </c>
      <c r="R272" s="87" t="str">
        <f t="shared" si="29"/>
        <v/>
      </c>
      <c r="S272" s="147" t="str">
        <f>Tabel15[[#This Row],[Rood Verdediging]]&amp;Tabel15[[#This Row],[Rood Aanval]]</f>
        <v/>
      </c>
      <c r="T272" s="147" t="str">
        <f>Tabel15[[#This Row],[Groen Verdediging]]&amp;Tabel15[[#This Row],[Groen Aanval]]</f>
        <v/>
      </c>
      <c r="U272" s="147" t="str">
        <f>Tabel15[[#This Row],[Winnaar 1]]&amp;Tabel15[[#This Row],[Winnaar 2]]</f>
        <v/>
      </c>
      <c r="V272" s="147" t="str">
        <f>IF(Tabel15[[#This Row],[Team Rood]]=Tabel15[[#This Row],[Winnaars]],Tabel15[[#This Row],[Team Rood]])</f>
        <v/>
      </c>
      <c r="W272" s="147" t="str">
        <f>IF(Tabel15[[#This Row],[Team Groen]]=Tabel15[[#This Row],[Winnaars]],Tabel15[[#This Row],[Team Groen]])</f>
        <v/>
      </c>
      <c r="X272" s="283"/>
      <c r="Y272" s="283"/>
      <c r="Z272" s="283"/>
      <c r="AA272" s="283"/>
    </row>
    <row r="273" spans="1:27" x14ac:dyDescent="0.25">
      <c r="A273" s="125" t="str">
        <f ca="1">IF(Tabel15[[#This Row],[Rood Verdediging]]&lt;&gt;"",IF(A273="",NOW(),A273),"")</f>
        <v/>
      </c>
      <c r="B273" s="128" t="str">
        <f ca="1">IF(Tabel15[[#This Row],[Rood Verdediging]]&lt;&gt;"",IF(B273="",NOW(),B273),"")</f>
        <v/>
      </c>
      <c r="C273" s="126" t="str">
        <f ca="1">IF(Tabel15[[#This Row],[Score]]&lt;&gt;"",IF(C273="",NOW(),C273),"")</f>
        <v/>
      </c>
      <c r="D273" s="182" t="str">
        <f ca="1">IF(OR(Tabel15[[#This Row],[Starttijd]]="",Tabel15[[#This Row],[Eindtijd]]=""),"",Tabel15[[#This Row],[Eindtijd]]-Tabel15[[#This Row],[Starttijd]])</f>
        <v/>
      </c>
      <c r="E273" s="74">
        <v>120</v>
      </c>
      <c r="F273" s="40"/>
      <c r="G273" s="76"/>
      <c r="H273" s="40"/>
      <c r="I273" s="76"/>
      <c r="J273" s="41"/>
      <c r="K273" s="78"/>
      <c r="L273" s="41"/>
      <c r="M273" s="78"/>
      <c r="N273" s="81" t="str">
        <f t="shared" si="26"/>
        <v/>
      </c>
      <c r="O273" s="82" t="str">
        <f t="shared" si="27"/>
        <v/>
      </c>
      <c r="P27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Row],[Score4]]&lt;&gt;""),IF(AND(N273&gt;O273,N273&gt;=11),"ROOD",IF(AND(O273&gt;=11,N273&lt;&gt;O273),"GROEN","")),"")</f>
        <v/>
      </c>
      <c r="Q273" s="86" t="str">
        <f t="shared" si="28"/>
        <v/>
      </c>
      <c r="R273" s="87" t="str">
        <f t="shared" si="29"/>
        <v/>
      </c>
      <c r="S273" s="147" t="str">
        <f>Tabel15[[#This Row],[Rood Verdediging]]&amp;Tabel15[[#This Row],[Rood Aanval]]</f>
        <v/>
      </c>
      <c r="T273" s="147" t="str">
        <f>Tabel15[[#This Row],[Groen Verdediging]]&amp;Tabel15[[#This Row],[Groen Aanval]]</f>
        <v/>
      </c>
      <c r="U273" s="147" t="str">
        <f>Tabel15[[#This Row],[Winnaar 1]]&amp;Tabel15[[#This Row],[Winnaar 2]]</f>
        <v/>
      </c>
      <c r="V273" s="147" t="str">
        <f>IF(Tabel15[[#This Row],[Team Rood]]=Tabel15[[#This Row],[Winnaars]],Tabel15[[#This Row],[Team Rood]])</f>
        <v/>
      </c>
      <c r="W273" s="147" t="str">
        <f>IF(Tabel15[[#This Row],[Team Groen]]=Tabel15[[#This Row],[Winnaars]],Tabel15[[#This Row],[Team Groen]])</f>
        <v/>
      </c>
      <c r="X273" s="283"/>
      <c r="Y273" s="283"/>
      <c r="Z273" s="283"/>
      <c r="AA273" s="283"/>
    </row>
    <row r="274" spans="1:27" x14ac:dyDescent="0.25">
      <c r="A274" s="125" t="str">
        <f ca="1">IF(Tabel15[[#This Row],[Rood Verdediging]]&lt;&gt;"",IF(A274="",NOW(),A274),"")</f>
        <v/>
      </c>
      <c r="B274" s="128" t="str">
        <f ca="1">IF(Tabel15[[#This Row],[Rood Verdediging]]&lt;&gt;"",IF(B274="",NOW(),B274),"")</f>
        <v/>
      </c>
      <c r="C274" s="126" t="str">
        <f ca="1">IF(Tabel15[[#This Row],[Score]]&lt;&gt;"",IF(C274="",NOW(),C274),"")</f>
        <v/>
      </c>
      <c r="D274" s="182" t="str">
        <f ca="1">IF(OR(Tabel15[[#This Row],[Starttijd]]="",Tabel15[[#This Row],[Eindtijd]]=""),"",Tabel15[[#This Row],[Eindtijd]]-Tabel15[[#This Row],[Starttijd]])</f>
        <v/>
      </c>
      <c r="E274" s="74">
        <v>120</v>
      </c>
      <c r="F274" s="40"/>
      <c r="G274" s="76"/>
      <c r="H274" s="40"/>
      <c r="I274" s="76"/>
      <c r="J274" s="41"/>
      <c r="K274" s="78"/>
      <c r="L274" s="41"/>
      <c r="M274" s="78"/>
      <c r="N274" s="81" t="str">
        <f t="shared" si="26"/>
        <v/>
      </c>
      <c r="O274" s="82" t="str">
        <f t="shared" si="27"/>
        <v/>
      </c>
      <c r="P27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Row],[Score4]]&lt;&gt;""),IF(AND(N274&gt;O274,N274&gt;=11),"ROOD",IF(AND(O274&gt;=11,N274&lt;&gt;O274),"GROEN","")),"")</f>
        <v/>
      </c>
      <c r="Q274" s="86" t="str">
        <f t="shared" si="28"/>
        <v/>
      </c>
      <c r="R274" s="87" t="str">
        <f t="shared" si="29"/>
        <v/>
      </c>
      <c r="S274" s="147" t="str">
        <f>Tabel15[[#This Row],[Rood Verdediging]]&amp;Tabel15[[#This Row],[Rood Aanval]]</f>
        <v/>
      </c>
      <c r="T274" s="147" t="str">
        <f>Tabel15[[#This Row],[Groen Verdediging]]&amp;Tabel15[[#This Row],[Groen Aanval]]</f>
        <v/>
      </c>
      <c r="U274" s="147" t="str">
        <f>Tabel15[[#This Row],[Winnaar 1]]&amp;Tabel15[[#This Row],[Winnaar 2]]</f>
        <v/>
      </c>
      <c r="V274" s="147" t="str">
        <f>IF(Tabel15[[#This Row],[Team Rood]]=Tabel15[[#This Row],[Winnaars]],Tabel15[[#This Row],[Team Rood]])</f>
        <v/>
      </c>
      <c r="W274" s="147" t="str">
        <f>IF(Tabel15[[#This Row],[Team Groen]]=Tabel15[[#This Row],[Winnaars]],Tabel15[[#This Row],[Team Groen]])</f>
        <v/>
      </c>
      <c r="X274" s="283"/>
      <c r="Y274" s="283"/>
      <c r="Z274" s="283"/>
      <c r="AA274" s="283"/>
    </row>
    <row r="275" spans="1:27" x14ac:dyDescent="0.25">
      <c r="A275" s="125" t="str">
        <f ca="1">IF(Tabel15[[#This Row],[Rood Verdediging]]&lt;&gt;"",IF(A275="",NOW(),A275),"")</f>
        <v/>
      </c>
      <c r="B275" s="128" t="str">
        <f ca="1">IF(Tabel15[[#This Row],[Rood Verdediging]]&lt;&gt;"",IF(B275="",NOW(),B275),"")</f>
        <v/>
      </c>
      <c r="C275" s="126" t="str">
        <f ca="1">IF(Tabel15[[#This Row],[Score]]&lt;&gt;"",IF(C275="",NOW(),C275),"")</f>
        <v/>
      </c>
      <c r="D275" s="182" t="str">
        <f ca="1">IF(OR(Tabel15[[#This Row],[Starttijd]]="",Tabel15[[#This Row],[Eindtijd]]=""),"",Tabel15[[#This Row],[Eindtijd]]-Tabel15[[#This Row],[Starttijd]])</f>
        <v/>
      </c>
      <c r="E275" s="74">
        <v>120</v>
      </c>
      <c r="F275" s="40"/>
      <c r="G275" s="76"/>
      <c r="H275" s="40"/>
      <c r="I275" s="76"/>
      <c r="J275" s="41"/>
      <c r="K275" s="78"/>
      <c r="L275" s="41"/>
      <c r="M275" s="78"/>
      <c r="N275" s="81" t="str">
        <f t="shared" si="26"/>
        <v/>
      </c>
      <c r="O275" s="82" t="str">
        <f t="shared" si="27"/>
        <v/>
      </c>
      <c r="P27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Row],[Score4]]&lt;&gt;""),IF(AND(N275&gt;O275,N275&gt;=11),"ROOD",IF(AND(O275&gt;=11,N275&lt;&gt;O275),"GROEN","")),"")</f>
        <v/>
      </c>
      <c r="Q275" s="86" t="str">
        <f t="shared" si="28"/>
        <v/>
      </c>
      <c r="R275" s="87" t="str">
        <f t="shared" si="29"/>
        <v/>
      </c>
      <c r="S275" s="147" t="str">
        <f>Tabel15[[#This Row],[Rood Verdediging]]&amp;Tabel15[[#This Row],[Rood Aanval]]</f>
        <v/>
      </c>
      <c r="T275" s="147" t="str">
        <f>Tabel15[[#This Row],[Groen Verdediging]]&amp;Tabel15[[#This Row],[Groen Aanval]]</f>
        <v/>
      </c>
      <c r="U275" s="147" t="str">
        <f>Tabel15[[#This Row],[Winnaar 1]]&amp;Tabel15[[#This Row],[Winnaar 2]]</f>
        <v/>
      </c>
      <c r="V275" s="147" t="str">
        <f>IF(Tabel15[[#This Row],[Team Rood]]=Tabel15[[#This Row],[Winnaars]],Tabel15[[#This Row],[Team Rood]])</f>
        <v/>
      </c>
      <c r="W275" s="147" t="str">
        <f>IF(Tabel15[[#This Row],[Team Groen]]=Tabel15[[#This Row],[Winnaars]],Tabel15[[#This Row],[Team Groen]])</f>
        <v/>
      </c>
      <c r="X275" s="283"/>
      <c r="Y275" s="283"/>
      <c r="Z275" s="283"/>
      <c r="AA275" s="283"/>
    </row>
    <row r="276" spans="1:27" x14ac:dyDescent="0.25">
      <c r="A276" s="125" t="str">
        <f ca="1">IF(Tabel15[[#This Row],[Rood Verdediging]]&lt;&gt;"",IF(A276="",NOW(),A276),"")</f>
        <v/>
      </c>
      <c r="B276" s="128" t="str">
        <f ca="1">IF(Tabel15[[#This Row],[Rood Verdediging]]&lt;&gt;"",IF(B276="",NOW(),B276),"")</f>
        <v/>
      </c>
      <c r="C276" s="126" t="str">
        <f ca="1">IF(Tabel15[[#This Row],[Score]]&lt;&gt;"",IF(C276="",NOW(),C276),"")</f>
        <v/>
      </c>
      <c r="D276" s="182" t="str">
        <f ca="1">IF(OR(Tabel15[[#This Row],[Starttijd]]="",Tabel15[[#This Row],[Eindtijd]]=""),"",Tabel15[[#This Row],[Eindtijd]]-Tabel15[[#This Row],[Starttijd]])</f>
        <v/>
      </c>
      <c r="E276" s="74">
        <v>120</v>
      </c>
      <c r="F276" s="40"/>
      <c r="G276" s="76"/>
      <c r="H276" s="40"/>
      <c r="I276" s="76"/>
      <c r="J276" s="41"/>
      <c r="K276" s="78"/>
      <c r="L276" s="41"/>
      <c r="M276" s="78"/>
      <c r="N276" s="81" t="str">
        <f t="shared" si="26"/>
        <v/>
      </c>
      <c r="O276" s="82" t="str">
        <f t="shared" si="27"/>
        <v/>
      </c>
      <c r="P27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Row],[Score4]]&lt;&gt;""),IF(AND(N276&gt;O276,N276&gt;=11),"ROOD",IF(AND(O276&gt;=11,N276&lt;&gt;O276),"GROEN","")),"")</f>
        <v/>
      </c>
      <c r="Q276" s="86" t="str">
        <f t="shared" si="28"/>
        <v/>
      </c>
      <c r="R276" s="87" t="str">
        <f t="shared" si="29"/>
        <v/>
      </c>
      <c r="S276" s="147" t="str">
        <f>Tabel15[[#This Row],[Rood Verdediging]]&amp;Tabel15[[#This Row],[Rood Aanval]]</f>
        <v/>
      </c>
      <c r="T276" s="147" t="str">
        <f>Tabel15[[#This Row],[Groen Verdediging]]&amp;Tabel15[[#This Row],[Groen Aanval]]</f>
        <v/>
      </c>
      <c r="U276" s="147" t="str">
        <f>Tabel15[[#This Row],[Winnaar 1]]&amp;Tabel15[[#This Row],[Winnaar 2]]</f>
        <v/>
      </c>
      <c r="V276" s="147" t="str">
        <f>IF(Tabel15[[#This Row],[Team Rood]]=Tabel15[[#This Row],[Winnaars]],Tabel15[[#This Row],[Team Rood]])</f>
        <v/>
      </c>
      <c r="W276" s="147" t="str">
        <f>IF(Tabel15[[#This Row],[Team Groen]]=Tabel15[[#This Row],[Winnaars]],Tabel15[[#This Row],[Team Groen]])</f>
        <v/>
      </c>
      <c r="X276" s="283"/>
      <c r="Y276" s="283"/>
      <c r="Z276" s="283"/>
      <c r="AA276" s="283"/>
    </row>
    <row r="277" spans="1:27" x14ac:dyDescent="0.25">
      <c r="A277" s="125" t="str">
        <f ca="1">IF(Tabel15[[#This Row],[Rood Verdediging]]&lt;&gt;"",IF(A277="",NOW(),A277),"")</f>
        <v/>
      </c>
      <c r="B277" s="128" t="str">
        <f ca="1">IF(Tabel15[[#This Row],[Rood Verdediging]]&lt;&gt;"",IF(B277="",NOW(),B277),"")</f>
        <v/>
      </c>
      <c r="C277" s="126" t="str">
        <f ca="1">IF(Tabel15[[#This Row],[Score]]&lt;&gt;"",IF(C277="",NOW(),C277),"")</f>
        <v/>
      </c>
      <c r="D277" s="182" t="str">
        <f ca="1">IF(OR(Tabel15[[#This Row],[Starttijd]]="",Tabel15[[#This Row],[Eindtijd]]=""),"",Tabel15[[#This Row],[Eindtijd]]-Tabel15[[#This Row],[Starttijd]])</f>
        <v/>
      </c>
      <c r="E277" s="74">
        <v>120</v>
      </c>
      <c r="F277" s="40"/>
      <c r="G277" s="76"/>
      <c r="H277" s="40"/>
      <c r="I277" s="76"/>
      <c r="J277" s="41"/>
      <c r="K277" s="78"/>
      <c r="L277" s="41"/>
      <c r="M277" s="78"/>
      <c r="N277" s="81" t="str">
        <f t="shared" si="26"/>
        <v/>
      </c>
      <c r="O277" s="82" t="str">
        <f t="shared" si="27"/>
        <v/>
      </c>
      <c r="P27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Row],[Score4]]&lt;&gt;""),IF(AND(N277&gt;O277,N277&gt;=11),"ROOD",IF(AND(O277&gt;=11,N277&lt;&gt;O277),"GROEN","")),"")</f>
        <v/>
      </c>
      <c r="Q277" s="86" t="str">
        <f t="shared" si="28"/>
        <v/>
      </c>
      <c r="R277" s="87" t="str">
        <f t="shared" si="29"/>
        <v/>
      </c>
      <c r="S277" s="147" t="str">
        <f>Tabel15[[#This Row],[Rood Verdediging]]&amp;Tabel15[[#This Row],[Rood Aanval]]</f>
        <v/>
      </c>
      <c r="T277" s="147" t="str">
        <f>Tabel15[[#This Row],[Groen Verdediging]]&amp;Tabel15[[#This Row],[Groen Aanval]]</f>
        <v/>
      </c>
      <c r="U277" s="147" t="str">
        <f>Tabel15[[#This Row],[Winnaar 1]]&amp;Tabel15[[#This Row],[Winnaar 2]]</f>
        <v/>
      </c>
      <c r="V277" s="147" t="str">
        <f>IF(Tabel15[[#This Row],[Team Rood]]=Tabel15[[#This Row],[Winnaars]],Tabel15[[#This Row],[Team Rood]])</f>
        <v/>
      </c>
      <c r="W277" s="147" t="str">
        <f>IF(Tabel15[[#This Row],[Team Groen]]=Tabel15[[#This Row],[Winnaars]],Tabel15[[#This Row],[Team Groen]])</f>
        <v/>
      </c>
      <c r="X277" s="283"/>
      <c r="Y277" s="283"/>
      <c r="Z277" s="283"/>
      <c r="AA277" s="283"/>
    </row>
    <row r="278" spans="1:27" x14ac:dyDescent="0.25">
      <c r="A278" s="125" t="str">
        <f ca="1">IF(Tabel15[[#This Row],[Rood Verdediging]]&lt;&gt;"",IF(A278="",NOW(),A278),"")</f>
        <v/>
      </c>
      <c r="B278" s="128" t="str">
        <f ca="1">IF(Tabel15[[#This Row],[Rood Verdediging]]&lt;&gt;"",IF(B278="",NOW(),B278),"")</f>
        <v/>
      </c>
      <c r="C278" s="126" t="str">
        <f ca="1">IF(Tabel15[[#This Row],[Score]]&lt;&gt;"",IF(C278="",NOW(),C278),"")</f>
        <v/>
      </c>
      <c r="D278" s="182" t="str">
        <f ca="1">IF(OR(Tabel15[[#This Row],[Starttijd]]="",Tabel15[[#This Row],[Eindtijd]]=""),"",Tabel15[[#This Row],[Eindtijd]]-Tabel15[[#This Row],[Starttijd]])</f>
        <v/>
      </c>
      <c r="E278" s="74">
        <v>120</v>
      </c>
      <c r="F278" s="40"/>
      <c r="G278" s="76"/>
      <c r="H278" s="40"/>
      <c r="I278" s="76"/>
      <c r="J278" s="41"/>
      <c r="K278" s="78"/>
      <c r="L278" s="41"/>
      <c r="M278" s="78"/>
      <c r="N278" s="81" t="str">
        <f t="shared" si="26"/>
        <v/>
      </c>
      <c r="O278" s="82" t="str">
        <f t="shared" si="27"/>
        <v/>
      </c>
      <c r="P27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Row],[Score4]]&lt;&gt;""),IF(AND(N278&gt;O278,N278&gt;=11),"ROOD",IF(AND(O278&gt;=11,N278&lt;&gt;O278),"GROEN","")),"")</f>
        <v/>
      </c>
      <c r="Q278" s="86" t="str">
        <f t="shared" si="28"/>
        <v/>
      </c>
      <c r="R278" s="87" t="str">
        <f t="shared" si="29"/>
        <v/>
      </c>
      <c r="S278" s="147" t="str">
        <f>Tabel15[[#This Row],[Rood Verdediging]]&amp;Tabel15[[#This Row],[Rood Aanval]]</f>
        <v/>
      </c>
      <c r="T278" s="147" t="str">
        <f>Tabel15[[#This Row],[Groen Verdediging]]&amp;Tabel15[[#This Row],[Groen Aanval]]</f>
        <v/>
      </c>
      <c r="U278" s="147" t="str">
        <f>Tabel15[[#This Row],[Winnaar 1]]&amp;Tabel15[[#This Row],[Winnaar 2]]</f>
        <v/>
      </c>
      <c r="V278" s="147" t="str">
        <f>IF(Tabel15[[#This Row],[Team Rood]]=Tabel15[[#This Row],[Winnaars]],Tabel15[[#This Row],[Team Rood]])</f>
        <v/>
      </c>
      <c r="W278" s="147" t="str">
        <f>IF(Tabel15[[#This Row],[Team Groen]]=Tabel15[[#This Row],[Winnaars]],Tabel15[[#This Row],[Team Groen]])</f>
        <v/>
      </c>
      <c r="X278" s="283"/>
      <c r="Y278" s="283"/>
      <c r="Z278" s="283"/>
      <c r="AA278" s="283"/>
    </row>
    <row r="279" spans="1:27" x14ac:dyDescent="0.25">
      <c r="A279" s="125" t="str">
        <f ca="1">IF(Tabel15[[#This Row],[Rood Verdediging]]&lt;&gt;"",IF(A279="",NOW(),A279),"")</f>
        <v/>
      </c>
      <c r="B279" s="128" t="str">
        <f ca="1">IF(Tabel15[[#This Row],[Rood Verdediging]]&lt;&gt;"",IF(B279="",NOW(),B279),"")</f>
        <v/>
      </c>
      <c r="C279" s="126" t="str">
        <f ca="1">IF(Tabel15[[#This Row],[Score]]&lt;&gt;"",IF(C279="",NOW(),C279),"")</f>
        <v/>
      </c>
      <c r="D279" s="182" t="str">
        <f ca="1">IF(OR(Tabel15[[#This Row],[Starttijd]]="",Tabel15[[#This Row],[Eindtijd]]=""),"",Tabel15[[#This Row],[Eindtijd]]-Tabel15[[#This Row],[Starttijd]])</f>
        <v/>
      </c>
      <c r="E279" s="74">
        <v>120</v>
      </c>
      <c r="F279" s="40"/>
      <c r="G279" s="76"/>
      <c r="H279" s="40"/>
      <c r="I279" s="76"/>
      <c r="J279" s="41"/>
      <c r="K279" s="78"/>
      <c r="L279" s="41"/>
      <c r="M279" s="78"/>
      <c r="N279" s="81" t="str">
        <f t="shared" si="26"/>
        <v/>
      </c>
      <c r="O279" s="82" t="str">
        <f t="shared" si="27"/>
        <v/>
      </c>
      <c r="P27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Row],[Score4]]&lt;&gt;""),IF(AND(N279&gt;O279,N279&gt;=11),"ROOD",IF(AND(O279&gt;=11,N279&lt;&gt;O279),"GROEN","")),"")</f>
        <v/>
      </c>
      <c r="Q279" s="86" t="str">
        <f t="shared" si="28"/>
        <v/>
      </c>
      <c r="R279" s="87" t="str">
        <f t="shared" si="29"/>
        <v/>
      </c>
      <c r="S279" s="147" t="str">
        <f>Tabel15[[#This Row],[Rood Verdediging]]&amp;Tabel15[[#This Row],[Rood Aanval]]</f>
        <v/>
      </c>
      <c r="T279" s="147" t="str">
        <f>Tabel15[[#This Row],[Groen Verdediging]]&amp;Tabel15[[#This Row],[Groen Aanval]]</f>
        <v/>
      </c>
      <c r="U279" s="147" t="str">
        <f>Tabel15[[#This Row],[Winnaar 1]]&amp;Tabel15[[#This Row],[Winnaar 2]]</f>
        <v/>
      </c>
      <c r="V279" s="147" t="str">
        <f>IF(Tabel15[[#This Row],[Team Rood]]=Tabel15[[#This Row],[Winnaars]],Tabel15[[#This Row],[Team Rood]])</f>
        <v/>
      </c>
      <c r="W279" s="147" t="str">
        <f>IF(Tabel15[[#This Row],[Team Groen]]=Tabel15[[#This Row],[Winnaars]],Tabel15[[#This Row],[Team Groen]])</f>
        <v/>
      </c>
      <c r="X279" s="283"/>
      <c r="Y279" s="283"/>
      <c r="Z279" s="283"/>
      <c r="AA279" s="283"/>
    </row>
    <row r="280" spans="1:27" x14ac:dyDescent="0.25">
      <c r="A280" s="125" t="str">
        <f ca="1">IF(Tabel15[[#This Row],[Rood Verdediging]]&lt;&gt;"",IF(A280="",NOW(),A280),"")</f>
        <v/>
      </c>
      <c r="B280" s="128" t="str">
        <f ca="1">IF(Tabel15[[#This Row],[Rood Verdediging]]&lt;&gt;"",IF(B280="",NOW(),B280),"")</f>
        <v/>
      </c>
      <c r="C280" s="126" t="str">
        <f ca="1">IF(Tabel15[[#This Row],[Score]]&lt;&gt;"",IF(C280="",NOW(),C280),"")</f>
        <v/>
      </c>
      <c r="D280" s="182" t="str">
        <f ca="1">IF(OR(Tabel15[[#This Row],[Starttijd]]="",Tabel15[[#This Row],[Eindtijd]]=""),"",Tabel15[[#This Row],[Eindtijd]]-Tabel15[[#This Row],[Starttijd]])</f>
        <v/>
      </c>
      <c r="E280" s="74">
        <v>120</v>
      </c>
      <c r="F280" s="40"/>
      <c r="G280" s="76"/>
      <c r="H280" s="40"/>
      <c r="I280" s="76"/>
      <c r="J280" s="41"/>
      <c r="K280" s="78"/>
      <c r="L280" s="41"/>
      <c r="M280" s="78"/>
      <c r="N280" s="81" t="str">
        <f t="shared" si="26"/>
        <v/>
      </c>
      <c r="O280" s="82" t="str">
        <f t="shared" si="27"/>
        <v/>
      </c>
      <c r="P28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Row],[Score4]]&lt;&gt;""),IF(AND(N280&gt;O280,N280&gt;=11),"ROOD",IF(AND(O280&gt;=11,N280&lt;&gt;O280),"GROEN","")),"")</f>
        <v/>
      </c>
      <c r="Q280" s="86" t="str">
        <f t="shared" si="28"/>
        <v/>
      </c>
      <c r="R280" s="87" t="str">
        <f t="shared" si="29"/>
        <v/>
      </c>
      <c r="S280" s="147" t="str">
        <f>Tabel15[[#This Row],[Rood Verdediging]]&amp;Tabel15[[#This Row],[Rood Aanval]]</f>
        <v/>
      </c>
      <c r="T280" s="147" t="str">
        <f>Tabel15[[#This Row],[Groen Verdediging]]&amp;Tabel15[[#This Row],[Groen Aanval]]</f>
        <v/>
      </c>
      <c r="U280" s="147" t="str">
        <f>Tabel15[[#This Row],[Winnaar 1]]&amp;Tabel15[[#This Row],[Winnaar 2]]</f>
        <v/>
      </c>
      <c r="V280" s="147" t="str">
        <f>IF(Tabel15[[#This Row],[Team Rood]]=Tabel15[[#This Row],[Winnaars]],Tabel15[[#This Row],[Team Rood]])</f>
        <v/>
      </c>
      <c r="W280" s="147" t="str">
        <f>IF(Tabel15[[#This Row],[Team Groen]]=Tabel15[[#This Row],[Winnaars]],Tabel15[[#This Row],[Team Groen]])</f>
        <v/>
      </c>
      <c r="X280" s="283"/>
      <c r="Y280" s="283"/>
      <c r="Z280" s="283"/>
      <c r="AA280" s="283"/>
    </row>
    <row r="281" spans="1:27" x14ac:dyDescent="0.25">
      <c r="A281" s="125" t="str">
        <f ca="1">IF(Tabel15[[#This Row],[Rood Verdediging]]&lt;&gt;"",IF(A281="",NOW(),A281),"")</f>
        <v/>
      </c>
      <c r="B281" s="128" t="str">
        <f ca="1">IF(Tabel15[[#This Row],[Rood Verdediging]]&lt;&gt;"",IF(B281="",NOW(),B281),"")</f>
        <v/>
      </c>
      <c r="C281" s="126" t="str">
        <f ca="1">IF(Tabel15[[#This Row],[Score]]&lt;&gt;"",IF(C281="",NOW(),C281),"")</f>
        <v/>
      </c>
      <c r="D281" s="182" t="str">
        <f ca="1">IF(OR(Tabel15[[#This Row],[Starttijd]]="",Tabel15[[#This Row],[Eindtijd]]=""),"",Tabel15[[#This Row],[Eindtijd]]-Tabel15[[#This Row],[Starttijd]])</f>
        <v/>
      </c>
      <c r="E281" s="74">
        <v>120</v>
      </c>
      <c r="F281" s="40"/>
      <c r="G281" s="76"/>
      <c r="H281" s="40"/>
      <c r="I281" s="76"/>
      <c r="J281" s="41"/>
      <c r="K281" s="78"/>
      <c r="L281" s="41"/>
      <c r="M281" s="78"/>
      <c r="N281" s="81" t="str">
        <f t="shared" si="26"/>
        <v/>
      </c>
      <c r="O281" s="82" t="str">
        <f t="shared" si="27"/>
        <v/>
      </c>
      <c r="P28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Row],[Score4]]&lt;&gt;""),IF(AND(N281&gt;O281,N281&gt;=11),"ROOD",IF(AND(O281&gt;=11,N281&lt;&gt;O281),"GROEN","")),"")</f>
        <v/>
      </c>
      <c r="Q281" s="86" t="str">
        <f t="shared" si="28"/>
        <v/>
      </c>
      <c r="R281" s="87" t="str">
        <f t="shared" si="29"/>
        <v/>
      </c>
      <c r="S281" s="147" t="str">
        <f>Tabel15[[#This Row],[Rood Verdediging]]&amp;Tabel15[[#This Row],[Rood Aanval]]</f>
        <v/>
      </c>
      <c r="T281" s="147" t="str">
        <f>Tabel15[[#This Row],[Groen Verdediging]]&amp;Tabel15[[#This Row],[Groen Aanval]]</f>
        <v/>
      </c>
      <c r="U281" s="147" t="str">
        <f>Tabel15[[#This Row],[Winnaar 1]]&amp;Tabel15[[#This Row],[Winnaar 2]]</f>
        <v/>
      </c>
      <c r="V281" s="147" t="str">
        <f>IF(Tabel15[[#This Row],[Team Rood]]=Tabel15[[#This Row],[Winnaars]],Tabel15[[#This Row],[Team Rood]])</f>
        <v/>
      </c>
      <c r="W281" s="147" t="str">
        <f>IF(Tabel15[[#This Row],[Team Groen]]=Tabel15[[#This Row],[Winnaars]],Tabel15[[#This Row],[Team Groen]])</f>
        <v/>
      </c>
      <c r="X281" s="283"/>
      <c r="Y281" s="283"/>
      <c r="Z281" s="283"/>
      <c r="AA281" s="283"/>
    </row>
    <row r="282" spans="1:27" x14ac:dyDescent="0.25">
      <c r="A282" s="125" t="str">
        <f ca="1">IF(Tabel15[[#This Row],[Rood Verdediging]]&lt;&gt;"",IF(A282="",NOW(),A282),"")</f>
        <v/>
      </c>
      <c r="B282" s="128" t="str">
        <f ca="1">IF(Tabel15[[#This Row],[Rood Verdediging]]&lt;&gt;"",IF(B282="",NOW(),B282),"")</f>
        <v/>
      </c>
      <c r="C282" s="126" t="str">
        <f ca="1">IF(Tabel15[[#This Row],[Score]]&lt;&gt;"",IF(C282="",NOW(),C282),"")</f>
        <v/>
      </c>
      <c r="D282" s="182" t="str">
        <f ca="1">IF(OR(Tabel15[[#This Row],[Starttijd]]="",Tabel15[[#This Row],[Eindtijd]]=""),"",Tabel15[[#This Row],[Eindtijd]]-Tabel15[[#This Row],[Starttijd]])</f>
        <v/>
      </c>
      <c r="E282" s="74">
        <v>120</v>
      </c>
      <c r="F282" s="40"/>
      <c r="G282" s="76"/>
      <c r="H282" s="40"/>
      <c r="I282" s="76"/>
      <c r="J282" s="41"/>
      <c r="K282" s="78"/>
      <c r="L282" s="41"/>
      <c r="M282" s="78"/>
      <c r="N282" s="81" t="str">
        <f t="shared" si="26"/>
        <v/>
      </c>
      <c r="O282" s="82" t="str">
        <f t="shared" si="27"/>
        <v/>
      </c>
      <c r="P28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Row],[Score4]]&lt;&gt;""),IF(AND(N282&gt;O282,N282&gt;=11),"ROOD",IF(AND(O282&gt;=11,N282&lt;&gt;O282),"GROEN","")),"")</f>
        <v/>
      </c>
      <c r="Q282" s="86" t="str">
        <f t="shared" si="28"/>
        <v/>
      </c>
      <c r="R282" s="87" t="str">
        <f t="shared" si="29"/>
        <v/>
      </c>
      <c r="S282" s="147" t="str">
        <f>Tabel15[[#This Row],[Rood Verdediging]]&amp;Tabel15[[#This Row],[Rood Aanval]]</f>
        <v/>
      </c>
      <c r="T282" s="147" t="str">
        <f>Tabel15[[#This Row],[Groen Verdediging]]&amp;Tabel15[[#This Row],[Groen Aanval]]</f>
        <v/>
      </c>
      <c r="U282" s="147" t="str">
        <f>Tabel15[[#This Row],[Winnaar 1]]&amp;Tabel15[[#This Row],[Winnaar 2]]</f>
        <v/>
      </c>
      <c r="V282" s="147" t="str">
        <f>IF(Tabel15[[#This Row],[Team Rood]]=Tabel15[[#This Row],[Winnaars]],Tabel15[[#This Row],[Team Rood]])</f>
        <v/>
      </c>
      <c r="W282" s="147" t="str">
        <f>IF(Tabel15[[#This Row],[Team Groen]]=Tabel15[[#This Row],[Winnaars]],Tabel15[[#This Row],[Team Groen]])</f>
        <v/>
      </c>
      <c r="X282" s="283"/>
      <c r="Y282" s="283"/>
      <c r="Z282" s="283"/>
      <c r="AA282" s="283"/>
    </row>
    <row r="283" spans="1:27" x14ac:dyDescent="0.25">
      <c r="A283" s="125" t="str">
        <f ca="1">IF(Tabel15[[#This Row],[Rood Verdediging]]&lt;&gt;"",IF(A283="",NOW(),A283),"")</f>
        <v/>
      </c>
      <c r="B283" s="128" t="str">
        <f ca="1">IF(Tabel15[[#This Row],[Rood Verdediging]]&lt;&gt;"",IF(B283="",NOW(),B283),"")</f>
        <v/>
      </c>
      <c r="C283" s="126" t="str">
        <f ca="1">IF(Tabel15[[#This Row],[Score]]&lt;&gt;"",IF(C283="",NOW(),C283),"")</f>
        <v/>
      </c>
      <c r="D283" s="182" t="str">
        <f ca="1">IF(OR(Tabel15[[#This Row],[Starttijd]]="",Tabel15[[#This Row],[Eindtijd]]=""),"",Tabel15[[#This Row],[Eindtijd]]-Tabel15[[#This Row],[Starttijd]])</f>
        <v/>
      </c>
      <c r="E283" s="74">
        <v>120</v>
      </c>
      <c r="F283" s="40"/>
      <c r="G283" s="76"/>
      <c r="H283" s="40"/>
      <c r="I283" s="76"/>
      <c r="J283" s="41"/>
      <c r="K283" s="78"/>
      <c r="L283" s="41"/>
      <c r="M283" s="78"/>
      <c r="N283" s="81" t="str">
        <f t="shared" si="26"/>
        <v/>
      </c>
      <c r="O283" s="82" t="str">
        <f t="shared" si="27"/>
        <v/>
      </c>
      <c r="P28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Row],[Score4]]&lt;&gt;""),IF(AND(N283&gt;O283,N283&gt;=11),"ROOD",IF(AND(O283&gt;=11,N283&lt;&gt;O283),"GROEN","")),"")</f>
        <v/>
      </c>
      <c r="Q283" s="86" t="str">
        <f t="shared" si="28"/>
        <v/>
      </c>
      <c r="R283" s="87" t="str">
        <f t="shared" si="29"/>
        <v/>
      </c>
      <c r="S283" s="147" t="str">
        <f>Tabel15[[#This Row],[Rood Verdediging]]&amp;Tabel15[[#This Row],[Rood Aanval]]</f>
        <v/>
      </c>
      <c r="T283" s="147" t="str">
        <f>Tabel15[[#This Row],[Groen Verdediging]]&amp;Tabel15[[#This Row],[Groen Aanval]]</f>
        <v/>
      </c>
      <c r="U283" s="147" t="str">
        <f>Tabel15[[#This Row],[Winnaar 1]]&amp;Tabel15[[#This Row],[Winnaar 2]]</f>
        <v/>
      </c>
      <c r="V283" s="147" t="str">
        <f>IF(Tabel15[[#This Row],[Team Rood]]=Tabel15[[#This Row],[Winnaars]],Tabel15[[#This Row],[Team Rood]])</f>
        <v/>
      </c>
      <c r="W283" s="147" t="str">
        <f>IF(Tabel15[[#This Row],[Team Groen]]=Tabel15[[#This Row],[Winnaars]],Tabel15[[#This Row],[Team Groen]])</f>
        <v/>
      </c>
      <c r="X283" s="283"/>
      <c r="Y283" s="283"/>
      <c r="Z283" s="283"/>
      <c r="AA283" s="283"/>
    </row>
    <row r="284" spans="1:27" x14ac:dyDescent="0.25">
      <c r="A284" s="125" t="str">
        <f ca="1">IF(Tabel15[[#This Row],[Rood Verdediging]]&lt;&gt;"",IF(A284="",NOW(),A284),"")</f>
        <v/>
      </c>
      <c r="B284" s="128" t="str">
        <f ca="1">IF(Tabel15[[#This Row],[Rood Verdediging]]&lt;&gt;"",IF(B284="",NOW(),B284),"")</f>
        <v/>
      </c>
      <c r="C284" s="126" t="str">
        <f ca="1">IF(Tabel15[[#This Row],[Score]]&lt;&gt;"",IF(C284="",NOW(),C284),"")</f>
        <v/>
      </c>
      <c r="D284" s="182" t="str">
        <f ca="1">IF(OR(Tabel15[[#This Row],[Starttijd]]="",Tabel15[[#This Row],[Eindtijd]]=""),"",Tabel15[[#This Row],[Eindtijd]]-Tabel15[[#This Row],[Starttijd]])</f>
        <v/>
      </c>
      <c r="E284" s="74">
        <v>120</v>
      </c>
      <c r="F284" s="40"/>
      <c r="G284" s="76"/>
      <c r="H284" s="40"/>
      <c r="I284" s="76"/>
      <c r="J284" s="41"/>
      <c r="K284" s="78"/>
      <c r="L284" s="41"/>
      <c r="M284" s="78"/>
      <c r="N284" s="81" t="str">
        <f t="shared" si="26"/>
        <v/>
      </c>
      <c r="O284" s="82" t="str">
        <f t="shared" si="27"/>
        <v/>
      </c>
      <c r="P28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Row],[Score4]]&lt;&gt;""),IF(AND(N284&gt;O284,N284&gt;=11),"ROOD",IF(AND(O284&gt;=11,N284&lt;&gt;O284),"GROEN","")),"")</f>
        <v/>
      </c>
      <c r="Q284" s="86" t="str">
        <f t="shared" si="28"/>
        <v/>
      </c>
      <c r="R284" s="87" t="str">
        <f t="shared" si="29"/>
        <v/>
      </c>
      <c r="S284" s="147" t="str">
        <f>Tabel15[[#This Row],[Rood Verdediging]]&amp;Tabel15[[#This Row],[Rood Aanval]]</f>
        <v/>
      </c>
      <c r="T284" s="147" t="str">
        <f>Tabel15[[#This Row],[Groen Verdediging]]&amp;Tabel15[[#This Row],[Groen Aanval]]</f>
        <v/>
      </c>
      <c r="U284" s="147" t="str">
        <f>Tabel15[[#This Row],[Winnaar 1]]&amp;Tabel15[[#This Row],[Winnaar 2]]</f>
        <v/>
      </c>
      <c r="V284" s="147" t="str">
        <f>IF(Tabel15[[#This Row],[Team Rood]]=Tabel15[[#This Row],[Winnaars]],Tabel15[[#This Row],[Team Rood]])</f>
        <v/>
      </c>
      <c r="W284" s="147" t="str">
        <f>IF(Tabel15[[#This Row],[Team Groen]]=Tabel15[[#This Row],[Winnaars]],Tabel15[[#This Row],[Team Groen]])</f>
        <v/>
      </c>
      <c r="X284" s="283"/>
      <c r="Y284" s="283"/>
      <c r="Z284" s="283"/>
      <c r="AA284" s="283"/>
    </row>
    <row r="285" spans="1:27" x14ac:dyDescent="0.25">
      <c r="A285" s="125" t="str">
        <f ca="1">IF(Tabel15[[#This Row],[Rood Verdediging]]&lt;&gt;"",IF(A285="",NOW(),A285),"")</f>
        <v/>
      </c>
      <c r="B285" s="128" t="str">
        <f ca="1">IF(Tabel15[[#This Row],[Rood Verdediging]]&lt;&gt;"",IF(B285="",NOW(),B285),"")</f>
        <v/>
      </c>
      <c r="C285" s="126" t="str">
        <f ca="1">IF(Tabel15[[#This Row],[Score]]&lt;&gt;"",IF(C285="",NOW(),C285),"")</f>
        <v/>
      </c>
      <c r="D285" s="182" t="str">
        <f ca="1">IF(OR(Tabel15[[#This Row],[Starttijd]]="",Tabel15[[#This Row],[Eindtijd]]=""),"",Tabel15[[#This Row],[Eindtijd]]-Tabel15[[#This Row],[Starttijd]])</f>
        <v/>
      </c>
      <c r="E285" s="74">
        <v>120</v>
      </c>
      <c r="F285" s="40"/>
      <c r="G285" s="76"/>
      <c r="H285" s="40"/>
      <c r="I285" s="76"/>
      <c r="J285" s="41"/>
      <c r="K285" s="78"/>
      <c r="L285" s="41"/>
      <c r="M285" s="78"/>
      <c r="N285" s="81" t="str">
        <f t="shared" si="26"/>
        <v/>
      </c>
      <c r="O285" s="82" t="str">
        <f t="shared" si="27"/>
        <v/>
      </c>
      <c r="P28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Row],[Score4]]&lt;&gt;""),IF(AND(N285&gt;O285,N285&gt;=11),"ROOD",IF(AND(O285&gt;=11,N285&lt;&gt;O285),"GROEN","")),"")</f>
        <v/>
      </c>
      <c r="Q285" s="86" t="str">
        <f t="shared" si="28"/>
        <v/>
      </c>
      <c r="R285" s="87" t="str">
        <f t="shared" si="29"/>
        <v/>
      </c>
      <c r="S285" s="147" t="str">
        <f>Tabel15[[#This Row],[Rood Verdediging]]&amp;Tabel15[[#This Row],[Rood Aanval]]</f>
        <v/>
      </c>
      <c r="T285" s="147" t="str">
        <f>Tabel15[[#This Row],[Groen Verdediging]]&amp;Tabel15[[#This Row],[Groen Aanval]]</f>
        <v/>
      </c>
      <c r="U285" s="147" t="str">
        <f>Tabel15[[#This Row],[Winnaar 1]]&amp;Tabel15[[#This Row],[Winnaar 2]]</f>
        <v/>
      </c>
      <c r="V285" s="147" t="str">
        <f>IF(Tabel15[[#This Row],[Team Rood]]=Tabel15[[#This Row],[Winnaars]],Tabel15[[#This Row],[Team Rood]])</f>
        <v/>
      </c>
      <c r="W285" s="147" t="str">
        <f>IF(Tabel15[[#This Row],[Team Groen]]=Tabel15[[#This Row],[Winnaars]],Tabel15[[#This Row],[Team Groen]])</f>
        <v/>
      </c>
      <c r="X285" s="283"/>
      <c r="Y285" s="283"/>
      <c r="Z285" s="283"/>
      <c r="AA285" s="283"/>
    </row>
    <row r="286" spans="1:27" x14ac:dyDescent="0.25">
      <c r="A286" s="125" t="str">
        <f ca="1">IF(Tabel15[[#This Row],[Rood Verdediging]]&lt;&gt;"",IF(A286="",NOW(),A286),"")</f>
        <v/>
      </c>
      <c r="B286" s="128" t="str">
        <f ca="1">IF(Tabel15[[#This Row],[Rood Verdediging]]&lt;&gt;"",IF(B286="",NOW(),B286),"")</f>
        <v/>
      </c>
      <c r="C286" s="126" t="str">
        <f ca="1">IF(Tabel15[[#This Row],[Score]]&lt;&gt;"",IF(C286="",NOW(),C286),"")</f>
        <v/>
      </c>
      <c r="D286" s="182" t="str">
        <f ca="1">IF(OR(Tabel15[[#This Row],[Starttijd]]="",Tabel15[[#This Row],[Eindtijd]]=""),"",Tabel15[[#This Row],[Eindtijd]]-Tabel15[[#This Row],[Starttijd]])</f>
        <v/>
      </c>
      <c r="E286" s="74">
        <v>120</v>
      </c>
      <c r="F286" s="205"/>
      <c r="G286" s="210"/>
      <c r="H286" s="205"/>
      <c r="I286" s="210"/>
      <c r="J286" s="206"/>
      <c r="K286" s="212"/>
      <c r="L286" s="206"/>
      <c r="M286" s="212"/>
      <c r="N286" s="81" t="str">
        <f t="shared" si="26"/>
        <v/>
      </c>
      <c r="O286" s="82" t="str">
        <f t="shared" si="27"/>
        <v/>
      </c>
      <c r="P28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Row],[Score4]]&lt;&gt;""),IF(AND(N286&gt;O286,N286&gt;=11),"ROOD",IF(AND(O286&gt;=11,N286&lt;&gt;O286),"GROEN","")),"")</f>
        <v/>
      </c>
      <c r="Q286" s="86" t="str">
        <f t="shared" si="28"/>
        <v/>
      </c>
      <c r="R286" s="87" t="str">
        <f t="shared" si="29"/>
        <v/>
      </c>
      <c r="S286" s="147" t="str">
        <f>Tabel15[[#This Row],[Rood Verdediging]]&amp;Tabel15[[#This Row],[Rood Aanval]]</f>
        <v/>
      </c>
      <c r="T286" s="147" t="str">
        <f>Tabel15[[#This Row],[Groen Verdediging]]&amp;Tabel15[[#This Row],[Groen Aanval]]</f>
        <v/>
      </c>
      <c r="U286" s="147" t="str">
        <f>Tabel15[[#This Row],[Winnaar 1]]&amp;Tabel15[[#This Row],[Winnaar 2]]</f>
        <v/>
      </c>
      <c r="V286" s="147" t="str">
        <f>IF(Tabel15[[#This Row],[Team Rood]]=Tabel15[[#This Row],[Winnaars]],Tabel15[[#This Row],[Team Rood]])</f>
        <v/>
      </c>
      <c r="W286" s="147" t="str">
        <f>IF(Tabel15[[#This Row],[Team Groen]]=Tabel15[[#This Row],[Winnaars]],Tabel15[[#This Row],[Team Groen]])</f>
        <v/>
      </c>
      <c r="X286" s="283"/>
      <c r="Y286" s="283"/>
      <c r="Z286" s="283"/>
      <c r="AA286" s="283"/>
    </row>
    <row r="287" spans="1:27" x14ac:dyDescent="0.25">
      <c r="A287" s="125" t="str">
        <f ca="1">IF(Tabel15[[#This Row],[Rood Verdediging]]&lt;&gt;"",IF(A287="",NOW(),A287),"")</f>
        <v/>
      </c>
      <c r="B287" s="128" t="str">
        <f ca="1">IF(Tabel15[[#This Row],[Rood Verdediging]]&lt;&gt;"",IF(B287="",NOW(),B287),"")</f>
        <v/>
      </c>
      <c r="C287" s="126" t="str">
        <f ca="1">IF(Tabel15[[#This Row],[Score]]&lt;&gt;"",IF(C287="",NOW(),C287),"")</f>
        <v/>
      </c>
      <c r="D287" s="182" t="str">
        <f ca="1">IF(OR(Tabel15[[#This Row],[Starttijd]]="",Tabel15[[#This Row],[Eindtijd]]=""),"",Tabel15[[#This Row],[Eindtijd]]-Tabel15[[#This Row],[Starttijd]])</f>
        <v/>
      </c>
      <c r="E287" s="74">
        <v>120</v>
      </c>
      <c r="F287" s="205"/>
      <c r="G287" s="76"/>
      <c r="H287" s="205"/>
      <c r="I287" s="76"/>
      <c r="J287" s="206"/>
      <c r="K287" s="78"/>
      <c r="L287" s="206"/>
      <c r="M287" s="78"/>
      <c r="N287" s="81" t="str">
        <f t="shared" si="26"/>
        <v/>
      </c>
      <c r="O287" s="82" t="str">
        <f t="shared" si="27"/>
        <v/>
      </c>
      <c r="P28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Row],[Score4]]&lt;&gt;""),IF(AND(N287&gt;O287,N287&gt;=11),"ROOD",IF(AND(O287&gt;=11,N287&lt;&gt;O287),"GROEN","")),"")</f>
        <v/>
      </c>
      <c r="Q287" s="86" t="str">
        <f t="shared" si="28"/>
        <v/>
      </c>
      <c r="R287" s="87" t="str">
        <f t="shared" si="29"/>
        <v/>
      </c>
      <c r="S287" s="147" t="str">
        <f>Tabel15[[#This Row],[Rood Verdediging]]&amp;Tabel15[[#This Row],[Rood Aanval]]</f>
        <v/>
      </c>
      <c r="T287" s="147" t="str">
        <f>Tabel15[[#This Row],[Groen Verdediging]]&amp;Tabel15[[#This Row],[Groen Aanval]]</f>
        <v/>
      </c>
      <c r="U287" s="147" t="str">
        <f>Tabel15[[#This Row],[Winnaar 1]]&amp;Tabel15[[#This Row],[Winnaar 2]]</f>
        <v/>
      </c>
      <c r="V287" s="147" t="str">
        <f>IF(Tabel15[[#This Row],[Team Rood]]=Tabel15[[#This Row],[Winnaars]],Tabel15[[#This Row],[Team Rood]])</f>
        <v/>
      </c>
      <c r="W287" s="147" t="str">
        <f>IF(Tabel15[[#This Row],[Team Groen]]=Tabel15[[#This Row],[Winnaars]],Tabel15[[#This Row],[Team Groen]])</f>
        <v/>
      </c>
      <c r="X287" s="283"/>
      <c r="Y287" s="283"/>
      <c r="Z287" s="283"/>
      <c r="AA287" s="283"/>
    </row>
    <row r="288" spans="1:27" x14ac:dyDescent="0.25">
      <c r="A288" s="125" t="str">
        <f ca="1">IF(Tabel15[[#This Row],[Rood Verdediging]]&lt;&gt;"",IF(A288="",NOW(),A288),"")</f>
        <v/>
      </c>
      <c r="B288" s="128" t="str">
        <f ca="1">IF(Tabel15[[#This Row],[Rood Verdediging]]&lt;&gt;"",IF(B288="",NOW(),B288),"")</f>
        <v/>
      </c>
      <c r="C288" s="126" t="str">
        <f ca="1">IF(Tabel15[[#This Row],[Score]]&lt;&gt;"",IF(C288="",NOW(),C288),"")</f>
        <v/>
      </c>
      <c r="D288" s="182" t="str">
        <f ca="1">IF(OR(Tabel15[[#This Row],[Starttijd]]="",Tabel15[[#This Row],[Eindtijd]]=""),"",Tabel15[[#This Row],[Eindtijd]]-Tabel15[[#This Row],[Starttijd]])</f>
        <v/>
      </c>
      <c r="E288" s="74">
        <v>120</v>
      </c>
      <c r="F288" s="205"/>
      <c r="G288" s="76"/>
      <c r="H288" s="205"/>
      <c r="I288" s="76"/>
      <c r="J288" s="206"/>
      <c r="K288" s="78"/>
      <c r="L288" s="206"/>
      <c r="M288" s="78"/>
      <c r="N288" s="81" t="str">
        <f t="shared" si="26"/>
        <v/>
      </c>
      <c r="O288" s="82" t="str">
        <f t="shared" si="27"/>
        <v/>
      </c>
      <c r="P28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Row],[Score4]]&lt;&gt;""),IF(AND(N288&gt;O288,N288&gt;=11),"ROOD",IF(AND(O288&gt;=11,N288&lt;&gt;O288),"GROEN","")),"")</f>
        <v/>
      </c>
      <c r="Q288" s="86" t="str">
        <f t="shared" si="28"/>
        <v/>
      </c>
      <c r="R288" s="87" t="str">
        <f t="shared" si="29"/>
        <v/>
      </c>
      <c r="S288" s="147" t="str">
        <f>Tabel15[[#This Row],[Rood Verdediging]]&amp;Tabel15[[#This Row],[Rood Aanval]]</f>
        <v/>
      </c>
      <c r="T288" s="147" t="str">
        <f>Tabel15[[#This Row],[Groen Verdediging]]&amp;Tabel15[[#This Row],[Groen Aanval]]</f>
        <v/>
      </c>
      <c r="U288" s="147" t="str">
        <f>Tabel15[[#This Row],[Winnaar 1]]&amp;Tabel15[[#This Row],[Winnaar 2]]</f>
        <v/>
      </c>
      <c r="V288" s="147" t="str">
        <f>IF(Tabel15[[#This Row],[Team Rood]]=Tabel15[[#This Row],[Winnaars]],Tabel15[[#This Row],[Team Rood]])</f>
        <v/>
      </c>
      <c r="W288" s="147" t="str">
        <f>IF(Tabel15[[#This Row],[Team Groen]]=Tabel15[[#This Row],[Winnaars]],Tabel15[[#This Row],[Team Groen]])</f>
        <v/>
      </c>
      <c r="X288" s="283"/>
      <c r="Y288" s="283"/>
      <c r="Z288" s="283"/>
      <c r="AA288" s="283"/>
    </row>
    <row r="289" spans="1:27" x14ac:dyDescent="0.25">
      <c r="A289" s="125" t="str">
        <f ca="1">IF(Tabel15[[#This Row],[Rood Verdediging]]&lt;&gt;"",IF(A289="",NOW(),A289),"")</f>
        <v/>
      </c>
      <c r="B289" s="128" t="str">
        <f ca="1">IF(Tabel15[[#This Row],[Rood Verdediging]]&lt;&gt;"",IF(B289="",NOW(),B289),"")</f>
        <v/>
      </c>
      <c r="C289" s="126" t="str">
        <f ca="1">IF(Tabel15[[#This Row],[Score]]&lt;&gt;"",IF(C289="",NOW(),C289),"")</f>
        <v/>
      </c>
      <c r="D289" s="182" t="str">
        <f ca="1">IF(OR(Tabel15[[#This Row],[Starttijd]]="",Tabel15[[#This Row],[Eindtijd]]=""),"",Tabel15[[#This Row],[Eindtijd]]-Tabel15[[#This Row],[Starttijd]])</f>
        <v/>
      </c>
      <c r="E289" s="74">
        <v>120</v>
      </c>
      <c r="F289" s="205"/>
      <c r="G289" s="76"/>
      <c r="H289" s="205"/>
      <c r="I289" s="76"/>
      <c r="J289" s="206"/>
      <c r="K289" s="78"/>
      <c r="L289" s="206"/>
      <c r="M289" s="78"/>
      <c r="N289" s="81" t="str">
        <f t="shared" si="26"/>
        <v/>
      </c>
      <c r="O289" s="82" t="str">
        <f t="shared" si="27"/>
        <v/>
      </c>
      <c r="P28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Row],[Score4]]&lt;&gt;""),IF(AND(N289&gt;O289,N289&gt;=11),"ROOD",IF(AND(O289&gt;=11,N289&lt;&gt;O289),"GROEN","")),"")</f>
        <v/>
      </c>
      <c r="Q289" s="86" t="str">
        <f t="shared" si="28"/>
        <v/>
      </c>
      <c r="R289" s="87" t="str">
        <f t="shared" si="29"/>
        <v/>
      </c>
      <c r="S289" s="147" t="str">
        <f>Tabel15[[#This Row],[Rood Verdediging]]&amp;Tabel15[[#This Row],[Rood Aanval]]</f>
        <v/>
      </c>
      <c r="T289" s="147" t="str">
        <f>Tabel15[[#This Row],[Groen Verdediging]]&amp;Tabel15[[#This Row],[Groen Aanval]]</f>
        <v/>
      </c>
      <c r="U289" s="147" t="str">
        <f>Tabel15[[#This Row],[Winnaar 1]]&amp;Tabel15[[#This Row],[Winnaar 2]]</f>
        <v/>
      </c>
      <c r="V289" s="147" t="str">
        <f>IF(Tabel15[[#This Row],[Team Rood]]=Tabel15[[#This Row],[Winnaars]],Tabel15[[#This Row],[Team Rood]])</f>
        <v/>
      </c>
      <c r="W289" s="147" t="str">
        <f>IF(Tabel15[[#This Row],[Team Groen]]=Tabel15[[#This Row],[Winnaars]],Tabel15[[#This Row],[Team Groen]])</f>
        <v/>
      </c>
      <c r="X289" s="283"/>
      <c r="Y289" s="283"/>
      <c r="Z289" s="283"/>
      <c r="AA289" s="283"/>
    </row>
    <row r="290" spans="1:27" x14ac:dyDescent="0.25">
      <c r="A290" s="125" t="str">
        <f ca="1">IF(Tabel15[[#This Row],[Rood Verdediging]]&lt;&gt;"",IF(A290="",NOW(),A290),"")</f>
        <v/>
      </c>
      <c r="B290" s="128" t="str">
        <f ca="1">IF(Tabel15[[#This Row],[Rood Verdediging]]&lt;&gt;"",IF(B290="",NOW(),B290),"")</f>
        <v/>
      </c>
      <c r="C290" s="126" t="str">
        <f ca="1">IF(Tabel15[[#This Row],[Score]]&lt;&gt;"",IF(C290="",NOW(),C290),"")</f>
        <v/>
      </c>
      <c r="D290" s="182" t="str">
        <f ca="1">IF(OR(Tabel15[[#This Row],[Starttijd]]="",Tabel15[[#This Row],[Eindtijd]]=""),"",Tabel15[[#This Row],[Eindtijd]]-Tabel15[[#This Row],[Starttijd]])</f>
        <v/>
      </c>
      <c r="E290" s="74">
        <v>120</v>
      </c>
      <c r="F290" s="205"/>
      <c r="G290" s="76"/>
      <c r="H290" s="205"/>
      <c r="I290" s="76"/>
      <c r="J290" s="206"/>
      <c r="K290" s="78"/>
      <c r="L290" s="206"/>
      <c r="M290" s="78"/>
      <c r="N290" s="81" t="str">
        <f t="shared" si="26"/>
        <v/>
      </c>
      <c r="O290" s="82" t="str">
        <f t="shared" si="27"/>
        <v/>
      </c>
      <c r="P29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Row],[Score4]]&lt;&gt;""),IF(AND(N290&gt;O290,N290&gt;=11),"ROOD",IF(AND(O290&gt;=11,N290&lt;&gt;O290),"GROEN","")),"")</f>
        <v/>
      </c>
      <c r="Q290" s="86" t="str">
        <f t="shared" si="28"/>
        <v/>
      </c>
      <c r="R290" s="87" t="str">
        <f t="shared" si="29"/>
        <v/>
      </c>
      <c r="S290" s="147" t="str">
        <f>Tabel15[[#This Row],[Rood Verdediging]]&amp;Tabel15[[#This Row],[Rood Aanval]]</f>
        <v/>
      </c>
      <c r="T290" s="147" t="str">
        <f>Tabel15[[#This Row],[Groen Verdediging]]&amp;Tabel15[[#This Row],[Groen Aanval]]</f>
        <v/>
      </c>
      <c r="U290" s="147" t="str">
        <f>Tabel15[[#This Row],[Winnaar 1]]&amp;Tabel15[[#This Row],[Winnaar 2]]</f>
        <v/>
      </c>
      <c r="V290" s="147" t="str">
        <f>IF(Tabel15[[#This Row],[Team Rood]]=Tabel15[[#This Row],[Winnaars]],Tabel15[[#This Row],[Team Rood]])</f>
        <v/>
      </c>
      <c r="W290" s="147" t="str">
        <f>IF(Tabel15[[#This Row],[Team Groen]]=Tabel15[[#This Row],[Winnaars]],Tabel15[[#This Row],[Team Groen]])</f>
        <v/>
      </c>
      <c r="X290" s="283"/>
      <c r="Y290" s="283"/>
      <c r="Z290" s="283"/>
      <c r="AA290" s="283"/>
    </row>
    <row r="291" spans="1:27" x14ac:dyDescent="0.25">
      <c r="A291" s="125" t="str">
        <f ca="1">IF(Tabel15[[#This Row],[Rood Verdediging]]&lt;&gt;"",IF(A291="",NOW(),A291),"")</f>
        <v/>
      </c>
      <c r="B291" s="128" t="str">
        <f ca="1">IF(Tabel15[[#This Row],[Rood Verdediging]]&lt;&gt;"",IF(B291="",NOW(),B291),"")</f>
        <v/>
      </c>
      <c r="C291" s="126" t="str">
        <f ca="1">IF(Tabel15[[#This Row],[Score]]&lt;&gt;"",IF(C291="",NOW(),C291),"")</f>
        <v/>
      </c>
      <c r="D291" s="182" t="str">
        <f ca="1">IF(OR(Tabel15[[#This Row],[Starttijd]]="",Tabel15[[#This Row],[Eindtijd]]=""),"",Tabel15[[#This Row],[Eindtijd]]-Tabel15[[#This Row],[Starttijd]])</f>
        <v/>
      </c>
      <c r="E291" s="74">
        <v>120</v>
      </c>
      <c r="F291" s="205"/>
      <c r="G291" s="76"/>
      <c r="H291" s="205"/>
      <c r="I291" s="76"/>
      <c r="J291" s="206"/>
      <c r="K291" s="78"/>
      <c r="L291" s="206"/>
      <c r="M291" s="78"/>
      <c r="N291" s="81" t="str">
        <f t="shared" si="26"/>
        <v/>
      </c>
      <c r="O291" s="82" t="str">
        <f t="shared" si="27"/>
        <v/>
      </c>
      <c r="P29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Row],[Score4]]&lt;&gt;""),IF(AND(N291&gt;O291,N291&gt;=11),"ROOD",IF(AND(O291&gt;=11,N291&lt;&gt;O291),"GROEN","")),"")</f>
        <v/>
      </c>
      <c r="Q291" s="86" t="str">
        <f t="shared" si="28"/>
        <v/>
      </c>
      <c r="R291" s="87" t="str">
        <f t="shared" si="29"/>
        <v/>
      </c>
      <c r="S291" s="147" t="str">
        <f>Tabel15[[#This Row],[Rood Verdediging]]&amp;Tabel15[[#This Row],[Rood Aanval]]</f>
        <v/>
      </c>
      <c r="T291" s="147" t="str">
        <f>Tabel15[[#This Row],[Groen Verdediging]]&amp;Tabel15[[#This Row],[Groen Aanval]]</f>
        <v/>
      </c>
      <c r="U291" s="147" t="str">
        <f>Tabel15[[#This Row],[Winnaar 1]]&amp;Tabel15[[#This Row],[Winnaar 2]]</f>
        <v/>
      </c>
      <c r="V291" s="147" t="str">
        <f>IF(Tabel15[[#This Row],[Team Rood]]=Tabel15[[#This Row],[Winnaars]],Tabel15[[#This Row],[Team Rood]])</f>
        <v/>
      </c>
      <c r="W291" s="147" t="str">
        <f>IF(Tabel15[[#This Row],[Team Groen]]=Tabel15[[#This Row],[Winnaars]],Tabel15[[#This Row],[Team Groen]])</f>
        <v/>
      </c>
      <c r="X291" s="283"/>
      <c r="Y291" s="283"/>
      <c r="Z291" s="283"/>
      <c r="AA291" s="283"/>
    </row>
    <row r="292" spans="1:27" x14ac:dyDescent="0.25">
      <c r="A292" s="125" t="str">
        <f ca="1">IF(Tabel15[[#This Row],[Rood Verdediging]]&lt;&gt;"",IF(A292="",NOW(),A292),"")</f>
        <v/>
      </c>
      <c r="B292" s="128" t="str">
        <f ca="1">IF(Tabel15[[#This Row],[Rood Verdediging]]&lt;&gt;"",IF(B292="",NOW(),B292),"")</f>
        <v/>
      </c>
      <c r="C292" s="126" t="str">
        <f ca="1">IF(Tabel15[[#This Row],[Score]]&lt;&gt;"",IF(C292="",NOW(),C292),"")</f>
        <v/>
      </c>
      <c r="D292" s="182" t="str">
        <f ca="1">IF(OR(Tabel15[[#This Row],[Starttijd]]="",Tabel15[[#This Row],[Eindtijd]]=""),"",Tabel15[[#This Row],[Eindtijd]]-Tabel15[[#This Row],[Starttijd]])</f>
        <v/>
      </c>
      <c r="E292" s="74">
        <v>120</v>
      </c>
      <c r="F292" s="205"/>
      <c r="G292" s="76"/>
      <c r="H292" s="205"/>
      <c r="I292" s="76"/>
      <c r="J292" s="206"/>
      <c r="K292" s="78"/>
      <c r="L292" s="206"/>
      <c r="M292" s="78"/>
      <c r="N292" s="81" t="str">
        <f t="shared" si="26"/>
        <v/>
      </c>
      <c r="O292" s="82" t="str">
        <f t="shared" si="27"/>
        <v/>
      </c>
      <c r="P29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Row],[Score4]]&lt;&gt;""),IF(AND(N292&gt;O292,N292&gt;=11),"ROOD",IF(AND(O292&gt;=11,N292&lt;&gt;O292),"GROEN","")),"")</f>
        <v/>
      </c>
      <c r="Q292" s="86" t="str">
        <f t="shared" si="28"/>
        <v/>
      </c>
      <c r="R292" s="87" t="str">
        <f t="shared" si="29"/>
        <v/>
      </c>
      <c r="S292" s="147" t="str">
        <f>Tabel15[[#This Row],[Rood Verdediging]]&amp;Tabel15[[#This Row],[Rood Aanval]]</f>
        <v/>
      </c>
      <c r="T292" s="147" t="str">
        <f>Tabel15[[#This Row],[Groen Verdediging]]&amp;Tabel15[[#This Row],[Groen Aanval]]</f>
        <v/>
      </c>
      <c r="U292" s="147" t="str">
        <f>Tabel15[[#This Row],[Winnaar 1]]&amp;Tabel15[[#This Row],[Winnaar 2]]</f>
        <v/>
      </c>
      <c r="V292" s="147" t="str">
        <f>IF(Tabel15[[#This Row],[Team Rood]]=Tabel15[[#This Row],[Winnaars]],Tabel15[[#This Row],[Team Rood]])</f>
        <v/>
      </c>
      <c r="W292" s="147" t="str">
        <f>IF(Tabel15[[#This Row],[Team Groen]]=Tabel15[[#This Row],[Winnaars]],Tabel15[[#This Row],[Team Groen]])</f>
        <v/>
      </c>
      <c r="X292" s="283"/>
      <c r="Y292" s="283"/>
      <c r="Z292" s="283"/>
      <c r="AA292" s="283"/>
    </row>
    <row r="293" spans="1:27" x14ac:dyDescent="0.25">
      <c r="A293" s="125" t="str">
        <f ca="1">IF(Tabel15[[#This Row],[Rood Verdediging]]&lt;&gt;"",IF(A293="",NOW(),A293),"")</f>
        <v/>
      </c>
      <c r="B293" s="128" t="str">
        <f ca="1">IF(Tabel15[[#This Row],[Rood Verdediging]]&lt;&gt;"",IF(B293="",NOW(),B293),"")</f>
        <v/>
      </c>
      <c r="C293" s="126" t="str">
        <f ca="1">IF(Tabel15[[#This Row],[Score]]&lt;&gt;"",IF(C293="",NOW(),C293),"")</f>
        <v/>
      </c>
      <c r="D293" s="182" t="str">
        <f ca="1">IF(OR(Tabel15[[#This Row],[Starttijd]]="",Tabel15[[#This Row],[Eindtijd]]=""),"",Tabel15[[#This Row],[Eindtijd]]-Tabel15[[#This Row],[Starttijd]])</f>
        <v/>
      </c>
      <c r="E293" s="74">
        <v>120</v>
      </c>
      <c r="F293" s="205"/>
      <c r="G293" s="76"/>
      <c r="H293" s="205"/>
      <c r="I293" s="76"/>
      <c r="J293" s="206"/>
      <c r="K293" s="78"/>
      <c r="L293" s="206"/>
      <c r="M293" s="78"/>
      <c r="N293" s="81" t="str">
        <f t="shared" si="26"/>
        <v/>
      </c>
      <c r="O293" s="82" t="str">
        <f t="shared" si="27"/>
        <v/>
      </c>
      <c r="P29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Row],[Score4]]&lt;&gt;""),IF(AND(N293&gt;O293,N293&gt;=11),"ROOD",IF(AND(O293&gt;=11,N293&lt;&gt;O293),"GROEN","")),"")</f>
        <v/>
      </c>
      <c r="Q293" s="86" t="str">
        <f t="shared" si="28"/>
        <v/>
      </c>
      <c r="R293" s="87" t="str">
        <f t="shared" si="29"/>
        <v/>
      </c>
      <c r="S293" s="147" t="str">
        <f>Tabel15[[#This Row],[Rood Verdediging]]&amp;Tabel15[[#This Row],[Rood Aanval]]</f>
        <v/>
      </c>
      <c r="T293" s="147" t="str">
        <f>Tabel15[[#This Row],[Groen Verdediging]]&amp;Tabel15[[#This Row],[Groen Aanval]]</f>
        <v/>
      </c>
      <c r="U293" s="147" t="str">
        <f>Tabel15[[#This Row],[Winnaar 1]]&amp;Tabel15[[#This Row],[Winnaar 2]]</f>
        <v/>
      </c>
      <c r="V293" s="147" t="str">
        <f>IF(Tabel15[[#This Row],[Team Rood]]=Tabel15[[#This Row],[Winnaars]],Tabel15[[#This Row],[Team Rood]])</f>
        <v/>
      </c>
      <c r="W293" s="147" t="str">
        <f>IF(Tabel15[[#This Row],[Team Groen]]=Tabel15[[#This Row],[Winnaars]],Tabel15[[#This Row],[Team Groen]])</f>
        <v/>
      </c>
      <c r="X293" s="283"/>
      <c r="Y293" s="283"/>
      <c r="Z293" s="283"/>
      <c r="AA293" s="283"/>
    </row>
    <row r="294" spans="1:27" x14ac:dyDescent="0.25">
      <c r="A294" s="125" t="str">
        <f ca="1">IF(Tabel15[[#This Row],[Rood Verdediging]]&lt;&gt;"",IF(A294="",NOW(),A294),"")</f>
        <v/>
      </c>
      <c r="B294" s="128" t="str">
        <f ca="1">IF(Tabel15[[#This Row],[Rood Verdediging]]&lt;&gt;"",IF(B294="",NOW(),B294),"")</f>
        <v/>
      </c>
      <c r="C294" s="126" t="str">
        <f ca="1">IF(Tabel15[[#This Row],[Score]]&lt;&gt;"",IF(C294="",NOW(),C294),"")</f>
        <v/>
      </c>
      <c r="D294" s="182" t="str">
        <f ca="1">IF(OR(Tabel15[[#This Row],[Starttijd]]="",Tabel15[[#This Row],[Eindtijd]]=""),"",Tabel15[[#This Row],[Eindtijd]]-Tabel15[[#This Row],[Starttijd]])</f>
        <v/>
      </c>
      <c r="E294" s="74">
        <v>120</v>
      </c>
      <c r="F294" s="205"/>
      <c r="G294" s="76"/>
      <c r="H294" s="205"/>
      <c r="I294" s="76"/>
      <c r="J294" s="206"/>
      <c r="K294" s="78"/>
      <c r="L294" s="206"/>
      <c r="M294" s="78"/>
      <c r="N294" s="81" t="str">
        <f t="shared" si="26"/>
        <v/>
      </c>
      <c r="O294" s="82" t="str">
        <f t="shared" si="27"/>
        <v/>
      </c>
      <c r="P29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Row],[Score4]]&lt;&gt;""),IF(AND(N294&gt;O294,N294&gt;=11),"ROOD",IF(AND(O294&gt;=11,N294&lt;&gt;O294),"GROEN","")),"")</f>
        <v/>
      </c>
      <c r="Q294" s="86" t="str">
        <f t="shared" si="28"/>
        <v/>
      </c>
      <c r="R294" s="87" t="str">
        <f t="shared" si="29"/>
        <v/>
      </c>
      <c r="S294" s="147" t="str">
        <f>Tabel15[[#This Row],[Rood Verdediging]]&amp;Tabel15[[#This Row],[Rood Aanval]]</f>
        <v/>
      </c>
      <c r="T294" s="147" t="str">
        <f>Tabel15[[#This Row],[Groen Verdediging]]&amp;Tabel15[[#This Row],[Groen Aanval]]</f>
        <v/>
      </c>
      <c r="U294" s="147" t="str">
        <f>Tabel15[[#This Row],[Winnaar 1]]&amp;Tabel15[[#This Row],[Winnaar 2]]</f>
        <v/>
      </c>
      <c r="V294" s="147" t="str">
        <f>IF(Tabel15[[#This Row],[Team Rood]]=Tabel15[[#This Row],[Winnaars]],Tabel15[[#This Row],[Team Rood]])</f>
        <v/>
      </c>
      <c r="W294" s="147" t="str">
        <f>IF(Tabel15[[#This Row],[Team Groen]]=Tabel15[[#This Row],[Winnaars]],Tabel15[[#This Row],[Team Groen]])</f>
        <v/>
      </c>
      <c r="X294" s="283"/>
      <c r="Y294" s="283"/>
      <c r="Z294" s="283"/>
      <c r="AA294" s="283"/>
    </row>
    <row r="295" spans="1:27" x14ac:dyDescent="0.25">
      <c r="A295" s="125" t="str">
        <f ca="1">IF(Tabel15[[#This Row],[Rood Verdediging]]&lt;&gt;"",IF(A295="",NOW(),A295),"")</f>
        <v/>
      </c>
      <c r="B295" s="128" t="str">
        <f ca="1">IF(Tabel15[[#This Row],[Rood Verdediging]]&lt;&gt;"",IF(B295="",NOW(),B295),"")</f>
        <v/>
      </c>
      <c r="C295" s="126" t="str">
        <f ca="1">IF(Tabel15[[#This Row],[Score]]&lt;&gt;"",IF(C295="",NOW(),C295),"")</f>
        <v/>
      </c>
      <c r="D295" s="182" t="str">
        <f ca="1">IF(OR(Tabel15[[#This Row],[Starttijd]]="",Tabel15[[#This Row],[Eindtijd]]=""),"",Tabel15[[#This Row],[Eindtijd]]-Tabel15[[#This Row],[Starttijd]])</f>
        <v/>
      </c>
      <c r="E295" s="74">
        <v>120</v>
      </c>
      <c r="F295" s="205"/>
      <c r="G295" s="76"/>
      <c r="H295" s="205"/>
      <c r="I295" s="76"/>
      <c r="J295" s="206"/>
      <c r="K295" s="78"/>
      <c r="L295" s="206"/>
      <c r="M295" s="78"/>
      <c r="N295" s="81" t="str">
        <f t="shared" si="26"/>
        <v/>
      </c>
      <c r="O295" s="82" t="str">
        <f t="shared" si="27"/>
        <v/>
      </c>
      <c r="P29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Row],[Score4]]&lt;&gt;""),IF(AND(N295&gt;O295,N295&gt;=11),"ROOD",IF(AND(O295&gt;=11,N295&lt;&gt;O295),"GROEN","")),"")</f>
        <v/>
      </c>
      <c r="Q295" s="86" t="str">
        <f t="shared" si="28"/>
        <v/>
      </c>
      <c r="R295" s="87" t="str">
        <f t="shared" si="29"/>
        <v/>
      </c>
      <c r="S295" s="147" t="str">
        <f>Tabel15[[#This Row],[Rood Verdediging]]&amp;Tabel15[[#This Row],[Rood Aanval]]</f>
        <v/>
      </c>
      <c r="T295" s="147" t="str">
        <f>Tabel15[[#This Row],[Groen Verdediging]]&amp;Tabel15[[#This Row],[Groen Aanval]]</f>
        <v/>
      </c>
      <c r="U295" s="147" t="str">
        <f>Tabel15[[#This Row],[Winnaar 1]]&amp;Tabel15[[#This Row],[Winnaar 2]]</f>
        <v/>
      </c>
      <c r="V295" s="147" t="str">
        <f>IF(Tabel15[[#This Row],[Team Rood]]=Tabel15[[#This Row],[Winnaars]],Tabel15[[#This Row],[Team Rood]])</f>
        <v/>
      </c>
      <c r="W295" s="147" t="str">
        <f>IF(Tabel15[[#This Row],[Team Groen]]=Tabel15[[#This Row],[Winnaars]],Tabel15[[#This Row],[Team Groen]])</f>
        <v/>
      </c>
      <c r="X295" s="283"/>
      <c r="Y295" s="283"/>
      <c r="Z295" s="283"/>
      <c r="AA295" s="283"/>
    </row>
    <row r="296" spans="1:27" x14ac:dyDescent="0.25">
      <c r="A296" s="125" t="str">
        <f ca="1">IF(Tabel15[[#This Row],[Rood Verdediging]]&lt;&gt;"",IF(A296="",NOW(),A296),"")</f>
        <v/>
      </c>
      <c r="B296" s="128" t="str">
        <f ca="1">IF(Tabel15[[#This Row],[Rood Verdediging]]&lt;&gt;"",IF(B296="",NOW(),B296),"")</f>
        <v/>
      </c>
      <c r="C296" s="126" t="str">
        <f ca="1">IF(Tabel15[[#This Row],[Score]]&lt;&gt;"",IF(C296="",NOW(),C296),"")</f>
        <v/>
      </c>
      <c r="D296" s="182" t="str">
        <f ca="1">IF(OR(Tabel15[[#This Row],[Starttijd]]="",Tabel15[[#This Row],[Eindtijd]]=""),"",Tabel15[[#This Row],[Eindtijd]]-Tabel15[[#This Row],[Starttijd]])</f>
        <v/>
      </c>
      <c r="E296" s="74">
        <v>120</v>
      </c>
      <c r="F296" s="205"/>
      <c r="G296" s="76"/>
      <c r="H296" s="205"/>
      <c r="I296" s="76"/>
      <c r="J296" s="206"/>
      <c r="K296" s="78"/>
      <c r="L296" s="206"/>
      <c r="M296" s="78"/>
      <c r="N296" s="81" t="str">
        <f t="shared" si="26"/>
        <v/>
      </c>
      <c r="O296" s="82" t="str">
        <f t="shared" si="27"/>
        <v/>
      </c>
      <c r="P296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Row],[Score4]]&lt;&gt;""),IF(AND(N296&gt;O296,N296&gt;=11),"ROOD",IF(AND(O296&gt;=11,N296&lt;&gt;O296),"GROEN","")),"")</f>
        <v/>
      </c>
      <c r="Q296" s="86" t="str">
        <f t="shared" si="28"/>
        <v/>
      </c>
      <c r="R296" s="87" t="str">
        <f t="shared" si="29"/>
        <v/>
      </c>
      <c r="S296" s="147" t="str">
        <f>Tabel15[[#This Row],[Rood Verdediging]]&amp;Tabel15[[#This Row],[Rood Aanval]]</f>
        <v/>
      </c>
      <c r="T296" s="147" t="str">
        <f>Tabel15[[#This Row],[Groen Verdediging]]&amp;Tabel15[[#This Row],[Groen Aanval]]</f>
        <v/>
      </c>
      <c r="U296" s="147" t="str">
        <f>Tabel15[[#This Row],[Winnaar 1]]&amp;Tabel15[[#This Row],[Winnaar 2]]</f>
        <v/>
      </c>
      <c r="V296" s="147" t="str">
        <f>IF(Tabel15[[#This Row],[Team Rood]]=Tabel15[[#This Row],[Winnaars]],Tabel15[[#This Row],[Team Rood]])</f>
        <v/>
      </c>
      <c r="W296" s="147" t="str">
        <f>IF(Tabel15[[#This Row],[Team Groen]]=Tabel15[[#This Row],[Winnaars]],Tabel15[[#This Row],[Team Groen]])</f>
        <v/>
      </c>
      <c r="X296" s="283"/>
      <c r="Y296" s="283"/>
      <c r="Z296" s="283"/>
      <c r="AA296" s="283"/>
    </row>
    <row r="297" spans="1:27" x14ac:dyDescent="0.25">
      <c r="A297" s="125" t="str">
        <f ca="1">IF(Tabel15[[#This Row],[Rood Verdediging]]&lt;&gt;"",IF(A297="",NOW(),A297),"")</f>
        <v/>
      </c>
      <c r="B297" s="128" t="str">
        <f ca="1">IF(Tabel15[[#This Row],[Rood Verdediging]]&lt;&gt;"",IF(B297="",NOW(),B297),"")</f>
        <v/>
      </c>
      <c r="C297" s="126" t="str">
        <f ca="1">IF(Tabel15[[#This Row],[Score]]&lt;&gt;"",IF(C297="",NOW(),C297),"")</f>
        <v/>
      </c>
      <c r="D297" s="182" t="str">
        <f ca="1">IF(OR(Tabel15[[#This Row],[Starttijd]]="",Tabel15[[#This Row],[Eindtijd]]=""),"",Tabel15[[#This Row],[Eindtijd]]-Tabel15[[#This Row],[Starttijd]])</f>
        <v/>
      </c>
      <c r="E297" s="74">
        <v>120</v>
      </c>
      <c r="F297" s="205"/>
      <c r="G297" s="76"/>
      <c r="H297" s="205"/>
      <c r="I297" s="76"/>
      <c r="J297" s="206"/>
      <c r="K297" s="78"/>
      <c r="L297" s="206"/>
      <c r="M297" s="78"/>
      <c r="N297" s="81" t="str">
        <f t="shared" si="26"/>
        <v/>
      </c>
      <c r="O297" s="82" t="str">
        <f t="shared" si="27"/>
        <v/>
      </c>
      <c r="P297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Row],[Score4]]&lt;&gt;""),IF(AND(N297&gt;O297,N297&gt;=11),"ROOD",IF(AND(O297&gt;=11,N297&lt;&gt;O297),"GROEN","")),"")</f>
        <v/>
      </c>
      <c r="Q297" s="86" t="str">
        <f t="shared" si="28"/>
        <v/>
      </c>
      <c r="R297" s="87" t="str">
        <f t="shared" si="29"/>
        <v/>
      </c>
      <c r="S297" s="147" t="str">
        <f>Tabel15[[#This Row],[Rood Verdediging]]&amp;Tabel15[[#This Row],[Rood Aanval]]</f>
        <v/>
      </c>
      <c r="T297" s="147" t="str">
        <f>Tabel15[[#This Row],[Groen Verdediging]]&amp;Tabel15[[#This Row],[Groen Aanval]]</f>
        <v/>
      </c>
      <c r="U297" s="147" t="str">
        <f>Tabel15[[#This Row],[Winnaar 1]]&amp;Tabel15[[#This Row],[Winnaar 2]]</f>
        <v/>
      </c>
      <c r="V297" s="147" t="str">
        <f>IF(Tabel15[[#This Row],[Team Rood]]=Tabel15[[#This Row],[Winnaars]],Tabel15[[#This Row],[Team Rood]])</f>
        <v/>
      </c>
      <c r="W297" s="147" t="str">
        <f>IF(Tabel15[[#This Row],[Team Groen]]=Tabel15[[#This Row],[Winnaars]],Tabel15[[#This Row],[Team Groen]])</f>
        <v/>
      </c>
      <c r="X297" s="283"/>
      <c r="Y297" s="283"/>
      <c r="Z297" s="283"/>
      <c r="AA297" s="283"/>
    </row>
    <row r="298" spans="1:27" x14ac:dyDescent="0.25">
      <c r="A298" s="125" t="str">
        <f ca="1">IF(Tabel15[[#This Row],[Rood Verdediging]]&lt;&gt;"",IF(A298="",NOW(),A298),"")</f>
        <v/>
      </c>
      <c r="B298" s="128" t="str">
        <f ca="1">IF(Tabel15[[#This Row],[Rood Verdediging]]&lt;&gt;"",IF(B298="",NOW(),B298),"")</f>
        <v/>
      </c>
      <c r="C298" s="126" t="str">
        <f ca="1">IF(Tabel15[[#This Row],[Score]]&lt;&gt;"",IF(C298="",NOW(),C298),"")</f>
        <v/>
      </c>
      <c r="D298" s="182" t="str">
        <f ca="1">IF(OR(Tabel15[[#This Row],[Starttijd]]="",Tabel15[[#This Row],[Eindtijd]]=""),"",Tabel15[[#This Row],[Eindtijd]]-Tabel15[[#This Row],[Starttijd]])</f>
        <v/>
      </c>
      <c r="E298" s="74">
        <v>120</v>
      </c>
      <c r="F298" s="205"/>
      <c r="G298" s="76"/>
      <c r="H298" s="205"/>
      <c r="I298" s="76"/>
      <c r="J298" s="206"/>
      <c r="K298" s="78"/>
      <c r="L298" s="206"/>
      <c r="M298" s="78"/>
      <c r="N298" s="81" t="str">
        <f t="shared" si="26"/>
        <v/>
      </c>
      <c r="O298" s="82" t="str">
        <f t="shared" si="27"/>
        <v/>
      </c>
      <c r="P298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Row],[Score4]]&lt;&gt;""),IF(AND(N298&gt;O298,N298&gt;=11),"ROOD",IF(AND(O298&gt;=11,N298&lt;&gt;O298),"GROEN","")),"")</f>
        <v/>
      </c>
      <c r="Q298" s="86" t="str">
        <f t="shared" si="28"/>
        <v/>
      </c>
      <c r="R298" s="87" t="str">
        <f t="shared" si="29"/>
        <v/>
      </c>
      <c r="S298" s="147" t="str">
        <f>Tabel15[[#This Row],[Rood Verdediging]]&amp;Tabel15[[#This Row],[Rood Aanval]]</f>
        <v/>
      </c>
      <c r="T298" s="147" t="str">
        <f>Tabel15[[#This Row],[Groen Verdediging]]&amp;Tabel15[[#This Row],[Groen Aanval]]</f>
        <v/>
      </c>
      <c r="U298" s="147" t="str">
        <f>Tabel15[[#This Row],[Winnaar 1]]&amp;Tabel15[[#This Row],[Winnaar 2]]</f>
        <v/>
      </c>
      <c r="V298" s="147" t="str">
        <f>IF(Tabel15[[#This Row],[Team Rood]]=Tabel15[[#This Row],[Winnaars]],Tabel15[[#This Row],[Team Rood]])</f>
        <v/>
      </c>
      <c r="W298" s="147" t="str">
        <f>IF(Tabel15[[#This Row],[Team Groen]]=Tabel15[[#This Row],[Winnaars]],Tabel15[[#This Row],[Team Groen]])</f>
        <v/>
      </c>
      <c r="X298" s="283"/>
      <c r="Y298" s="283"/>
      <c r="Z298" s="283"/>
      <c r="AA298" s="283"/>
    </row>
    <row r="299" spans="1:27" x14ac:dyDescent="0.25">
      <c r="A299" s="125" t="str">
        <f ca="1">IF(Tabel15[[#This Row],[Rood Verdediging]]&lt;&gt;"",IF(A299="",NOW(),A299),"")</f>
        <v/>
      </c>
      <c r="B299" s="128" t="str">
        <f ca="1">IF(Tabel15[[#This Row],[Rood Verdediging]]&lt;&gt;"",IF(B299="",NOW(),B299),"")</f>
        <v/>
      </c>
      <c r="C299" s="126" t="str">
        <f ca="1">IF(Tabel15[[#This Row],[Score]]&lt;&gt;"",IF(C299="",NOW(),C299),"")</f>
        <v/>
      </c>
      <c r="D299" s="182" t="str">
        <f ca="1">IF(OR(Tabel15[[#This Row],[Starttijd]]="",Tabel15[[#This Row],[Eindtijd]]=""),"",Tabel15[[#This Row],[Eindtijd]]-Tabel15[[#This Row],[Starttijd]])</f>
        <v/>
      </c>
      <c r="E299" s="74">
        <v>120</v>
      </c>
      <c r="F299" s="205"/>
      <c r="G299" s="76"/>
      <c r="H299" s="205"/>
      <c r="I299" s="76"/>
      <c r="J299" s="206"/>
      <c r="K299" s="78"/>
      <c r="L299" s="206"/>
      <c r="M299" s="78"/>
      <c r="N299" s="81" t="str">
        <f t="shared" si="26"/>
        <v/>
      </c>
      <c r="O299" s="82" t="str">
        <f t="shared" si="27"/>
        <v/>
      </c>
      <c r="P299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Row],[Score4]]&lt;&gt;""),IF(AND(N299&gt;O299,N299&gt;=11),"ROOD",IF(AND(O299&gt;=11,N299&lt;&gt;O299),"GROEN","")),"")</f>
        <v/>
      </c>
      <c r="Q299" s="86" t="str">
        <f t="shared" si="28"/>
        <v/>
      </c>
      <c r="R299" s="87" t="str">
        <f t="shared" si="29"/>
        <v/>
      </c>
      <c r="S299" s="147" t="str">
        <f>Tabel15[[#This Row],[Rood Verdediging]]&amp;Tabel15[[#This Row],[Rood Aanval]]</f>
        <v/>
      </c>
      <c r="T299" s="147" t="str">
        <f>Tabel15[[#This Row],[Groen Verdediging]]&amp;Tabel15[[#This Row],[Groen Aanval]]</f>
        <v/>
      </c>
      <c r="U299" s="147" t="str">
        <f>Tabel15[[#This Row],[Winnaar 1]]&amp;Tabel15[[#This Row],[Winnaar 2]]</f>
        <v/>
      </c>
      <c r="V299" s="147" t="str">
        <f>IF(Tabel15[[#This Row],[Team Rood]]=Tabel15[[#This Row],[Winnaars]],Tabel15[[#This Row],[Team Rood]])</f>
        <v/>
      </c>
      <c r="W299" s="147" t="str">
        <f>IF(Tabel15[[#This Row],[Team Groen]]=Tabel15[[#This Row],[Winnaars]],Tabel15[[#This Row],[Team Groen]])</f>
        <v/>
      </c>
      <c r="X299" s="283"/>
      <c r="Y299" s="283"/>
      <c r="Z299" s="283"/>
      <c r="AA299" s="283"/>
    </row>
    <row r="300" spans="1:27" x14ac:dyDescent="0.25">
      <c r="A300" s="125" t="str">
        <f ca="1">IF(Tabel15[[#This Row],[Rood Verdediging]]&lt;&gt;"",IF(A300="",NOW(),A300),"")</f>
        <v/>
      </c>
      <c r="B300" s="128" t="str">
        <f ca="1">IF(Tabel15[[#This Row],[Rood Verdediging]]&lt;&gt;"",IF(B300="",NOW(),B300),"")</f>
        <v/>
      </c>
      <c r="C300" s="126" t="str">
        <f ca="1">IF(Tabel15[[#This Row],[Score]]&lt;&gt;"",IF(C300="",NOW(),C300),"")</f>
        <v/>
      </c>
      <c r="D300" s="182" t="str">
        <f ca="1">IF(OR(Tabel15[[#This Row],[Starttijd]]="",Tabel15[[#This Row],[Eindtijd]]=""),"",Tabel15[[#This Row],[Eindtijd]]-Tabel15[[#This Row],[Starttijd]])</f>
        <v/>
      </c>
      <c r="E300" s="74">
        <v>120</v>
      </c>
      <c r="F300" s="205"/>
      <c r="G300" s="76"/>
      <c r="H300" s="205"/>
      <c r="I300" s="76"/>
      <c r="J300" s="206"/>
      <c r="K300" s="78"/>
      <c r="L300" s="206"/>
      <c r="M300" s="78"/>
      <c r="N300" s="81" t="str">
        <f t="shared" si="26"/>
        <v/>
      </c>
      <c r="O300" s="82" t="str">
        <f t="shared" si="27"/>
        <v/>
      </c>
      <c r="P300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Row],[Score4]]&lt;&gt;""),IF(AND(N300&gt;O300,N300&gt;=11),"ROOD",IF(AND(O300&gt;=11,N300&lt;&gt;O300),"GROEN","")),"")</f>
        <v/>
      </c>
      <c r="Q300" s="86" t="str">
        <f t="shared" si="28"/>
        <v/>
      </c>
      <c r="R300" s="87" t="str">
        <f t="shared" si="29"/>
        <v/>
      </c>
      <c r="S300" s="147" t="str">
        <f>Tabel15[[#This Row],[Rood Verdediging]]&amp;Tabel15[[#This Row],[Rood Aanval]]</f>
        <v/>
      </c>
      <c r="T300" s="147" t="str">
        <f>Tabel15[[#This Row],[Groen Verdediging]]&amp;Tabel15[[#This Row],[Groen Aanval]]</f>
        <v/>
      </c>
      <c r="U300" s="147" t="str">
        <f>Tabel15[[#This Row],[Winnaar 1]]&amp;Tabel15[[#This Row],[Winnaar 2]]</f>
        <v/>
      </c>
      <c r="V300" s="147" t="str">
        <f>IF(Tabel15[[#This Row],[Team Rood]]=Tabel15[[#This Row],[Winnaars]],Tabel15[[#This Row],[Team Rood]])</f>
        <v/>
      </c>
      <c r="W300" s="147" t="str">
        <f>IF(Tabel15[[#This Row],[Team Groen]]=Tabel15[[#This Row],[Winnaars]],Tabel15[[#This Row],[Team Groen]])</f>
        <v/>
      </c>
      <c r="X300" s="283"/>
      <c r="Y300" s="283"/>
      <c r="Z300" s="283"/>
      <c r="AA300" s="283"/>
    </row>
    <row r="301" spans="1:27" x14ac:dyDescent="0.25">
      <c r="A301" s="125" t="str">
        <f ca="1">IF(Tabel15[[#This Row],[Rood Verdediging]]&lt;&gt;"",IF(A301="",NOW(),A301),"")</f>
        <v/>
      </c>
      <c r="B301" s="128" t="str">
        <f ca="1">IF(Tabel15[[#This Row],[Rood Verdediging]]&lt;&gt;"",IF(B301="",NOW(),B301),"")</f>
        <v/>
      </c>
      <c r="C301" s="126" t="str">
        <f ca="1">IF(Tabel15[[#This Row],[Score]]&lt;&gt;"",IF(C301="",NOW(),C301),"")</f>
        <v/>
      </c>
      <c r="D301" s="182" t="str">
        <f ca="1">IF(OR(Tabel15[[#This Row],[Starttijd]]="",Tabel15[[#This Row],[Eindtijd]]=""),"",Tabel15[[#This Row],[Eindtijd]]-Tabel15[[#This Row],[Starttijd]])</f>
        <v/>
      </c>
      <c r="E301" s="74">
        <v>120</v>
      </c>
      <c r="F301" s="205"/>
      <c r="G301" s="76"/>
      <c r="H301" s="205"/>
      <c r="I301" s="76"/>
      <c r="J301" s="206"/>
      <c r="K301" s="78"/>
      <c r="L301" s="206"/>
      <c r="M301" s="78"/>
      <c r="N301" s="81" t="str">
        <f t="shared" si="26"/>
        <v/>
      </c>
      <c r="O301" s="82" t="str">
        <f t="shared" si="27"/>
        <v/>
      </c>
      <c r="P301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Row],[Score4]]&lt;&gt;""),IF(AND(N301&gt;O301,N301&gt;=11),"ROOD",IF(AND(O301&gt;=11,N301&lt;&gt;O301),"GROEN","")),"")</f>
        <v/>
      </c>
      <c r="Q301" s="86" t="str">
        <f t="shared" si="28"/>
        <v/>
      </c>
      <c r="R301" s="87" t="str">
        <f t="shared" si="29"/>
        <v/>
      </c>
      <c r="S301" s="147" t="str">
        <f>Tabel15[[#This Row],[Rood Verdediging]]&amp;Tabel15[[#This Row],[Rood Aanval]]</f>
        <v/>
      </c>
      <c r="T301" s="147" t="str">
        <f>Tabel15[[#This Row],[Groen Verdediging]]&amp;Tabel15[[#This Row],[Groen Aanval]]</f>
        <v/>
      </c>
      <c r="U301" s="147" t="str">
        <f>Tabel15[[#This Row],[Winnaar 1]]&amp;Tabel15[[#This Row],[Winnaar 2]]</f>
        <v/>
      </c>
      <c r="V301" s="147" t="str">
        <f>IF(Tabel15[[#This Row],[Team Rood]]=Tabel15[[#This Row],[Winnaars]],Tabel15[[#This Row],[Team Rood]])</f>
        <v/>
      </c>
      <c r="W301" s="147" t="str">
        <f>IF(Tabel15[[#This Row],[Team Groen]]=Tabel15[[#This Row],[Winnaars]],Tabel15[[#This Row],[Team Groen]])</f>
        <v/>
      </c>
      <c r="X301" s="283"/>
      <c r="Y301" s="283"/>
      <c r="Z301" s="283"/>
      <c r="AA301" s="283"/>
    </row>
    <row r="302" spans="1:27" x14ac:dyDescent="0.25">
      <c r="A302" s="125" t="str">
        <f ca="1">IF(Tabel15[[#This Row],[Rood Verdediging]]&lt;&gt;"",IF(A302="",NOW(),A302),"")</f>
        <v/>
      </c>
      <c r="B302" s="128" t="str">
        <f ca="1">IF(Tabel15[[#This Row],[Rood Verdediging]]&lt;&gt;"",IF(B302="",NOW(),B302),"")</f>
        <v/>
      </c>
      <c r="C302" s="126" t="str">
        <f ca="1">IF(Tabel15[[#This Row],[Score]]&lt;&gt;"",IF(C302="",NOW(),C302),"")</f>
        <v/>
      </c>
      <c r="D302" s="182" t="str">
        <f ca="1">IF(OR(Tabel15[[#This Row],[Starttijd]]="",Tabel15[[#This Row],[Eindtijd]]=""),"",Tabel15[[#This Row],[Eindtijd]]-Tabel15[[#This Row],[Starttijd]])</f>
        <v/>
      </c>
      <c r="E302" s="74">
        <v>120</v>
      </c>
      <c r="F302" s="205"/>
      <c r="G302" s="76"/>
      <c r="H302" s="205"/>
      <c r="I302" s="76"/>
      <c r="J302" s="206"/>
      <c r="K302" s="78"/>
      <c r="L302" s="206"/>
      <c r="M302" s="78"/>
      <c r="N302" s="81" t="str">
        <f t="shared" si="26"/>
        <v/>
      </c>
      <c r="O302" s="82" t="str">
        <f t="shared" si="27"/>
        <v/>
      </c>
      <c r="P302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Row],[Score4]]&lt;&gt;""),IF(AND(N302&gt;O302,N302&gt;=11),"ROOD",IF(AND(O302&gt;=11,N302&lt;&gt;O302),"GROEN","")),"")</f>
        <v/>
      </c>
      <c r="Q302" s="86" t="str">
        <f t="shared" si="28"/>
        <v/>
      </c>
      <c r="R302" s="87" t="str">
        <f t="shared" si="29"/>
        <v/>
      </c>
      <c r="S302" s="147" t="str">
        <f>Tabel15[[#This Row],[Rood Verdediging]]&amp;Tabel15[[#This Row],[Rood Aanval]]</f>
        <v/>
      </c>
      <c r="T302" s="147" t="str">
        <f>Tabel15[[#This Row],[Groen Verdediging]]&amp;Tabel15[[#This Row],[Groen Aanval]]</f>
        <v/>
      </c>
      <c r="U302" s="147" t="str">
        <f>Tabel15[[#This Row],[Winnaar 1]]&amp;Tabel15[[#This Row],[Winnaar 2]]</f>
        <v/>
      </c>
      <c r="V302" s="147" t="str">
        <f>IF(Tabel15[[#This Row],[Team Rood]]=Tabel15[[#This Row],[Winnaars]],Tabel15[[#This Row],[Team Rood]])</f>
        <v/>
      </c>
      <c r="W302" s="147" t="str">
        <f>IF(Tabel15[[#This Row],[Team Groen]]=Tabel15[[#This Row],[Winnaars]],Tabel15[[#This Row],[Team Groen]])</f>
        <v/>
      </c>
      <c r="X302" s="283"/>
      <c r="Y302" s="283"/>
      <c r="Z302" s="283"/>
      <c r="AA302" s="283"/>
    </row>
    <row r="303" spans="1:27" x14ac:dyDescent="0.25">
      <c r="A303" s="125" t="str">
        <f ca="1">IF(Tabel15[[#This Row],[Rood Verdediging]]&lt;&gt;"",IF(A303="",NOW(),A303),"")</f>
        <v/>
      </c>
      <c r="B303" s="128" t="str">
        <f ca="1">IF(Tabel15[[#This Row],[Rood Verdediging]]&lt;&gt;"",IF(B303="",NOW(),B303),"")</f>
        <v/>
      </c>
      <c r="C303" s="126" t="str">
        <f ca="1">IF(Tabel15[[#This Row],[Score]]&lt;&gt;"",IF(C303="",NOW(),C303),"")</f>
        <v/>
      </c>
      <c r="D303" s="182" t="str">
        <f ca="1">IF(OR(Tabel15[[#This Row],[Starttijd]]="",Tabel15[[#This Row],[Eindtijd]]=""),"",Tabel15[[#This Row],[Eindtijd]]-Tabel15[[#This Row],[Starttijd]])</f>
        <v/>
      </c>
      <c r="E303" s="74">
        <v>120</v>
      </c>
      <c r="F303" s="40"/>
      <c r="G303" s="76"/>
      <c r="H303" s="40"/>
      <c r="I303" s="76"/>
      <c r="J303" s="41"/>
      <c r="K303" s="78"/>
      <c r="L303" s="41"/>
      <c r="M303" s="78"/>
      <c r="N303" s="81" t="str">
        <f t="shared" si="26"/>
        <v/>
      </c>
      <c r="O303" s="82" t="str">
        <f t="shared" si="27"/>
        <v/>
      </c>
      <c r="P303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Row],[Score4]]&lt;&gt;""),IF(AND(N303&gt;O303,N303&gt;=11),"ROOD",IF(AND(O303&gt;=11,N303&lt;&gt;O303),"GROEN","")),"")</f>
        <v/>
      </c>
      <c r="Q303" s="86" t="str">
        <f t="shared" si="28"/>
        <v/>
      </c>
      <c r="R303" s="87" t="str">
        <f t="shared" si="29"/>
        <v/>
      </c>
      <c r="S303" s="147" t="str">
        <f>Tabel15[[#This Row],[Rood Verdediging]]&amp;Tabel15[[#This Row],[Rood Aanval]]</f>
        <v/>
      </c>
      <c r="T303" s="147" t="str">
        <f>Tabel15[[#This Row],[Groen Verdediging]]&amp;Tabel15[[#This Row],[Groen Aanval]]</f>
        <v/>
      </c>
      <c r="U303" s="147" t="str">
        <f>Tabel15[[#This Row],[Winnaar 1]]&amp;Tabel15[[#This Row],[Winnaar 2]]</f>
        <v/>
      </c>
      <c r="V303" s="147" t="str">
        <f>IF(Tabel15[[#This Row],[Team Rood]]=Tabel15[[#This Row],[Winnaars]],Tabel15[[#This Row],[Team Rood]])</f>
        <v/>
      </c>
      <c r="W303" s="147" t="str">
        <f>IF(Tabel15[[#This Row],[Team Groen]]=Tabel15[[#This Row],[Winnaars]],Tabel15[[#This Row],[Team Groen]])</f>
        <v/>
      </c>
      <c r="X303" s="283"/>
      <c r="Y303" s="283"/>
      <c r="Z303" s="283"/>
      <c r="AA303" s="283"/>
    </row>
    <row r="304" spans="1:27" x14ac:dyDescent="0.25">
      <c r="A304" s="125" t="str">
        <f ca="1">IF(Tabel15[[#This Row],[Rood Verdediging]]&lt;&gt;"",IF(A304="",NOW(),A304),"")</f>
        <v/>
      </c>
      <c r="B304" s="128" t="str">
        <f ca="1">IF(Tabel15[[#This Row],[Rood Verdediging]]&lt;&gt;"",IF(B304="",NOW(),B304),"")</f>
        <v/>
      </c>
      <c r="C304" s="126" t="str">
        <f ca="1">IF(Tabel15[[#This Row],[Score]]&lt;&gt;"",IF(C304="",NOW(),C304),"")</f>
        <v/>
      </c>
      <c r="D304" s="182" t="str">
        <f ca="1">IF(OR(Tabel15[[#This Row],[Starttijd]]="",Tabel15[[#This Row],[Eindtijd]]=""),"",Tabel15[[#This Row],[Eindtijd]]-Tabel15[[#This Row],[Starttijd]])</f>
        <v/>
      </c>
      <c r="E304" s="74">
        <v>120</v>
      </c>
      <c r="F304" s="40"/>
      <c r="G304" s="76"/>
      <c r="H304" s="40"/>
      <c r="I304" s="76"/>
      <c r="J304" s="41"/>
      <c r="K304" s="78"/>
      <c r="L304" s="41"/>
      <c r="M304" s="78"/>
      <c r="N304" s="81" t="str">
        <f t="shared" si="26"/>
        <v/>
      </c>
      <c r="O304" s="82" t="str">
        <f t="shared" si="27"/>
        <v/>
      </c>
      <c r="P304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Row],[Score4]]&lt;&gt;""),IF(AND(N304&gt;O304,N304&gt;=11),"ROOD",IF(AND(O304&gt;=11,N304&lt;&gt;O304),"GROEN","")),"")</f>
        <v/>
      </c>
      <c r="Q304" s="86" t="str">
        <f t="shared" si="28"/>
        <v/>
      </c>
      <c r="R304" s="87" t="str">
        <f t="shared" si="29"/>
        <v/>
      </c>
      <c r="S304" s="147" t="str">
        <f>Tabel15[[#This Row],[Rood Verdediging]]&amp;Tabel15[[#This Row],[Rood Aanval]]</f>
        <v/>
      </c>
      <c r="T304" s="147" t="str">
        <f>Tabel15[[#This Row],[Groen Verdediging]]&amp;Tabel15[[#This Row],[Groen Aanval]]</f>
        <v/>
      </c>
      <c r="U304" s="147" t="str">
        <f>Tabel15[[#This Row],[Winnaar 1]]&amp;Tabel15[[#This Row],[Winnaar 2]]</f>
        <v/>
      </c>
      <c r="V304" s="147" t="str">
        <f>IF(Tabel15[[#This Row],[Team Rood]]=Tabel15[[#This Row],[Winnaars]],Tabel15[[#This Row],[Team Rood]])</f>
        <v/>
      </c>
      <c r="W304" s="147" t="str">
        <f>IF(Tabel15[[#This Row],[Team Groen]]=Tabel15[[#This Row],[Winnaars]],Tabel15[[#This Row],[Team Groen]])</f>
        <v/>
      </c>
      <c r="X304" s="283"/>
      <c r="Y304" s="283"/>
      <c r="Z304" s="283"/>
      <c r="AA304" s="283"/>
    </row>
    <row r="305" spans="1:27" x14ac:dyDescent="0.25">
      <c r="A305" s="125" t="str">
        <f ca="1">IF(Tabel15[[#This Row],[Rood Verdediging]]&lt;&gt;"",IF(A305="",NOW(),A305),"")</f>
        <v/>
      </c>
      <c r="B305" s="128" t="str">
        <f ca="1">IF(Tabel15[[#This Row],[Rood Verdediging]]&lt;&gt;"",IF(B305="",NOW(),B305),"")</f>
        <v/>
      </c>
      <c r="C305" s="126" t="str">
        <f ca="1">IF(Tabel15[[#This Row],[Score]]&lt;&gt;"",IF(C305="",NOW(),C305),"")</f>
        <v/>
      </c>
      <c r="D305" s="182" t="str">
        <f ca="1">IF(OR(Tabel15[[#This Row],[Starttijd]]="",Tabel15[[#This Row],[Eindtijd]]=""),"",Tabel15[[#This Row],[Eindtijd]]-Tabel15[[#This Row],[Starttijd]])</f>
        <v/>
      </c>
      <c r="E305" s="74">
        <v>120</v>
      </c>
      <c r="F305" s="40"/>
      <c r="G305" s="76"/>
      <c r="H305" s="40"/>
      <c r="I305" s="76"/>
      <c r="J305" s="41"/>
      <c r="K305" s="78"/>
      <c r="L305" s="41"/>
      <c r="M305" s="78"/>
      <c r="N305" s="81" t="str">
        <f t="shared" si="26"/>
        <v/>
      </c>
      <c r="O305" s="82" t="str">
        <f t="shared" si="27"/>
        <v/>
      </c>
      <c r="P305" s="71" t="str">
        <f>IF(AND(Tabel15[[#This Row],[Rood Verdediging]]&lt;&gt;"",Tabel15[[#This Row],[Score]]&lt;&gt;"",Tabel15[[#This Row],[Rood Aanval]]&lt;&gt;"",Tabel15[[#This Row],[Score2]]&lt;&gt;"",Tabel15[[#This Row],[Groen Verdediging]]&lt;&gt;"",Tabel15[[#This Row],[Score3]]&lt;&gt;"",Tabel15[[#This Row],[Groen Aanval]]&lt;&gt;"",Tabel15[[#This Row],[Score4]]&lt;&gt;""),IF(AND(N305&gt;O305,N305&gt;=11),"ROOD",IF(AND(O305&gt;=11,N305&lt;&gt;O305),"GROEN","")),"")</f>
        <v/>
      </c>
      <c r="Q305" s="86" t="str">
        <f t="shared" si="28"/>
        <v/>
      </c>
      <c r="R305" s="87" t="str">
        <f t="shared" si="29"/>
        <v/>
      </c>
      <c r="S305" s="147" t="str">
        <f>Tabel15[[#This Row],[Rood Verdediging]]&amp;Tabel15[[#This Row],[Rood Aanval]]</f>
        <v/>
      </c>
      <c r="T305" s="147" t="str">
        <f>Tabel15[[#This Row],[Groen Verdediging]]&amp;Tabel15[[#This Row],[Groen Aanval]]</f>
        <v/>
      </c>
      <c r="U305" s="147" t="str">
        <f>Tabel15[[#This Row],[Winnaar 1]]&amp;Tabel15[[#This Row],[Winnaar 2]]</f>
        <v/>
      </c>
      <c r="V305" s="147" t="str">
        <f>IF(Tabel15[[#This Row],[Team Rood]]=Tabel15[[#This Row],[Winnaars]],Tabel15[[#This Row],[Team Rood]])</f>
        <v/>
      </c>
      <c r="W305" s="147" t="str">
        <f>IF(Tabel15[[#This Row],[Team Groen]]=Tabel15[[#This Row],[Winnaars]],Tabel15[[#This Row],[Team Groen]])</f>
        <v/>
      </c>
      <c r="X305" s="276"/>
      <c r="Y305" s="276"/>
      <c r="Z305" s="276"/>
      <c r="AA305" s="276"/>
    </row>
  </sheetData>
  <phoneticPr fontId="14" type="noConversion"/>
  <conditionalFormatting sqref="P2:P305">
    <cfRule type="containsText" dxfId="269" priority="37" operator="containsText" text="ROOD">
      <formula>NOT(ISERROR(SEARCH("ROOD",P2)))</formula>
    </cfRule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268" priority="39" operator="containsText" text="GROEN">
      <formula>NOT(ISERROR(SEARCH("GROEN",P2)))</formula>
    </cfRule>
    <cfRule type="cellIs" dxfId="267" priority="40" operator="equal">
      <formula>"""GROEN"""</formula>
    </cfRule>
  </conditionalFormatting>
  <conditionalFormatting sqref="F3:F47 F50:F305">
    <cfRule type="expression" dxfId="266" priority="42">
      <formula>AND($P2&lt;&gt;"",$F3=0)</formula>
    </cfRule>
  </conditionalFormatting>
  <conditionalFormatting sqref="F49">
    <cfRule type="expression" dxfId="265" priority="3">
      <formula>AND($P48&lt;&gt;"",$F49=0)</formula>
    </cfRule>
  </conditionalFormatting>
  <conditionalFormatting sqref="F48">
    <cfRule type="expression" dxfId="264" priority="1">
      <formula>AND($P47&lt;&gt;"",$F48=0)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legacyDrawing r:id="rId3"/>
  <controls>
    <mc:AlternateContent xmlns:mc="http://schemas.openxmlformats.org/markup-compatibility/2006">
      <mc:Choice Requires="x14">
        <control shapeId="6146" r:id="rId4" name="CommandButton2">
          <controlPr defaultSize="0" autoLine="0" r:id="rId5">
            <anchor moveWithCells="1">
              <from>
                <xdr:col>35</xdr:col>
                <xdr:colOff>333375</xdr:colOff>
                <xdr:row>4</xdr:row>
                <xdr:rowOff>114300</xdr:rowOff>
              </from>
              <to>
                <xdr:col>36</xdr:col>
                <xdr:colOff>676275</xdr:colOff>
                <xdr:row>7</xdr:row>
                <xdr:rowOff>0</xdr:rowOff>
              </to>
            </anchor>
          </controlPr>
        </control>
      </mc:Choice>
      <mc:Fallback>
        <control shapeId="6146" r:id="rId4" name="CommandButton2"/>
      </mc:Fallback>
    </mc:AlternateContent>
    <mc:AlternateContent xmlns:mc="http://schemas.openxmlformats.org/markup-compatibility/2006">
      <mc:Choice Requires="x14">
        <control shapeId="6145" r:id="rId6" name="CommandButton1">
          <controlPr defaultSize="0" autoLine="0" r:id="rId7">
            <anchor moveWithCells="1">
              <from>
                <xdr:col>35</xdr:col>
                <xdr:colOff>314325</xdr:colOff>
                <xdr:row>1</xdr:row>
                <xdr:rowOff>85725</xdr:rowOff>
              </from>
              <to>
                <xdr:col>36</xdr:col>
                <xdr:colOff>695325</xdr:colOff>
                <xdr:row>3</xdr:row>
                <xdr:rowOff>152400</xdr:rowOff>
              </to>
            </anchor>
          </controlPr>
        </control>
      </mc:Choice>
      <mc:Fallback>
        <control shapeId="6145" r:id="rId6" name="CommandButton1"/>
      </mc:Fallback>
    </mc:AlternateContent>
  </controls>
  <tableParts count="2">
    <tablePart r:id="rId8"/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AFDF-6618-4A4E-A265-86913AC5D5BF}">
  <sheetPr codeName="Blad8" filterMode="1"/>
  <dimension ref="A1:W16"/>
  <sheetViews>
    <sheetView workbookViewId="0">
      <selection activeCell="L24" sqref="L24"/>
    </sheetView>
  </sheetViews>
  <sheetFormatPr defaultRowHeight="15" x14ac:dyDescent="0.25"/>
  <cols>
    <col min="1" max="1" width="11.5703125" bestFit="1" customWidth="1"/>
    <col min="2" max="2" width="18.7109375" bestFit="1" customWidth="1"/>
    <col min="3" max="3" width="17" bestFit="1" customWidth="1"/>
    <col min="4" max="4" width="19" bestFit="1" customWidth="1"/>
    <col min="5" max="5" width="17.28515625" bestFit="1" customWidth="1"/>
    <col min="6" max="6" width="14.5703125" bestFit="1" customWidth="1"/>
    <col min="7" max="7" width="11.5703125" bestFit="1" customWidth="1"/>
    <col min="8" max="8" width="12.7109375" bestFit="1" customWidth="1"/>
    <col min="9" max="9" width="16" customWidth="1"/>
    <col min="10" max="10" width="16" style="213" customWidth="1"/>
    <col min="11" max="11" width="16" style="293" customWidth="1"/>
    <col min="12" max="12" width="17.7109375" customWidth="1"/>
    <col min="13" max="13" width="10.140625" customWidth="1"/>
    <col min="14" max="17" width="7.7109375" customWidth="1"/>
    <col min="18" max="20" width="11.7109375" customWidth="1"/>
    <col min="21" max="21" width="8.7109375" customWidth="1"/>
    <col min="22" max="22" width="8.85546875" customWidth="1"/>
  </cols>
  <sheetData>
    <row r="1" spans="1:23" ht="30" x14ac:dyDescent="0.25">
      <c r="A1" s="61" t="s">
        <v>33</v>
      </c>
      <c r="B1" s="66" t="s">
        <v>63</v>
      </c>
      <c r="C1" s="66" t="s">
        <v>62</v>
      </c>
      <c r="D1" s="68" t="s">
        <v>61</v>
      </c>
      <c r="E1" s="68" t="s">
        <v>60</v>
      </c>
      <c r="F1" s="69" t="s">
        <v>49</v>
      </c>
      <c r="G1" s="69" t="s">
        <v>50</v>
      </c>
      <c r="H1" s="69" t="s">
        <v>51</v>
      </c>
      <c r="I1" s="113" t="s">
        <v>52</v>
      </c>
      <c r="J1" s="288" t="s">
        <v>79</v>
      </c>
      <c r="K1" s="288" t="s">
        <v>123</v>
      </c>
      <c r="L1" s="103" t="s">
        <v>33</v>
      </c>
      <c r="M1" s="113" t="s">
        <v>53</v>
      </c>
      <c r="N1" s="409" t="s">
        <v>54</v>
      </c>
      <c r="O1" s="409"/>
      <c r="P1" s="409" t="s">
        <v>55</v>
      </c>
      <c r="Q1" s="409"/>
      <c r="R1" s="90" t="s">
        <v>64</v>
      </c>
      <c r="S1" s="90" t="s">
        <v>65</v>
      </c>
      <c r="T1" s="90" t="s">
        <v>66</v>
      </c>
      <c r="U1" s="90" t="s">
        <v>68</v>
      </c>
      <c r="V1" s="96" t="s">
        <v>69</v>
      </c>
      <c r="W1" s="293"/>
    </row>
    <row r="2" spans="1:23" ht="18" hidden="1" customHeight="1" x14ac:dyDescent="0.25">
      <c r="A2" s="65" t="s">
        <v>12</v>
      </c>
      <c r="B2" s="63" t="e">
        <f>COUNTIF(#REF!,A2)</f>
        <v>#REF!</v>
      </c>
      <c r="C2" s="59" t="e">
        <f>COUNTIF(#REF!,A2)</f>
        <v>#REF!</v>
      </c>
      <c r="D2" s="59" t="e">
        <f>COUNTIF(#REF!,A2)</f>
        <v>#REF!</v>
      </c>
      <c r="E2" s="59" t="e">
        <f>COUNTIF(#REF!,A2)</f>
        <v>#REF!</v>
      </c>
      <c r="F2" s="60" t="e">
        <f t="shared" ref="F2:F14" si="0">SUM(B2:E2)</f>
        <v>#REF!</v>
      </c>
      <c r="G2" s="60" t="e">
        <f>COUNTIF(#REF!,A2)</f>
        <v>#REF!</v>
      </c>
      <c r="H2" s="60" t="e">
        <f t="shared" ref="H2:H14" si="1">F2-G2</f>
        <v>#REF!</v>
      </c>
      <c r="I2" s="101" t="e">
        <f t="shared" ref="I2:I14" si="2">IF(F2=0,"",G2/F2)</f>
        <v>#REF!</v>
      </c>
      <c r="J2" s="289"/>
      <c r="K2" s="289"/>
      <c r="L2" s="1"/>
      <c r="M2" s="4"/>
      <c r="N2" s="4"/>
      <c r="O2" s="4"/>
      <c r="P2" s="4"/>
      <c r="Q2" s="4"/>
      <c r="R2" s="4"/>
      <c r="S2" s="4"/>
      <c r="T2" s="4"/>
      <c r="U2" s="99"/>
      <c r="V2" s="99"/>
    </row>
    <row r="3" spans="1:23" ht="22.15" hidden="1" customHeight="1" x14ac:dyDescent="0.25">
      <c r="A3" s="64" t="s">
        <v>14</v>
      </c>
      <c r="B3" s="26" t="e">
        <f>COUNTIF(#REF!,A3)</f>
        <v>#REF!</v>
      </c>
      <c r="C3" s="27" t="e">
        <f>COUNTIF(#REF!,A3)</f>
        <v>#REF!</v>
      </c>
      <c r="D3" s="27" t="e">
        <f>COUNTIF(#REF!,A3)</f>
        <v>#REF!</v>
      </c>
      <c r="E3" s="27" t="e">
        <f>COUNTIF(#REF!,A3)</f>
        <v>#REF!</v>
      </c>
      <c r="F3" s="42" t="e">
        <f t="shared" si="0"/>
        <v>#REF!</v>
      </c>
      <c r="G3" s="43" t="e">
        <f>COUNTIF(#REF!,A3)</f>
        <v>#REF!</v>
      </c>
      <c r="H3" s="42" t="e">
        <f t="shared" si="1"/>
        <v>#REF!</v>
      </c>
      <c r="I3" s="94" t="e">
        <f t="shared" si="2"/>
        <v>#REF!</v>
      </c>
      <c r="J3" s="290"/>
      <c r="K3" s="290"/>
      <c r="L3" s="102" t="s">
        <v>15</v>
      </c>
      <c r="M3" s="110"/>
      <c r="N3" s="112"/>
      <c r="O3" s="112"/>
      <c r="P3" s="112"/>
      <c r="Q3" s="112"/>
      <c r="R3" s="112"/>
      <c r="S3" s="112"/>
      <c r="T3" s="112"/>
      <c r="U3" s="4"/>
      <c r="V3" s="4"/>
    </row>
    <row r="4" spans="1:23" ht="20.100000000000001" customHeight="1" x14ac:dyDescent="0.25">
      <c r="A4" s="296" t="s">
        <v>169</v>
      </c>
      <c r="B4" s="178">
        <f>COUNTIF('Season 3'!$F$2:$F$304,A4)</f>
        <v>28</v>
      </c>
      <c r="C4" s="177">
        <f>COUNTIF('Season 3'!$H$2:$H$304,A4)</f>
        <v>40</v>
      </c>
      <c r="D4" s="177">
        <f>COUNTIF('Season 3'!$J$2:$J$304,A4)</f>
        <v>11</v>
      </c>
      <c r="E4" s="177">
        <f>COUNTIF('Season 3'!$L$2:$L$304,A4)</f>
        <v>16</v>
      </c>
      <c r="F4" s="294">
        <f t="shared" si="0"/>
        <v>95</v>
      </c>
      <c r="G4" s="43">
        <f>COUNTIF('Season 3'!$Q$2:$R$304,A4)</f>
        <v>64</v>
      </c>
      <c r="H4" s="294">
        <f t="shared" si="1"/>
        <v>31</v>
      </c>
      <c r="I4" s="345">
        <f t="shared" si="2"/>
        <v>0.67368421052631577</v>
      </c>
      <c r="J4" s="346">
        <f>_xlfn.XLOOKUP(A4,Tabel20[Players],Tabel20[ELO Tot])</f>
        <v>3692.5181525320686</v>
      </c>
      <c r="K4" s="357" t="str">
        <f>_xlfn.XLOOKUP(J4,Tabel20[ELO Tot],Tabel20[Rank])</f>
        <v>Diamond</v>
      </c>
      <c r="L4" s="89" t="str">
        <f t="shared" ref="L4:L11" si="3">A4</f>
        <v>Stef*</v>
      </c>
      <c r="M4" s="298">
        <f ca="1">N4+P4</f>
        <v>581</v>
      </c>
      <c r="N4" s="298">
        <f ca="1">SUMIF('Season 3'!$AB$2:$AF$14,'Player Stats S3'!$A4,'Season 3'!$AC$2:$AC$14)+SUMIF('Season 3'!$AB$2:$AF$14,'Player Stats S3'!$A4,'Season 3'!$AE$2:$AE$14)</f>
        <v>149</v>
      </c>
      <c r="O4" s="299">
        <f ca="1">N4/M4</f>
        <v>0.25645438898450945</v>
      </c>
      <c r="P4" s="298">
        <f ca="1">SUMIF('Season 3'!$AB$2:$AF$14,'Player Stats S3'!$A4,'Season 3'!$AD$2:$AD$14)+SUMIF('Season 3'!$AB$2:$AF$14,'Player Stats S3'!$A4,'Season 3'!$AF$2:$AF$14)</f>
        <v>432</v>
      </c>
      <c r="Q4" s="299">
        <f ca="1">P4/M4</f>
        <v>0.74354561101549055</v>
      </c>
      <c r="R4" s="300">
        <f ca="1">M4/F4</f>
        <v>6.1157894736842104</v>
      </c>
      <c r="S4" s="300">
        <f ca="1">N4/SUM(B4+D4)</f>
        <v>3.8205128205128207</v>
      </c>
      <c r="T4" s="300">
        <f ca="1">P4/SUM(C4,E4)</f>
        <v>7.7142857142857144</v>
      </c>
      <c r="U4" s="301">
        <f>(B4+D4)/F4</f>
        <v>0.41052631578947368</v>
      </c>
      <c r="V4" s="301">
        <f>(C4+E4)/F4</f>
        <v>0.58947368421052626</v>
      </c>
    </row>
    <row r="5" spans="1:23" ht="20.100000000000001" customHeight="1" x14ac:dyDescent="0.25">
      <c r="A5" s="62" t="s">
        <v>159</v>
      </c>
      <c r="B5" s="178">
        <f>COUNTIF('Season 3'!$F$2:$F$304,A5)</f>
        <v>22</v>
      </c>
      <c r="C5" s="177">
        <f>COUNTIF('Season 3'!$H$2:$H$304,A5)</f>
        <v>15</v>
      </c>
      <c r="D5" s="177">
        <f>COUNTIF('Season 3'!$J$2:$J$304,A5)</f>
        <v>29</v>
      </c>
      <c r="E5" s="177">
        <f>COUNTIF('Season 3'!$L$2:$L$304,A5)</f>
        <v>23</v>
      </c>
      <c r="F5" s="294">
        <f t="shared" si="0"/>
        <v>89</v>
      </c>
      <c r="G5" s="295">
        <f>COUNTIF('Season 3'!$Q$2:$R$304,A5)</f>
        <v>47</v>
      </c>
      <c r="H5" s="294">
        <f t="shared" si="1"/>
        <v>42</v>
      </c>
      <c r="I5" s="345">
        <f t="shared" si="2"/>
        <v>0.5280898876404494</v>
      </c>
      <c r="J5" s="347">
        <f>_xlfn.XLOOKUP(A5,Tabel20[Players],Tabel20[ELO Tot])</f>
        <v>3347.927821739605</v>
      </c>
      <c r="K5" s="358" t="str">
        <f>_xlfn.XLOOKUP(J5,Tabel20[ELO Tot],Tabel20[Rank])</f>
        <v>Platinum</v>
      </c>
      <c r="L5" s="89" t="str">
        <f t="shared" si="3"/>
        <v>Jonas*</v>
      </c>
      <c r="M5" s="298">
        <f t="shared" ref="M5:M14" ca="1" si="4">N5+P5</f>
        <v>370</v>
      </c>
      <c r="N5" s="298">
        <f ca="1">SUMIF('Season 3'!$AB$2:$AF$14,'Player Stats S3'!$A5,'Season 3'!$AC$2:$AC$14)+SUMIF('Season 3'!$AB$2:$AF$14,'Player Stats S3'!$A5,'Season 3'!$AE$2:$AE$14)</f>
        <v>136</v>
      </c>
      <c r="O5" s="299">
        <f t="shared" ref="O5:O14" ca="1" si="5">N5/M5</f>
        <v>0.36756756756756759</v>
      </c>
      <c r="P5" s="298">
        <f ca="1">SUMIF('Season 3'!$AB$2:$AF$14,'Player Stats S3'!$A5,'Season 3'!$AD$2:$AD$14)+SUMIF('Season 3'!$AB$2:$AF$14,'Player Stats S3'!$A5,'Season 3'!$AF$2:$AF$14)</f>
        <v>234</v>
      </c>
      <c r="Q5" s="299">
        <f t="shared" ref="Q5:Q14" ca="1" si="6">P5/M5</f>
        <v>0.63243243243243241</v>
      </c>
      <c r="R5" s="300">
        <f t="shared" ref="R5:R14" ca="1" si="7">M5/F5</f>
        <v>4.1573033707865168</v>
      </c>
      <c r="S5" s="300">
        <f t="shared" ref="S5:S14" ca="1" si="8">N5/SUM(B5+D5)</f>
        <v>2.6666666666666665</v>
      </c>
      <c r="T5" s="300">
        <f t="shared" ref="T5:T14" ca="1" si="9">P5/SUM(C5,E5)</f>
        <v>6.1578947368421053</v>
      </c>
      <c r="U5" s="301">
        <f t="shared" ref="U5:U14" si="10">(B5+D5)/F5</f>
        <v>0.5730337078651685</v>
      </c>
      <c r="V5" s="301">
        <f t="shared" ref="V5:V14" si="11">(C5+E5)/F5</f>
        <v>0.42696629213483145</v>
      </c>
    </row>
    <row r="6" spans="1:23" ht="20.100000000000001" customHeight="1" x14ac:dyDescent="0.25">
      <c r="A6" s="296" t="s">
        <v>164</v>
      </c>
      <c r="B6" s="178">
        <f>COUNTIF('Season 3'!$F$2:$F$304,A6)</f>
        <v>15</v>
      </c>
      <c r="C6" s="177">
        <f>COUNTIF('Season 3'!$H$2:$H$304,A6)</f>
        <v>21</v>
      </c>
      <c r="D6" s="177">
        <f>COUNTIF('Season 3'!$J$2:$J$304,A6)</f>
        <v>10</v>
      </c>
      <c r="E6" s="177">
        <f>COUNTIF('Season 3'!$L$2:$L$304,A6)</f>
        <v>23</v>
      </c>
      <c r="F6" s="295">
        <f t="shared" si="0"/>
        <v>69</v>
      </c>
      <c r="G6" s="302">
        <f>COUNTIF('Season 3'!$Q$2:$R$304,A6)</f>
        <v>34</v>
      </c>
      <c r="H6" s="295">
        <f t="shared" si="1"/>
        <v>35</v>
      </c>
      <c r="I6" s="345">
        <f t="shared" si="2"/>
        <v>0.49275362318840582</v>
      </c>
      <c r="J6" s="347">
        <f>_xlfn.XLOOKUP(A6,Tabel20[Players],Tabel20[ELO Tot])</f>
        <v>2898.1400541139928</v>
      </c>
      <c r="K6" s="359" t="str">
        <f>_xlfn.XLOOKUP(J6,Tabel20[ELO Tot],Tabel20[Rank])</f>
        <v>Platinum</v>
      </c>
      <c r="L6" s="89" t="str">
        <f t="shared" si="3"/>
        <v>Karel*</v>
      </c>
      <c r="M6" s="298">
        <f t="shared" ca="1" si="4"/>
        <v>392</v>
      </c>
      <c r="N6" s="298">
        <f ca="1">SUMIF('Season 3'!$AB$2:$AF$14,'Player Stats S3'!$A6,'Season 3'!$AC$2:$AC$14)+SUMIF('Season 3'!$AB$2:$AF$14,'Player Stats S3'!$A6,'Season 3'!$AE$2:$AE$14)</f>
        <v>75</v>
      </c>
      <c r="O6" s="299">
        <f t="shared" ca="1" si="5"/>
        <v>0.19132653061224489</v>
      </c>
      <c r="P6" s="298">
        <f ca="1">SUMIF('Season 3'!$AB$2:$AF$14,'Player Stats S3'!$A6,'Season 3'!$AD$2:$AD$14)+SUMIF('Season 3'!$AB$2:$AF$14,'Player Stats S3'!$A6,'Season 3'!$AF$2:$AF$14)</f>
        <v>317</v>
      </c>
      <c r="Q6" s="299">
        <f t="shared" ca="1" si="6"/>
        <v>0.80867346938775508</v>
      </c>
      <c r="R6" s="300">
        <f t="shared" ca="1" si="7"/>
        <v>5.6811594202898554</v>
      </c>
      <c r="S6" s="300">
        <f t="shared" ca="1" si="8"/>
        <v>3</v>
      </c>
      <c r="T6" s="300">
        <f t="shared" ca="1" si="9"/>
        <v>7.2045454545454541</v>
      </c>
      <c r="U6" s="301">
        <f t="shared" si="10"/>
        <v>0.36231884057971014</v>
      </c>
      <c r="V6" s="301">
        <f t="shared" si="11"/>
        <v>0.6376811594202898</v>
      </c>
    </row>
    <row r="7" spans="1:23" ht="20.100000000000001" customHeight="1" x14ac:dyDescent="0.25">
      <c r="A7" s="62" t="s">
        <v>161</v>
      </c>
      <c r="B7" s="178">
        <f>COUNTIF('Season 3'!$F$2:$F$304,A7)</f>
        <v>16</v>
      </c>
      <c r="C7" s="177">
        <f>COUNTIF('Season 3'!$H$2:$H$304,A7)</f>
        <v>7</v>
      </c>
      <c r="D7" s="177">
        <f>COUNTIF('Season 3'!$J$2:$J$304,A7)</f>
        <v>17</v>
      </c>
      <c r="E7" s="177">
        <f>COUNTIF('Season 3'!$L$2:$L$304,A7)</f>
        <v>7</v>
      </c>
      <c r="F7" s="294">
        <f t="shared" si="0"/>
        <v>47</v>
      </c>
      <c r="G7" s="43">
        <f>COUNTIF('Season 3'!$Q$2:$R$304,A7)</f>
        <v>22</v>
      </c>
      <c r="H7" s="294">
        <f t="shared" si="1"/>
        <v>25</v>
      </c>
      <c r="I7" s="345">
        <f t="shared" si="2"/>
        <v>0.46808510638297873</v>
      </c>
      <c r="J7" s="347">
        <f>_xlfn.XLOOKUP(A7,Tabel20[Players],Tabel20[ELO Tot])</f>
        <v>2404.1810418385558</v>
      </c>
      <c r="K7" s="358" t="str">
        <f>_xlfn.XLOOKUP(J7,Tabel20[ELO Tot],Tabel20[Rank])</f>
        <v>Gold</v>
      </c>
      <c r="L7" s="89" t="str">
        <f t="shared" si="3"/>
        <v>Louis*</v>
      </c>
      <c r="M7" s="298">
        <f t="shared" ca="1" si="4"/>
        <v>173</v>
      </c>
      <c r="N7" s="298">
        <f ca="1">SUMIF('Season 3'!$AB$2:$AF$14,'Player Stats S3'!$A7,'Season 3'!$AC$2:$AC$14)+SUMIF('Season 3'!$AB$2:$AF$14,'Player Stats S3'!$A7,'Season 3'!$AE$2:$AE$14)</f>
        <v>109</v>
      </c>
      <c r="O7" s="299">
        <f t="shared" ca="1" si="5"/>
        <v>0.63005780346820806</v>
      </c>
      <c r="P7" s="298">
        <f ca="1">SUMIF('Season 3'!$AB$2:$AF$14,'Player Stats S3'!$A7,'Season 3'!$AD$2:$AD$14)+SUMIF('Season 3'!$AB$2:$AF$14,'Player Stats S3'!$A7,'Season 3'!$AF$2:$AF$14)</f>
        <v>64</v>
      </c>
      <c r="Q7" s="299">
        <f t="shared" ca="1" si="6"/>
        <v>0.36994219653179189</v>
      </c>
      <c r="R7" s="300">
        <f t="shared" ca="1" si="7"/>
        <v>3.6808510638297873</v>
      </c>
      <c r="S7" s="300">
        <f t="shared" ca="1" si="8"/>
        <v>3.3030303030303032</v>
      </c>
      <c r="T7" s="300">
        <f t="shared" ca="1" si="9"/>
        <v>4.5714285714285712</v>
      </c>
      <c r="U7" s="301">
        <f t="shared" si="10"/>
        <v>0.7021276595744681</v>
      </c>
      <c r="V7" s="301">
        <f t="shared" si="11"/>
        <v>0.2978723404255319</v>
      </c>
    </row>
    <row r="8" spans="1:23" ht="20.100000000000001" customHeight="1" x14ac:dyDescent="0.25">
      <c r="A8" s="296" t="s">
        <v>160</v>
      </c>
      <c r="B8" s="178">
        <f>COUNTIF('Season 3'!$F$2:$F$304,A8)</f>
        <v>3</v>
      </c>
      <c r="C8" s="177">
        <f>COUNTIF('Season 3'!$H$2:$H$304,A8)</f>
        <v>4</v>
      </c>
      <c r="D8" s="177">
        <f>COUNTIF('Season 3'!$J$2:$J$304,A8)</f>
        <v>10</v>
      </c>
      <c r="E8" s="177">
        <f>COUNTIF('Season 3'!$L$2:$L$304,A8)</f>
        <v>14</v>
      </c>
      <c r="F8" s="295">
        <f t="shared" si="0"/>
        <v>31</v>
      </c>
      <c r="G8" s="43">
        <f>COUNTIF('Season 3'!$Q$2:$R$304,A8)</f>
        <v>17</v>
      </c>
      <c r="H8" s="295">
        <f t="shared" si="1"/>
        <v>14</v>
      </c>
      <c r="I8" s="345">
        <f t="shared" si="2"/>
        <v>0.54838709677419351</v>
      </c>
      <c r="J8" s="347">
        <f>_xlfn.XLOOKUP(A8,Tabel20[Players],Tabel20[ELO Tot])</f>
        <v>2208.1867222895007</v>
      </c>
      <c r="K8" s="359" t="str">
        <f>_xlfn.XLOOKUP(J8,Tabel20[ELO Tot],Tabel20[Rank])</f>
        <v>Gold</v>
      </c>
      <c r="L8" s="89" t="str">
        <f t="shared" si="3"/>
        <v>Tiemen*</v>
      </c>
      <c r="M8" s="298">
        <f t="shared" ca="1" si="4"/>
        <v>156</v>
      </c>
      <c r="N8" s="298">
        <f ca="1">SUMIF('Season 3'!$AB$2:$AF$14,'Player Stats S3'!$A8,'Season 3'!$AC$2:$AC$14)+SUMIF('Season 3'!$AB$2:$AF$14,'Player Stats S3'!$A8,'Season 3'!$AE$2:$AE$14)</f>
        <v>47</v>
      </c>
      <c r="O8" s="299">
        <f t="shared" ca="1" si="5"/>
        <v>0.30128205128205127</v>
      </c>
      <c r="P8" s="298">
        <f ca="1">SUMIF('Season 3'!$AB$2:$AF$14,'Player Stats S3'!$A8,'Season 3'!$AD$2:$AD$14)+SUMIF('Season 3'!$AB$2:$AF$14,'Player Stats S3'!$A8,'Season 3'!$AF$2:$AF$14)</f>
        <v>109</v>
      </c>
      <c r="Q8" s="299">
        <f t="shared" ca="1" si="6"/>
        <v>0.69871794871794868</v>
      </c>
      <c r="R8" s="300">
        <f t="shared" ca="1" si="7"/>
        <v>5.032258064516129</v>
      </c>
      <c r="S8" s="300">
        <f t="shared" ca="1" si="8"/>
        <v>3.6153846153846154</v>
      </c>
      <c r="T8" s="300">
        <f t="shared" ca="1" si="9"/>
        <v>6.0555555555555554</v>
      </c>
      <c r="U8" s="301">
        <f t="shared" si="10"/>
        <v>0.41935483870967744</v>
      </c>
      <c r="V8" s="301">
        <f t="shared" si="11"/>
        <v>0.58064516129032262</v>
      </c>
    </row>
    <row r="9" spans="1:23" ht="20.100000000000001" customHeight="1" x14ac:dyDescent="0.25">
      <c r="A9" s="62" t="s">
        <v>163</v>
      </c>
      <c r="B9" s="178">
        <f>COUNTIF('Season 3'!$F$2:$F$304,A9)</f>
        <v>6</v>
      </c>
      <c r="C9" s="177">
        <f>COUNTIF('Season 3'!$H$2:$H$304,A9)</f>
        <v>18</v>
      </c>
      <c r="D9" s="177">
        <f>COUNTIF('Season 3'!$J$2:$J$304,A9)</f>
        <v>6</v>
      </c>
      <c r="E9" s="177">
        <f>COUNTIF('Season 3'!$L$2:$L$304,A9)</f>
        <v>13</v>
      </c>
      <c r="F9" s="294">
        <f t="shared" si="0"/>
        <v>43</v>
      </c>
      <c r="G9" s="295">
        <f>COUNTIF('Season 3'!$Q$2:$R$304,A9)</f>
        <v>22</v>
      </c>
      <c r="H9" s="294">
        <f t="shared" si="1"/>
        <v>21</v>
      </c>
      <c r="I9" s="345">
        <f t="shared" si="2"/>
        <v>0.51162790697674421</v>
      </c>
      <c r="J9" s="347">
        <f>_xlfn.XLOOKUP(A9,Tabel20[Players],Tabel20[ELO Tot])</f>
        <v>2255.448515642373</v>
      </c>
      <c r="K9" s="358" t="str">
        <f>_xlfn.XLOOKUP(J9,Tabel20[ELO Tot],Tabel20[Rank])</f>
        <v>Gold</v>
      </c>
      <c r="L9" s="89" t="str">
        <f t="shared" si="3"/>
        <v>Bert*</v>
      </c>
      <c r="M9" s="298">
        <f t="shared" ca="1" si="4"/>
        <v>245</v>
      </c>
      <c r="N9" s="298">
        <f ca="1">SUMIF('Season 3'!$AB$2:$AF$14,'Player Stats S3'!$A9,'Season 3'!$AC$2:$AC$14)+SUMIF('Season 3'!$AB$2:$AF$14,'Player Stats S3'!$A9,'Season 3'!$AE$2:$AE$14)</f>
        <v>29</v>
      </c>
      <c r="O9" s="299">
        <f t="shared" ca="1" si="5"/>
        <v>0.11836734693877551</v>
      </c>
      <c r="P9" s="298">
        <f ca="1">SUMIF('Season 3'!$AB$2:$AF$14,'Player Stats S3'!$A9,'Season 3'!$AD$2:$AD$14)+SUMIF('Season 3'!$AB$2:$AF$14,'Player Stats S3'!$A9,'Season 3'!$AF$2:$AF$14)</f>
        <v>216</v>
      </c>
      <c r="Q9" s="299">
        <f t="shared" ca="1" si="6"/>
        <v>0.88163265306122451</v>
      </c>
      <c r="R9" s="300">
        <f t="shared" ca="1" si="7"/>
        <v>5.6976744186046515</v>
      </c>
      <c r="S9" s="300">
        <f t="shared" ca="1" si="8"/>
        <v>2.4166666666666665</v>
      </c>
      <c r="T9" s="300">
        <f t="shared" ca="1" si="9"/>
        <v>6.967741935483871</v>
      </c>
      <c r="U9" s="301">
        <f t="shared" si="10"/>
        <v>0.27906976744186046</v>
      </c>
      <c r="V9" s="301">
        <f t="shared" si="11"/>
        <v>0.72093023255813948</v>
      </c>
    </row>
    <row r="10" spans="1:23" ht="20.100000000000001" customHeight="1" x14ac:dyDescent="0.25">
      <c r="A10" s="296" t="s">
        <v>162</v>
      </c>
      <c r="B10" s="178">
        <f>COUNTIF('Season 3'!$F$2:$F$304,A10)</f>
        <v>16</v>
      </c>
      <c r="C10" s="177">
        <f>COUNTIF('Season 3'!$H$2:$H$304,A10)</f>
        <v>6</v>
      </c>
      <c r="D10" s="177">
        <f>COUNTIF('Season 3'!$J$2:$J$304,A10)</f>
        <v>17</v>
      </c>
      <c r="E10" s="177">
        <f>COUNTIF('Season 3'!$L$2:$L$304,A10)</f>
        <v>16</v>
      </c>
      <c r="F10" s="294">
        <f t="shared" si="0"/>
        <v>55</v>
      </c>
      <c r="G10" s="295">
        <f>COUNTIF('Season 3'!$Q$2:$R$304,A10)</f>
        <v>14</v>
      </c>
      <c r="H10" s="294">
        <f>F10-G10</f>
        <v>41</v>
      </c>
      <c r="I10" s="345">
        <f t="shared" si="2"/>
        <v>0.25454545454545452</v>
      </c>
      <c r="J10" s="347">
        <f>_xlfn.XLOOKUP(A10,Tabel20[Players],Tabel20[ELO Tot])</f>
        <v>1960.9348936840311</v>
      </c>
      <c r="K10" s="359" t="str">
        <f>_xlfn.XLOOKUP(J10,Tabel20[ELO Tot],Tabel20[Rank])</f>
        <v>Gold</v>
      </c>
      <c r="L10" s="89" t="str">
        <f t="shared" si="3"/>
        <v>Matthijs*</v>
      </c>
      <c r="M10" s="298">
        <f t="shared" ca="1" si="4"/>
        <v>189</v>
      </c>
      <c r="N10" s="298">
        <f ca="1">SUMIF('Season 3'!$AB$2:$AF$14,'Player Stats S3'!$A10,'Season 3'!$AC$2:$AC$14)+SUMIF('Season 3'!$AB$2:$AF$14,'Player Stats S3'!$A10,'Season 3'!$AE$2:$AE$14)</f>
        <v>89</v>
      </c>
      <c r="O10" s="299">
        <f t="shared" ca="1" si="5"/>
        <v>0.47089947089947087</v>
      </c>
      <c r="P10" s="298">
        <f ca="1">SUMIF('Season 3'!$AB$2:$AF$14,'Player Stats S3'!$A10,'Season 3'!$AD$2:$AD$14)+SUMIF('Season 3'!$AB$2:$AF$14,'Player Stats S3'!$A10,'Season 3'!$AF$2:$AF$14)</f>
        <v>100</v>
      </c>
      <c r="Q10" s="299">
        <f t="shared" ca="1" si="6"/>
        <v>0.52910052910052907</v>
      </c>
      <c r="R10" s="300">
        <f t="shared" ca="1" si="7"/>
        <v>3.4363636363636365</v>
      </c>
      <c r="S10" s="300">
        <f t="shared" ca="1" si="8"/>
        <v>2.6969696969696968</v>
      </c>
      <c r="T10" s="300">
        <f t="shared" ca="1" si="9"/>
        <v>4.5454545454545459</v>
      </c>
      <c r="U10" s="301">
        <f t="shared" si="10"/>
        <v>0.6</v>
      </c>
      <c r="V10" s="301">
        <f t="shared" si="11"/>
        <v>0.4</v>
      </c>
    </row>
    <row r="11" spans="1:23" ht="20.100000000000001" customHeight="1" x14ac:dyDescent="0.25">
      <c r="A11" s="296" t="s">
        <v>158</v>
      </c>
      <c r="B11" s="178">
        <f>COUNTIF('Season 3'!$F$2:$F$304,A11)</f>
        <v>2</v>
      </c>
      <c r="C11" s="177">
        <f>COUNTIF('Season 3'!$H$2:$H$304,A11)</f>
        <v>2</v>
      </c>
      <c r="D11" s="177">
        <f>COUNTIF('Season 3'!$J$2:$J$304,A11)</f>
        <v>1</v>
      </c>
      <c r="E11" s="177">
        <f>COUNTIF('Season 3'!$L$2:$L$304,A11)</f>
        <v>1</v>
      </c>
      <c r="F11" s="295">
        <f t="shared" si="0"/>
        <v>6</v>
      </c>
      <c r="G11" s="295">
        <f>COUNTIF('Season 3'!$Q$2:$R$304,A11)</f>
        <v>5</v>
      </c>
      <c r="H11" s="295">
        <f t="shared" si="1"/>
        <v>1</v>
      </c>
      <c r="I11" s="345">
        <f t="shared" si="2"/>
        <v>0.83333333333333337</v>
      </c>
      <c r="J11" s="347">
        <f>_xlfn.XLOOKUP(A11,Tabel20[Players],Tabel20[ELO Tot])</f>
        <v>1803.9232849460084</v>
      </c>
      <c r="K11" s="358" t="str">
        <f>_xlfn.XLOOKUP(J11,Tabel20[ELO Tot],Tabel20[Rank])</f>
        <v>Gold</v>
      </c>
      <c r="L11" s="89" t="str">
        <f t="shared" si="3"/>
        <v>Arno*</v>
      </c>
      <c r="M11" s="298">
        <f t="shared" ca="1" si="4"/>
        <v>41</v>
      </c>
      <c r="N11" s="298">
        <f ca="1">SUMIF('Season 3'!$AB$2:$AF$14,'Player Stats S3'!$A11,'Season 3'!$AC$2:$AC$14)+SUMIF('Season 3'!$AB$2:$AF$14,'Player Stats S3'!$A11,'Season 3'!$AE$2:$AE$14)</f>
        <v>14</v>
      </c>
      <c r="O11" s="299">
        <f t="shared" ca="1" si="5"/>
        <v>0.34146341463414637</v>
      </c>
      <c r="P11" s="298">
        <f ca="1">SUMIF('Season 3'!$AB$2:$AF$14,'Player Stats S3'!$A11,'Season 3'!$AD$2:$AD$14)+SUMIF('Season 3'!$AB$2:$AF$14,'Player Stats S3'!$A11,'Season 3'!$AF$2:$AF$14)</f>
        <v>27</v>
      </c>
      <c r="Q11" s="299">
        <f t="shared" ca="1" si="6"/>
        <v>0.65853658536585369</v>
      </c>
      <c r="R11" s="300">
        <f t="shared" ca="1" si="7"/>
        <v>6.833333333333333</v>
      </c>
      <c r="S11" s="300">
        <f t="shared" ca="1" si="8"/>
        <v>4.666666666666667</v>
      </c>
      <c r="T11" s="300">
        <f t="shared" ca="1" si="9"/>
        <v>9</v>
      </c>
      <c r="U11" s="301">
        <f t="shared" si="10"/>
        <v>0.5</v>
      </c>
      <c r="V11" s="301">
        <f t="shared" si="11"/>
        <v>0.5</v>
      </c>
    </row>
    <row r="12" spans="1:23" x14ac:dyDescent="0.25">
      <c r="A12" s="296" t="s">
        <v>157</v>
      </c>
      <c r="B12" s="178">
        <f>COUNTIF('Season 3'!$F$2:$F$304,A12)</f>
        <v>0</v>
      </c>
      <c r="C12" s="177">
        <f>COUNTIF('Season 3'!$H$2:$H$304,A12)</f>
        <v>0</v>
      </c>
      <c r="D12" s="177">
        <f>COUNTIF('Season 3'!$J$2:$J$304,A12)</f>
        <v>0</v>
      </c>
      <c r="E12" s="177">
        <f>COUNTIF('Season 3'!$L$2:$L$304,A12)</f>
        <v>0</v>
      </c>
      <c r="F12" s="294">
        <f t="shared" si="0"/>
        <v>0</v>
      </c>
      <c r="G12" s="295">
        <f>COUNTIF('Season 3'!$Q$2:$R$304,A12)</f>
        <v>0</v>
      </c>
      <c r="H12" s="294">
        <f t="shared" si="1"/>
        <v>0</v>
      </c>
      <c r="I12" s="345" t="str">
        <f t="shared" si="2"/>
        <v/>
      </c>
      <c r="J12" s="347">
        <f>_xlfn.XLOOKUP(A12,Tabel20[Players],Tabel20[ELO Tot])</f>
        <v>1676.4347826086957</v>
      </c>
      <c r="K12" s="359" t="str">
        <f>_xlfn.XLOOKUP(J12,Tabel20[ELO Tot],Tabel20[Rank])</f>
        <v>Silver</v>
      </c>
      <c r="L12" s="89" t="s">
        <v>157</v>
      </c>
      <c r="M12" s="298"/>
      <c r="N12" s="298"/>
      <c r="O12" s="299"/>
      <c r="P12" s="298"/>
      <c r="Q12" s="299"/>
      <c r="R12" s="300"/>
      <c r="S12" s="300"/>
      <c r="T12" s="300"/>
      <c r="U12" s="301"/>
      <c r="V12" s="301"/>
    </row>
    <row r="13" spans="1:23" x14ac:dyDescent="0.25">
      <c r="A13" s="109" t="s">
        <v>168</v>
      </c>
      <c r="B13" s="178">
        <f>COUNTIF('Season 3'!$F$2:$F$304,A13)</f>
        <v>2</v>
      </c>
      <c r="C13" s="177">
        <f>COUNTIF('Season 3'!$H$2:$H$304,A13)</f>
        <v>2</v>
      </c>
      <c r="D13" s="177">
        <f>COUNTIF('Season 3'!$J$2:$J$304,A13)</f>
        <v>15</v>
      </c>
      <c r="E13" s="177">
        <f>COUNTIF('Season 3'!$L$2:$L$304,A13)</f>
        <v>3</v>
      </c>
      <c r="F13" s="294">
        <f t="shared" si="0"/>
        <v>22</v>
      </c>
      <c r="G13" s="295">
        <f>COUNTIF('Season 3'!$Q$2:$R$304,A13)</f>
        <v>8</v>
      </c>
      <c r="H13" s="294">
        <f t="shared" si="1"/>
        <v>14</v>
      </c>
      <c r="I13" s="345">
        <f t="shared" si="2"/>
        <v>0.36363636363636365</v>
      </c>
      <c r="J13" s="347">
        <f>_xlfn.XLOOKUP(A13,Tabel20[Players],Tabel20[ELO Tot])</f>
        <v>1626.633823897808</v>
      </c>
      <c r="K13" s="358" t="str">
        <f>_xlfn.XLOOKUP(J13,Tabel20[ELO Tot],Tabel20[Rank])</f>
        <v>Silver</v>
      </c>
      <c r="L13" s="102" t="str">
        <f>A13</f>
        <v>Coghe*</v>
      </c>
      <c r="M13" s="298">
        <f t="shared" ca="1" si="4"/>
        <v>44</v>
      </c>
      <c r="N13" s="298">
        <f ca="1">SUMIF('Season 3'!$AB$2:$AF$14,'Player Stats S3'!$A13,'Season 3'!$AC$2:$AC$14)+SUMIF('Season 3'!$AB$2:$AF$14,'Player Stats S3'!$A13,'Season 3'!$AE$2:$AE$14)</f>
        <v>29</v>
      </c>
      <c r="O13" s="299">
        <f t="shared" ca="1" si="5"/>
        <v>0.65909090909090906</v>
      </c>
      <c r="P13" s="298">
        <f ca="1">SUMIF('Season 3'!$AB$2:$AF$14,'Player Stats S3'!$A13,'Season 3'!$AD$2:$AD$14)+SUMIF('Season 3'!$AB$2:$AF$14,'Player Stats S3'!$A13,'Season 3'!$AF$2:$AF$14)</f>
        <v>15</v>
      </c>
      <c r="Q13" s="299">
        <f t="shared" ca="1" si="6"/>
        <v>0.34090909090909088</v>
      </c>
      <c r="R13" s="300">
        <f t="shared" ca="1" si="7"/>
        <v>2</v>
      </c>
      <c r="S13" s="300">
        <f t="shared" ca="1" si="8"/>
        <v>1.7058823529411764</v>
      </c>
      <c r="T13" s="300">
        <f t="shared" ca="1" si="9"/>
        <v>3</v>
      </c>
      <c r="U13" s="301">
        <f t="shared" si="10"/>
        <v>0.77272727272727271</v>
      </c>
      <c r="V13" s="301">
        <f t="shared" si="11"/>
        <v>0.22727272727272727</v>
      </c>
    </row>
    <row r="14" spans="1:23" x14ac:dyDescent="0.25">
      <c r="A14" s="296" t="s">
        <v>170</v>
      </c>
      <c r="B14" s="177">
        <f>COUNTIF('Season 3'!$F$2:$F$304,A14)</f>
        <v>8</v>
      </c>
      <c r="C14" s="177">
        <f>COUNTIF('Season 3'!$H$2:$H$304,A14)</f>
        <v>3</v>
      </c>
      <c r="D14" s="177">
        <f>COUNTIF('Season 3'!$J$2:$J$304,A14)</f>
        <v>2</v>
      </c>
      <c r="E14" s="177">
        <f>COUNTIF('Season 3'!$L$2:$L$304,A14)</f>
        <v>2</v>
      </c>
      <c r="F14" s="294">
        <f t="shared" si="0"/>
        <v>15</v>
      </c>
      <c r="G14" s="295">
        <f>COUNTIF('Season 3'!$Q$2:$R$304,A14)</f>
        <v>3</v>
      </c>
      <c r="H14" s="294">
        <f t="shared" si="1"/>
        <v>12</v>
      </c>
      <c r="I14" s="345">
        <f t="shared" si="2"/>
        <v>0.2</v>
      </c>
      <c r="J14" s="348">
        <f>_xlfn.XLOOKUP(A14,Tabel20[Players],Tabel20[ELO Tot])</f>
        <v>1033.9561299705483</v>
      </c>
      <c r="K14" s="360" t="str">
        <f>_xlfn.XLOOKUP(J14,Tabel20[ELO Tot],Tabel20[Rank])</f>
        <v>Silver</v>
      </c>
      <c r="L14" s="89" t="str">
        <f>A14</f>
        <v>Nico*</v>
      </c>
      <c r="M14" s="298">
        <f t="shared" ca="1" si="4"/>
        <v>25</v>
      </c>
      <c r="N14" s="298">
        <f ca="1">SUMIF('Season 3'!$AB$2:$AF$14,'Player Stats S3'!$A14,'Season 3'!$AC$2:$AC$14)+SUMIF('Season 3'!$AB$2:$AF$14,'Player Stats S3'!$A14,'Season 3'!$AE$2:$AE$14)</f>
        <v>13</v>
      </c>
      <c r="O14" s="299">
        <f t="shared" ca="1" si="5"/>
        <v>0.52</v>
      </c>
      <c r="P14" s="298">
        <f ca="1">SUMIF('Season 3'!$AB$2:$AF$14,'Player Stats S3'!$A14,'Season 3'!$AD$2:$AD$14)+SUMIF('Season 3'!$AB$2:$AF$14,'Player Stats S3'!$A14,'Season 3'!$AF$2:$AF$14)</f>
        <v>12</v>
      </c>
      <c r="Q14" s="299">
        <f t="shared" ca="1" si="6"/>
        <v>0.48</v>
      </c>
      <c r="R14" s="300">
        <f t="shared" ca="1" si="7"/>
        <v>1.6666666666666667</v>
      </c>
      <c r="S14" s="300">
        <f t="shared" ca="1" si="8"/>
        <v>1.3</v>
      </c>
      <c r="T14" s="300">
        <f t="shared" ca="1" si="9"/>
        <v>2.4</v>
      </c>
      <c r="U14" s="301">
        <f t="shared" si="10"/>
        <v>0.66666666666666663</v>
      </c>
      <c r="V14" s="301">
        <f t="shared" si="11"/>
        <v>0.33333333333333331</v>
      </c>
    </row>
    <row r="15" spans="1:23" x14ac:dyDescent="0.25">
      <c r="C15" s="72"/>
      <c r="F15" s="293"/>
      <c r="M15" s="404"/>
      <c r="N15" s="293"/>
      <c r="O15" s="293"/>
      <c r="R15" s="403">
        <f ca="1">AVERAGE(R4:R14)</f>
        <v>4.430139944807479</v>
      </c>
      <c r="S15" s="403">
        <f ca="1">AVERAGE(S4:S14)</f>
        <v>2.9191779788838614</v>
      </c>
      <c r="T15" s="403">
        <f ca="1">AVERAGE(T4:T14)</f>
        <v>5.761690651359582</v>
      </c>
    </row>
    <row r="16" spans="1:23" x14ac:dyDescent="0.25">
      <c r="C16" s="72"/>
    </row>
  </sheetData>
  <autoFilter ref="A1:V13" xr:uid="{00000000-0009-0000-0000-000004000000}">
    <filterColumn colId="0">
      <filters>
        <filter val="Bert"/>
        <filter val="Jonas"/>
        <filter val="Karel"/>
        <filter val="Lawrence"/>
        <filter val="Louis"/>
        <filter val="Matthijs"/>
        <filter val="Nicolas"/>
        <filter val="Stef D"/>
        <filter val="Stijn"/>
        <filter val="Tiemen"/>
        <filter val="Tobias"/>
      </filters>
    </filterColumn>
    <filterColumn colId="8">
      <filters>
        <filter val="18,3%"/>
        <filter val="39,6%"/>
        <filter val="44,4%"/>
        <filter val="44,6%"/>
        <filter val="52,8%"/>
        <filter val="54,0%"/>
        <filter val="57,3%"/>
        <filter val="62,0%"/>
        <filter val="66,0%"/>
        <filter val="75,0%"/>
        <filter val="8,7%"/>
      </filters>
    </filterColumn>
    <filterColumn colId="13" showButton="0"/>
    <filterColumn colId="15" showButton="0"/>
    <sortState xmlns:xlrd2="http://schemas.microsoft.com/office/spreadsheetml/2017/richdata2" ref="A4:V14">
      <sortCondition descending="1" ref="J1:J13"/>
    </sortState>
  </autoFilter>
  <mergeCells count="2">
    <mergeCell ref="N1:O1"/>
    <mergeCell ref="P1:Q1"/>
  </mergeCells>
  <conditionalFormatting sqref="I4:I14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{0C742F76-7544-4FA8-82EF-09701F17DDF9}</x14:id>
        </ext>
      </extLst>
    </cfRule>
  </conditionalFormatting>
  <conditionalFormatting sqref="K4:K14">
    <cfRule type="containsText" dxfId="203" priority="1" operator="containsText" text="Diamond">
      <formula>NOT(ISERROR(SEARCH("Diamond",K4)))</formula>
    </cfRule>
    <cfRule type="containsText" dxfId="202" priority="2" operator="containsText" text="Grandmaster">
      <formula>NOT(ISERROR(SEARCH("Grandmaster",K4)))</formula>
    </cfRule>
    <cfRule type="containsText" dxfId="201" priority="3" operator="containsText" text="Bronze">
      <formula>NOT(ISERROR(SEARCH("Bronze",K4)))</formula>
    </cfRule>
    <cfRule type="containsText" dxfId="200" priority="4" operator="containsText" text="Silver">
      <formula>NOT(ISERROR(SEARCH("Silver",K4)))</formula>
    </cfRule>
    <cfRule type="containsText" dxfId="199" priority="5" operator="containsText" text="Gold">
      <formula>NOT(ISERROR(SEARCH("Gold",K4)))</formula>
    </cfRule>
    <cfRule type="containsText" dxfId="198" priority="6" operator="containsText" text="Platinum">
      <formula>NOT(ISERROR(SEARCH("Platinum",K4)))</formula>
    </cfRule>
  </conditionalFormatting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742F76-7544-4FA8-82EF-09701F17DDF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I4:I14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279E-646A-4E9A-87B1-26C152010BAC}">
  <sheetPr codeName="Blad9"/>
  <dimension ref="K3:Z39"/>
  <sheetViews>
    <sheetView showGridLines="0" topLeftCell="D1" zoomScale="90" zoomScaleNormal="90" workbookViewId="0">
      <selection activeCell="Y48" sqref="Y48"/>
    </sheetView>
  </sheetViews>
  <sheetFormatPr defaultRowHeight="15" x14ac:dyDescent="0.25"/>
  <cols>
    <col min="11" max="12" width="13.85546875" bestFit="1" customWidth="1"/>
    <col min="13" max="13" width="9.85546875" customWidth="1"/>
    <col min="14" max="14" width="8.5703125" bestFit="1" customWidth="1"/>
    <col min="15" max="15" width="8.140625" bestFit="1" customWidth="1"/>
    <col min="16" max="16" width="8.5703125" bestFit="1" customWidth="1"/>
    <col min="17" max="17" width="8.42578125" bestFit="1" customWidth="1"/>
    <col min="18" max="18" width="8.85546875" bestFit="1" customWidth="1"/>
    <col min="19" max="19" width="9.28515625" bestFit="1" customWidth="1"/>
    <col min="20" max="20" width="11" bestFit="1" customWidth="1"/>
    <col min="21" max="21" width="9.140625" bestFit="1" customWidth="1"/>
    <col min="22" max="22" width="8.85546875" bestFit="1" customWidth="1"/>
    <col min="23" max="23" width="10.5703125" bestFit="1" customWidth="1"/>
    <col min="24" max="24" width="9.7109375" bestFit="1" customWidth="1"/>
    <col min="25" max="25" width="12.42578125" bestFit="1" customWidth="1"/>
    <col min="26" max="26" width="11.140625" bestFit="1" customWidth="1"/>
  </cols>
  <sheetData>
    <row r="3" spans="11:26" ht="15.75" thickBot="1" x14ac:dyDescent="0.3"/>
    <row r="4" spans="11:26" ht="15.75" thickBot="1" x14ac:dyDescent="0.3">
      <c r="K4" s="197" t="s">
        <v>122</v>
      </c>
      <c r="L4" s="198" t="s">
        <v>123</v>
      </c>
      <c r="M4" s="198" t="s">
        <v>47</v>
      </c>
      <c r="N4" s="284" t="s">
        <v>169</v>
      </c>
      <c r="O4" s="285" t="s">
        <v>157</v>
      </c>
      <c r="P4" s="286" t="s">
        <v>158</v>
      </c>
      <c r="Q4" s="285" t="s">
        <v>168</v>
      </c>
      <c r="R4" s="286" t="s">
        <v>164</v>
      </c>
      <c r="S4" s="285" t="s">
        <v>163</v>
      </c>
      <c r="T4" s="286" t="s">
        <v>160</v>
      </c>
      <c r="U4" s="285" t="s">
        <v>159</v>
      </c>
      <c r="V4" s="286" t="s">
        <v>161</v>
      </c>
      <c r="W4" s="285" t="s">
        <v>162</v>
      </c>
      <c r="X4" s="286" t="s">
        <v>170</v>
      </c>
      <c r="Y4" s="285" t="s">
        <v>165</v>
      </c>
      <c r="Z4" s="286" t="s">
        <v>166</v>
      </c>
    </row>
    <row r="5" spans="11:26" x14ac:dyDescent="0.25">
      <c r="K5" s="335" t="s">
        <v>117</v>
      </c>
      <c r="L5" s="186">
        <v>5</v>
      </c>
      <c r="M5" s="186">
        <v>0</v>
      </c>
      <c r="N5" s="367" t="str">
        <f>_xlfn.XLOOKUP(Tabel6[[#This Row],[Score]],'ELO rekenblad'!$H$25,'ELO rekenblad'!$A$25,"")</f>
        <v/>
      </c>
      <c r="O5" s="368" t="str">
        <f>_xlfn.XLOOKUP(Tabel6[[#This Row],[Score]],'ELO rekenblad'!$H$26,'ELO rekenblad'!$A$26,"")</f>
        <v/>
      </c>
      <c r="P5" s="368" t="str">
        <f>_xlfn.XLOOKUP(Tabel6[[#This Row],[Score]],'ELO rekenblad'!$H$27,'ELO rekenblad'!$A$27,"")</f>
        <v/>
      </c>
      <c r="Q5" s="368" t="str">
        <f>_xlfn.XLOOKUP(Tabel6[[#This Row],[Score]],'ELO rekenblad'!$H$28,'ELO rekenblad'!$A$28,"")</f>
        <v/>
      </c>
      <c r="R5" s="368" t="str">
        <f>_xlfn.XLOOKUP(Tabel6[[#This Row],[Score]],'ELO rekenblad'!$H$29,'ELO rekenblad'!$A$29,"")</f>
        <v/>
      </c>
      <c r="S5" s="368" t="str">
        <f>_xlfn.XLOOKUP(Tabel6[[#This Row],[Score]],'ELO rekenblad'!$H$30,'ELO rekenblad'!$A$30,"")</f>
        <v/>
      </c>
      <c r="T5" s="368" t="str">
        <f>_xlfn.XLOOKUP(Tabel6[[#This Row],[Score]],'ELO rekenblad'!$H$31,'ELO rekenblad'!$A$31,"")</f>
        <v/>
      </c>
      <c r="U5" s="368" t="str">
        <f>_xlfn.XLOOKUP(Tabel6[[#This Row],[Score]],'ELO rekenblad'!$H$32,'ELO rekenblad'!$A$32,"")</f>
        <v/>
      </c>
      <c r="V5" s="368" t="str">
        <f>_xlfn.XLOOKUP(Tabel6[[#This Row],[Score]],'ELO rekenblad'!$H$33,'ELO rekenblad'!$A$33,"")</f>
        <v/>
      </c>
      <c r="W5" s="368" t="str">
        <f>_xlfn.XLOOKUP(Tabel6[[#This Row],[Score]],'ELO rekenblad'!$H$34,'ELO rekenblad'!$A$34,"")</f>
        <v/>
      </c>
      <c r="X5" s="368" t="str">
        <f>_xlfn.XLOOKUP(Tabel6[[#This Row],[Score]],'ELO rekenblad'!$H$35,'ELO rekenblad'!$A$35,"")</f>
        <v/>
      </c>
      <c r="Y5" s="368" t="str">
        <f>_xlfn.XLOOKUP(Tabel6[[#This Row],[Score]],'ELO rekenblad'!$H$36,'ELO rekenblad'!$A$36,"")</f>
        <v/>
      </c>
      <c r="Z5" s="369" t="str">
        <f>_xlfn.XLOOKUP(Tabel6[[#This Row],[Score]],'ELO rekenblad'!$H$37,'ELO rekenblad'!$A$37,"")</f>
        <v/>
      </c>
    </row>
    <row r="6" spans="11:26" x14ac:dyDescent="0.25">
      <c r="K6" s="336"/>
      <c r="L6" s="186">
        <v>4</v>
      </c>
      <c r="M6" s="186">
        <f>M5+'ELO rekenblad'!$Q$2</f>
        <v>175</v>
      </c>
      <c r="N6" s="370" t="str">
        <f>_xlfn.XLOOKUP(Tabel6[[#This Row],[Score]],'ELO rekenblad'!$H$25,'ELO rekenblad'!$A$25,"")</f>
        <v/>
      </c>
      <c r="O6" s="371" t="str">
        <f>_xlfn.XLOOKUP(Tabel6[[#This Row],[Score]],'ELO rekenblad'!$H$26,'ELO rekenblad'!$A$26,"")</f>
        <v/>
      </c>
      <c r="P6" s="371" t="str">
        <f>_xlfn.XLOOKUP(Tabel6[[#This Row],[Score]],'ELO rekenblad'!$H$27,'ELO rekenblad'!$A$27,"")</f>
        <v/>
      </c>
      <c r="Q6" s="371" t="str">
        <f>_xlfn.XLOOKUP(Tabel6[[#This Row],[Score]],'ELO rekenblad'!$H$28,'ELO rekenblad'!$A$28,"")</f>
        <v/>
      </c>
      <c r="R6" s="371" t="str">
        <f>_xlfn.XLOOKUP(Tabel6[[#This Row],[Score]],'ELO rekenblad'!$H$29,'ELO rekenblad'!$A$29,"")</f>
        <v/>
      </c>
      <c r="S6" s="371" t="str">
        <f>_xlfn.XLOOKUP(Tabel6[[#This Row],[Score]],'ELO rekenblad'!$H$30,'ELO rekenblad'!$A$30,"")</f>
        <v/>
      </c>
      <c r="T6" s="371" t="str">
        <f>_xlfn.XLOOKUP(Tabel6[[#This Row],[Score]],'ELO rekenblad'!$H$31,'ELO rekenblad'!$A$31,"")</f>
        <v/>
      </c>
      <c r="U6" s="371" t="str">
        <f>_xlfn.XLOOKUP(Tabel6[[#This Row],[Score]],'ELO rekenblad'!$H$32,'ELO rekenblad'!$A$32,"")</f>
        <v/>
      </c>
      <c r="V6" s="371" t="str">
        <f>_xlfn.XLOOKUP(Tabel6[[#This Row],[Score]],'ELO rekenblad'!$H$33,'ELO rekenblad'!$A$33,"")</f>
        <v/>
      </c>
      <c r="W6" s="371" t="str">
        <f>_xlfn.XLOOKUP(Tabel6[[#This Row],[Score]],'ELO rekenblad'!$H$34,'ELO rekenblad'!$A$34,"")</f>
        <v/>
      </c>
      <c r="X6" s="371" t="str">
        <f>_xlfn.XLOOKUP(Tabel6[[#This Row],[Score]],'ELO rekenblad'!$H$35,'ELO rekenblad'!$A$35,"")</f>
        <v/>
      </c>
      <c r="Y6" s="371" t="str">
        <f>_xlfn.XLOOKUP(Tabel6[[#This Row],[Score]],'ELO rekenblad'!$H$36,'ELO rekenblad'!$A$36,"")</f>
        <v/>
      </c>
      <c r="Z6" s="372" t="str">
        <f>_xlfn.XLOOKUP(Tabel6[[#This Row],[Score]],'ELO rekenblad'!$H$37,'ELO rekenblad'!$A$37,"")</f>
        <v/>
      </c>
    </row>
    <row r="7" spans="11:26" x14ac:dyDescent="0.25">
      <c r="K7" s="336"/>
      <c r="L7" s="186">
        <v>3</v>
      </c>
      <c r="M7" s="186">
        <f>M6+'ELO rekenblad'!$Q$2</f>
        <v>350</v>
      </c>
      <c r="N7" s="370" t="str">
        <f>_xlfn.XLOOKUP(Tabel6[[#This Row],[Score]],'ELO rekenblad'!$H$25,'ELO rekenblad'!$A$25,"")</f>
        <v/>
      </c>
      <c r="O7" s="371" t="str">
        <f>_xlfn.XLOOKUP(Tabel6[[#This Row],[Score]],'ELO rekenblad'!$H$26,'ELO rekenblad'!$A$26,"")</f>
        <v/>
      </c>
      <c r="P7" s="371" t="str">
        <f>_xlfn.XLOOKUP(Tabel6[[#This Row],[Score]],'ELO rekenblad'!$H$27,'ELO rekenblad'!$A$27,"")</f>
        <v/>
      </c>
      <c r="Q7" s="371" t="str">
        <f>_xlfn.XLOOKUP(Tabel6[[#This Row],[Score]],'ELO rekenblad'!$H$28,'ELO rekenblad'!$A$28,"")</f>
        <v/>
      </c>
      <c r="R7" s="371" t="str">
        <f>_xlfn.XLOOKUP(Tabel6[[#This Row],[Score]],'ELO rekenblad'!$H$29,'ELO rekenblad'!$A$29,"")</f>
        <v/>
      </c>
      <c r="S7" s="371" t="str">
        <f>_xlfn.XLOOKUP(Tabel6[[#This Row],[Score]],'ELO rekenblad'!$H$30,'ELO rekenblad'!$A$30,"")</f>
        <v/>
      </c>
      <c r="T7" s="371" t="str">
        <f>_xlfn.XLOOKUP(Tabel6[[#This Row],[Score]],'ELO rekenblad'!$H$31,'ELO rekenblad'!$A$31,"")</f>
        <v/>
      </c>
      <c r="U7" s="371" t="str">
        <f>_xlfn.XLOOKUP(Tabel6[[#This Row],[Score]],'ELO rekenblad'!$H$32,'ELO rekenblad'!$A$32,"")</f>
        <v/>
      </c>
      <c r="V7" s="371" t="str">
        <f>_xlfn.XLOOKUP(Tabel6[[#This Row],[Score]],'ELO rekenblad'!$H$33,'ELO rekenblad'!$A$33,"")</f>
        <v/>
      </c>
      <c r="W7" s="371" t="str">
        <f>_xlfn.XLOOKUP(Tabel6[[#This Row],[Score]],'ELO rekenblad'!$H$34,'ELO rekenblad'!$A$34,"")</f>
        <v/>
      </c>
      <c r="X7" s="371" t="str">
        <f>_xlfn.XLOOKUP(Tabel6[[#This Row],[Score]],'ELO rekenblad'!$H$35,'ELO rekenblad'!$A$35,"")</f>
        <v/>
      </c>
      <c r="Y7" s="371" t="str">
        <f>_xlfn.XLOOKUP(Tabel6[[#This Row],[Score]],'ELO rekenblad'!$H$36,'ELO rekenblad'!$A$36,"")</f>
        <v/>
      </c>
      <c r="Z7" s="372" t="str">
        <f>_xlfn.XLOOKUP(Tabel6[[#This Row],[Score]],'ELO rekenblad'!$H$37,'ELO rekenblad'!$A$37,"")</f>
        <v>Alexander*</v>
      </c>
    </row>
    <row r="8" spans="11:26" x14ac:dyDescent="0.25">
      <c r="K8" s="336"/>
      <c r="L8" s="186">
        <v>2</v>
      </c>
      <c r="M8" s="186">
        <f>M7+'ELO rekenblad'!$Q$2</f>
        <v>525</v>
      </c>
      <c r="N8" s="370" t="str">
        <f>_xlfn.XLOOKUP(Tabel6[[#This Row],[Score]],'ELO rekenblad'!$H$25,'ELO rekenblad'!$A$25,"")</f>
        <v/>
      </c>
      <c r="O8" s="371" t="str">
        <f>_xlfn.XLOOKUP(Tabel6[[#This Row],[Score]],'ELO rekenblad'!$H$26,'ELO rekenblad'!$A$26,"")</f>
        <v/>
      </c>
      <c r="P8" s="371" t="str">
        <f>_xlfn.XLOOKUP(Tabel6[[#This Row],[Score]],'ELO rekenblad'!$H$27,'ELO rekenblad'!$A$27,"")</f>
        <v/>
      </c>
      <c r="Q8" s="371" t="str">
        <f>_xlfn.XLOOKUP(Tabel6[[#This Row],[Score]],'ELO rekenblad'!$H$28,'ELO rekenblad'!$A$28,"")</f>
        <v/>
      </c>
      <c r="R8" s="371" t="str">
        <f>_xlfn.XLOOKUP(Tabel6[[#This Row],[Score]],'ELO rekenblad'!$H$29,'ELO rekenblad'!$A$29,"")</f>
        <v/>
      </c>
      <c r="S8" s="371" t="str">
        <f>_xlfn.XLOOKUP(Tabel6[[#This Row],[Score]],'ELO rekenblad'!$H$30,'ELO rekenblad'!$A$30,"")</f>
        <v/>
      </c>
      <c r="T8" s="371" t="str">
        <f>_xlfn.XLOOKUP(Tabel6[[#This Row],[Score]],'ELO rekenblad'!$H$31,'ELO rekenblad'!$A$31,"")</f>
        <v/>
      </c>
      <c r="U8" s="371" t="str">
        <f>_xlfn.XLOOKUP(Tabel6[[#This Row],[Score]],'ELO rekenblad'!$H$32,'ELO rekenblad'!$A$32,"")</f>
        <v/>
      </c>
      <c r="V8" s="371" t="str">
        <f>_xlfn.XLOOKUP(Tabel6[[#This Row],[Score]],'ELO rekenblad'!$H$33,'ELO rekenblad'!$A$33,"")</f>
        <v/>
      </c>
      <c r="W8" s="371" t="str">
        <f>_xlfn.XLOOKUP(Tabel6[[#This Row],[Score]],'ELO rekenblad'!$H$34,'ELO rekenblad'!$A$34,"")</f>
        <v/>
      </c>
      <c r="X8" s="371" t="str">
        <f>_xlfn.XLOOKUP(Tabel6[[#This Row],[Score]],'ELO rekenblad'!$H$35,'ELO rekenblad'!$A$35,"")</f>
        <v/>
      </c>
      <c r="Y8" s="371" t="str">
        <f>_xlfn.XLOOKUP(Tabel6[[#This Row],[Score]],'ELO rekenblad'!$H$36,'ELO rekenblad'!$A$36,"")</f>
        <v>Stijn*</v>
      </c>
      <c r="Z8" s="372" t="str">
        <f>_xlfn.XLOOKUP(Tabel6[[#This Row],[Score]],'ELO rekenblad'!$H$37,'ELO rekenblad'!$A$37,"")</f>
        <v/>
      </c>
    </row>
    <row r="9" spans="11:26" ht="15.75" thickBot="1" x14ac:dyDescent="0.3">
      <c r="K9" s="337"/>
      <c r="L9" s="187">
        <v>1</v>
      </c>
      <c r="M9" s="186">
        <f>M8+'ELO rekenblad'!$Q$2</f>
        <v>700</v>
      </c>
      <c r="N9" s="370" t="str">
        <f>_xlfn.XLOOKUP(Tabel6[[#This Row],[Score]],'ELO rekenblad'!$H$25,'ELO rekenblad'!$A$25,"")</f>
        <v/>
      </c>
      <c r="O9" s="371" t="str">
        <f>_xlfn.XLOOKUP(Tabel6[[#This Row],[Score]],'ELO rekenblad'!$H$26,'ELO rekenblad'!$A$26,"")</f>
        <v/>
      </c>
      <c r="P9" s="371" t="str">
        <f>_xlfn.XLOOKUP(Tabel6[[#This Row],[Score]],'ELO rekenblad'!$H$27,'ELO rekenblad'!$A$27,"")</f>
        <v/>
      </c>
      <c r="Q9" s="371" t="str">
        <f>_xlfn.XLOOKUP(Tabel6[[#This Row],[Score]],'ELO rekenblad'!$H$28,'ELO rekenblad'!$A$28,"")</f>
        <v/>
      </c>
      <c r="R9" s="371" t="str">
        <f>_xlfn.XLOOKUP(Tabel6[[#This Row],[Score]],'ELO rekenblad'!$H$29,'ELO rekenblad'!$A$29,"")</f>
        <v/>
      </c>
      <c r="S9" s="371" t="str">
        <f>_xlfn.XLOOKUP(Tabel6[[#This Row],[Score]],'ELO rekenblad'!$H$30,'ELO rekenblad'!$A$30,"")</f>
        <v/>
      </c>
      <c r="T9" s="371" t="str">
        <f>_xlfn.XLOOKUP(Tabel6[[#This Row],[Score]],'ELO rekenblad'!$H$31,'ELO rekenblad'!$A$31,"")</f>
        <v/>
      </c>
      <c r="U9" s="371" t="str">
        <f>_xlfn.XLOOKUP(Tabel6[[#This Row],[Score]],'ELO rekenblad'!$H$32,'ELO rekenblad'!$A$32,"")</f>
        <v/>
      </c>
      <c r="V9" s="371" t="str">
        <f>_xlfn.XLOOKUP(Tabel6[[#This Row],[Score]],'ELO rekenblad'!$H$33,'ELO rekenblad'!$A$33,"")</f>
        <v/>
      </c>
      <c r="W9" s="371" t="str">
        <f>_xlfn.XLOOKUP(Tabel6[[#This Row],[Score]],'ELO rekenblad'!$H$34,'ELO rekenblad'!$A$34,"")</f>
        <v/>
      </c>
      <c r="X9" s="371" t="str">
        <f>_xlfn.XLOOKUP(Tabel6[[#This Row],[Score]],'ELO rekenblad'!$H$35,'ELO rekenblad'!$A$35,"")</f>
        <v/>
      </c>
      <c r="Y9" s="371" t="str">
        <f>_xlfn.XLOOKUP(Tabel6[[#This Row],[Score]],'ELO rekenblad'!$H$36,'ELO rekenblad'!$A$36,"")</f>
        <v/>
      </c>
      <c r="Z9" s="372" t="str">
        <f>_xlfn.XLOOKUP(Tabel6[[#This Row],[Score]],'ELO rekenblad'!$H$37,'ELO rekenblad'!$A$37,"")</f>
        <v/>
      </c>
    </row>
    <row r="10" spans="11:26" x14ac:dyDescent="0.25">
      <c r="K10" s="332" t="s">
        <v>118</v>
      </c>
      <c r="L10" s="188">
        <v>5</v>
      </c>
      <c r="M10" s="188">
        <f>M9+'ELO rekenblad'!$Q$2</f>
        <v>875</v>
      </c>
      <c r="N10" s="367" t="str">
        <f>_xlfn.XLOOKUP(Tabel6[[#This Row],[Score]],'ELO rekenblad'!$H$25,'ELO rekenblad'!$A$25,"")</f>
        <v/>
      </c>
      <c r="O10" s="368" t="str">
        <f>_xlfn.XLOOKUP(Tabel6[[#This Row],[Score]],'ELO rekenblad'!$H$26,'ELO rekenblad'!$A$26,"")</f>
        <v/>
      </c>
      <c r="P10" s="368" t="str">
        <f>_xlfn.XLOOKUP(Tabel6[[#This Row],[Score]],'ELO rekenblad'!$H$27,'ELO rekenblad'!$A$27,"")</f>
        <v/>
      </c>
      <c r="Q10" s="368" t="str">
        <f>_xlfn.XLOOKUP(Tabel6[[#This Row],[Score]],'ELO rekenblad'!$H$28,'ELO rekenblad'!$A$28,"")</f>
        <v/>
      </c>
      <c r="R10" s="368" t="str">
        <f>_xlfn.XLOOKUP(Tabel6[[#This Row],[Score]],'ELO rekenblad'!$H$29,'ELO rekenblad'!$A$29,"")</f>
        <v/>
      </c>
      <c r="S10" s="368" t="str">
        <f>_xlfn.XLOOKUP(Tabel6[[#This Row],[Score]],'ELO rekenblad'!$H$30,'ELO rekenblad'!$A$30,"")</f>
        <v/>
      </c>
      <c r="T10" s="368" t="str">
        <f>_xlfn.XLOOKUP(Tabel6[[#This Row],[Score]],'ELO rekenblad'!$H$31,'ELO rekenblad'!$A$31,"")</f>
        <v/>
      </c>
      <c r="U10" s="368" t="str">
        <f>_xlfn.XLOOKUP(Tabel6[[#This Row],[Score]],'ELO rekenblad'!$H$32,'ELO rekenblad'!$A$32,"")</f>
        <v/>
      </c>
      <c r="V10" s="368" t="str">
        <f>_xlfn.XLOOKUP(Tabel6[[#This Row],[Score]],'ELO rekenblad'!$H$33,'ELO rekenblad'!$A$33,"")</f>
        <v/>
      </c>
      <c r="W10" s="368" t="str">
        <f>_xlfn.XLOOKUP(Tabel6[[#This Row],[Score]],'ELO rekenblad'!$H$34,'ELO rekenblad'!$A$34,"")</f>
        <v/>
      </c>
      <c r="X10" s="368" t="str">
        <f>_xlfn.XLOOKUP(Tabel6[[#This Row],[Score]],'ELO rekenblad'!$H$35,'ELO rekenblad'!$A$35,"")</f>
        <v>Nico*</v>
      </c>
      <c r="Y10" s="368" t="str">
        <f>_xlfn.XLOOKUP(Tabel6[[#This Row],[Score]],'ELO rekenblad'!$H$36,'ELO rekenblad'!$A$36,"")</f>
        <v/>
      </c>
      <c r="Z10" s="369" t="str">
        <f>_xlfn.XLOOKUP(Tabel6[[#This Row],[Score]],'ELO rekenblad'!$H$37,'ELO rekenblad'!$A$37,"")</f>
        <v/>
      </c>
    </row>
    <row r="11" spans="11:26" x14ac:dyDescent="0.25">
      <c r="K11" s="333"/>
      <c r="L11" s="189">
        <v>4</v>
      </c>
      <c r="M11" s="189">
        <f>M10+'ELO rekenblad'!$Q$2</f>
        <v>1050</v>
      </c>
      <c r="N11" s="373" t="str">
        <f>_xlfn.XLOOKUP(Tabel6[[#This Row],[Score]],'ELO rekenblad'!$H$25,'ELO rekenblad'!$A$25,"")</f>
        <v/>
      </c>
      <c r="O11" s="371" t="str">
        <f>_xlfn.XLOOKUP(Tabel6[[#This Row],[Score]],'ELO rekenblad'!$H$26,'ELO rekenblad'!$A$26,"")</f>
        <v/>
      </c>
      <c r="P11" s="371" t="str">
        <f>_xlfn.XLOOKUP(Tabel6[[#This Row],[Score]],'ELO rekenblad'!$H$27,'ELO rekenblad'!$A$27,"")</f>
        <v/>
      </c>
      <c r="Q11" s="371" t="str">
        <f>_xlfn.XLOOKUP(Tabel6[[#This Row],[Score]],'ELO rekenblad'!$H$28,'ELO rekenblad'!$A$28,"")</f>
        <v/>
      </c>
      <c r="R11" s="371" t="str">
        <f>_xlfn.XLOOKUP(Tabel6[[#This Row],[Score]],'ELO rekenblad'!$H$29,'ELO rekenblad'!$A$29,"")</f>
        <v/>
      </c>
      <c r="S11" s="371" t="str">
        <f>_xlfn.XLOOKUP(Tabel6[[#This Row],[Score]],'ELO rekenblad'!$H$30,'ELO rekenblad'!$A$30,"")</f>
        <v/>
      </c>
      <c r="T11" s="371" t="str">
        <f>_xlfn.XLOOKUP(Tabel6[[#This Row],[Score]],'ELO rekenblad'!$H$31,'ELO rekenblad'!$A$31,"")</f>
        <v/>
      </c>
      <c r="U11" s="371" t="str">
        <f>_xlfn.XLOOKUP(Tabel6[[#This Row],[Score]],'ELO rekenblad'!$H$32,'ELO rekenblad'!$A$32,"")</f>
        <v/>
      </c>
      <c r="V11" s="371" t="str">
        <f>_xlfn.XLOOKUP(Tabel6[[#This Row],[Score]],'ELO rekenblad'!$H$33,'ELO rekenblad'!$A$33,"")</f>
        <v/>
      </c>
      <c r="W11" s="371" t="str">
        <f>_xlfn.XLOOKUP(Tabel6[[#This Row],[Score]],'ELO rekenblad'!$H$34,'ELO rekenblad'!$A$34,"")</f>
        <v/>
      </c>
      <c r="X11" s="371" t="str">
        <f>_xlfn.XLOOKUP(Tabel6[[#This Row],[Score]],'ELO rekenblad'!$H$35,'ELO rekenblad'!$A$35,"")</f>
        <v/>
      </c>
      <c r="Y11" s="371" t="str">
        <f>_xlfn.XLOOKUP(Tabel6[[#This Row],[Score]],'ELO rekenblad'!$H$36,'ELO rekenblad'!$A$36,"")</f>
        <v/>
      </c>
      <c r="Z11" s="372" t="str">
        <f>_xlfn.XLOOKUP(Tabel6[[#This Row],[Score]],'ELO rekenblad'!$H$37,'ELO rekenblad'!$A$37,"")</f>
        <v/>
      </c>
    </row>
    <row r="12" spans="11:26" x14ac:dyDescent="0.25">
      <c r="K12" s="333"/>
      <c r="L12" s="189">
        <v>3</v>
      </c>
      <c r="M12" s="189">
        <f>M11+'ELO rekenblad'!$Q$2</f>
        <v>1225</v>
      </c>
      <c r="N12" s="370" t="str">
        <f>_xlfn.XLOOKUP(Tabel6[[#This Row],[Score]],'ELO rekenblad'!$H$25,'ELO rekenblad'!$A$25,"")</f>
        <v/>
      </c>
      <c r="O12" s="371" t="str">
        <f>_xlfn.XLOOKUP(Tabel6[[#This Row],[Score]],'ELO rekenblad'!$H$26,'ELO rekenblad'!$A$26,"")</f>
        <v/>
      </c>
      <c r="P12" s="371" t="str">
        <f>_xlfn.XLOOKUP(Tabel6[[#This Row],[Score]],'ELO rekenblad'!$H$27,'ELO rekenblad'!$A$27,"")</f>
        <v/>
      </c>
      <c r="Q12" s="371" t="str">
        <f>_xlfn.XLOOKUP(Tabel6[[#This Row],[Score]],'ELO rekenblad'!$H$28,'ELO rekenblad'!$A$28,"")</f>
        <v/>
      </c>
      <c r="R12" s="371" t="str">
        <f>_xlfn.XLOOKUP(Tabel6[[#This Row],[Score]],'ELO rekenblad'!$H$29,'ELO rekenblad'!$A$29,"")</f>
        <v/>
      </c>
      <c r="S12" s="371" t="str">
        <f>_xlfn.XLOOKUP(Tabel6[[#This Row],[Score]],'ELO rekenblad'!$H$30,'ELO rekenblad'!$A$30,"")</f>
        <v/>
      </c>
      <c r="T12" s="371" t="str">
        <f>_xlfn.XLOOKUP(Tabel6[[#This Row],[Score]],'ELO rekenblad'!$H$31,'ELO rekenblad'!$A$31,"")</f>
        <v/>
      </c>
      <c r="U12" s="371" t="str">
        <f>_xlfn.XLOOKUP(Tabel6[[#This Row],[Score]],'ELO rekenblad'!$H$32,'ELO rekenblad'!$A$32,"")</f>
        <v/>
      </c>
      <c r="V12" s="371" t="str">
        <f>_xlfn.XLOOKUP(Tabel6[[#This Row],[Score]],'ELO rekenblad'!$H$33,'ELO rekenblad'!$A$33,"")</f>
        <v/>
      </c>
      <c r="W12" s="371" t="str">
        <f>_xlfn.XLOOKUP(Tabel6[[#This Row],[Score]],'ELO rekenblad'!$H$34,'ELO rekenblad'!$A$34,"")</f>
        <v/>
      </c>
      <c r="X12" s="371" t="str">
        <f>_xlfn.XLOOKUP(Tabel6[[#This Row],[Score]],'ELO rekenblad'!$H$35,'ELO rekenblad'!$A$35,"")</f>
        <v/>
      </c>
      <c r="Y12" s="371" t="str">
        <f>_xlfn.XLOOKUP(Tabel6[[#This Row],[Score]],'ELO rekenblad'!$H$36,'ELO rekenblad'!$A$36,"")</f>
        <v/>
      </c>
      <c r="Z12" s="372" t="str">
        <f>_xlfn.XLOOKUP(Tabel6[[#This Row],[Score]],'ELO rekenblad'!$H$37,'ELO rekenblad'!$A$37,"")</f>
        <v/>
      </c>
    </row>
    <row r="13" spans="11:26" x14ac:dyDescent="0.25">
      <c r="K13" s="333"/>
      <c r="L13" s="189">
        <v>2</v>
      </c>
      <c r="M13" s="189">
        <f>M12+'ELO rekenblad'!$Q$2</f>
        <v>1400</v>
      </c>
      <c r="N13" s="370" t="str">
        <f>_xlfn.XLOOKUP(Tabel6[[#This Row],[Score]],'ELO rekenblad'!$H$25,'ELO rekenblad'!$A$25,"")</f>
        <v/>
      </c>
      <c r="O13" s="371" t="str">
        <f>_xlfn.XLOOKUP(Tabel6[[#This Row],[Score]],'ELO rekenblad'!$H$26,'ELO rekenblad'!$A$26,"")</f>
        <v/>
      </c>
      <c r="P13" s="371" t="str">
        <f>_xlfn.XLOOKUP(Tabel6[[#This Row],[Score]],'ELO rekenblad'!$H$27,'ELO rekenblad'!$A$27,"")</f>
        <v/>
      </c>
      <c r="Q13" s="371" t="str">
        <f>_xlfn.XLOOKUP(Tabel6[[#This Row],[Score]],'ELO rekenblad'!$H$28,'ELO rekenblad'!$A$28,"")</f>
        <v/>
      </c>
      <c r="R13" s="371" t="str">
        <f>_xlfn.XLOOKUP(Tabel6[[#This Row],[Score]],'ELO rekenblad'!$H$29,'ELO rekenblad'!$A$29,"")</f>
        <v/>
      </c>
      <c r="S13" s="371" t="str">
        <f>_xlfn.XLOOKUP(Tabel6[[#This Row],[Score]],'ELO rekenblad'!$H$30,'ELO rekenblad'!$A$30,"")</f>
        <v/>
      </c>
      <c r="T13" s="371" t="str">
        <f>_xlfn.XLOOKUP(Tabel6[[#This Row],[Score]],'ELO rekenblad'!$H$31,'ELO rekenblad'!$A$31,"")</f>
        <v/>
      </c>
      <c r="U13" s="371" t="str">
        <f>_xlfn.XLOOKUP(Tabel6[[#This Row],[Score]],'ELO rekenblad'!$H$32,'ELO rekenblad'!$A$32,"")</f>
        <v/>
      </c>
      <c r="V13" s="371" t="str">
        <f>_xlfn.XLOOKUP(Tabel6[[#This Row],[Score]],'ELO rekenblad'!$H$33,'ELO rekenblad'!$A$33,"")</f>
        <v/>
      </c>
      <c r="W13" s="371" t="str">
        <f>_xlfn.XLOOKUP(Tabel6[[#This Row],[Score]],'ELO rekenblad'!$H$34,'ELO rekenblad'!$A$34,"")</f>
        <v/>
      </c>
      <c r="X13" s="371" t="str">
        <f>_xlfn.XLOOKUP(Tabel6[[#This Row],[Score]],'ELO rekenblad'!$H$35,'ELO rekenblad'!$A$35,"")</f>
        <v/>
      </c>
      <c r="Y13" s="371" t="str">
        <f>_xlfn.XLOOKUP(Tabel6[[#This Row],[Score]],'ELO rekenblad'!$H$36,'ELO rekenblad'!$A$36,"")</f>
        <v/>
      </c>
      <c r="Z13" s="372" t="str">
        <f>_xlfn.XLOOKUP(Tabel6[[#This Row],[Score]],'ELO rekenblad'!$H$37,'ELO rekenblad'!$A$37,"")</f>
        <v/>
      </c>
    </row>
    <row r="14" spans="11:26" ht="15.75" thickBot="1" x14ac:dyDescent="0.3">
      <c r="K14" s="334"/>
      <c r="L14" s="190">
        <v>1</v>
      </c>
      <c r="M14" s="189">
        <f>M13+'ELO rekenblad'!$Q$2</f>
        <v>1575</v>
      </c>
      <c r="N14" s="374" t="str">
        <f>_xlfn.XLOOKUP(Tabel6[[#This Row],[Score]],'ELO rekenblad'!$H$25,'ELO rekenblad'!$A$25,"")</f>
        <v/>
      </c>
      <c r="O14" s="375" t="str">
        <f>_xlfn.XLOOKUP(Tabel6[[#This Row],[Score]],'ELO rekenblad'!$H$26,'ELO rekenblad'!$A$26,"")</f>
        <v/>
      </c>
      <c r="P14" s="375" t="str">
        <f>_xlfn.XLOOKUP(Tabel6[[#This Row],[Score]],'ELO rekenblad'!$H$27,'ELO rekenblad'!$A$27,"")</f>
        <v/>
      </c>
      <c r="Q14" s="375" t="str">
        <f>_xlfn.XLOOKUP(Tabel6[[#This Row],[Score]],'ELO rekenblad'!$H$28,'ELO rekenblad'!$A$28,"")</f>
        <v/>
      </c>
      <c r="R14" s="375" t="str">
        <f>_xlfn.XLOOKUP(Tabel6[[#This Row],[Score]],'ELO rekenblad'!$H$29,'ELO rekenblad'!$A$29,"")</f>
        <v/>
      </c>
      <c r="S14" s="375" t="str">
        <f>_xlfn.XLOOKUP(Tabel6[[#This Row],[Score]],'ELO rekenblad'!$H$30,'ELO rekenblad'!$A$30,"")</f>
        <v/>
      </c>
      <c r="T14" s="375" t="str">
        <f>_xlfn.XLOOKUP(Tabel6[[#This Row],[Score]],'ELO rekenblad'!$H$31,'ELO rekenblad'!$A$31,"")</f>
        <v>Tobi*</v>
      </c>
      <c r="U14" s="375" t="str">
        <f>_xlfn.XLOOKUP(Tabel6[[#This Row],[Score]],'ELO rekenblad'!$H$32,'ELO rekenblad'!$A$32,"")</f>
        <v/>
      </c>
      <c r="V14" s="375" t="str">
        <f>_xlfn.XLOOKUP(Tabel6[[#This Row],[Score]],'ELO rekenblad'!$H$33,'ELO rekenblad'!$A$33,"")</f>
        <v/>
      </c>
      <c r="W14" s="375" t="str">
        <f>_xlfn.XLOOKUP(Tabel6[[#This Row],[Score]],'ELO rekenblad'!$H$34,'ELO rekenblad'!$A$34,"")</f>
        <v>Coghe*</v>
      </c>
      <c r="X14" s="375" t="str">
        <f>_xlfn.XLOOKUP(Tabel6[[#This Row],[Score]],'ELO rekenblad'!$H$35,'ELO rekenblad'!$A$35,"")</f>
        <v/>
      </c>
      <c r="Y14" s="375" t="str">
        <f>_xlfn.XLOOKUP(Tabel6[[#This Row],[Score]],'ELO rekenblad'!$H$36,'ELO rekenblad'!$A$36,"")</f>
        <v/>
      </c>
      <c r="Z14" s="376" t="str">
        <f>_xlfn.XLOOKUP(Tabel6[[#This Row],[Score]],'ELO rekenblad'!$H$37,'ELO rekenblad'!$A$37,"")</f>
        <v/>
      </c>
    </row>
    <row r="15" spans="11:26" x14ac:dyDescent="0.25">
      <c r="K15" s="329" t="s">
        <v>119</v>
      </c>
      <c r="L15" s="191">
        <v>5</v>
      </c>
      <c r="M15" s="191">
        <f>M14+'ELO rekenblad'!$Q$2</f>
        <v>1750</v>
      </c>
      <c r="N15" s="367" t="str">
        <f>_xlfn.XLOOKUP(Tabel6[[#This Row],[Score]],'ELO rekenblad'!$H$25,'ELO rekenblad'!$A$25,"")</f>
        <v/>
      </c>
      <c r="O15" s="368" t="str">
        <f>_xlfn.XLOOKUP(Tabel6[[#This Row],[Score]],'ELO rekenblad'!$H$26,'ELO rekenblad'!$A$26,"")</f>
        <v/>
      </c>
      <c r="P15" s="368" t="str">
        <f>_xlfn.XLOOKUP(Tabel6[[#This Row],[Score]],'ELO rekenblad'!$H$27,'ELO rekenblad'!$A$27,"")</f>
        <v/>
      </c>
      <c r="Q15" s="368" t="str">
        <f>_xlfn.XLOOKUP(Tabel6[[#This Row],[Score]],'ELO rekenblad'!$H$28,'ELO rekenblad'!$A$28,"")</f>
        <v/>
      </c>
      <c r="R15" s="368" t="str">
        <f>_xlfn.XLOOKUP(Tabel6[[#This Row],[Score]],'ELO rekenblad'!$H$29,'ELO rekenblad'!$A$29,"")</f>
        <v/>
      </c>
      <c r="S15" s="368" t="str">
        <f>_xlfn.XLOOKUP(Tabel6[[#This Row],[Score]],'ELO rekenblad'!$H$30,'ELO rekenblad'!$A$30,"")</f>
        <v/>
      </c>
      <c r="T15" s="368" t="str">
        <f>_xlfn.XLOOKUP(Tabel6[[#This Row],[Score]],'ELO rekenblad'!$H$31,'ELO rekenblad'!$A$31,"")</f>
        <v/>
      </c>
      <c r="U15" s="368" t="str">
        <f>_xlfn.XLOOKUP(Tabel6[[#This Row],[Score]],'ELO rekenblad'!$H$32,'ELO rekenblad'!$A$32,"")</f>
        <v>Arno*</v>
      </c>
      <c r="V15" s="368" t="str">
        <f>_xlfn.XLOOKUP(Tabel6[[#This Row],[Score]],'ELO rekenblad'!$H$33,'ELO rekenblad'!$A$33,"")</f>
        <v/>
      </c>
      <c r="W15" s="368" t="str">
        <f>_xlfn.XLOOKUP(Tabel6[[#This Row],[Score]],'ELO rekenblad'!$H$34,'ELO rekenblad'!$A$34,"")</f>
        <v/>
      </c>
      <c r="X15" s="368" t="str">
        <f>_xlfn.XLOOKUP(Tabel6[[#This Row],[Score]],'ELO rekenblad'!$H$35,'ELO rekenblad'!$A$35,"")</f>
        <v/>
      </c>
      <c r="Y15" s="368" t="str">
        <f>_xlfn.XLOOKUP(Tabel6[[#This Row],[Score]],'ELO rekenblad'!$H$36,'ELO rekenblad'!$A$36,"")</f>
        <v/>
      </c>
      <c r="Z15" s="369" t="str">
        <f>_xlfn.XLOOKUP(Tabel6[[#This Row],[Score]],'ELO rekenblad'!$H$37,'ELO rekenblad'!$A$37,"")</f>
        <v/>
      </c>
    </row>
    <row r="16" spans="11:26" x14ac:dyDescent="0.25">
      <c r="K16" s="330"/>
      <c r="L16" s="33">
        <v>4</v>
      </c>
      <c r="M16" s="33">
        <f>M15+'ELO rekenblad'!$Q$2</f>
        <v>1925</v>
      </c>
      <c r="N16" s="370" t="str">
        <f>_xlfn.XLOOKUP(Tabel6[[#This Row],[Score]],'ELO rekenblad'!$H$25,'ELO rekenblad'!$A$25,"")</f>
        <v/>
      </c>
      <c r="O16" s="371" t="str">
        <f>_xlfn.XLOOKUP(Tabel6[[#This Row],[Score]],'ELO rekenblad'!$H$26,'ELO rekenblad'!$A$26,"")</f>
        <v/>
      </c>
      <c r="P16" s="371" t="str">
        <f>_xlfn.XLOOKUP(Tabel6[[#This Row],[Score]],'ELO rekenblad'!$H$27,'ELO rekenblad'!$A$27,"")</f>
        <v/>
      </c>
      <c r="Q16" s="371" t="str">
        <f>_xlfn.XLOOKUP(Tabel6[[#This Row],[Score]],'ELO rekenblad'!$H$28,'ELO rekenblad'!$A$28,"")</f>
        <v/>
      </c>
      <c r="R16" s="371" t="str">
        <f>_xlfn.XLOOKUP(Tabel6[[#This Row],[Score]],'ELO rekenblad'!$H$29,'ELO rekenblad'!$A$29,"")</f>
        <v/>
      </c>
      <c r="S16" s="371" t="str">
        <f>_xlfn.XLOOKUP(Tabel6[[#This Row],[Score]],'ELO rekenblad'!$H$30,'ELO rekenblad'!$A$30,"")</f>
        <v>Matthijs*</v>
      </c>
      <c r="T16" s="371" t="str">
        <f>_xlfn.XLOOKUP(Tabel6[[#This Row],[Score]],'ELO rekenblad'!$H$31,'ELO rekenblad'!$A$31,"")</f>
        <v/>
      </c>
      <c r="U16" s="371" t="str">
        <f>_xlfn.XLOOKUP(Tabel6[[#This Row],[Score]],'ELO rekenblad'!$H$32,'ELO rekenblad'!$A$32,"")</f>
        <v/>
      </c>
      <c r="V16" s="371" t="str">
        <f>_xlfn.XLOOKUP(Tabel6[[#This Row],[Score]],'ELO rekenblad'!$H$33,'ELO rekenblad'!$A$33,"")</f>
        <v/>
      </c>
      <c r="W16" s="371" t="str">
        <f>_xlfn.XLOOKUP(Tabel6[[#This Row],[Score]],'ELO rekenblad'!$H$34,'ELO rekenblad'!$A$34,"")</f>
        <v/>
      </c>
      <c r="X16" s="371" t="str">
        <f>_xlfn.XLOOKUP(Tabel6[[#This Row],[Score]],'ELO rekenblad'!$H$35,'ELO rekenblad'!$A$35,"")</f>
        <v/>
      </c>
      <c r="Y16" s="371" t="str">
        <f>_xlfn.XLOOKUP(Tabel6[[#This Row],[Score]],'ELO rekenblad'!$H$36,'ELO rekenblad'!$A$36,"")</f>
        <v/>
      </c>
      <c r="Z16" s="372" t="str">
        <f>_xlfn.XLOOKUP(Tabel6[[#This Row],[Score]],'ELO rekenblad'!$H$37,'ELO rekenblad'!$A$37,"")</f>
        <v/>
      </c>
    </row>
    <row r="17" spans="11:26" x14ac:dyDescent="0.25">
      <c r="K17" s="330"/>
      <c r="L17" s="33">
        <v>3</v>
      </c>
      <c r="M17" s="33">
        <f>M16+'ELO rekenblad'!$Q$2</f>
        <v>2100</v>
      </c>
      <c r="N17" s="370" t="str">
        <f>_xlfn.XLOOKUP(Tabel6[[#This Row],[Score]],'ELO rekenblad'!$H$25,'ELO rekenblad'!$A$25,"")</f>
        <v/>
      </c>
      <c r="O17" s="371" t="str">
        <f>_xlfn.XLOOKUP(Tabel6[[#This Row],[Score]],'ELO rekenblad'!$H$26,'ELO rekenblad'!$A$26,"")</f>
        <v/>
      </c>
      <c r="P17" s="371" t="str">
        <f>_xlfn.XLOOKUP(Tabel6[[#This Row],[Score]],'ELO rekenblad'!$H$27,'ELO rekenblad'!$A$27,"")</f>
        <v/>
      </c>
      <c r="Q17" s="371" t="str">
        <f>_xlfn.XLOOKUP(Tabel6[[#This Row],[Score]],'ELO rekenblad'!$H$28,'ELO rekenblad'!$A$28,"")</f>
        <v/>
      </c>
      <c r="R17" s="371" t="str">
        <f>_xlfn.XLOOKUP(Tabel6[[#This Row],[Score]],'ELO rekenblad'!$H$29,'ELO rekenblad'!$A$29,"")</f>
        <v>Tiemen*</v>
      </c>
      <c r="S17" s="371" t="str">
        <f>_xlfn.XLOOKUP(Tabel6[[#This Row],[Score]],'ELO rekenblad'!$H$30,'ELO rekenblad'!$A$30,"")</f>
        <v/>
      </c>
      <c r="T17" s="371" t="str">
        <f>_xlfn.XLOOKUP(Tabel6[[#This Row],[Score]],'ELO rekenblad'!$H$31,'ELO rekenblad'!$A$31,"")</f>
        <v/>
      </c>
      <c r="U17" s="371" t="str">
        <f>_xlfn.XLOOKUP(Tabel6[[#This Row],[Score]],'ELO rekenblad'!$H$32,'ELO rekenblad'!$A$32,"")</f>
        <v/>
      </c>
      <c r="V17" s="371" t="str">
        <f>_xlfn.XLOOKUP(Tabel6[[#This Row],[Score]],'ELO rekenblad'!$H$33,'ELO rekenblad'!$A$33,"")</f>
        <v>Bert*</v>
      </c>
      <c r="W17" s="371" t="str">
        <f>_xlfn.XLOOKUP(Tabel6[[#This Row],[Score]],'ELO rekenblad'!$H$34,'ELO rekenblad'!$A$34,"")</f>
        <v/>
      </c>
      <c r="X17" s="371" t="str">
        <f>_xlfn.XLOOKUP(Tabel6[[#This Row],[Score]],'ELO rekenblad'!$H$35,'ELO rekenblad'!$A$35,"")</f>
        <v/>
      </c>
      <c r="Y17" s="371" t="str">
        <f>_xlfn.XLOOKUP(Tabel6[[#This Row],[Score]],'ELO rekenblad'!$H$36,'ELO rekenblad'!$A$36,"")</f>
        <v/>
      </c>
      <c r="Z17" s="372" t="str">
        <f>_xlfn.XLOOKUP(Tabel6[[#This Row],[Score]],'ELO rekenblad'!$H$37,'ELO rekenblad'!$A$37,"")</f>
        <v/>
      </c>
    </row>
    <row r="18" spans="11:26" x14ac:dyDescent="0.25">
      <c r="K18" s="330"/>
      <c r="L18" s="33">
        <v>2</v>
      </c>
      <c r="M18" s="33">
        <f>M17+'ELO rekenblad'!$Q$2</f>
        <v>2275</v>
      </c>
      <c r="N18" s="370" t="str">
        <f>_xlfn.XLOOKUP(Tabel6[[#This Row],[Score]],'ELO rekenblad'!$H$25,'ELO rekenblad'!$A$25,"")</f>
        <v/>
      </c>
      <c r="O18" s="371" t="str">
        <f>_xlfn.XLOOKUP(Tabel6[[#This Row],[Score]],'ELO rekenblad'!$H$26,'ELO rekenblad'!$A$26,"")</f>
        <v/>
      </c>
      <c r="P18" s="371" t="str">
        <f>_xlfn.XLOOKUP(Tabel6[[#This Row],[Score]],'ELO rekenblad'!$H$27,'ELO rekenblad'!$A$27,"")</f>
        <v/>
      </c>
      <c r="Q18" s="371" t="str">
        <f>_xlfn.XLOOKUP(Tabel6[[#This Row],[Score]],'ELO rekenblad'!$H$28,'ELO rekenblad'!$A$28,"")</f>
        <v>Louis*</v>
      </c>
      <c r="R18" s="371" t="str">
        <f>_xlfn.XLOOKUP(Tabel6[[#This Row],[Score]],'ELO rekenblad'!$H$29,'ELO rekenblad'!$A$29,"")</f>
        <v/>
      </c>
      <c r="S18" s="371" t="str">
        <f>_xlfn.XLOOKUP(Tabel6[[#This Row],[Score]],'ELO rekenblad'!$H$30,'ELO rekenblad'!$A$30,"")</f>
        <v/>
      </c>
      <c r="T18" s="371" t="str">
        <f>_xlfn.XLOOKUP(Tabel6[[#This Row],[Score]],'ELO rekenblad'!$H$31,'ELO rekenblad'!$A$31,"")</f>
        <v/>
      </c>
      <c r="U18" s="371" t="str">
        <f>_xlfn.XLOOKUP(Tabel6[[#This Row],[Score]],'ELO rekenblad'!$H$32,'ELO rekenblad'!$A$32,"")</f>
        <v/>
      </c>
      <c r="V18" s="371" t="str">
        <f>_xlfn.XLOOKUP(Tabel6[[#This Row],[Score]],'ELO rekenblad'!$H$33,'ELO rekenblad'!$A$33,"")</f>
        <v/>
      </c>
      <c r="W18" s="371" t="str">
        <f>_xlfn.XLOOKUP(Tabel6[[#This Row],[Score]],'ELO rekenblad'!$H$34,'ELO rekenblad'!$A$34,"")</f>
        <v/>
      </c>
      <c r="X18" s="371" t="str">
        <f>_xlfn.XLOOKUP(Tabel6[[#This Row],[Score]],'ELO rekenblad'!$H$35,'ELO rekenblad'!$A$35,"")</f>
        <v/>
      </c>
      <c r="Y18" s="371" t="str">
        <f>_xlfn.XLOOKUP(Tabel6[[#This Row],[Score]],'ELO rekenblad'!$H$36,'ELO rekenblad'!$A$36,"")</f>
        <v/>
      </c>
      <c r="Z18" s="372" t="str">
        <f>_xlfn.XLOOKUP(Tabel6[[#This Row],[Score]],'ELO rekenblad'!$H$37,'ELO rekenblad'!$A$37,"")</f>
        <v/>
      </c>
    </row>
    <row r="19" spans="11:26" ht="15.75" thickBot="1" x14ac:dyDescent="0.3">
      <c r="K19" s="331"/>
      <c r="L19" s="33">
        <v>1</v>
      </c>
      <c r="M19" s="33">
        <f>M18+'ELO rekenblad'!$Q$2</f>
        <v>2450</v>
      </c>
      <c r="N19" s="374" t="str">
        <f>_xlfn.XLOOKUP(Tabel6[[#This Row],[Score]],'ELO rekenblad'!$H$25,'ELO rekenblad'!$A$25,"")</f>
        <v/>
      </c>
      <c r="O19" s="375" t="str">
        <f>_xlfn.XLOOKUP(Tabel6[[#This Row],[Score]],'ELO rekenblad'!$H$26,'ELO rekenblad'!$A$26,"")</f>
        <v/>
      </c>
      <c r="P19" s="375" t="str">
        <f>_xlfn.XLOOKUP(Tabel6[[#This Row],[Score]],'ELO rekenblad'!$H$27,'ELO rekenblad'!$A$27,"")</f>
        <v/>
      </c>
      <c r="Q19" s="375" t="str">
        <f>_xlfn.XLOOKUP(Tabel6[[#This Row],[Score]],'ELO rekenblad'!$H$28,'ELO rekenblad'!$A$28,"")</f>
        <v/>
      </c>
      <c r="R19" s="375" t="str">
        <f>_xlfn.XLOOKUP(Tabel6[[#This Row],[Score]],'ELO rekenblad'!$H$29,'ELO rekenblad'!$A$29,"")</f>
        <v/>
      </c>
      <c r="S19" s="375" t="str">
        <f>_xlfn.XLOOKUP(Tabel6[[#This Row],[Score]],'ELO rekenblad'!$H$30,'ELO rekenblad'!$A$30,"")</f>
        <v/>
      </c>
      <c r="T19" s="375" t="str">
        <f>_xlfn.XLOOKUP(Tabel6[[#This Row],[Score]],'ELO rekenblad'!$H$31,'ELO rekenblad'!$A$31,"")</f>
        <v/>
      </c>
      <c r="U19" s="375" t="str">
        <f>_xlfn.XLOOKUP(Tabel6[[#This Row],[Score]],'ELO rekenblad'!$H$32,'ELO rekenblad'!$A$32,"")</f>
        <v/>
      </c>
      <c r="V19" s="375" t="str">
        <f>_xlfn.XLOOKUP(Tabel6[[#This Row],[Score]],'ELO rekenblad'!$H$33,'ELO rekenblad'!$A$33,"")</f>
        <v/>
      </c>
      <c r="W19" s="375" t="str">
        <f>_xlfn.XLOOKUP(Tabel6[[#This Row],[Score]],'ELO rekenblad'!$H$34,'ELO rekenblad'!$A$34,"")</f>
        <v/>
      </c>
      <c r="X19" s="375" t="str">
        <f>_xlfn.XLOOKUP(Tabel6[[#This Row],[Score]],'ELO rekenblad'!$H$35,'ELO rekenblad'!$A$35,"")</f>
        <v/>
      </c>
      <c r="Y19" s="375" t="str">
        <f>_xlfn.XLOOKUP(Tabel6[[#This Row],[Score]],'ELO rekenblad'!$H$36,'ELO rekenblad'!$A$36,"")</f>
        <v/>
      </c>
      <c r="Z19" s="376" t="str">
        <f>_xlfn.XLOOKUP(Tabel6[[#This Row],[Score]],'ELO rekenblad'!$H$37,'ELO rekenblad'!$A$37,"")</f>
        <v/>
      </c>
    </row>
    <row r="20" spans="11:26" x14ac:dyDescent="0.25">
      <c r="K20" s="326" t="s">
        <v>120</v>
      </c>
      <c r="L20" s="192">
        <v>5</v>
      </c>
      <c r="M20" s="312">
        <f>M19+'ELO rekenblad'!$Q$2</f>
        <v>2625</v>
      </c>
      <c r="N20" s="368" t="str">
        <f>_xlfn.XLOOKUP(Tabel6[[#This Row],[Score]],'ELO rekenblad'!$H$25,'ELO rekenblad'!$A$25,"")</f>
        <v/>
      </c>
      <c r="O20" s="368" t="str">
        <f>_xlfn.XLOOKUP(Tabel6[[#This Row],[Score]],'ELO rekenblad'!$H$26,'ELO rekenblad'!$A$26,"")</f>
        <v/>
      </c>
      <c r="P20" s="368" t="str">
        <f>_xlfn.XLOOKUP(Tabel6[[#This Row],[Score]],'ELO rekenblad'!$H$27,'ELO rekenblad'!$A$27,"")</f>
        <v/>
      </c>
      <c r="Q20" s="368" t="str">
        <f>_xlfn.XLOOKUP(Tabel6[[#This Row],[Score]],'ELO rekenblad'!$H$28,'ELO rekenblad'!$A$28,"")</f>
        <v/>
      </c>
      <c r="R20" s="368" t="str">
        <f>_xlfn.XLOOKUP(Tabel6[[#This Row],[Score]],'ELO rekenblad'!$H$29,'ELO rekenblad'!$A$29,"")</f>
        <v/>
      </c>
      <c r="S20" s="368" t="str">
        <f>_xlfn.XLOOKUP(Tabel6[[#This Row],[Score]],'ELO rekenblad'!$H$30,'ELO rekenblad'!$A$30,"")</f>
        <v/>
      </c>
      <c r="T20" s="368" t="str">
        <f>_xlfn.XLOOKUP(Tabel6[[#This Row],[Score]],'ELO rekenblad'!$H$31,'ELO rekenblad'!$A$31,"")</f>
        <v/>
      </c>
      <c r="U20" s="368" t="str">
        <f>_xlfn.XLOOKUP(Tabel6[[#This Row],[Score]],'ELO rekenblad'!$H$32,'ELO rekenblad'!$A$32,"")</f>
        <v/>
      </c>
      <c r="V20" s="368" t="str">
        <f>_xlfn.XLOOKUP(Tabel6[[#This Row],[Score]],'ELO rekenblad'!$H$33,'ELO rekenblad'!$A$33,"")</f>
        <v/>
      </c>
      <c r="W20" s="368" t="str">
        <f>_xlfn.XLOOKUP(Tabel6[[#This Row],[Score]],'ELO rekenblad'!$H$34,'ELO rekenblad'!$A$34,"")</f>
        <v/>
      </c>
      <c r="X20" s="368" t="str">
        <f>_xlfn.XLOOKUP(Tabel6[[#This Row],[Score]],'ELO rekenblad'!$H$35,'ELO rekenblad'!$A$35,"")</f>
        <v/>
      </c>
      <c r="Y20" s="368" t="str">
        <f>_xlfn.XLOOKUP(Tabel6[[#This Row],[Score]],'ELO rekenblad'!$H$36,'ELO rekenblad'!$A$36,"")</f>
        <v/>
      </c>
      <c r="Z20" s="369" t="str">
        <f>_xlfn.XLOOKUP(Tabel6[[#This Row],[Score]],'ELO rekenblad'!$H$37,'ELO rekenblad'!$A$37,"")</f>
        <v/>
      </c>
    </row>
    <row r="21" spans="11:26" x14ac:dyDescent="0.25">
      <c r="K21" s="327"/>
      <c r="L21" s="193">
        <v>4</v>
      </c>
      <c r="M21" s="313">
        <f>M20+'ELO rekenblad'!$Q$2</f>
        <v>2800</v>
      </c>
      <c r="N21" s="371" t="str">
        <f>_xlfn.XLOOKUP(Tabel6[[#This Row],[Score]],'ELO rekenblad'!$H$25,'ELO rekenblad'!$A$25,"")</f>
        <v/>
      </c>
      <c r="O21" s="371" t="str">
        <f>_xlfn.XLOOKUP(Tabel6[[#This Row],[Score]],'ELO rekenblad'!$H$26,'ELO rekenblad'!$A$26,"")</f>
        <v/>
      </c>
      <c r="P21" s="371" t="str">
        <f>_xlfn.XLOOKUP(Tabel6[[#This Row],[Score]],'ELO rekenblad'!$H$27,'ELO rekenblad'!$A$27,"")</f>
        <v>Karel*</v>
      </c>
      <c r="Q21" s="371" t="str">
        <f>_xlfn.XLOOKUP(Tabel6[[#This Row],[Score]],'ELO rekenblad'!$H$28,'ELO rekenblad'!$A$28,"")</f>
        <v/>
      </c>
      <c r="R21" s="371" t="str">
        <f>_xlfn.XLOOKUP(Tabel6[[#This Row],[Score]],'ELO rekenblad'!$H$29,'ELO rekenblad'!$A$29,"")</f>
        <v/>
      </c>
      <c r="S21" s="371" t="str">
        <f>_xlfn.XLOOKUP(Tabel6[[#This Row],[Score]],'ELO rekenblad'!$H$30,'ELO rekenblad'!$A$30,"")</f>
        <v/>
      </c>
      <c r="T21" s="371" t="str">
        <f>_xlfn.XLOOKUP(Tabel6[[#This Row],[Score]],'ELO rekenblad'!$H$31,'ELO rekenblad'!$A$31,"")</f>
        <v/>
      </c>
      <c r="U21" s="371" t="str">
        <f>_xlfn.XLOOKUP(Tabel6[[#This Row],[Score]],'ELO rekenblad'!$H$32,'ELO rekenblad'!$A$32,"")</f>
        <v/>
      </c>
      <c r="V21" s="371" t="str">
        <f>_xlfn.XLOOKUP(Tabel6[[#This Row],[Score]],'ELO rekenblad'!$H$33,'ELO rekenblad'!$A$33,"")</f>
        <v/>
      </c>
      <c r="W21" s="371" t="str">
        <f>_xlfn.XLOOKUP(Tabel6[[#This Row],[Score]],'ELO rekenblad'!$H$34,'ELO rekenblad'!$A$34,"")</f>
        <v/>
      </c>
      <c r="X21" s="371" t="str">
        <f>_xlfn.XLOOKUP(Tabel6[[#This Row],[Score]],'ELO rekenblad'!$H$35,'ELO rekenblad'!$A$35,"")</f>
        <v/>
      </c>
      <c r="Y21" s="371" t="str">
        <f>_xlfn.XLOOKUP(Tabel6[[#This Row],[Score]],'ELO rekenblad'!$H$36,'ELO rekenblad'!$A$36,"")</f>
        <v/>
      </c>
      <c r="Z21" s="372" t="str">
        <f>_xlfn.XLOOKUP(Tabel6[[#This Row],[Score]],'ELO rekenblad'!$H$37,'ELO rekenblad'!$A$37,"")</f>
        <v/>
      </c>
    </row>
    <row r="22" spans="11:26" x14ac:dyDescent="0.25">
      <c r="K22" s="327"/>
      <c r="L22" s="193">
        <v>3</v>
      </c>
      <c r="M22" s="313">
        <f>M21+'ELO rekenblad'!$Q$2</f>
        <v>2975</v>
      </c>
      <c r="N22" s="371" t="str">
        <f>_xlfn.XLOOKUP(Tabel6[[#This Row],[Score]],'ELO rekenblad'!$H$25,'ELO rekenblad'!$A$25,"")</f>
        <v/>
      </c>
      <c r="O22" s="371" t="str">
        <f>_xlfn.XLOOKUP(Tabel6[[#This Row],[Score]],'ELO rekenblad'!$H$26,'ELO rekenblad'!$A$26,"")</f>
        <v/>
      </c>
      <c r="P22" s="371" t="str">
        <f>_xlfn.XLOOKUP(Tabel6[[#This Row],[Score]],'ELO rekenblad'!$H$27,'ELO rekenblad'!$A$27,"")</f>
        <v/>
      </c>
      <c r="Q22" s="371" t="str">
        <f>_xlfn.XLOOKUP(Tabel6[[#This Row],[Score]],'ELO rekenblad'!$H$28,'ELO rekenblad'!$A$28,"")</f>
        <v/>
      </c>
      <c r="R22" s="371" t="str">
        <f>_xlfn.XLOOKUP(Tabel6[[#This Row],[Score]],'ELO rekenblad'!$H$29,'ELO rekenblad'!$A$29,"")</f>
        <v/>
      </c>
      <c r="S22" s="371" t="str">
        <f>_xlfn.XLOOKUP(Tabel6[[#This Row],[Score]],'ELO rekenblad'!$H$30,'ELO rekenblad'!$A$30,"")</f>
        <v/>
      </c>
      <c r="T22" s="371" t="str">
        <f>_xlfn.XLOOKUP(Tabel6[[#This Row],[Score]],'ELO rekenblad'!$H$31,'ELO rekenblad'!$A$31,"")</f>
        <v/>
      </c>
      <c r="U22" s="371" t="str">
        <f>_xlfn.XLOOKUP(Tabel6[[#This Row],[Score]],'ELO rekenblad'!$H$32,'ELO rekenblad'!$A$32,"")</f>
        <v/>
      </c>
      <c r="V22" s="371" t="str">
        <f>_xlfn.XLOOKUP(Tabel6[[#This Row],[Score]],'ELO rekenblad'!$H$33,'ELO rekenblad'!$A$33,"")</f>
        <v/>
      </c>
      <c r="W22" s="371" t="str">
        <f>_xlfn.XLOOKUP(Tabel6[[#This Row],[Score]],'ELO rekenblad'!$H$34,'ELO rekenblad'!$A$34,"")</f>
        <v/>
      </c>
      <c r="X22" s="371" t="str">
        <f>_xlfn.XLOOKUP(Tabel6[[#This Row],[Score]],'ELO rekenblad'!$H$35,'ELO rekenblad'!$A$35,"")</f>
        <v/>
      </c>
      <c r="Y22" s="371" t="str">
        <f>_xlfn.XLOOKUP(Tabel6[[#This Row],[Score]],'ELO rekenblad'!$H$36,'ELO rekenblad'!$A$36,"")</f>
        <v/>
      </c>
      <c r="Z22" s="372" t="str">
        <f>_xlfn.XLOOKUP(Tabel6[[#This Row],[Score]],'ELO rekenblad'!$H$37,'ELO rekenblad'!$A$37,"")</f>
        <v/>
      </c>
    </row>
    <row r="23" spans="11:26" x14ac:dyDescent="0.25">
      <c r="K23" s="327"/>
      <c r="L23" s="193">
        <v>2</v>
      </c>
      <c r="M23" s="313">
        <f>M22+'ELO rekenblad'!$Q$2</f>
        <v>3150</v>
      </c>
      <c r="N23" s="371" t="str">
        <f>_xlfn.XLOOKUP(Tabel6[[#This Row],[Score]],'ELO rekenblad'!$H$25,'ELO rekenblad'!$A$25,"")</f>
        <v/>
      </c>
      <c r="O23" s="371" t="str">
        <f>_xlfn.XLOOKUP(Tabel6[[#This Row],[Score]],'ELO rekenblad'!$H$26,'ELO rekenblad'!$A$26,"")</f>
        <v/>
      </c>
      <c r="P23" s="371" t="str">
        <f>_xlfn.XLOOKUP(Tabel6[[#This Row],[Score]],'ELO rekenblad'!$H$27,'ELO rekenblad'!$A$27,"")</f>
        <v/>
      </c>
      <c r="Q23" s="371" t="str">
        <f>_xlfn.XLOOKUP(Tabel6[[#This Row],[Score]],'ELO rekenblad'!$H$28,'ELO rekenblad'!$A$28,"")</f>
        <v/>
      </c>
      <c r="R23" s="371" t="str">
        <f>_xlfn.XLOOKUP(Tabel6[[#This Row],[Score]],'ELO rekenblad'!$H$29,'ELO rekenblad'!$A$29,"")</f>
        <v/>
      </c>
      <c r="S23" s="371" t="str">
        <f>_xlfn.XLOOKUP(Tabel6[[#This Row],[Score]],'ELO rekenblad'!$H$30,'ELO rekenblad'!$A$30,"")</f>
        <v/>
      </c>
      <c r="T23" s="371" t="str">
        <f>_xlfn.XLOOKUP(Tabel6[[#This Row],[Score]],'ELO rekenblad'!$H$31,'ELO rekenblad'!$A$31,"")</f>
        <v/>
      </c>
      <c r="U23" s="371" t="str">
        <f>_xlfn.XLOOKUP(Tabel6[[#This Row],[Score]],'ELO rekenblad'!$H$32,'ELO rekenblad'!$A$32,"")</f>
        <v/>
      </c>
      <c r="V23" s="371" t="str">
        <f>_xlfn.XLOOKUP(Tabel6[[#This Row],[Score]],'ELO rekenblad'!$H$33,'ELO rekenblad'!$A$33,"")</f>
        <v/>
      </c>
      <c r="W23" s="371" t="str">
        <f>_xlfn.XLOOKUP(Tabel6[[#This Row],[Score]],'ELO rekenblad'!$H$34,'ELO rekenblad'!$A$34,"")</f>
        <v/>
      </c>
      <c r="X23" s="371" t="str">
        <f>_xlfn.XLOOKUP(Tabel6[[#This Row],[Score]],'ELO rekenblad'!$H$35,'ELO rekenblad'!$A$35,"")</f>
        <v/>
      </c>
      <c r="Y23" s="371" t="str">
        <f>_xlfn.XLOOKUP(Tabel6[[#This Row],[Score]],'ELO rekenblad'!$H$36,'ELO rekenblad'!$A$36,"")</f>
        <v/>
      </c>
      <c r="Z23" s="372" t="str">
        <f>_xlfn.XLOOKUP(Tabel6[[#This Row],[Score]],'ELO rekenblad'!$H$37,'ELO rekenblad'!$A$37,"")</f>
        <v/>
      </c>
    </row>
    <row r="24" spans="11:26" ht="15.75" thickBot="1" x14ac:dyDescent="0.3">
      <c r="K24" s="328"/>
      <c r="L24" s="193">
        <v>1</v>
      </c>
      <c r="M24" s="313">
        <f>M23+'ELO rekenblad'!$Q$2</f>
        <v>3325</v>
      </c>
      <c r="N24" s="375" t="str">
        <f>_xlfn.XLOOKUP(Tabel6[[#This Row],[Score]],'ELO rekenblad'!$H$25,'ELO rekenblad'!$A$25,"")</f>
        <v/>
      </c>
      <c r="O24" s="375" t="str">
        <f>_xlfn.XLOOKUP(Tabel6[[#This Row],[Score]],'ELO rekenblad'!$H$26,'ELO rekenblad'!$A$26,"")</f>
        <v>Jonas*</v>
      </c>
      <c r="P24" s="375" t="str">
        <f>_xlfn.XLOOKUP(Tabel6[[#This Row],[Score]],'ELO rekenblad'!$H$27,'ELO rekenblad'!$A$27,"")</f>
        <v/>
      </c>
      <c r="Q24" s="375" t="str">
        <f>_xlfn.XLOOKUP(Tabel6[[#This Row],[Score]],'ELO rekenblad'!$H$28,'ELO rekenblad'!$A$28,"")</f>
        <v/>
      </c>
      <c r="R24" s="375" t="str">
        <f>_xlfn.XLOOKUP(Tabel6[[#This Row],[Score]],'ELO rekenblad'!$H$29,'ELO rekenblad'!$A$29,"")</f>
        <v/>
      </c>
      <c r="S24" s="375" t="str">
        <f>_xlfn.XLOOKUP(Tabel6[[#This Row],[Score]],'ELO rekenblad'!$H$30,'ELO rekenblad'!$A$30,"")</f>
        <v/>
      </c>
      <c r="T24" s="375" t="str">
        <f>_xlfn.XLOOKUP(Tabel6[[#This Row],[Score]],'ELO rekenblad'!$H$31,'ELO rekenblad'!$A$31,"")</f>
        <v/>
      </c>
      <c r="U24" s="375" t="str">
        <f>_xlfn.XLOOKUP(Tabel6[[#This Row],[Score]],'ELO rekenblad'!$H$32,'ELO rekenblad'!$A$32,"")</f>
        <v/>
      </c>
      <c r="V24" s="375" t="str">
        <f>_xlfn.XLOOKUP(Tabel6[[#This Row],[Score]],'ELO rekenblad'!$H$33,'ELO rekenblad'!$A$33,"")</f>
        <v/>
      </c>
      <c r="W24" s="375" t="str">
        <f>_xlfn.XLOOKUP(Tabel6[[#This Row],[Score]],'ELO rekenblad'!$H$34,'ELO rekenblad'!$A$34,"")</f>
        <v/>
      </c>
      <c r="X24" s="375" t="str">
        <f>_xlfn.XLOOKUP(Tabel6[[#This Row],[Score]],'ELO rekenblad'!$H$35,'ELO rekenblad'!$A$35,"")</f>
        <v/>
      </c>
      <c r="Y24" s="375" t="str">
        <f>_xlfn.XLOOKUP(Tabel6[[#This Row],[Score]],'ELO rekenblad'!$H$36,'ELO rekenblad'!$A$36,"")</f>
        <v/>
      </c>
      <c r="Z24" s="376" t="str">
        <f>_xlfn.XLOOKUP(Tabel6[[#This Row],[Score]],'ELO rekenblad'!$H$37,'ELO rekenblad'!$A$37,"")</f>
        <v/>
      </c>
    </row>
    <row r="25" spans="11:26" ht="16.5" thickBot="1" x14ac:dyDescent="0.3">
      <c r="K25" s="323" t="s">
        <v>156</v>
      </c>
      <c r="L25" s="194">
        <v>5</v>
      </c>
      <c r="M25" s="314">
        <f>M24+'ELO rekenblad'!$Q$2</f>
        <v>3500</v>
      </c>
      <c r="N25" s="368" t="str">
        <f>_xlfn.XLOOKUP(Tabel6[[#This Row],[Score]],'ELO rekenblad'!$H$25,'ELO rekenblad'!$A$25,"")</f>
        <v/>
      </c>
      <c r="O25" s="368" t="str">
        <f>_xlfn.XLOOKUP(Tabel6[[#This Row],[Score]],'ELO rekenblad'!$H$26,'ELO rekenblad'!$A$26,"")</f>
        <v/>
      </c>
      <c r="P25" s="368" t="str">
        <f>_xlfn.XLOOKUP(Tabel6[[#This Row],[Score]],'ELO rekenblad'!$H$27,'ELO rekenblad'!$A$27,"")</f>
        <v/>
      </c>
      <c r="Q25" s="368" t="str">
        <f>_xlfn.XLOOKUP(Tabel6[[#This Row],[Score]],'ELO rekenblad'!$H$28,'ELO rekenblad'!$A$28,"")</f>
        <v/>
      </c>
      <c r="R25" s="368" t="str">
        <f>_xlfn.XLOOKUP(Tabel6[[#This Row],[Score]],'ELO rekenblad'!$H$29,'ELO rekenblad'!$A$29,"")</f>
        <v/>
      </c>
      <c r="S25" s="368" t="str">
        <f>_xlfn.XLOOKUP(Tabel6[[#This Row],[Score]],'ELO rekenblad'!$H$30,'ELO rekenblad'!$A$30,"")</f>
        <v/>
      </c>
      <c r="T25" s="368" t="str">
        <f>_xlfn.XLOOKUP(Tabel6[[#This Row],[Score]],'ELO rekenblad'!$H$31,'ELO rekenblad'!$A$31,"")</f>
        <v/>
      </c>
      <c r="U25" s="368" t="str">
        <f>_xlfn.XLOOKUP(Tabel6[[#This Row],[Score]],'ELO rekenblad'!$H$32,'ELO rekenblad'!$A$32,"")</f>
        <v/>
      </c>
      <c r="V25" s="368" t="str">
        <f>_xlfn.XLOOKUP(Tabel6[[#This Row],[Score]],'ELO rekenblad'!$H$33,'ELO rekenblad'!$A$33,"")</f>
        <v/>
      </c>
      <c r="W25" s="368" t="str">
        <f>_xlfn.XLOOKUP(Tabel6[[#This Row],[Score]],'ELO rekenblad'!$H$34,'ELO rekenblad'!$A$34,"")</f>
        <v/>
      </c>
      <c r="X25" s="368" t="str">
        <f>_xlfn.XLOOKUP(Tabel6[[#This Row],[Score]],'ELO rekenblad'!$H$35,'ELO rekenblad'!$A$35,"")</f>
        <v/>
      </c>
      <c r="Y25" s="368" t="str">
        <f>_xlfn.XLOOKUP(Tabel6[[#This Row],[Score]],'ELO rekenblad'!$H$36,'ELO rekenblad'!$A$36,"")</f>
        <v/>
      </c>
      <c r="Z25" s="369" t="str">
        <f>_xlfn.XLOOKUP(Tabel6[[#This Row],[Score]],'ELO rekenblad'!$H$37,'ELO rekenblad'!$A$37,"")</f>
        <v/>
      </c>
    </row>
    <row r="26" spans="11:26" ht="16.5" thickBot="1" x14ac:dyDescent="0.3">
      <c r="K26" s="324"/>
      <c r="L26" s="195">
        <v>4</v>
      </c>
      <c r="M26" s="315">
        <f>M25+'ELO rekenblad'!$Q$2</f>
        <v>3675</v>
      </c>
      <c r="N26" s="371" t="str">
        <f>_xlfn.XLOOKUP(Tabel6[[#This Row],[Score]],'ELO rekenblad'!$H$25,'ELO rekenblad'!$A$25,"")</f>
        <v>Stef*</v>
      </c>
      <c r="O26" s="371" t="str">
        <f>_xlfn.XLOOKUP(Tabel6[[#This Row],[Score]],'ELO rekenblad'!$H$26,'ELO rekenblad'!$A$26,"")</f>
        <v/>
      </c>
      <c r="P26" s="371" t="str">
        <f>_xlfn.XLOOKUP(Tabel6[[#This Row],[Score]],'ELO rekenblad'!$H$27,'ELO rekenblad'!$A$27,"")</f>
        <v/>
      </c>
      <c r="Q26" s="371" t="str">
        <f>_xlfn.XLOOKUP(Tabel6[[#This Row],[Score]],'ELO rekenblad'!$H$28,'ELO rekenblad'!$A$28,"")</f>
        <v/>
      </c>
      <c r="R26" s="371" t="str">
        <f>_xlfn.XLOOKUP(Tabel6[[#This Row],[Score]],'ELO rekenblad'!$H$29,'ELO rekenblad'!$A$29,"")</f>
        <v/>
      </c>
      <c r="S26" s="371" t="str">
        <f>_xlfn.XLOOKUP(Tabel6[[#This Row],[Score]],'ELO rekenblad'!$H$30,'ELO rekenblad'!$A$30,"")</f>
        <v/>
      </c>
      <c r="T26" s="371" t="str">
        <f>_xlfn.XLOOKUP(Tabel6[[#This Row],[Score]],'ELO rekenblad'!$H$31,'ELO rekenblad'!$A$31,"")</f>
        <v/>
      </c>
      <c r="U26" s="371" t="str">
        <f>_xlfn.XLOOKUP(Tabel6[[#This Row],[Score]],'ELO rekenblad'!$H$32,'ELO rekenblad'!$A$32,"")</f>
        <v/>
      </c>
      <c r="V26" s="371" t="str">
        <f>_xlfn.XLOOKUP(Tabel6[[#This Row],[Score]],'ELO rekenblad'!$H$33,'ELO rekenblad'!$A$33,"")</f>
        <v/>
      </c>
      <c r="W26" s="371" t="str">
        <f>_xlfn.XLOOKUP(Tabel6[[#This Row],[Score]],'ELO rekenblad'!$H$34,'ELO rekenblad'!$A$34,"")</f>
        <v/>
      </c>
      <c r="X26" s="371" t="str">
        <f>_xlfn.XLOOKUP(Tabel6[[#This Row],[Score]],'ELO rekenblad'!$H$35,'ELO rekenblad'!$A$35,"")</f>
        <v/>
      </c>
      <c r="Y26" s="371" t="str">
        <f>_xlfn.XLOOKUP(Tabel6[[#This Row],[Score]],'ELO rekenblad'!$H$36,'ELO rekenblad'!$A$36,"")</f>
        <v/>
      </c>
      <c r="Z26" s="372" t="str">
        <f>_xlfn.XLOOKUP(Tabel6[[#This Row],[Score]],'ELO rekenblad'!$H$37,'ELO rekenblad'!$A$37,"")</f>
        <v/>
      </c>
    </row>
    <row r="27" spans="11:26" ht="16.5" thickBot="1" x14ac:dyDescent="0.3">
      <c r="K27" s="324"/>
      <c r="L27" s="195">
        <v>3</v>
      </c>
      <c r="M27" s="315">
        <f>M26+'ELO rekenblad'!$Q$2</f>
        <v>3850</v>
      </c>
      <c r="N27" s="371" t="str">
        <f>_xlfn.XLOOKUP(Tabel6[[#This Row],[Score]],'ELO rekenblad'!$H$25,'ELO rekenblad'!$A$25,"")</f>
        <v/>
      </c>
      <c r="O27" s="371" t="str">
        <f>_xlfn.XLOOKUP(Tabel6[[#This Row],[Score]],'ELO rekenblad'!$H$26,'ELO rekenblad'!$A$26,"")</f>
        <v/>
      </c>
      <c r="P27" s="371" t="str">
        <f>_xlfn.XLOOKUP(Tabel6[[#This Row],[Score]],'ELO rekenblad'!$H$27,'ELO rekenblad'!$A$27,"")</f>
        <v/>
      </c>
      <c r="Q27" s="371" t="str">
        <f>_xlfn.XLOOKUP(Tabel6[[#This Row],[Score]],'ELO rekenblad'!$H$28,'ELO rekenblad'!$A$28,"")</f>
        <v/>
      </c>
      <c r="R27" s="371" t="str">
        <f>_xlfn.XLOOKUP(Tabel6[[#This Row],[Score]],'ELO rekenblad'!$H$29,'ELO rekenblad'!$A$29,"")</f>
        <v/>
      </c>
      <c r="S27" s="371" t="str">
        <f>_xlfn.XLOOKUP(Tabel6[[#This Row],[Score]],'ELO rekenblad'!$H$30,'ELO rekenblad'!$A$30,"")</f>
        <v/>
      </c>
      <c r="T27" s="371" t="str">
        <f>_xlfn.XLOOKUP(Tabel6[[#This Row],[Score]],'ELO rekenblad'!$H$31,'ELO rekenblad'!$A$31,"")</f>
        <v/>
      </c>
      <c r="U27" s="371" t="str">
        <f>_xlfn.XLOOKUP(Tabel6[[#This Row],[Score]],'ELO rekenblad'!$H$32,'ELO rekenblad'!$A$32,"")</f>
        <v/>
      </c>
      <c r="V27" s="371" t="str">
        <f>_xlfn.XLOOKUP(Tabel6[[#This Row],[Score]],'ELO rekenblad'!$H$33,'ELO rekenblad'!$A$33,"")</f>
        <v/>
      </c>
      <c r="W27" s="371" t="str">
        <f>_xlfn.XLOOKUP(Tabel6[[#This Row],[Score]],'ELO rekenblad'!$H$34,'ELO rekenblad'!$A$34,"")</f>
        <v/>
      </c>
      <c r="X27" s="371" t="str">
        <f>_xlfn.XLOOKUP(Tabel6[[#This Row],[Score]],'ELO rekenblad'!$H$35,'ELO rekenblad'!$A$35,"")</f>
        <v/>
      </c>
      <c r="Y27" s="371" t="str">
        <f>_xlfn.XLOOKUP(Tabel6[[#This Row],[Score]],'ELO rekenblad'!$H$36,'ELO rekenblad'!$A$36,"")</f>
        <v/>
      </c>
      <c r="Z27" s="372" t="str">
        <f>_xlfn.XLOOKUP(Tabel6[[#This Row],[Score]],'ELO rekenblad'!$H$37,'ELO rekenblad'!$A$37,"")</f>
        <v/>
      </c>
    </row>
    <row r="28" spans="11:26" ht="16.5" thickBot="1" x14ac:dyDescent="0.3">
      <c r="K28" s="324"/>
      <c r="L28" s="195">
        <v>2</v>
      </c>
      <c r="M28" s="315">
        <f>M27+'ELO rekenblad'!$Q$2</f>
        <v>4025</v>
      </c>
      <c r="N28" s="371" t="str">
        <f>_xlfn.XLOOKUP(Tabel6[[#This Row],[Score]],'ELO rekenblad'!$H$25,'ELO rekenblad'!$A$25,"")</f>
        <v/>
      </c>
      <c r="O28" s="371" t="str">
        <f>_xlfn.XLOOKUP(Tabel6[[#This Row],[Score]],'ELO rekenblad'!$H$26,'ELO rekenblad'!$A$26,"")</f>
        <v/>
      </c>
      <c r="P28" s="371" t="str">
        <f>_xlfn.XLOOKUP(Tabel6[[#This Row],[Score]],'ELO rekenblad'!$H$27,'ELO rekenblad'!$A$27,"")</f>
        <v/>
      </c>
      <c r="Q28" s="371" t="str">
        <f>_xlfn.XLOOKUP(Tabel6[[#This Row],[Score]],'ELO rekenblad'!$H$28,'ELO rekenblad'!$A$28,"")</f>
        <v/>
      </c>
      <c r="R28" s="371" t="str">
        <f>_xlfn.XLOOKUP(Tabel6[[#This Row],[Score]],'ELO rekenblad'!$H$29,'ELO rekenblad'!$A$29,"")</f>
        <v/>
      </c>
      <c r="S28" s="371" t="str">
        <f>_xlfn.XLOOKUP(Tabel6[[#This Row],[Score]],'ELO rekenblad'!$H$30,'ELO rekenblad'!$A$30,"")</f>
        <v/>
      </c>
      <c r="T28" s="371" t="str">
        <f>_xlfn.XLOOKUP(Tabel6[[#This Row],[Score]],'ELO rekenblad'!$H$31,'ELO rekenblad'!$A$31,"")</f>
        <v/>
      </c>
      <c r="U28" s="371" t="str">
        <f>_xlfn.XLOOKUP(Tabel6[[#This Row],[Score]],'ELO rekenblad'!$H$32,'ELO rekenblad'!$A$32,"")</f>
        <v/>
      </c>
      <c r="V28" s="371" t="str">
        <f>_xlfn.XLOOKUP(Tabel6[[#This Row],[Score]],'ELO rekenblad'!$H$33,'ELO rekenblad'!$A$33,"")</f>
        <v/>
      </c>
      <c r="W28" s="371" t="str">
        <f>_xlfn.XLOOKUP(Tabel6[[#This Row],[Score]],'ELO rekenblad'!$H$34,'ELO rekenblad'!$A$34,"")</f>
        <v/>
      </c>
      <c r="X28" s="371" t="str">
        <f>_xlfn.XLOOKUP(Tabel6[[#This Row],[Score]],'ELO rekenblad'!$H$35,'ELO rekenblad'!$A$35,"")</f>
        <v/>
      </c>
      <c r="Y28" s="371" t="str">
        <f>_xlfn.XLOOKUP(Tabel6[[#This Row],[Score]],'ELO rekenblad'!$H$36,'ELO rekenblad'!$A$36,"")</f>
        <v/>
      </c>
      <c r="Z28" s="372" t="str">
        <f>_xlfn.XLOOKUP(Tabel6[[#This Row],[Score]],'ELO rekenblad'!$H$37,'ELO rekenblad'!$A$37,"")</f>
        <v/>
      </c>
    </row>
    <row r="29" spans="11:26" ht="16.5" thickBot="1" x14ac:dyDescent="0.3">
      <c r="K29" s="325"/>
      <c r="L29" s="195">
        <v>1</v>
      </c>
      <c r="M29" s="315">
        <f>M28+'ELO rekenblad'!$Q$2</f>
        <v>4200</v>
      </c>
      <c r="N29" s="371" t="str">
        <f>_xlfn.XLOOKUP(Tabel6[[#This Row],[Score]],'ELO rekenblad'!$H$25,'ELO rekenblad'!$A$25,"")</f>
        <v/>
      </c>
      <c r="O29" s="371" t="str">
        <f>_xlfn.XLOOKUP(Tabel6[[#This Row],[Score]],'ELO rekenblad'!$H$26,'ELO rekenblad'!$A$26,"")</f>
        <v/>
      </c>
      <c r="P29" s="371" t="str">
        <f>_xlfn.XLOOKUP(Tabel6[[#This Row],[Score]],'ELO rekenblad'!$H$27,'ELO rekenblad'!$A$27,"")</f>
        <v/>
      </c>
      <c r="Q29" s="371" t="str">
        <f>_xlfn.XLOOKUP(Tabel6[[#This Row],[Score]],'ELO rekenblad'!$H$28,'ELO rekenblad'!$A$28,"")</f>
        <v/>
      </c>
      <c r="R29" s="371" t="str">
        <f>_xlfn.XLOOKUP(Tabel6[[#This Row],[Score]],'ELO rekenblad'!$H$29,'ELO rekenblad'!$A$29,"")</f>
        <v/>
      </c>
      <c r="S29" s="371" t="str">
        <f>_xlfn.XLOOKUP(Tabel6[[#This Row],[Score]],'ELO rekenblad'!$H$30,'ELO rekenblad'!$A$30,"")</f>
        <v/>
      </c>
      <c r="T29" s="371" t="str">
        <f>_xlfn.XLOOKUP(Tabel6[[#This Row],[Score]],'ELO rekenblad'!$H$31,'ELO rekenblad'!$A$31,"")</f>
        <v/>
      </c>
      <c r="U29" s="371" t="str">
        <f>_xlfn.XLOOKUP(Tabel6[[#This Row],[Score]],'ELO rekenblad'!$H$32,'ELO rekenblad'!$A$32,"")</f>
        <v/>
      </c>
      <c r="V29" s="371" t="str">
        <f>_xlfn.XLOOKUP(Tabel6[[#This Row],[Score]],'ELO rekenblad'!$H$33,'ELO rekenblad'!$A$33,"")</f>
        <v/>
      </c>
      <c r="W29" s="371" t="str">
        <f>_xlfn.XLOOKUP(Tabel6[[#This Row],[Score]],'ELO rekenblad'!$H$34,'ELO rekenblad'!$A$34,"")</f>
        <v/>
      </c>
      <c r="X29" s="371" t="str">
        <f>_xlfn.XLOOKUP(Tabel6[[#This Row],[Score]],'ELO rekenblad'!$H$35,'ELO rekenblad'!$A$35,"")</f>
        <v/>
      </c>
      <c r="Y29" s="371" t="str">
        <f>_xlfn.XLOOKUP(Tabel6[[#This Row],[Score]],'ELO rekenblad'!$H$36,'ELO rekenblad'!$A$36,"")</f>
        <v/>
      </c>
      <c r="Z29" s="372" t="str">
        <f>_xlfn.XLOOKUP(Tabel6[[#This Row],[Score]],'ELO rekenblad'!$H$37,'ELO rekenblad'!$A$37,"")</f>
        <v/>
      </c>
    </row>
    <row r="30" spans="11:26" ht="15.75" x14ac:dyDescent="0.25">
      <c r="K30" s="320" t="s">
        <v>121</v>
      </c>
      <c r="L30" s="318"/>
      <c r="M30" s="318">
        <f>M29+'ELO rekenblad'!$Q$2</f>
        <v>4375</v>
      </c>
      <c r="N30" s="367" t="str">
        <f>_xlfn.XLOOKUP(Tabel6[[#This Row],[Score]],'ELO rekenblad'!$H$25,'ELO rekenblad'!$A$25,"")</f>
        <v/>
      </c>
      <c r="O30" s="368" t="str">
        <f>_xlfn.XLOOKUP(Tabel6[[#This Row],[Score]],'ELO rekenblad'!$H$26,'ELO rekenblad'!$A$26,"")</f>
        <v/>
      </c>
      <c r="P30" s="368" t="str">
        <f>_xlfn.XLOOKUP(Tabel6[[#This Row],[Score]],'ELO rekenblad'!$H$27,'ELO rekenblad'!$A$27,"")</f>
        <v/>
      </c>
      <c r="Q30" s="368" t="str">
        <f>_xlfn.XLOOKUP(Tabel6[[#This Row],[Score]],'ELO rekenblad'!$H$28,'ELO rekenblad'!$A$28,"")</f>
        <v/>
      </c>
      <c r="R30" s="368" t="str">
        <f>_xlfn.XLOOKUP(Tabel6[[#This Row],[Score]],'ELO rekenblad'!$H$29,'ELO rekenblad'!$A$29,"")</f>
        <v/>
      </c>
      <c r="S30" s="368" t="str">
        <f>_xlfn.XLOOKUP(Tabel6[[#This Row],[Score]],'ELO rekenblad'!$H$30,'ELO rekenblad'!$A$30,"")</f>
        <v/>
      </c>
      <c r="T30" s="368" t="str">
        <f>_xlfn.XLOOKUP(Tabel6[[#This Row],[Score]],'ELO rekenblad'!$H$31,'ELO rekenblad'!$A$31,"")</f>
        <v/>
      </c>
      <c r="U30" s="368" t="str">
        <f>_xlfn.XLOOKUP(Tabel6[[#This Row],[Score]],'ELO rekenblad'!$H$32,'ELO rekenblad'!$A$32,"")</f>
        <v/>
      </c>
      <c r="V30" s="368" t="str">
        <f>_xlfn.XLOOKUP(Tabel6[[#This Row],[Score]],'ELO rekenblad'!$H$33,'ELO rekenblad'!$A$33,"")</f>
        <v/>
      </c>
      <c r="W30" s="368" t="str">
        <f>_xlfn.XLOOKUP(Tabel6[[#This Row],[Score]],'ELO rekenblad'!$H$34,'ELO rekenblad'!$A$34,"")</f>
        <v/>
      </c>
      <c r="X30" s="368" t="str">
        <f>_xlfn.XLOOKUP(Tabel6[[#This Row],[Score]],'ELO rekenblad'!$H$35,'ELO rekenblad'!$A$35,"")</f>
        <v/>
      </c>
      <c r="Y30" s="368" t="str">
        <f>_xlfn.XLOOKUP(Tabel6[[#This Row],[Score]],'ELO rekenblad'!$H$36,'ELO rekenblad'!$A$36,"")</f>
        <v/>
      </c>
      <c r="Z30" s="369" t="str">
        <f>_xlfn.XLOOKUP(Tabel6[[#This Row],[Score]],'ELO rekenblad'!$H$37,'ELO rekenblad'!$A$37,"")</f>
        <v/>
      </c>
    </row>
    <row r="31" spans="11:26" ht="15.75" x14ac:dyDescent="0.25">
      <c r="K31" s="321"/>
      <c r="L31" s="316"/>
      <c r="M31" s="316">
        <f>M30+'ELO rekenblad'!$Q$2</f>
        <v>4550</v>
      </c>
      <c r="N31" s="370" t="str">
        <f>_xlfn.XLOOKUP(Tabel6[[#This Row],[Score]],'ELO rekenblad'!$H$25,'ELO rekenblad'!$A$25,"")</f>
        <v/>
      </c>
      <c r="O31" s="371" t="str">
        <f>_xlfn.XLOOKUP(Tabel6[[#This Row],[Score]],'ELO rekenblad'!$H$26,'ELO rekenblad'!$A$26,"")</f>
        <v/>
      </c>
      <c r="P31" s="371" t="str">
        <f>_xlfn.XLOOKUP(Tabel6[[#This Row],[Score]],'ELO rekenblad'!$H$27,'ELO rekenblad'!$A$27,"")</f>
        <v/>
      </c>
      <c r="Q31" s="371" t="str">
        <f>_xlfn.XLOOKUP(Tabel6[[#This Row],[Score]],'ELO rekenblad'!$H$28,'ELO rekenblad'!$A$28,"")</f>
        <v/>
      </c>
      <c r="R31" s="371" t="str">
        <f>_xlfn.XLOOKUP(Tabel6[[#This Row],[Score]],'ELO rekenblad'!$H$29,'ELO rekenblad'!$A$29,"")</f>
        <v/>
      </c>
      <c r="S31" s="371" t="str">
        <f>_xlfn.XLOOKUP(Tabel6[[#This Row],[Score]],'ELO rekenblad'!$H$30,'ELO rekenblad'!$A$30,"")</f>
        <v/>
      </c>
      <c r="T31" s="371" t="str">
        <f>_xlfn.XLOOKUP(Tabel6[[#This Row],[Score]],'ELO rekenblad'!$H$31,'ELO rekenblad'!$A$31,"")</f>
        <v/>
      </c>
      <c r="U31" s="371" t="str">
        <f>_xlfn.XLOOKUP(Tabel6[[#This Row],[Score]],'ELO rekenblad'!$H$32,'ELO rekenblad'!$A$32,"")</f>
        <v/>
      </c>
      <c r="V31" s="371" t="str">
        <f>_xlfn.XLOOKUP(Tabel6[[#This Row],[Score]],'ELO rekenblad'!$H$33,'ELO rekenblad'!$A$33,"")</f>
        <v/>
      </c>
      <c r="W31" s="371" t="str">
        <f>_xlfn.XLOOKUP(Tabel6[[#This Row],[Score]],'ELO rekenblad'!$H$34,'ELO rekenblad'!$A$34,"")</f>
        <v/>
      </c>
      <c r="X31" s="371" t="str">
        <f>_xlfn.XLOOKUP(Tabel6[[#This Row],[Score]],'ELO rekenblad'!$H$35,'ELO rekenblad'!$A$35,"")</f>
        <v/>
      </c>
      <c r="Y31" s="371" t="str">
        <f>_xlfn.XLOOKUP(Tabel6[[#This Row],[Score]],'ELO rekenblad'!$H$36,'ELO rekenblad'!$A$36,"")</f>
        <v/>
      </c>
      <c r="Z31" s="372" t="str">
        <f>_xlfn.XLOOKUP(Tabel6[[#This Row],[Score]],'ELO rekenblad'!$H$37,'ELO rekenblad'!$A$37,"")</f>
        <v/>
      </c>
    </row>
    <row r="32" spans="11:26" ht="15.75" x14ac:dyDescent="0.25">
      <c r="K32" s="321"/>
      <c r="L32" s="316"/>
      <c r="M32" s="316">
        <f>M31+'ELO rekenblad'!$Q$2</f>
        <v>4725</v>
      </c>
      <c r="N32" s="377" t="str">
        <f>_xlfn.XLOOKUP(Tabel6[[#This Row],[Score]],'ELO rekenblad'!$H$25,'ELO rekenblad'!$A$25,"")</f>
        <v/>
      </c>
      <c r="O32" s="378" t="str">
        <f>_xlfn.XLOOKUP(Tabel6[[#This Row],[Score]],'ELO rekenblad'!$H$26,'ELO rekenblad'!$A$26,"")</f>
        <v/>
      </c>
      <c r="P32" s="378" t="str">
        <f>_xlfn.XLOOKUP(Tabel6[[#This Row],[Score]],'ELO rekenblad'!$H$27,'ELO rekenblad'!$A$27,"")</f>
        <v/>
      </c>
      <c r="Q32" s="378" t="str">
        <f>_xlfn.XLOOKUP(Tabel6[[#This Row],[Score]],'ELO rekenblad'!$H$28,'ELO rekenblad'!$A$28,"")</f>
        <v/>
      </c>
      <c r="R32" s="378" t="str">
        <f>_xlfn.XLOOKUP(Tabel6[[#This Row],[Score]],'ELO rekenblad'!$H$29,'ELO rekenblad'!$A$29,"")</f>
        <v/>
      </c>
      <c r="S32" s="378" t="str">
        <f>_xlfn.XLOOKUP(Tabel6[[#This Row],[Score]],'ELO rekenblad'!$H$30,'ELO rekenblad'!$A$30,"")</f>
        <v/>
      </c>
      <c r="T32" s="378" t="str">
        <f>_xlfn.XLOOKUP(Tabel6[[#This Row],[Score]],'ELO rekenblad'!$H$31,'ELO rekenblad'!$A$31,"")</f>
        <v/>
      </c>
      <c r="U32" s="378" t="str">
        <f>_xlfn.XLOOKUP(Tabel6[[#This Row],[Score]],'ELO rekenblad'!$H$32,'ELO rekenblad'!$A$32,"")</f>
        <v/>
      </c>
      <c r="V32" s="378" t="str">
        <f>_xlfn.XLOOKUP(Tabel6[[#This Row],[Score]],'ELO rekenblad'!$H$33,'ELO rekenblad'!$A$33,"")</f>
        <v/>
      </c>
      <c r="W32" s="378" t="str">
        <f>_xlfn.XLOOKUP(Tabel6[[#This Row],[Score]],'ELO rekenblad'!$H$34,'ELO rekenblad'!$A$34,"")</f>
        <v/>
      </c>
      <c r="X32" s="378" t="str">
        <f>_xlfn.XLOOKUP(Tabel6[[#This Row],[Score]],'ELO rekenblad'!$H$35,'ELO rekenblad'!$A$35,"")</f>
        <v/>
      </c>
      <c r="Y32" s="378" t="str">
        <f>_xlfn.XLOOKUP(Tabel6[[#This Row],[Score]],'ELO rekenblad'!$H$36,'ELO rekenblad'!$A$36,"")</f>
        <v/>
      </c>
      <c r="Z32" s="379" t="str">
        <f>_xlfn.XLOOKUP(Tabel6[[#This Row],[Score]],'ELO rekenblad'!$H$37,'ELO rekenblad'!$A$37,"")</f>
        <v/>
      </c>
    </row>
    <row r="33" spans="11:26" ht="15.75" x14ac:dyDescent="0.25">
      <c r="K33" s="321"/>
      <c r="L33" s="316"/>
      <c r="M33" s="316">
        <f>M32+'ELO rekenblad'!$Q$2</f>
        <v>4900</v>
      </c>
      <c r="N33" s="377" t="str">
        <f>_xlfn.XLOOKUP(Tabel6[[#This Row],[Score]],'ELO rekenblad'!$H$25,'ELO rekenblad'!$A$25,"")</f>
        <v/>
      </c>
      <c r="O33" s="378" t="str">
        <f>_xlfn.XLOOKUP(Tabel6[[#This Row],[Score]],'ELO rekenblad'!$H$26,'ELO rekenblad'!$A$26,"")</f>
        <v/>
      </c>
      <c r="P33" s="378" t="str">
        <f>_xlfn.XLOOKUP(Tabel6[[#This Row],[Score]],'ELO rekenblad'!$H$27,'ELO rekenblad'!$A$27,"")</f>
        <v/>
      </c>
      <c r="Q33" s="378" t="str">
        <f>_xlfn.XLOOKUP(Tabel6[[#This Row],[Score]],'ELO rekenblad'!$H$28,'ELO rekenblad'!$A$28,"")</f>
        <v/>
      </c>
      <c r="R33" s="378" t="str">
        <f>_xlfn.XLOOKUP(Tabel6[[#This Row],[Score]],'ELO rekenblad'!$H$29,'ELO rekenblad'!$A$29,"")</f>
        <v/>
      </c>
      <c r="S33" s="378" t="str">
        <f>_xlfn.XLOOKUP(Tabel6[[#This Row],[Score]],'ELO rekenblad'!$H$30,'ELO rekenblad'!$A$30,"")</f>
        <v/>
      </c>
      <c r="T33" s="378" t="str">
        <f>_xlfn.XLOOKUP(Tabel6[[#This Row],[Score]],'ELO rekenblad'!$H$31,'ELO rekenblad'!$A$31,"")</f>
        <v/>
      </c>
      <c r="U33" s="378" t="str">
        <f>_xlfn.XLOOKUP(Tabel6[[#This Row],[Score]],'ELO rekenblad'!$H$32,'ELO rekenblad'!$A$32,"")</f>
        <v/>
      </c>
      <c r="V33" s="378" t="str">
        <f>_xlfn.XLOOKUP(Tabel6[[#This Row],[Score]],'ELO rekenblad'!$H$33,'ELO rekenblad'!$A$33,"")</f>
        <v/>
      </c>
      <c r="W33" s="378" t="str">
        <f>_xlfn.XLOOKUP(Tabel6[[#This Row],[Score]],'ELO rekenblad'!$H$34,'ELO rekenblad'!$A$34,"")</f>
        <v/>
      </c>
      <c r="X33" s="378" t="str">
        <f>_xlfn.XLOOKUP(Tabel6[[#This Row],[Score]],'ELO rekenblad'!$H$35,'ELO rekenblad'!$A$35,"")</f>
        <v/>
      </c>
      <c r="Y33" s="378" t="str">
        <f>_xlfn.XLOOKUP(Tabel6[[#This Row],[Score]],'ELO rekenblad'!$H$36,'ELO rekenblad'!$A$36,"")</f>
        <v/>
      </c>
      <c r="Z33" s="379" t="str">
        <f>_xlfn.XLOOKUP(Tabel6[[#This Row],[Score]],'ELO rekenblad'!$H$37,'ELO rekenblad'!$A$37,"")</f>
        <v/>
      </c>
    </row>
    <row r="34" spans="11:26" ht="15.75" x14ac:dyDescent="0.25">
      <c r="K34" s="321"/>
      <c r="L34" s="316"/>
      <c r="M34" s="316">
        <f>M33+'ELO rekenblad'!$Q$2</f>
        <v>5075</v>
      </c>
      <c r="N34" s="377" t="str">
        <f>_xlfn.XLOOKUP(Tabel6[[#This Row],[Score]],'ELO rekenblad'!$H$25,'ELO rekenblad'!$A$25,"")</f>
        <v/>
      </c>
      <c r="O34" s="378" t="str">
        <f>_xlfn.XLOOKUP(Tabel6[[#This Row],[Score]],'ELO rekenblad'!$H$26,'ELO rekenblad'!$A$26,"")</f>
        <v/>
      </c>
      <c r="P34" s="378" t="str">
        <f>_xlfn.XLOOKUP(Tabel6[[#This Row],[Score]],'ELO rekenblad'!$H$27,'ELO rekenblad'!$A$27,"")</f>
        <v/>
      </c>
      <c r="Q34" s="378" t="str">
        <f>_xlfn.XLOOKUP(Tabel6[[#This Row],[Score]],'ELO rekenblad'!$H$28,'ELO rekenblad'!$A$28,"")</f>
        <v/>
      </c>
      <c r="R34" s="378" t="str">
        <f>_xlfn.XLOOKUP(Tabel6[[#This Row],[Score]],'ELO rekenblad'!$H$29,'ELO rekenblad'!$A$29,"")</f>
        <v/>
      </c>
      <c r="S34" s="378" t="str">
        <f>_xlfn.XLOOKUP(Tabel6[[#This Row],[Score]],'ELO rekenblad'!$H$30,'ELO rekenblad'!$A$30,"")</f>
        <v/>
      </c>
      <c r="T34" s="378" t="str">
        <f>_xlfn.XLOOKUP(Tabel6[[#This Row],[Score]],'ELO rekenblad'!$H$31,'ELO rekenblad'!$A$31,"")</f>
        <v/>
      </c>
      <c r="U34" s="378" t="str">
        <f>_xlfn.XLOOKUP(Tabel6[[#This Row],[Score]],'ELO rekenblad'!$H$32,'ELO rekenblad'!$A$32,"")</f>
        <v/>
      </c>
      <c r="V34" s="378" t="str">
        <f>_xlfn.XLOOKUP(Tabel6[[#This Row],[Score]],'ELO rekenblad'!$H$33,'ELO rekenblad'!$A$33,"")</f>
        <v/>
      </c>
      <c r="W34" s="378" t="str">
        <f>_xlfn.XLOOKUP(Tabel6[[#This Row],[Score]],'ELO rekenblad'!$H$34,'ELO rekenblad'!$A$34,"")</f>
        <v/>
      </c>
      <c r="X34" s="378" t="str">
        <f>_xlfn.XLOOKUP(Tabel6[[#This Row],[Score]],'ELO rekenblad'!$H$35,'ELO rekenblad'!$A$35,"")</f>
        <v/>
      </c>
      <c r="Y34" s="378" t="str">
        <f>_xlfn.XLOOKUP(Tabel6[[#This Row],[Score]],'ELO rekenblad'!$H$36,'ELO rekenblad'!$A$36,"")</f>
        <v/>
      </c>
      <c r="Z34" s="379" t="str">
        <f>_xlfn.XLOOKUP(Tabel6[[#This Row],[Score]],'ELO rekenblad'!$H$37,'ELO rekenblad'!$A$37,"")</f>
        <v/>
      </c>
    </row>
    <row r="35" spans="11:26" ht="15.75" x14ac:dyDescent="0.25">
      <c r="K35" s="321"/>
      <c r="L35" s="316"/>
      <c r="M35" s="316">
        <f>M34+'ELO rekenblad'!$Q$2</f>
        <v>5250</v>
      </c>
      <c r="N35" s="377" t="str">
        <f>_xlfn.XLOOKUP(Tabel6[[#This Row],[Score]],'ELO rekenblad'!$H$25,'ELO rekenblad'!$A$25,"")</f>
        <v/>
      </c>
      <c r="O35" s="378" t="str">
        <f>_xlfn.XLOOKUP(Tabel6[[#This Row],[Score]],'ELO rekenblad'!$H$26,'ELO rekenblad'!$A$26,"")</f>
        <v/>
      </c>
      <c r="P35" s="378" t="str">
        <f>_xlfn.XLOOKUP(Tabel6[[#This Row],[Score]],'ELO rekenblad'!$H$27,'ELO rekenblad'!$A$27,"")</f>
        <v/>
      </c>
      <c r="Q35" s="378" t="str">
        <f>_xlfn.XLOOKUP(Tabel6[[#This Row],[Score]],'ELO rekenblad'!$H$28,'ELO rekenblad'!$A$28,"")</f>
        <v/>
      </c>
      <c r="R35" s="378" t="str">
        <f>_xlfn.XLOOKUP(Tabel6[[#This Row],[Score]],'ELO rekenblad'!$H$29,'ELO rekenblad'!$A$29,"")</f>
        <v/>
      </c>
      <c r="S35" s="378" t="str">
        <f>_xlfn.XLOOKUP(Tabel6[[#This Row],[Score]],'ELO rekenblad'!$H$30,'ELO rekenblad'!$A$30,"")</f>
        <v/>
      </c>
      <c r="T35" s="378" t="str">
        <f>_xlfn.XLOOKUP(Tabel6[[#This Row],[Score]],'ELO rekenblad'!$H$31,'ELO rekenblad'!$A$31,"")</f>
        <v/>
      </c>
      <c r="U35" s="378" t="str">
        <f>_xlfn.XLOOKUP(Tabel6[[#This Row],[Score]],'ELO rekenblad'!$H$32,'ELO rekenblad'!$A$32,"")</f>
        <v/>
      </c>
      <c r="V35" s="378" t="str">
        <f>_xlfn.XLOOKUP(Tabel6[[#This Row],[Score]],'ELO rekenblad'!$H$33,'ELO rekenblad'!$A$33,"")</f>
        <v/>
      </c>
      <c r="W35" s="378" t="str">
        <f>_xlfn.XLOOKUP(Tabel6[[#This Row],[Score]],'ELO rekenblad'!$H$34,'ELO rekenblad'!$A$34,"")</f>
        <v/>
      </c>
      <c r="X35" s="378" t="str">
        <f>_xlfn.XLOOKUP(Tabel6[[#This Row],[Score]],'ELO rekenblad'!$H$35,'ELO rekenblad'!$A$35,"")</f>
        <v/>
      </c>
      <c r="Y35" s="378" t="str">
        <f>_xlfn.XLOOKUP(Tabel6[[#This Row],[Score]],'ELO rekenblad'!$H$36,'ELO rekenblad'!$A$36,"")</f>
        <v/>
      </c>
      <c r="Z35" s="379" t="str">
        <f>_xlfn.XLOOKUP(Tabel6[[#This Row],[Score]],'ELO rekenblad'!$H$37,'ELO rekenblad'!$A$37,"")</f>
        <v/>
      </c>
    </row>
    <row r="36" spans="11:26" ht="15.75" x14ac:dyDescent="0.25">
      <c r="K36" s="321"/>
      <c r="L36" s="316"/>
      <c r="M36" s="316">
        <f>M35+'ELO rekenblad'!$Q$2</f>
        <v>5425</v>
      </c>
      <c r="N36" s="377" t="str">
        <f>_xlfn.XLOOKUP(Tabel6[[#This Row],[Score]],'ELO rekenblad'!$H$25,'ELO rekenblad'!$A$25,"")</f>
        <v/>
      </c>
      <c r="O36" s="378" t="str">
        <f>_xlfn.XLOOKUP(Tabel6[[#This Row],[Score]],'ELO rekenblad'!$H$26,'ELO rekenblad'!$A$26,"")</f>
        <v/>
      </c>
      <c r="P36" s="378" t="str">
        <f>_xlfn.XLOOKUP(Tabel6[[#This Row],[Score]],'ELO rekenblad'!$H$27,'ELO rekenblad'!$A$27,"")</f>
        <v/>
      </c>
      <c r="Q36" s="378" t="str">
        <f>_xlfn.XLOOKUP(Tabel6[[#This Row],[Score]],'ELO rekenblad'!$H$28,'ELO rekenblad'!$A$28,"")</f>
        <v/>
      </c>
      <c r="R36" s="378" t="str">
        <f>_xlfn.XLOOKUP(Tabel6[[#This Row],[Score]],'ELO rekenblad'!$H$29,'ELO rekenblad'!$A$29,"")</f>
        <v/>
      </c>
      <c r="S36" s="378" t="str">
        <f>_xlfn.XLOOKUP(Tabel6[[#This Row],[Score]],'ELO rekenblad'!$H$30,'ELO rekenblad'!$A$30,"")</f>
        <v/>
      </c>
      <c r="T36" s="378" t="str">
        <f>_xlfn.XLOOKUP(Tabel6[[#This Row],[Score]],'ELO rekenblad'!$H$31,'ELO rekenblad'!$A$31,"")</f>
        <v/>
      </c>
      <c r="U36" s="378" t="str">
        <f>_xlfn.XLOOKUP(Tabel6[[#This Row],[Score]],'ELO rekenblad'!$H$32,'ELO rekenblad'!$A$32,"")</f>
        <v/>
      </c>
      <c r="V36" s="378" t="str">
        <f>_xlfn.XLOOKUP(Tabel6[[#This Row],[Score]],'ELO rekenblad'!$H$33,'ELO rekenblad'!$A$33,"")</f>
        <v/>
      </c>
      <c r="W36" s="378" t="str">
        <f>_xlfn.XLOOKUP(Tabel6[[#This Row],[Score]],'ELO rekenblad'!$H$34,'ELO rekenblad'!$A$34,"")</f>
        <v/>
      </c>
      <c r="X36" s="378" t="str">
        <f>_xlfn.XLOOKUP(Tabel6[[#This Row],[Score]],'ELO rekenblad'!$H$35,'ELO rekenblad'!$A$35,"")</f>
        <v/>
      </c>
      <c r="Y36" s="378" t="str">
        <f>_xlfn.XLOOKUP(Tabel6[[#This Row],[Score]],'ELO rekenblad'!$H$36,'ELO rekenblad'!$A$36,"")</f>
        <v/>
      </c>
      <c r="Z36" s="379" t="str">
        <f>_xlfn.XLOOKUP(Tabel6[[#This Row],[Score]],'ELO rekenblad'!$H$37,'ELO rekenblad'!$A$37,"")</f>
        <v/>
      </c>
    </row>
    <row r="37" spans="11:26" ht="15.75" x14ac:dyDescent="0.25">
      <c r="K37" s="321"/>
      <c r="L37" s="316"/>
      <c r="M37" s="316">
        <f>M36+'ELO rekenblad'!$Q$2</f>
        <v>5600</v>
      </c>
      <c r="N37" s="377" t="str">
        <f>_xlfn.XLOOKUP(Tabel6[[#This Row],[Score]],'ELO rekenblad'!$H$25,'ELO rekenblad'!$A$25,"")</f>
        <v/>
      </c>
      <c r="O37" s="378" t="str">
        <f>_xlfn.XLOOKUP(Tabel6[[#This Row],[Score]],'ELO rekenblad'!$H$26,'ELO rekenblad'!$A$26,"")</f>
        <v/>
      </c>
      <c r="P37" s="378" t="str">
        <f>_xlfn.XLOOKUP(Tabel6[[#This Row],[Score]],'ELO rekenblad'!$H$27,'ELO rekenblad'!$A$27,"")</f>
        <v/>
      </c>
      <c r="Q37" s="378" t="str">
        <f>_xlfn.XLOOKUP(Tabel6[[#This Row],[Score]],'ELO rekenblad'!$H$28,'ELO rekenblad'!$A$28,"")</f>
        <v/>
      </c>
      <c r="R37" s="378" t="str">
        <f>_xlfn.XLOOKUP(Tabel6[[#This Row],[Score]],'ELO rekenblad'!$H$29,'ELO rekenblad'!$A$29,"")</f>
        <v/>
      </c>
      <c r="S37" s="378" t="str">
        <f>_xlfn.XLOOKUP(Tabel6[[#This Row],[Score]],'ELO rekenblad'!$H$30,'ELO rekenblad'!$A$30,"")</f>
        <v/>
      </c>
      <c r="T37" s="378" t="str">
        <f>_xlfn.XLOOKUP(Tabel6[[#This Row],[Score]],'ELO rekenblad'!$H$31,'ELO rekenblad'!$A$31,"")</f>
        <v/>
      </c>
      <c r="U37" s="378" t="str">
        <f>_xlfn.XLOOKUP(Tabel6[[#This Row],[Score]],'ELO rekenblad'!$H$32,'ELO rekenblad'!$A$32,"")</f>
        <v/>
      </c>
      <c r="V37" s="378" t="str">
        <f>_xlfn.XLOOKUP(Tabel6[[#This Row],[Score]],'ELO rekenblad'!$H$33,'ELO rekenblad'!$A$33,"")</f>
        <v/>
      </c>
      <c r="W37" s="378" t="str">
        <f>_xlfn.XLOOKUP(Tabel6[[#This Row],[Score]],'ELO rekenblad'!$H$34,'ELO rekenblad'!$A$34,"")</f>
        <v/>
      </c>
      <c r="X37" s="378" t="str">
        <f>_xlfn.XLOOKUP(Tabel6[[#This Row],[Score]],'ELO rekenblad'!$H$35,'ELO rekenblad'!$A$35,"")</f>
        <v/>
      </c>
      <c r="Y37" s="378" t="str">
        <f>_xlfn.XLOOKUP(Tabel6[[#This Row],[Score]],'ELO rekenblad'!$H$36,'ELO rekenblad'!$A$36,"")</f>
        <v/>
      </c>
      <c r="Z37" s="379" t="str">
        <f>_xlfn.XLOOKUP(Tabel6[[#This Row],[Score]],'ELO rekenblad'!$H$37,'ELO rekenblad'!$A$37,"")</f>
        <v/>
      </c>
    </row>
    <row r="38" spans="11:26" ht="15.75" x14ac:dyDescent="0.25">
      <c r="K38" s="321"/>
      <c r="L38" s="316"/>
      <c r="M38" s="316">
        <f>M37+'ELO rekenblad'!$Q$2</f>
        <v>5775</v>
      </c>
      <c r="N38" s="377" t="str">
        <f>_xlfn.XLOOKUP(Tabel6[[#This Row],[Score]],'ELO rekenblad'!$H$25,'ELO rekenblad'!$A$25,"")</f>
        <v/>
      </c>
      <c r="O38" s="378" t="str">
        <f>_xlfn.XLOOKUP(Tabel6[[#This Row],[Score]],'ELO rekenblad'!$H$26,'ELO rekenblad'!$A$26,"")</f>
        <v/>
      </c>
      <c r="P38" s="378" t="str">
        <f>_xlfn.XLOOKUP(Tabel6[[#This Row],[Score]],'ELO rekenblad'!$H$27,'ELO rekenblad'!$A$27,"")</f>
        <v/>
      </c>
      <c r="Q38" s="378" t="str">
        <f>_xlfn.XLOOKUP(Tabel6[[#This Row],[Score]],'ELO rekenblad'!$H$28,'ELO rekenblad'!$A$28,"")</f>
        <v/>
      </c>
      <c r="R38" s="378" t="str">
        <f>_xlfn.XLOOKUP(Tabel6[[#This Row],[Score]],'ELO rekenblad'!$H$29,'ELO rekenblad'!$A$29,"")</f>
        <v/>
      </c>
      <c r="S38" s="378" t="str">
        <f>_xlfn.XLOOKUP(Tabel6[[#This Row],[Score]],'ELO rekenblad'!$H$30,'ELO rekenblad'!$A$30,"")</f>
        <v/>
      </c>
      <c r="T38" s="378" t="str">
        <f>_xlfn.XLOOKUP(Tabel6[[#This Row],[Score]],'ELO rekenblad'!$H$31,'ELO rekenblad'!$A$31,"")</f>
        <v/>
      </c>
      <c r="U38" s="378" t="str">
        <f>_xlfn.XLOOKUP(Tabel6[[#This Row],[Score]],'ELO rekenblad'!$H$32,'ELO rekenblad'!$A$32,"")</f>
        <v/>
      </c>
      <c r="V38" s="378" t="str">
        <f>_xlfn.XLOOKUP(Tabel6[[#This Row],[Score]],'ELO rekenblad'!$H$33,'ELO rekenblad'!$A$33,"")</f>
        <v/>
      </c>
      <c r="W38" s="378" t="str">
        <f>_xlfn.XLOOKUP(Tabel6[[#This Row],[Score]],'ELO rekenblad'!$H$34,'ELO rekenblad'!$A$34,"")</f>
        <v/>
      </c>
      <c r="X38" s="378" t="str">
        <f>_xlfn.XLOOKUP(Tabel6[[#This Row],[Score]],'ELO rekenblad'!$H$35,'ELO rekenblad'!$A$35,"")</f>
        <v/>
      </c>
      <c r="Y38" s="378" t="str">
        <f>_xlfn.XLOOKUP(Tabel6[[#This Row],[Score]],'ELO rekenblad'!$H$36,'ELO rekenblad'!$A$36,"")</f>
        <v/>
      </c>
      <c r="Z38" s="379" t="str">
        <f>_xlfn.XLOOKUP(Tabel6[[#This Row],[Score]],'ELO rekenblad'!$H$37,'ELO rekenblad'!$A$37,"")</f>
        <v/>
      </c>
    </row>
    <row r="39" spans="11:26" ht="16.5" thickBot="1" x14ac:dyDescent="0.3">
      <c r="K39" s="322"/>
      <c r="L39" s="319"/>
      <c r="M39" s="319">
        <f>M38+'ELO rekenblad'!$Q$2</f>
        <v>5950</v>
      </c>
      <c r="N39" s="380" t="str">
        <f>_xlfn.XLOOKUP(Tabel6[[#This Row],[Score]],'ELO rekenblad'!$H$25,'ELO rekenblad'!$A$25,"")</f>
        <v/>
      </c>
      <c r="O39" s="381" t="str">
        <f>_xlfn.XLOOKUP(Tabel6[[#This Row],[Score]],'ELO rekenblad'!$H$26,'ELO rekenblad'!$A$26,"")</f>
        <v/>
      </c>
      <c r="P39" s="381" t="s">
        <v>192</v>
      </c>
      <c r="Q39" s="381" t="str">
        <f>_xlfn.XLOOKUP(Tabel6[[#This Row],[Score]],'ELO rekenblad'!$H$28,'ELO rekenblad'!$A$28,"")</f>
        <v/>
      </c>
      <c r="R39" s="381" t="str">
        <f>_xlfn.XLOOKUP(Tabel6[[#This Row],[Score]],'ELO rekenblad'!$H$29,'ELO rekenblad'!$A$29,"")</f>
        <v/>
      </c>
      <c r="S39" s="381" t="str">
        <f>_xlfn.XLOOKUP(Tabel6[[#This Row],[Score]],'ELO rekenblad'!$H$30,'ELO rekenblad'!$A$30,"")</f>
        <v/>
      </c>
      <c r="T39" s="381" t="str">
        <f>_xlfn.XLOOKUP(Tabel6[[#This Row],[Score]],'ELO rekenblad'!$H$31,'ELO rekenblad'!$A$31,"")</f>
        <v/>
      </c>
      <c r="U39" s="381" t="str">
        <f>_xlfn.XLOOKUP(Tabel6[[#This Row],[Score]],'ELO rekenblad'!$H$32,'ELO rekenblad'!$A$32,"")</f>
        <v/>
      </c>
      <c r="V39" s="381" t="str">
        <f>_xlfn.XLOOKUP(Tabel6[[#This Row],[Score]],'ELO rekenblad'!$H$33,'ELO rekenblad'!$A$33,"")</f>
        <v/>
      </c>
      <c r="W39" s="381" t="str">
        <f>_xlfn.XLOOKUP(Tabel6[[#This Row],[Score]],'ELO rekenblad'!$H$34,'ELO rekenblad'!$A$34,"")</f>
        <v/>
      </c>
      <c r="X39" s="381" t="str">
        <f>_xlfn.XLOOKUP(Tabel6[[#This Row],[Score]],'ELO rekenblad'!$H$35,'ELO rekenblad'!$A$35,"")</f>
        <v/>
      </c>
      <c r="Y39" s="381" t="str">
        <f>_xlfn.XLOOKUP(Tabel6[[#This Row],[Score]],'ELO rekenblad'!$H$36,'ELO rekenblad'!$A$36,"")</f>
        <v/>
      </c>
      <c r="Z39" s="382" t="str">
        <f>_xlfn.XLOOKUP(Tabel6[[#This Row],[Score]],'ELO rekenblad'!$H$37,'ELO rekenblad'!$A$37,"")</f>
        <v/>
      </c>
    </row>
  </sheetData>
  <conditionalFormatting sqref="N5:Z9">
    <cfRule type="cellIs" dxfId="197" priority="7" operator="greaterThan">
      <formula>""""""</formula>
    </cfRule>
  </conditionalFormatting>
  <conditionalFormatting sqref="N10:Z14">
    <cfRule type="cellIs" dxfId="196" priority="6" operator="greaterThan">
      <formula>""""""</formula>
    </cfRule>
  </conditionalFormatting>
  <conditionalFormatting sqref="N15:Z19">
    <cfRule type="cellIs" dxfId="195" priority="5" operator="greaterThan">
      <formula>""""""</formula>
    </cfRule>
  </conditionalFormatting>
  <conditionalFormatting sqref="N20:Z24">
    <cfRule type="cellIs" dxfId="194" priority="4" operator="greaterThan">
      <formula>""""""</formula>
    </cfRule>
  </conditionalFormatting>
  <conditionalFormatting sqref="N25:Z29">
    <cfRule type="cellIs" dxfId="193" priority="3" operator="greaterThan">
      <formula>""""""</formula>
    </cfRule>
  </conditionalFormatting>
  <conditionalFormatting sqref="N30:Z30">
    <cfRule type="cellIs" dxfId="192" priority="2" operator="greaterThan">
      <formula>""""""</formula>
    </cfRule>
  </conditionalFormatting>
  <conditionalFormatting sqref="N31:Z31">
    <cfRule type="cellIs" dxfId="191" priority="1" operator="greaterThan">
      <formula>""""""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76CF-B175-402A-A472-6D06D49149BC}">
  <sheetPr codeName="Blad11"/>
  <dimension ref="A1:BN305"/>
  <sheetViews>
    <sheetView tabSelected="1" topLeftCell="F4" zoomScale="85" zoomScaleNormal="85" workbookViewId="0">
      <selection activeCell="M35" sqref="M35"/>
    </sheetView>
  </sheetViews>
  <sheetFormatPr defaultColWidth="9.140625" defaultRowHeight="15" x14ac:dyDescent="0.25"/>
  <cols>
    <col min="1" max="1" width="15.42578125" style="125" customWidth="1"/>
    <col min="2" max="2" width="17.28515625" style="129" bestFit="1" customWidth="1"/>
    <col min="3" max="3" width="16.7109375" style="129" bestFit="1" customWidth="1"/>
    <col min="4" max="4" width="11.140625" style="75" customWidth="1"/>
    <col min="5" max="5" width="10.140625" style="75" customWidth="1"/>
    <col min="6" max="6" width="11.28515625" style="293" customWidth="1"/>
    <col min="7" max="7" width="10.42578125" style="293" bestFit="1" customWidth="1"/>
    <col min="8" max="8" width="9" style="77" customWidth="1"/>
    <col min="9" max="9" width="11.42578125" style="293" bestFit="1" customWidth="1"/>
    <col min="10" max="10" width="12.85546875" style="77" customWidth="1"/>
    <col min="11" max="11" width="11.42578125" style="293" bestFit="1" customWidth="1"/>
    <col min="12" max="12" width="9" style="77" customWidth="1"/>
    <col min="13" max="13" width="11.42578125" style="83" bestFit="1" customWidth="1"/>
    <col min="14" max="14" width="13.28515625" style="83" customWidth="1"/>
    <col min="15" max="15" width="12.28515625" style="70" customWidth="1"/>
    <col min="16" max="16" width="15.7109375" style="88" customWidth="1"/>
    <col min="17" max="17" width="14.5703125" style="88" bestFit="1" customWidth="1"/>
    <col min="18" max="18" width="15.42578125" style="293" customWidth="1"/>
    <col min="19" max="19" width="17.7109375" style="293" hidden="1" customWidth="1"/>
    <col min="20" max="20" width="18.7109375" style="293" hidden="1" customWidth="1"/>
    <col min="21" max="21" width="15.42578125" style="293" hidden="1" customWidth="1"/>
    <col min="22" max="22" width="18.5703125" style="293" hidden="1" customWidth="1"/>
    <col min="23" max="23" width="22" style="293" hidden="1" customWidth="1"/>
    <col min="24" max="24" width="16.85546875" style="293" customWidth="1"/>
    <col min="25" max="25" width="16.5703125" style="293" customWidth="1"/>
    <col min="26" max="26" width="19" style="293" customWidth="1"/>
    <col min="27" max="27" width="23.42578125" style="293" bestFit="1" customWidth="1"/>
    <col min="28" max="28" width="13.85546875" style="293" hidden="1" customWidth="1"/>
    <col min="29" max="30" width="4.28515625" style="293" hidden="1" customWidth="1"/>
    <col min="31" max="32" width="4.42578125" style="293" hidden="1" customWidth="1"/>
    <col min="33" max="35" width="2.5703125" style="293" hidden="1" customWidth="1"/>
    <col min="36" max="36" width="15.85546875" style="293" bestFit="1" customWidth="1"/>
    <col min="37" max="37" width="13.140625" style="293" customWidth="1"/>
    <col min="38" max="38" width="11.5703125" style="293" customWidth="1"/>
    <col min="39" max="39" width="11.7109375" style="293" bestFit="1" customWidth="1"/>
    <col min="40" max="40" width="18" style="293" bestFit="1" customWidth="1"/>
    <col min="41" max="41" width="16.85546875" style="293" bestFit="1" customWidth="1"/>
    <col min="42" max="42" width="14.140625" style="293" bestFit="1" customWidth="1"/>
    <col min="43" max="43" width="15.140625" style="293" bestFit="1" customWidth="1"/>
    <col min="44" max="44" width="16.140625" style="293" bestFit="1" customWidth="1"/>
    <col min="45" max="45" width="13.42578125" style="293" bestFit="1" customWidth="1"/>
    <col min="46" max="46" width="17.28515625" style="293" bestFit="1" customWidth="1"/>
    <col min="47" max="47" width="18.42578125" style="293" bestFit="1" customWidth="1"/>
    <col min="48" max="48" width="14.5703125" style="293" bestFit="1" customWidth="1"/>
    <col min="49" max="49" width="23.140625" style="293" bestFit="1" customWidth="1"/>
    <col min="50" max="50" width="24.140625" style="293" bestFit="1" customWidth="1"/>
    <col min="51" max="51" width="20.85546875" style="293" bestFit="1" customWidth="1"/>
    <col min="52" max="52" width="21.140625" style="293" bestFit="1" customWidth="1"/>
    <col min="53" max="53" width="19.5703125" style="293" bestFit="1" customWidth="1"/>
    <col min="54" max="54" width="15.5703125" style="293" bestFit="1" customWidth="1"/>
    <col min="55" max="55" width="15.28515625" style="293" bestFit="1" customWidth="1"/>
    <col min="56" max="56" width="15.42578125" style="293" bestFit="1" customWidth="1"/>
    <col min="57" max="57" width="19.85546875" style="293" bestFit="1" customWidth="1"/>
    <col min="58" max="58" width="15.140625" style="293" bestFit="1" customWidth="1"/>
    <col min="59" max="59" width="20.85546875" style="293" bestFit="1" customWidth="1"/>
    <col min="60" max="60" width="13.85546875" style="293" bestFit="1" customWidth="1"/>
    <col min="61" max="61" width="15.28515625" style="293" bestFit="1" customWidth="1"/>
    <col min="62" max="16384" width="9.140625" style="293"/>
  </cols>
  <sheetData>
    <row r="1" spans="1:66" ht="30" customHeight="1" thickBot="1" x14ac:dyDescent="0.3">
      <c r="A1" s="130" t="s">
        <v>75</v>
      </c>
      <c r="B1" s="123" t="s">
        <v>77</v>
      </c>
      <c r="C1" s="123" t="s">
        <v>76</v>
      </c>
      <c r="D1" s="123" t="s">
        <v>78</v>
      </c>
      <c r="E1" s="114" t="s">
        <v>24</v>
      </c>
      <c r="F1" s="115" t="s">
        <v>25</v>
      </c>
      <c r="G1" s="116" t="s">
        <v>47</v>
      </c>
      <c r="H1" s="116" t="s">
        <v>26</v>
      </c>
      <c r="I1" s="116" t="s">
        <v>72</v>
      </c>
      <c r="J1" s="117" t="s">
        <v>27</v>
      </c>
      <c r="K1" s="117" t="s">
        <v>73</v>
      </c>
      <c r="L1" s="117" t="s">
        <v>1</v>
      </c>
      <c r="M1" s="117" t="s">
        <v>74</v>
      </c>
      <c r="N1" s="118" t="s">
        <v>28</v>
      </c>
      <c r="O1" s="119" t="s">
        <v>29</v>
      </c>
      <c r="P1" s="120" t="s">
        <v>30</v>
      </c>
      <c r="Q1" s="121" t="s">
        <v>31</v>
      </c>
      <c r="R1" s="122" t="s">
        <v>32</v>
      </c>
      <c r="S1" s="141" t="s">
        <v>84</v>
      </c>
      <c r="T1" s="141" t="s">
        <v>85</v>
      </c>
      <c r="U1" s="141" t="s">
        <v>86</v>
      </c>
      <c r="V1" s="141" t="s">
        <v>87</v>
      </c>
      <c r="W1" s="141" t="s">
        <v>88</v>
      </c>
      <c r="X1" s="275" t="s">
        <v>143</v>
      </c>
      <c r="Y1" s="275" t="s">
        <v>144</v>
      </c>
      <c r="Z1" s="274" t="s">
        <v>145</v>
      </c>
      <c r="AA1" s="274" t="s">
        <v>146</v>
      </c>
      <c r="AC1" s="92" t="s">
        <v>56</v>
      </c>
      <c r="AD1" s="92" t="s">
        <v>57</v>
      </c>
      <c r="AE1" s="93" t="s">
        <v>58</v>
      </c>
      <c r="AF1" s="93" t="s">
        <v>59</v>
      </c>
      <c r="AG1" s="307"/>
      <c r="AH1" s="307"/>
      <c r="AI1" s="307"/>
      <c r="AL1" s="143" t="s">
        <v>81</v>
      </c>
      <c r="AM1" s="144" t="s">
        <v>82</v>
      </c>
      <c r="AN1" s="145" t="s">
        <v>83</v>
      </c>
      <c r="AO1" s="80" t="s">
        <v>95</v>
      </c>
      <c r="AP1" s="146" t="s">
        <v>96</v>
      </c>
      <c r="AQ1" s="79" t="s">
        <v>97</v>
      </c>
      <c r="AR1" s="80" t="s">
        <v>89</v>
      </c>
      <c r="AS1" s="146" t="s">
        <v>90</v>
      </c>
      <c r="AT1" s="79" t="s">
        <v>91</v>
      </c>
      <c r="AU1" s="80" t="s">
        <v>113</v>
      </c>
      <c r="AV1" s="146" t="s">
        <v>92</v>
      </c>
      <c r="AW1" s="79" t="s">
        <v>93</v>
      </c>
      <c r="AX1" s="80" t="s">
        <v>98</v>
      </c>
      <c r="AY1" s="146" t="s">
        <v>99</v>
      </c>
      <c r="AZ1" s="79" t="s">
        <v>100</v>
      </c>
      <c r="BA1" s="161" t="s">
        <v>105</v>
      </c>
      <c r="BB1" s="81" t="s">
        <v>106</v>
      </c>
      <c r="BC1" s="82" t="s">
        <v>108</v>
      </c>
      <c r="BD1" s="81" t="s">
        <v>107</v>
      </c>
      <c r="BE1" s="81" t="s">
        <v>109</v>
      </c>
      <c r="BF1" s="81" t="s">
        <v>112</v>
      </c>
      <c r="BG1" s="81" t="s">
        <v>110</v>
      </c>
      <c r="BH1" s="81" t="s">
        <v>114</v>
      </c>
      <c r="BI1" s="158" t="s">
        <v>94</v>
      </c>
      <c r="BJ1" s="146" t="s">
        <v>111</v>
      </c>
      <c r="BK1" s="146" t="s">
        <v>101</v>
      </c>
      <c r="BL1" s="146" t="s">
        <v>102</v>
      </c>
      <c r="BM1" s="146" t="s">
        <v>103</v>
      </c>
      <c r="BN1" s="151" t="s">
        <v>104</v>
      </c>
    </row>
    <row r="2" spans="1:66" x14ac:dyDescent="0.25">
      <c r="A2" s="215">
        <f ca="1">IF(Tabel152[[#This Row],[Rood Verdediging]]&lt;&gt;"",IF(A2="",NOW(),A2),"")</f>
        <v>44406.759193171296</v>
      </c>
      <c r="B2" s="218">
        <f ca="1">IF(Tabel152[[#This Row],[Rood Verdediging]]&lt;&gt;"",IF(B2="",NOW(),B2),"")</f>
        <v>44406.759193171296</v>
      </c>
      <c r="C2" s="216">
        <f ca="1">IF(Tabel152[[#This Row],[Score]]&lt;&gt;"",IF(C2="",NOW(),C2),"")</f>
        <v>44406.759213425925</v>
      </c>
      <c r="D2" s="217">
        <f ca="1">IF(OR(Tabel152[[#This Row],[Starttijd]]="",Tabel152[[#This Row],[Eindtijd]]=""),"",Tabel152[[#This Row],[Eindtijd]]-Tabel152[[#This Row],[Starttijd]])</f>
        <v>2.0254628907423466E-5</v>
      </c>
      <c r="E2" s="74">
        <v>1</v>
      </c>
      <c r="F2" s="207" t="s">
        <v>0</v>
      </c>
      <c r="G2" s="209">
        <v>3</v>
      </c>
      <c r="H2" s="207" t="s">
        <v>6</v>
      </c>
      <c r="I2" s="209">
        <v>8</v>
      </c>
      <c r="J2" s="203" t="s">
        <v>167</v>
      </c>
      <c r="K2" s="211">
        <v>1</v>
      </c>
      <c r="L2" s="203" t="s">
        <v>7</v>
      </c>
      <c r="M2" s="211">
        <v>5</v>
      </c>
      <c r="N2" s="79">
        <f>Tabel152[[#This Row],[Score]]+Tabel152[[#This Row],[Score2]]</f>
        <v>11</v>
      </c>
      <c r="O2" s="80">
        <f>Tabel152[[#This Row],[Score3]]+Tabel152[[#This Row],[Score4]]</f>
        <v>6</v>
      </c>
      <c r="P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Row],[Score4]]&lt;&gt;""),IF(AND(N2&gt;O2,N2&gt;=11),"ROOD",IF(AND(O2&gt;=11,N2&lt;&gt;O2),"GROEN","")),"")</f>
        <v>ROOD</v>
      </c>
      <c r="Q2" s="84" t="str">
        <f t="shared" ref="Q2" si="0">IF(N2&gt;O2,F2,IF(N2="","",J2))</f>
        <v>Jonas</v>
      </c>
      <c r="R2" s="85" t="str">
        <f t="shared" ref="R2" si="1">IF(N2&gt;O2,H2,IF(N2="","",L2))</f>
        <v>Stef D</v>
      </c>
      <c r="S2" s="293" t="str">
        <f>Tabel152[[#This Row],[Rood Verdediging]]&amp;Tabel152[[#This Row],[Rood Aanval]]</f>
        <v>JonasStef D</v>
      </c>
      <c r="T2" s="293" t="str">
        <f>Tabel152[[#This Row],[Groen Verdediging]]&amp;Tabel152[[#This Row],[Groen Aanval]]</f>
        <v>CogheTiemen</v>
      </c>
      <c r="U2" s="293" t="str">
        <f>Tabel152[[#This Row],[Winnaar 1]]&amp;Tabel152[[#This Row],[Winnaar 2]]</f>
        <v>JonasStef D</v>
      </c>
      <c r="V2" s="147" t="str">
        <f>IF(Tabel152[[#This Row],[Team Rood]]=Tabel152[[#This Row],[Winnaars]],Tabel152[[#This Row],[Team Rood]])</f>
        <v>JonasStef D</v>
      </c>
      <c r="W2" s="147" t="b">
        <f>IF(Tabel152[[#This Row],[Team Groen]]=Tabel152[[#This Row],[Winnaars]],Tabel152[[#This Row],[Team Groen]])</f>
        <v>0</v>
      </c>
      <c r="X2" s="283">
        <v>42.962563362378603</v>
      </c>
      <c r="Y2" s="283">
        <v>47.165021264175863</v>
      </c>
      <c r="Z2" s="283">
        <v>-17.5</v>
      </c>
      <c r="AA2" s="283">
        <v>-26.823288084464554</v>
      </c>
      <c r="AB2" s="91" t="s">
        <v>162</v>
      </c>
      <c r="AC2" s="180">
        <f t="shared" ref="AC2:AC14" ca="1" si="2">SUMIF($F$2:$G$304,AB2,$G$2:$G$304)</f>
        <v>18</v>
      </c>
      <c r="AD2" s="180">
        <f t="shared" ref="AD2:AD14" ca="1" si="3">SUMIF($H$2:$I$304,AB2,$I$2:$I$304)</f>
        <v>14</v>
      </c>
      <c r="AE2" s="179">
        <f t="shared" ref="AE2:AE14" ca="1" si="4">SUMIF($J$2:$K$304,AB2,$K$2:$K$304)</f>
        <v>4</v>
      </c>
      <c r="AF2" s="179">
        <f t="shared" ref="AF2:AF14" ca="1" si="5">SUMIF($L$2:$M$304,AB2,$M$2:$M$304)</f>
        <v>3</v>
      </c>
      <c r="AG2" s="308">
        <f ca="1">SUM(AC2:AD2)</f>
        <v>32</v>
      </c>
      <c r="AH2" s="308">
        <f ca="1">SUM(AE2:AF2)</f>
        <v>7</v>
      </c>
      <c r="AI2" s="308">
        <f ca="1">SUM(AC2:AF2)</f>
        <v>39</v>
      </c>
      <c r="AL2" s="251" t="s">
        <v>158</v>
      </c>
      <c r="AM2" s="233" t="s">
        <v>163</v>
      </c>
      <c r="AN2" s="140" t="str">
        <f t="shared" ref="AN2:AN65" si="6">AL2&amp;AM2</f>
        <v>Arno*Bert*</v>
      </c>
      <c r="AO2" s="160">
        <f>IF(Tabel511[[#This Row],[Aantal Games Rood]]=0,0,(Tabel511[[#This Row],[Wins Rood]])/Tabel511[[#This Row],[Aantal Games Rood]])</f>
        <v>0</v>
      </c>
      <c r="AP2" s="159">
        <f>IF(Tabel511[[#This Row],[Aantal Games Groen]]=0,0,(Tabel511[[#This Row],[Wins Groen]])/Tabel511[[#This Row],[Aantal Games Groen]])</f>
        <v>0</v>
      </c>
      <c r="AQ2" s="156">
        <f>IF(Tabel511[[#This Row],[Aantal games Alg]]=0,0,(Tabel511[[#This Row],[Wins Alg]])/Tabel511[[#This Row],[Aantal games Alg]])</f>
        <v>0</v>
      </c>
      <c r="AR2" s="133">
        <f>COUNTIF(Tabel152[Winaar rood],Tabel511[[#This Row],[Team]])</f>
        <v>0</v>
      </c>
      <c r="AS2" s="134">
        <f>COUNTIF(Tabel152[Winnaar Groen],Tabel511[[#This Row],[Team]])</f>
        <v>0</v>
      </c>
      <c r="AT2" s="293">
        <f>COUNTIF(Tabel152[Winnaars],Tabel511[[#This Row],[Team]])</f>
        <v>0</v>
      </c>
      <c r="AU2" s="135">
        <f>Tabel511[[#This Row],[Aantal Games Rood]]-Tabel511[[#This Row],[Wins Rood]]</f>
        <v>0</v>
      </c>
      <c r="AV2" s="136">
        <f>Tabel511[[#This Row],[Aantal Games Groen]]-Tabel511[[#This Row],[Wins Groen]]</f>
        <v>0</v>
      </c>
      <c r="AW2" s="137">
        <f>Tabel511[[#This Row],[Aantal games Alg]]-Tabel511[[#This Row],[Wins Alg]]</f>
        <v>0</v>
      </c>
      <c r="AX2" s="138">
        <f>COUNTIF(Tabel152[Team Rood],Tabel511[[#This Row],[Team]])</f>
        <v>0</v>
      </c>
      <c r="AY2" s="136">
        <f>COUNTIF(Tabel152[Team Groen],Tabel511[[#This Row],[Team]])</f>
        <v>0</v>
      </c>
      <c r="AZ2" s="214">
        <f>Tabel511[[#This Row],[Aantal Games Rood]]+Tabel511[[#This Row],[Aantal Games Groen]]</f>
        <v>0</v>
      </c>
      <c r="BA2" s="138">
        <f>SUMIF(Tabel152[Team Rood],Tabel511[[#This Row],[Team]],Tabel152[Score])</f>
        <v>0</v>
      </c>
      <c r="BB2" s="157">
        <f>SUMIF(Tabel152[Team Rood],Tabel511[[#This Row],[Team]],Tabel152[Score2])</f>
        <v>0</v>
      </c>
      <c r="BC2" s="134">
        <f>SUMIF(Tabel152[Team Groen],Tabel511[[#This Row],[Team]],Tabel152[Score3])</f>
        <v>0</v>
      </c>
      <c r="BD2" s="139">
        <f>SUMIF(Tabel152[Team Groen],Tabel511[[#This Row],[Team]],Tabel152[Score4])</f>
        <v>0</v>
      </c>
      <c r="BE2" s="293">
        <f>SUM(Tabel511[[#This Row],[Goals Verdediger]]+Tabel511[[#This Row],[Goals DefG]])</f>
        <v>0</v>
      </c>
      <c r="BF2" s="293">
        <f>IF(Tabel511[[#This Row],[Aantal games Alg]]=0,0,Tabel511[[#This Row],[Goals DefA]]/Tabel511[[#This Row],[Aantal games Alg]])</f>
        <v>0</v>
      </c>
      <c r="BG2" s="293">
        <f>SUM(Tabel511[[#This Row],[Goals Aanvaller]]+Tabel511[[#This Row],[Goals OffG]])</f>
        <v>0</v>
      </c>
      <c r="BH2" s="293">
        <f>IF(Tabel511[[#This Row],[Aantal games Alg]]=0,0,Tabel511[[#This Row],[Goals OffA]]/Tabel511[[#This Row],[Aantal games Alg]])</f>
        <v>0</v>
      </c>
      <c r="BI2" s="142">
        <f>Tabel511[[#This Row],[Goals DefA]]+Tabel511[[#This Row],[Goals OffA]]</f>
        <v>0</v>
      </c>
      <c r="BJ2" s="214">
        <f>IF(Tabel511[[#This Row],[Aantal games Alg]]=0,0,Tabel511[[#This Row],[Goals Alg]]/Tabel511[[#This Row],[Aantal games Alg]])</f>
        <v>0</v>
      </c>
      <c r="BK2" s="148">
        <f>SUMIF(Tabel152[Team Rood],Tabel511[[#This Row],[Team]],Tabel152[ET])</f>
        <v>0</v>
      </c>
      <c r="BL2" s="149">
        <f>SUMIF(Tabel152[Team Groen],Tabel511[[#This Row],[Team]],Tabel152[ET])</f>
        <v>0</v>
      </c>
      <c r="BM2" s="152">
        <f>SUM(Tabel511[[#This Row],[ET Groen tot]],Tabel511[[#This Row],[ET Rood tot]])</f>
        <v>0</v>
      </c>
      <c r="BN2" s="154">
        <f>IF(Tabel511[[#This Row],[Aantal games Alg]]=0,0,Tabel511[[#This Row],[ET tot]]/Tabel511[[#This Row],[Aantal games Alg]])</f>
        <v>0</v>
      </c>
    </row>
    <row r="3" spans="1:66" x14ac:dyDescent="0.25">
      <c r="A3" s="215">
        <f ca="1">IF(Tabel152[[#This Row],[Rood Verdediging]]&lt;&gt;"",IF(A3="",NOW(),A3),"")</f>
        <v>44406.759621296296</v>
      </c>
      <c r="B3" s="218">
        <f ca="1">IF(Tabel152[[#This Row],[Rood Verdediging]]&lt;&gt;"",IF(B3="",NOW(),B3),"")</f>
        <v>44406.759621296296</v>
      </c>
      <c r="C3" s="216">
        <f ca="1">IF(Tabel152[[#This Row],[Score]]&lt;&gt;"",IF(C3="",NOW(),C3),"")</f>
        <v>44406.759661342592</v>
      </c>
      <c r="D3" s="217">
        <f ca="1">IF(OR(Tabel152[[#This Row],[Starttijd]]="",Tabel152[[#This Row],[Eindtijd]]=""),"",Tabel152[[#This Row],[Eindtijd]]-Tabel152[[#This Row],[Starttijd]])</f>
        <v>4.0046295907814056E-5</v>
      </c>
      <c r="E3" s="74">
        <v>2</v>
      </c>
      <c r="F3" s="207" t="s">
        <v>11</v>
      </c>
      <c r="G3" s="210">
        <v>3</v>
      </c>
      <c r="H3" s="207" t="s">
        <v>3</v>
      </c>
      <c r="I3" s="210">
        <v>3</v>
      </c>
      <c r="J3" s="203" t="s">
        <v>7</v>
      </c>
      <c r="K3" s="212">
        <v>6</v>
      </c>
      <c r="L3" s="203" t="s">
        <v>13</v>
      </c>
      <c r="M3" s="212">
        <v>5</v>
      </c>
      <c r="N3" s="79">
        <f>Tabel152[[#This Row],[Score]]+Tabel152[[#This Row],[Score2]]</f>
        <v>6</v>
      </c>
      <c r="O3" s="80">
        <f>Tabel152[[#This Row],[Score3]]+Tabel152[[#This Row],[Score4]]</f>
        <v>11</v>
      </c>
      <c r="P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Row],[Score4]]&lt;&gt;""),IF(AND(N3&gt;O3,N3&gt;=11),"ROOD",IF(AND(O3&gt;=11,N3&lt;&gt;O3),"GROEN","")),"")</f>
        <v>GROEN</v>
      </c>
      <c r="Q3" s="84" t="str">
        <f t="shared" ref="Q3:Q4" si="7">IF(N3&gt;O3,F3,IF(N3="","",J3))</f>
        <v>Tiemen</v>
      </c>
      <c r="R3" s="85" t="str">
        <f t="shared" ref="R3:R4" si="8">IF(N3&gt;O3,H3,IF(N3="","",L3))</f>
        <v>Bert</v>
      </c>
      <c r="S3" s="293" t="str">
        <f>Tabel152[[#This Row],[Rood Verdediging]]&amp;Tabel152[[#This Row],[Rood Aanval]]</f>
        <v>MatthijsKarel</v>
      </c>
      <c r="T3" s="293" t="str">
        <f>Tabel152[[#This Row],[Groen Verdediging]]&amp;Tabel152[[#This Row],[Groen Aanval]]</f>
        <v>TiemenBert</v>
      </c>
      <c r="U3" s="293" t="str">
        <f>Tabel152[[#This Row],[Winnaar 1]]&amp;Tabel152[[#This Row],[Winnaar 2]]</f>
        <v>TiemenBert</v>
      </c>
      <c r="V3" s="147" t="b">
        <f>IF(Tabel152[[#This Row],[Team Rood]]=Tabel152[[#This Row],[Winnaars]],Tabel152[[#This Row],[Team Rood]])</f>
        <v>0</v>
      </c>
      <c r="W3" s="147" t="str">
        <f>IF(Tabel152[[#This Row],[Team Groen]]=Tabel152[[#This Row],[Winnaars]],Tabel152[[#This Row],[Team Groen]])</f>
        <v>TiemenBert</v>
      </c>
      <c r="X3" s="283">
        <v>-7.037436637621397</v>
      </c>
      <c r="Y3" s="283">
        <v>-35.823288084464551</v>
      </c>
      <c r="Z3" s="283">
        <v>67.962563362378603</v>
      </c>
      <c r="AA3" s="283">
        <v>38.176711915535442</v>
      </c>
      <c r="AB3" s="91" t="s">
        <v>170</v>
      </c>
      <c r="AC3" s="180">
        <f t="shared" ca="1" si="2"/>
        <v>3</v>
      </c>
      <c r="AD3" s="180">
        <f t="shared" ca="1" si="3"/>
        <v>2</v>
      </c>
      <c r="AE3" s="179">
        <f t="shared" ca="1" si="4"/>
        <v>2</v>
      </c>
      <c r="AF3" s="179">
        <f t="shared" ca="1" si="5"/>
        <v>0</v>
      </c>
      <c r="AG3" s="308">
        <f t="shared" ref="AG3:AG14" ca="1" si="9">SUM(AC3:AD3)</f>
        <v>5</v>
      </c>
      <c r="AH3" s="308">
        <f t="shared" ref="AH3:AH14" ca="1" si="10">SUM(AE3:AF3)</f>
        <v>2</v>
      </c>
      <c r="AI3" s="308">
        <f t="shared" ref="AI3:AI14" ca="1" si="11">SUM(AC3:AF3)</f>
        <v>7</v>
      </c>
      <c r="AL3" s="251" t="s">
        <v>158</v>
      </c>
      <c r="AM3" s="233" t="s">
        <v>168</v>
      </c>
      <c r="AN3" s="140" t="str">
        <f t="shared" si="6"/>
        <v>Arno*Coghe*</v>
      </c>
      <c r="AO3" s="160">
        <f>IF(Tabel511[[#This Row],[Aantal Games Rood]]=0,0,(Tabel511[[#This Row],[Wins Rood]])/Tabel511[[#This Row],[Aantal Games Rood]])</f>
        <v>0</v>
      </c>
      <c r="AP3" s="159">
        <f>IF(Tabel511[[#This Row],[Aantal Games Groen]]=0,0,(Tabel511[[#This Row],[Wins Groen]])/Tabel511[[#This Row],[Aantal Games Groen]])</f>
        <v>0</v>
      </c>
      <c r="AQ3" s="156">
        <f>IF(Tabel511[[#This Row],[Aantal games Alg]]=0,0,(Tabel511[[#This Row],[Wins Alg]])/Tabel511[[#This Row],[Aantal games Alg]])</f>
        <v>0</v>
      </c>
      <c r="AR3" s="138">
        <f>COUNTIF(Tabel152[Winaar rood],Tabel511[[#This Row],[Team]])</f>
        <v>0</v>
      </c>
      <c r="AS3" s="134">
        <f>COUNTIF(Tabel152[Winnaar Groen],Tabel511[[#This Row],[Team]])</f>
        <v>0</v>
      </c>
      <c r="AT3" s="293">
        <f>COUNTIF(Tabel152[Winnaars],Tabel511[[#This Row],[Team]])</f>
        <v>0</v>
      </c>
      <c r="AU3" s="135">
        <f>Tabel511[[#This Row],[Aantal Games Rood]]-Tabel511[[#This Row],[Wins Rood]]</f>
        <v>0</v>
      </c>
      <c r="AV3" s="136">
        <f>Tabel511[[#This Row],[Aantal Games Groen]]-Tabel511[[#This Row],[Wins Groen]]</f>
        <v>0</v>
      </c>
      <c r="AW3" s="137">
        <f>Tabel511[[#This Row],[Aantal games Alg]]-Tabel511[[#This Row],[Wins Alg]]</f>
        <v>0</v>
      </c>
      <c r="AX3" s="138">
        <f>COUNTIF(Tabel152[Team Rood],Tabel511[[#This Row],[Team]])</f>
        <v>0</v>
      </c>
      <c r="AY3" s="136">
        <f>COUNTIF(Tabel152[Team Groen],Tabel511[[#This Row],[Team]])</f>
        <v>0</v>
      </c>
      <c r="AZ3" s="214">
        <f>Tabel511[[#This Row],[Aantal Games Rood]]+Tabel511[[#This Row],[Aantal Games Groen]]</f>
        <v>0</v>
      </c>
      <c r="BA3" s="138">
        <f>SUMIF(Tabel152[Team Rood],Tabel511[[#This Row],[Team]],Tabel152[Score])</f>
        <v>0</v>
      </c>
      <c r="BB3" s="138">
        <f>SUMIF(Tabel152[Team Rood],Tabel511[[#This Row],[Team]],Tabel152[Score2])</f>
        <v>0</v>
      </c>
      <c r="BC3" s="134">
        <f>SUMIF(Tabel152[Team Groen],Tabel511[[#This Row],[Team]],Tabel152[Score3])</f>
        <v>0</v>
      </c>
      <c r="BD3" s="136">
        <f>SUMIF(Tabel152[Team Groen],Tabel511[[#This Row],[Team]],Tabel152[Score4])</f>
        <v>0</v>
      </c>
      <c r="BE3" s="293">
        <f>SUM(Tabel511[[#This Row],[Goals Verdediger]]+Tabel511[[#This Row],[Goals DefG]])</f>
        <v>0</v>
      </c>
      <c r="BF3" s="293">
        <f>IF(Tabel511[[#This Row],[Aantal games Alg]]=0,0,Tabel511[[#This Row],[Goals DefA]]/Tabel511[[#This Row],[Aantal games Alg]])</f>
        <v>0</v>
      </c>
      <c r="BG3" s="293">
        <f>SUM(Tabel511[[#This Row],[Goals Aanvaller]]+Tabel511[[#This Row],[Goals OffG]])</f>
        <v>0</v>
      </c>
      <c r="BH3" s="293">
        <f>IF(Tabel511[[#This Row],[Aantal games Alg]]=0,0,Tabel511[[#This Row],[Goals OffA]]/Tabel511[[#This Row],[Aantal games Alg]])</f>
        <v>0</v>
      </c>
      <c r="BI3" s="214">
        <f>Tabel511[[#This Row],[Goals DefA]]+Tabel511[[#This Row],[Goals OffA]]</f>
        <v>0</v>
      </c>
      <c r="BJ3" s="214">
        <f>IF(Tabel511[[#This Row],[Aantal games Alg]]=0,0,Tabel511[[#This Row],[Goals Alg]]/Tabel511[[#This Row],[Aantal games Alg]])</f>
        <v>0</v>
      </c>
      <c r="BK3" s="148">
        <f>SUMIF(Tabel152[Team Rood],Tabel511[[#This Row],[Team]],Tabel152[ET])</f>
        <v>0</v>
      </c>
      <c r="BL3" s="150">
        <f>SUMIF(Tabel152[Team Groen],Tabel511[[#This Row],[Team]],Tabel152[ET])</f>
        <v>0</v>
      </c>
      <c r="BM3" s="153">
        <f>SUM(Tabel511[[#This Row],[ET Groen tot]],Tabel511[[#This Row],[ET Rood tot]])</f>
        <v>0</v>
      </c>
      <c r="BN3" s="155">
        <f>IF(Tabel511[[#This Row],[Aantal games Alg]]=0,0,Tabel511[[#This Row],[ET tot]]/Tabel511[[#This Row],[Aantal games Alg]])</f>
        <v>0</v>
      </c>
    </row>
    <row r="4" spans="1:66" x14ac:dyDescent="0.25">
      <c r="A4" s="215">
        <f ca="1">IF(Tabel152[[#This Row],[Rood Verdediging]]&lt;&gt;"",IF(A4="",NOW(),A4),"")</f>
        <v>44406.760134374999</v>
      </c>
      <c r="B4" s="218">
        <f ca="1">IF(Tabel152[[#This Row],[Rood Verdediging]]&lt;&gt;"",IF(B4="",NOW(),B4),"")</f>
        <v>44406.760134374999</v>
      </c>
      <c r="C4" s="216">
        <f ca="1">IF(Tabel152[[#This Row],[Score]]&lt;&gt;"",IF(C4="",NOW(),C4),"")</f>
        <v>44406.760268055557</v>
      </c>
      <c r="D4" s="217">
        <f ca="1">IF(OR(Tabel152[[#This Row],[Starttijd]]="",Tabel152[[#This Row],[Eindtijd]]=""),"",Tabel152[[#This Row],[Eindtijd]]-Tabel152[[#This Row],[Starttijd]])</f>
        <v>1.3368055806495249E-4</v>
      </c>
      <c r="E4" s="74">
        <v>3</v>
      </c>
      <c r="F4" s="207" t="s">
        <v>3</v>
      </c>
      <c r="G4" s="210">
        <v>3</v>
      </c>
      <c r="H4" s="207" t="s">
        <v>13</v>
      </c>
      <c r="I4" s="210">
        <v>0</v>
      </c>
      <c r="J4" s="203" t="s">
        <v>183</v>
      </c>
      <c r="K4" s="212">
        <v>4</v>
      </c>
      <c r="L4" s="203" t="s">
        <v>0</v>
      </c>
      <c r="M4" s="212">
        <v>7</v>
      </c>
      <c r="N4" s="79">
        <f>Tabel152[[#This Row],[Score]]+Tabel152[[#This Row],[Score2]]</f>
        <v>3</v>
      </c>
      <c r="O4" s="80">
        <f>Tabel152[[#This Row],[Score3]]+Tabel152[[#This Row],[Score4]]</f>
        <v>11</v>
      </c>
      <c r="P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Row],[Score4]]&lt;&gt;""),IF(AND(N4&gt;O4,N4&gt;=11),"ROOD",IF(AND(O4&gt;=11,N4&lt;&gt;O4),"GROEN","")),"")</f>
        <v>GROEN</v>
      </c>
      <c r="Q4" s="84" t="str">
        <f t="shared" si="7"/>
        <v xml:space="preserve">Coghe </v>
      </c>
      <c r="R4" s="85" t="str">
        <f t="shared" si="8"/>
        <v>Jonas</v>
      </c>
      <c r="S4" s="293" t="str">
        <f>Tabel152[[#This Row],[Rood Verdediging]]&amp;Tabel152[[#This Row],[Rood Aanval]]</f>
        <v>KarelBert</v>
      </c>
      <c r="T4" s="293" t="str">
        <f>Tabel152[[#This Row],[Groen Verdediging]]&amp;Tabel152[[#This Row],[Groen Aanval]]</f>
        <v>Coghe Jonas</v>
      </c>
      <c r="U4" s="293" t="str">
        <f>Tabel152[[#This Row],[Winnaar 1]]&amp;Tabel152[[#This Row],[Winnaar 2]]</f>
        <v>Coghe Jonas</v>
      </c>
      <c r="V4" s="147" t="b">
        <f>IF(Tabel152[[#This Row],[Team Rood]]=Tabel152[[#This Row],[Winnaars]],Tabel152[[#This Row],[Team Rood]])</f>
        <v>0</v>
      </c>
      <c r="W4" s="147" t="str">
        <f>IF(Tabel152[[#This Row],[Team Groen]]=Tabel152[[#This Row],[Winnaars]],Tabel152[[#This Row],[Team Groen]])</f>
        <v>Coghe Jonas</v>
      </c>
      <c r="X4" s="283">
        <v>-17.037436637621397</v>
      </c>
      <c r="Y4" s="283">
        <v>-42.823288084464551</v>
      </c>
      <c r="Z4" s="283">
        <v>72.962563362378603</v>
      </c>
      <c r="AA4" s="283">
        <v>53.176711915535449</v>
      </c>
      <c r="AB4" s="91" t="s">
        <v>169</v>
      </c>
      <c r="AC4" s="180">
        <f t="shared" ca="1" si="2"/>
        <v>32</v>
      </c>
      <c r="AD4" s="180">
        <f t="shared" ca="1" si="3"/>
        <v>77</v>
      </c>
      <c r="AE4" s="179">
        <f t="shared" ca="1" si="4"/>
        <v>13</v>
      </c>
      <c r="AF4" s="179">
        <f t="shared" ca="1" si="5"/>
        <v>49</v>
      </c>
      <c r="AG4" s="308">
        <f t="shared" ca="1" si="9"/>
        <v>109</v>
      </c>
      <c r="AH4" s="308">
        <f t="shared" ca="1" si="10"/>
        <v>62</v>
      </c>
      <c r="AI4" s="308">
        <f t="shared" ca="1" si="11"/>
        <v>171</v>
      </c>
      <c r="AJ4" s="221"/>
      <c r="AL4" s="251" t="s">
        <v>158</v>
      </c>
      <c r="AM4" s="233" t="s">
        <v>159</v>
      </c>
      <c r="AN4" s="140" t="str">
        <f t="shared" si="6"/>
        <v>Arno*Jonas*</v>
      </c>
      <c r="AO4" s="160">
        <f>IF(Tabel511[[#This Row],[Aantal Games Rood]]=0,0,(Tabel511[[#This Row],[Wins Rood]])/Tabel511[[#This Row],[Aantal Games Rood]])</f>
        <v>0</v>
      </c>
      <c r="AP4" s="159">
        <f>IF(Tabel511[[#This Row],[Aantal Games Groen]]=0,0,(Tabel511[[#This Row],[Wins Groen]])/Tabel511[[#This Row],[Aantal Games Groen]])</f>
        <v>0</v>
      </c>
      <c r="AQ4" s="156">
        <f>IF(Tabel511[[#This Row],[Aantal games Alg]]=0,0,(Tabel511[[#This Row],[Wins Alg]])/Tabel511[[#This Row],[Aantal games Alg]])</f>
        <v>0</v>
      </c>
      <c r="AR4" s="138">
        <f>COUNTIF(Tabel152[Winaar rood],Tabel511[[#This Row],[Team]])</f>
        <v>0</v>
      </c>
      <c r="AS4" s="134">
        <f>COUNTIF(Tabel152[Winnaar Groen],Tabel511[[#This Row],[Team]])</f>
        <v>0</v>
      </c>
      <c r="AT4" s="293">
        <f>COUNTIF(Tabel152[Winnaars],Tabel511[[#This Row],[Team]])</f>
        <v>0</v>
      </c>
      <c r="AU4" s="135">
        <f>Tabel511[[#This Row],[Aantal Games Rood]]-Tabel511[[#This Row],[Wins Rood]]</f>
        <v>0</v>
      </c>
      <c r="AV4" s="136">
        <f>Tabel511[[#This Row],[Aantal Games Groen]]-Tabel511[[#This Row],[Wins Groen]]</f>
        <v>0</v>
      </c>
      <c r="AW4" s="137">
        <f>Tabel511[[#This Row],[Aantal games Alg]]-Tabel511[[#This Row],[Wins Alg]]</f>
        <v>0</v>
      </c>
      <c r="AX4" s="138">
        <f>COUNTIF(Tabel152[Team Rood],Tabel511[[#This Row],[Team]])</f>
        <v>0</v>
      </c>
      <c r="AY4" s="136">
        <f>COUNTIF(Tabel152[Team Groen],Tabel511[[#This Row],[Team]])</f>
        <v>0</v>
      </c>
      <c r="AZ4" s="214">
        <f>Tabel511[[#This Row],[Aantal Games Rood]]+Tabel511[[#This Row],[Aantal Games Groen]]</f>
        <v>0</v>
      </c>
      <c r="BA4" s="138">
        <f>SUMIF(Tabel152[Team Rood],Tabel511[[#This Row],[Team]],Tabel152[Score])</f>
        <v>0</v>
      </c>
      <c r="BB4" s="138">
        <f>SUMIF(Tabel152[Team Rood],Tabel511[[#This Row],[Team]],Tabel152[Score2])</f>
        <v>0</v>
      </c>
      <c r="BC4" s="134">
        <f>SUMIF(Tabel152[Team Groen],Tabel511[[#This Row],[Team]],Tabel152[Score3])</f>
        <v>0</v>
      </c>
      <c r="BD4" s="136">
        <f>SUMIF(Tabel152[Team Groen],Tabel511[[#This Row],[Team]],Tabel152[Score4])</f>
        <v>0</v>
      </c>
      <c r="BE4" s="293">
        <f>SUM(Tabel511[[#This Row],[Goals Verdediger]]+Tabel511[[#This Row],[Goals DefG]])</f>
        <v>0</v>
      </c>
      <c r="BF4" s="293">
        <f>IF(Tabel511[[#This Row],[Aantal games Alg]]=0,0,Tabel511[[#This Row],[Goals DefA]]/Tabel511[[#This Row],[Aantal games Alg]])</f>
        <v>0</v>
      </c>
      <c r="BG4" s="293">
        <f>SUM(Tabel511[[#This Row],[Goals Aanvaller]]+Tabel511[[#This Row],[Goals OffG]])</f>
        <v>0</v>
      </c>
      <c r="BH4" s="293">
        <f>IF(Tabel511[[#This Row],[Aantal games Alg]]=0,0,Tabel511[[#This Row],[Goals OffA]]/Tabel511[[#This Row],[Aantal games Alg]])</f>
        <v>0</v>
      </c>
      <c r="BI4" s="214">
        <f>Tabel511[[#This Row],[Goals DefA]]+Tabel511[[#This Row],[Goals OffA]]</f>
        <v>0</v>
      </c>
      <c r="BJ4" s="214">
        <f>IF(Tabel511[[#This Row],[Aantal games Alg]]=0,0,Tabel511[[#This Row],[Goals Alg]]/Tabel511[[#This Row],[Aantal games Alg]])</f>
        <v>0</v>
      </c>
      <c r="BK4" s="148">
        <f>SUMIF(Tabel152[Team Rood],Tabel511[[#This Row],[Team]],Tabel152[ET])</f>
        <v>0</v>
      </c>
      <c r="BL4" s="150">
        <f>SUMIF(Tabel152[Team Groen],Tabel511[[#This Row],[Team]],Tabel152[ET])</f>
        <v>0</v>
      </c>
      <c r="BM4" s="153">
        <f>SUM(Tabel511[[#This Row],[ET Groen tot]],Tabel511[[#This Row],[ET Rood tot]])</f>
        <v>0</v>
      </c>
      <c r="BN4" s="155">
        <f>IF(Tabel511[[#This Row],[Aantal games Alg]]=0,0,Tabel511[[#This Row],[ET tot]]/Tabel511[[#This Row],[Aantal games Alg]])</f>
        <v>0</v>
      </c>
    </row>
    <row r="5" spans="1:66" x14ac:dyDescent="0.25">
      <c r="A5" s="215">
        <f ca="1">IF(Tabel152[[#This Row],[Rood Verdediging]]&lt;&gt;"",IF(A5="",NOW(),A5),"")</f>
        <v>44406.760877083332</v>
      </c>
      <c r="B5" s="218">
        <f ca="1">IF(Tabel152[[#This Row],[Rood Verdediging]]&lt;&gt;"",IF(B5="",NOW(),B5),"")</f>
        <v>44406.760877083332</v>
      </c>
      <c r="C5" s="216">
        <f ca="1">IF(Tabel152[[#This Row],[Score]]&lt;&gt;"",IF(C5="",NOW(),C5),"")</f>
        <v>44406.760954166668</v>
      </c>
      <c r="D5" s="217">
        <f ca="1">IF(OR(Tabel152[[#This Row],[Starttijd]]="",Tabel152[[#This Row],[Eindtijd]]=""),"",Tabel152[[#This Row],[Eindtijd]]-Tabel152[[#This Row],[Starttijd]])</f>
        <v>7.7083335781935602E-5</v>
      </c>
      <c r="E5" s="74">
        <v>4</v>
      </c>
      <c r="F5" s="207" t="s">
        <v>19</v>
      </c>
      <c r="G5" s="210">
        <v>2</v>
      </c>
      <c r="H5" s="207" t="s">
        <v>11</v>
      </c>
      <c r="I5" s="210">
        <v>5</v>
      </c>
      <c r="J5" s="203" t="s">
        <v>6</v>
      </c>
      <c r="K5" s="212">
        <v>4</v>
      </c>
      <c r="L5" s="204" t="s">
        <v>7</v>
      </c>
      <c r="M5" s="212">
        <v>7</v>
      </c>
      <c r="N5" s="79">
        <f>Tabel152[[#This Row],[Score]]+Tabel152[[#This Row],[Score2]]</f>
        <v>7</v>
      </c>
      <c r="O5" s="80">
        <f>Tabel152[[#This Row],[Score3]]+Tabel152[[#This Row],[Score4]]</f>
        <v>11</v>
      </c>
      <c r="P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Row],[Score4]]&lt;&gt;""),IF(AND(N5&gt;O5,N5&gt;=11),"ROOD",IF(AND(O5&gt;=11,N5&lt;&gt;O5),"GROEN","")),"")</f>
        <v>GROEN</v>
      </c>
      <c r="Q5" s="84" t="str">
        <f t="shared" ref="Q5:Q68" si="12">IF(N5&gt;O5,F5,IF(N5="","",J5))</f>
        <v>Stef D</v>
      </c>
      <c r="R5" s="85" t="str">
        <f t="shared" ref="R5:R68" si="13">IF(N5&gt;O5,H5,IF(N5="","",L5))</f>
        <v>Tiemen</v>
      </c>
      <c r="S5" s="293" t="str">
        <f>Tabel152[[#This Row],[Rood Verdediging]]&amp;Tabel152[[#This Row],[Rood Aanval]]</f>
        <v>NicolasMatthijs</v>
      </c>
      <c r="T5" s="293" t="str">
        <f>Tabel152[[#This Row],[Groen Verdediging]]&amp;Tabel152[[#This Row],[Groen Aanval]]</f>
        <v>Stef DTiemen</v>
      </c>
      <c r="U5" s="293" t="str">
        <f>Tabel152[[#This Row],[Winnaar 1]]&amp;Tabel152[[#This Row],[Winnaar 2]]</f>
        <v>Stef DTiemen</v>
      </c>
      <c r="V5" s="147" t="b">
        <f>IF(Tabel152[[#This Row],[Team Rood]]=Tabel152[[#This Row],[Winnaars]],Tabel152[[#This Row],[Team Rood]])</f>
        <v>0</v>
      </c>
      <c r="W5" s="147" t="str">
        <f>IF(Tabel152[[#This Row],[Team Groen]]=Tabel152[[#This Row],[Winnaars]],Tabel152[[#This Row],[Team Groen]])</f>
        <v>Stef DTiemen</v>
      </c>
      <c r="X5" s="283">
        <v>-17.441546743202089</v>
      </c>
      <c r="Y5" s="283">
        <v>-27.823288084464554</v>
      </c>
      <c r="Z5" s="283">
        <v>47.962563362378603</v>
      </c>
      <c r="AA5" s="283">
        <v>42.176711915535449</v>
      </c>
      <c r="AB5" s="91" t="s">
        <v>159</v>
      </c>
      <c r="AC5" s="180">
        <f t="shared" ca="1" si="2"/>
        <v>15</v>
      </c>
      <c r="AD5" s="180">
        <f t="shared" ca="1" si="3"/>
        <v>29</v>
      </c>
      <c r="AE5" s="179">
        <f t="shared" ca="1" si="4"/>
        <v>15</v>
      </c>
      <c r="AF5" s="179">
        <f t="shared" ca="1" si="5"/>
        <v>46</v>
      </c>
      <c r="AG5" s="308">
        <f t="shared" ca="1" si="9"/>
        <v>44</v>
      </c>
      <c r="AH5" s="308">
        <f t="shared" ca="1" si="10"/>
        <v>61</v>
      </c>
      <c r="AI5" s="308">
        <f t="shared" ca="1" si="11"/>
        <v>105</v>
      </c>
      <c r="AL5" s="251" t="s">
        <v>158</v>
      </c>
      <c r="AM5" s="233" t="s">
        <v>164</v>
      </c>
      <c r="AN5" s="140" t="str">
        <f t="shared" si="6"/>
        <v>Arno*Karel*</v>
      </c>
      <c r="AO5" s="160">
        <f>IF(Tabel511[[#This Row],[Aantal Games Rood]]=0,0,(Tabel511[[#This Row],[Wins Rood]])/Tabel511[[#This Row],[Aantal Games Rood]])</f>
        <v>0</v>
      </c>
      <c r="AP5" s="159">
        <f>IF(Tabel511[[#This Row],[Aantal Games Groen]]=0,0,(Tabel511[[#This Row],[Wins Groen]])/Tabel511[[#This Row],[Aantal Games Groen]])</f>
        <v>0</v>
      </c>
      <c r="AQ5" s="156">
        <f>IF(Tabel511[[#This Row],[Aantal games Alg]]=0,0,(Tabel511[[#This Row],[Wins Alg]])/Tabel511[[#This Row],[Aantal games Alg]])</f>
        <v>0</v>
      </c>
      <c r="AR5" s="133">
        <f>COUNTIF(Tabel152[Winaar rood],Tabel511[[#This Row],[Team]])</f>
        <v>0</v>
      </c>
      <c r="AS5" s="134">
        <f>COUNTIF(Tabel152[Winnaar Groen],Tabel511[[#This Row],[Team]])</f>
        <v>0</v>
      </c>
      <c r="AT5" s="293">
        <f>COUNTIF(Tabel152[Winnaars],Tabel511[[#This Row],[Team]])</f>
        <v>0</v>
      </c>
      <c r="AU5" s="135">
        <f>Tabel511[[#This Row],[Aantal Games Rood]]-Tabel511[[#This Row],[Wins Rood]]</f>
        <v>0</v>
      </c>
      <c r="AV5" s="136">
        <f>Tabel511[[#This Row],[Aantal Games Groen]]-Tabel511[[#This Row],[Wins Groen]]</f>
        <v>0</v>
      </c>
      <c r="AW5" s="137">
        <f>Tabel511[[#This Row],[Aantal games Alg]]-Tabel511[[#This Row],[Wins Alg]]</f>
        <v>0</v>
      </c>
      <c r="AX5" s="138">
        <f>COUNTIF(Tabel152[Team Rood],Tabel511[[#This Row],[Team]])</f>
        <v>0</v>
      </c>
      <c r="AY5" s="136">
        <f>COUNTIF(Tabel152[Team Groen],Tabel511[[#This Row],[Team]])</f>
        <v>0</v>
      </c>
      <c r="AZ5" s="214">
        <f>Tabel511[[#This Row],[Aantal Games Rood]]+Tabel511[[#This Row],[Aantal Games Groen]]</f>
        <v>0</v>
      </c>
      <c r="BA5" s="138">
        <f>SUMIF(Tabel152[Team Rood],Tabel511[[#This Row],[Team]],Tabel152[Score])</f>
        <v>0</v>
      </c>
      <c r="BB5" s="138">
        <f>SUMIF(Tabel152[Team Rood],Tabel511[[#This Row],[Team]],Tabel152[Score2])</f>
        <v>0</v>
      </c>
      <c r="BC5" s="134">
        <f>SUMIF(Tabel152[Team Groen],Tabel511[[#This Row],[Team]],Tabel152[Score3])</f>
        <v>0</v>
      </c>
      <c r="BD5" s="136">
        <f>SUMIF(Tabel152[Team Groen],Tabel511[[#This Row],[Team]],Tabel152[Score4])</f>
        <v>0</v>
      </c>
      <c r="BE5" s="293">
        <f>SUM(Tabel511[[#This Row],[Goals Verdediger]]+Tabel511[[#This Row],[Goals DefG]])</f>
        <v>0</v>
      </c>
      <c r="BF5" s="293">
        <f>IF(Tabel511[[#This Row],[Aantal games Alg]]=0,0,Tabel511[[#This Row],[Goals DefA]]/Tabel511[[#This Row],[Aantal games Alg]])</f>
        <v>0</v>
      </c>
      <c r="BG5" s="293">
        <f>SUM(Tabel511[[#This Row],[Goals Aanvaller]]+Tabel511[[#This Row],[Goals OffG]])</f>
        <v>0</v>
      </c>
      <c r="BH5" s="293">
        <f>IF(Tabel511[[#This Row],[Aantal games Alg]]=0,0,Tabel511[[#This Row],[Goals OffA]]/Tabel511[[#This Row],[Aantal games Alg]])</f>
        <v>0</v>
      </c>
      <c r="BI5" s="214">
        <f>Tabel511[[#This Row],[Goals DefA]]+Tabel511[[#This Row],[Goals OffA]]</f>
        <v>0</v>
      </c>
      <c r="BJ5" s="214">
        <f>IF(Tabel511[[#This Row],[Aantal games Alg]]=0,0,Tabel511[[#This Row],[Goals Alg]]/Tabel511[[#This Row],[Aantal games Alg]])</f>
        <v>0</v>
      </c>
      <c r="BK5" s="148">
        <f>SUMIF(Tabel152[Team Rood],Tabel511[[#This Row],[Team]],Tabel152[ET])</f>
        <v>0</v>
      </c>
      <c r="BL5" s="150">
        <f>SUMIF(Tabel152[Team Groen],Tabel511[[#This Row],[Team]],Tabel152[ET])</f>
        <v>0</v>
      </c>
      <c r="BM5" s="153">
        <f>SUM(Tabel511[[#This Row],[ET Groen tot]],Tabel511[[#This Row],[ET Rood tot]])</f>
        <v>0</v>
      </c>
      <c r="BN5" s="155">
        <f>IF(Tabel511[[#This Row],[Aantal games Alg]]=0,0,Tabel511[[#This Row],[ET tot]]/Tabel511[[#This Row],[Aantal games Alg]])</f>
        <v>0</v>
      </c>
    </row>
    <row r="6" spans="1:66" x14ac:dyDescent="0.25">
      <c r="A6" s="215">
        <f ca="1">IF(Tabel152[[#This Row],[Rood Verdediging]]&lt;&gt;"",IF(A6="",NOW(),A6),"")</f>
        <v>44406.761365046295</v>
      </c>
      <c r="B6" s="218">
        <f ca="1">IF(Tabel152[[#This Row],[Rood Verdediging]]&lt;&gt;"",IF(B6="",NOW(),B6),"")</f>
        <v>44406.761365046295</v>
      </c>
      <c r="C6" s="216">
        <f ca="1">IF(Tabel152[[#This Row],[Score]]&lt;&gt;"",IF(C6="",NOW(),C6),"")</f>
        <v>44406.761436921297</v>
      </c>
      <c r="D6" s="217">
        <f ca="1">IF(OR(Tabel152[[#This Row],[Starttijd]]="",Tabel152[[#This Row],[Eindtijd]]=""),"",Tabel152[[#This Row],[Eindtijd]]-Tabel152[[#This Row],[Starttijd]])</f>
        <v>7.1875001594889909E-5</v>
      </c>
      <c r="E6" s="74">
        <v>5</v>
      </c>
      <c r="F6" s="207" t="s">
        <v>6</v>
      </c>
      <c r="G6" s="210">
        <v>9</v>
      </c>
      <c r="H6" s="207" t="s">
        <v>19</v>
      </c>
      <c r="I6" s="210">
        <v>2</v>
      </c>
      <c r="J6" s="204" t="s">
        <v>0</v>
      </c>
      <c r="K6" s="212">
        <v>2</v>
      </c>
      <c r="L6" s="204" t="s">
        <v>3</v>
      </c>
      <c r="M6" s="212">
        <v>11</v>
      </c>
      <c r="N6" s="79">
        <f>Tabel152[[#This Row],[Score]]+Tabel152[[#This Row],[Score2]]</f>
        <v>11</v>
      </c>
      <c r="O6" s="80">
        <f>Tabel152[[#This Row],[Score3]]+Tabel152[[#This Row],[Score4]]</f>
        <v>13</v>
      </c>
      <c r="P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Row],[Score4]]&lt;&gt;""),IF(AND(N6&gt;O6,N6&gt;=11),"ROOD",IF(AND(O6&gt;=11,N6&lt;&gt;O6),"GROEN","")),"")</f>
        <v>GROEN</v>
      </c>
      <c r="Q6" s="84" t="str">
        <f t="shared" si="12"/>
        <v>Jonas</v>
      </c>
      <c r="R6" s="85" t="str">
        <f t="shared" si="13"/>
        <v>Karel</v>
      </c>
      <c r="S6" s="293" t="str">
        <f>Tabel152[[#This Row],[Rood Verdediging]]&amp;Tabel152[[#This Row],[Rood Aanval]]</f>
        <v>Stef DNicolas</v>
      </c>
      <c r="T6" s="293" t="str">
        <f>Tabel152[[#This Row],[Groen Verdediging]]&amp;Tabel152[[#This Row],[Groen Aanval]]</f>
        <v>JonasKarel</v>
      </c>
      <c r="U6" s="293" t="str">
        <f>Tabel152[[#This Row],[Winnaar 1]]&amp;Tabel152[[#This Row],[Winnaar 2]]</f>
        <v>JonasKarel</v>
      </c>
      <c r="V6" s="147" t="b">
        <f>IF(Tabel152[[#This Row],[Team Rood]]=Tabel152[[#This Row],[Winnaars]],Tabel152[[#This Row],[Team Rood]])</f>
        <v>0</v>
      </c>
      <c r="W6" s="147" t="str">
        <f>IF(Tabel152[[#This Row],[Team Groen]]=Tabel152[[#This Row],[Winnaars]],Tabel152[[#This Row],[Team Groen]])</f>
        <v>JonasKarel</v>
      </c>
      <c r="X6" s="283">
        <v>17.904110105580692</v>
      </c>
      <c r="Y6" s="283">
        <v>-29.515595776772244</v>
      </c>
      <c r="Z6" s="283">
        <v>57.558453256797911</v>
      </c>
      <c r="AA6" s="283">
        <v>25.08809818725279</v>
      </c>
      <c r="AB6" s="91" t="s">
        <v>164</v>
      </c>
      <c r="AC6" s="180">
        <f t="shared" ca="1" si="2"/>
        <v>7</v>
      </c>
      <c r="AD6" s="180">
        <f t="shared" ca="1" si="3"/>
        <v>34</v>
      </c>
      <c r="AE6" s="179">
        <f t="shared" ca="1" si="4"/>
        <v>11</v>
      </c>
      <c r="AF6" s="179">
        <f t="shared" ca="1" si="5"/>
        <v>35</v>
      </c>
      <c r="AG6" s="308">
        <f t="shared" ca="1" si="9"/>
        <v>41</v>
      </c>
      <c r="AH6" s="308">
        <f t="shared" ca="1" si="10"/>
        <v>46</v>
      </c>
      <c r="AI6" s="308">
        <f t="shared" ca="1" si="11"/>
        <v>87</v>
      </c>
      <c r="AL6" s="251" t="s">
        <v>158</v>
      </c>
      <c r="AM6" s="233" t="s">
        <v>67</v>
      </c>
      <c r="AN6" s="140" t="str">
        <f t="shared" si="6"/>
        <v>Arno*Lawrence</v>
      </c>
      <c r="AO6" s="160">
        <f>IF(Tabel511[[#This Row],[Aantal Games Rood]]=0,0,(Tabel511[[#This Row],[Wins Rood]])/Tabel511[[#This Row],[Aantal Games Rood]])</f>
        <v>0</v>
      </c>
      <c r="AP6" s="159">
        <f>IF(Tabel511[[#This Row],[Aantal Games Groen]]=0,0,(Tabel511[[#This Row],[Wins Groen]])/Tabel511[[#This Row],[Aantal Games Groen]])</f>
        <v>0</v>
      </c>
      <c r="AQ6" s="156">
        <f>IF(Tabel511[[#This Row],[Aantal games Alg]]=0,0,(Tabel511[[#This Row],[Wins Alg]])/Tabel511[[#This Row],[Aantal games Alg]])</f>
        <v>0</v>
      </c>
      <c r="AR6" s="133">
        <f>COUNTIF(Tabel152[Winaar rood],Tabel511[[#This Row],[Team]])</f>
        <v>0</v>
      </c>
      <c r="AS6" s="134">
        <f>COUNTIF(Tabel152[Winnaar Groen],Tabel511[[#This Row],[Team]])</f>
        <v>0</v>
      </c>
      <c r="AT6" s="293">
        <f>COUNTIF(Tabel152[Winnaars],Tabel511[[#This Row],[Team]])</f>
        <v>0</v>
      </c>
      <c r="AU6" s="135">
        <f>Tabel511[[#This Row],[Aantal Games Rood]]-Tabel511[[#This Row],[Wins Rood]]</f>
        <v>0</v>
      </c>
      <c r="AV6" s="136">
        <f>Tabel511[[#This Row],[Aantal Games Groen]]-Tabel511[[#This Row],[Wins Groen]]</f>
        <v>0</v>
      </c>
      <c r="AW6" s="137">
        <f>Tabel511[[#This Row],[Aantal games Alg]]-Tabel511[[#This Row],[Wins Alg]]</f>
        <v>0</v>
      </c>
      <c r="AX6" s="138">
        <f>COUNTIF(Tabel152[Team Rood],Tabel511[[#This Row],[Team]])</f>
        <v>0</v>
      </c>
      <c r="AY6" s="136">
        <f>COUNTIF(Tabel152[Team Groen],Tabel511[[#This Row],[Team]])</f>
        <v>0</v>
      </c>
      <c r="AZ6" s="214">
        <f>Tabel511[[#This Row],[Aantal Games Rood]]+Tabel511[[#This Row],[Aantal Games Groen]]</f>
        <v>0</v>
      </c>
      <c r="BA6" s="138">
        <f>SUMIF(Tabel152[Team Rood],Tabel511[[#This Row],[Team]],Tabel152[Score])</f>
        <v>0</v>
      </c>
      <c r="BB6" s="138">
        <f>SUMIF(Tabel152[Team Rood],Tabel511[[#This Row],[Team]],Tabel152[Score2])</f>
        <v>0</v>
      </c>
      <c r="BC6" s="134">
        <f>SUMIF(Tabel152[Team Groen],Tabel511[[#This Row],[Team]],Tabel152[Score3])</f>
        <v>0</v>
      </c>
      <c r="BD6" s="136">
        <f>SUMIF(Tabel152[Team Groen],Tabel511[[#This Row],[Team]],Tabel152[Score4])</f>
        <v>0</v>
      </c>
      <c r="BE6" s="293">
        <f>SUM(Tabel511[[#This Row],[Goals Verdediger]]+Tabel511[[#This Row],[Goals DefG]])</f>
        <v>0</v>
      </c>
      <c r="BF6" s="293">
        <f>IF(Tabel511[[#This Row],[Aantal games Alg]]=0,0,Tabel511[[#This Row],[Goals DefA]]/Tabel511[[#This Row],[Aantal games Alg]])</f>
        <v>0</v>
      </c>
      <c r="BG6" s="293">
        <f>SUM(Tabel511[[#This Row],[Goals Aanvaller]]+Tabel511[[#This Row],[Goals OffG]])</f>
        <v>0</v>
      </c>
      <c r="BH6" s="293">
        <f>IF(Tabel511[[#This Row],[Aantal games Alg]]=0,0,Tabel511[[#This Row],[Goals OffA]]/Tabel511[[#This Row],[Aantal games Alg]])</f>
        <v>0</v>
      </c>
      <c r="BI6" s="214">
        <f>Tabel511[[#This Row],[Goals DefA]]+Tabel511[[#This Row],[Goals OffA]]</f>
        <v>0</v>
      </c>
      <c r="BJ6" s="214">
        <f>IF(Tabel511[[#This Row],[Aantal games Alg]]=0,0,Tabel511[[#This Row],[Goals Alg]]/Tabel511[[#This Row],[Aantal games Alg]])</f>
        <v>0</v>
      </c>
      <c r="BK6" s="148">
        <f>SUMIF(Tabel152[Team Rood],Tabel511[[#This Row],[Team]],Tabel152[ET])</f>
        <v>0</v>
      </c>
      <c r="BL6" s="150">
        <f>SUMIF(Tabel152[Team Groen],Tabel511[[#This Row],[Team]],Tabel152[ET])</f>
        <v>0</v>
      </c>
      <c r="BM6" s="153">
        <f>SUM(Tabel511[[#This Row],[ET Groen tot]],Tabel511[[#This Row],[ET Rood tot]])</f>
        <v>0</v>
      </c>
      <c r="BN6" s="155">
        <f>IF(Tabel511[[#This Row],[Aantal games Alg]]=0,0,Tabel511[[#This Row],[ET tot]]/Tabel511[[#This Row],[Aantal games Alg]])</f>
        <v>0</v>
      </c>
    </row>
    <row r="7" spans="1:66" x14ac:dyDescent="0.25">
      <c r="A7" s="215">
        <f ca="1">IF(Tabel152[[#This Row],[Rood Verdediging]]&lt;&gt;"",IF(A7="",NOW(),A7),"")</f>
        <v>44406.761926388892</v>
      </c>
      <c r="B7" s="218">
        <f ca="1">IF(Tabel152[[#This Row],[Rood Verdediging]]&lt;&gt;"",IF(B7="",NOW(),B7),"")</f>
        <v>44406.761926388892</v>
      </c>
      <c r="C7" s="216">
        <f ca="1">IF(Tabel152[[#This Row],[Score]]&lt;&gt;"",IF(C7="",NOW(),C7),"")</f>
        <v>44406.761970601852</v>
      </c>
      <c r="D7" s="217">
        <f ca="1">IF(OR(Tabel152[[#This Row],[Starttijd]]="",Tabel152[[#This Row],[Eindtijd]]=""),"",Tabel152[[#This Row],[Eindtijd]]-Tabel152[[#This Row],[Starttijd]])</f>
        <v>4.4212960347067565E-5</v>
      </c>
      <c r="E7" s="74">
        <v>6</v>
      </c>
      <c r="F7" s="207" t="s">
        <v>0</v>
      </c>
      <c r="G7" s="210">
        <v>1</v>
      </c>
      <c r="H7" s="207" t="s">
        <v>13</v>
      </c>
      <c r="I7" s="210">
        <v>8</v>
      </c>
      <c r="J7" s="204" t="s">
        <v>7</v>
      </c>
      <c r="K7" s="212">
        <v>4</v>
      </c>
      <c r="L7" s="204" t="s">
        <v>6</v>
      </c>
      <c r="M7" s="212">
        <v>7</v>
      </c>
      <c r="N7" s="79">
        <f>Tabel152[[#This Row],[Score]]+Tabel152[[#This Row],[Score2]]</f>
        <v>9</v>
      </c>
      <c r="O7" s="80">
        <f>Tabel152[[#This Row],[Score3]]+Tabel152[[#This Row],[Score4]]</f>
        <v>11</v>
      </c>
      <c r="P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Row],[Score4]]&lt;&gt;""),IF(AND(N7&gt;O7,N7&gt;=11),"ROOD",IF(AND(O7&gt;=11,N7&lt;&gt;O7),"GROEN","")),"")</f>
        <v>GROEN</v>
      </c>
      <c r="Q7" s="84" t="str">
        <f t="shared" si="12"/>
        <v>Tiemen</v>
      </c>
      <c r="R7" s="85" t="str">
        <f t="shared" si="13"/>
        <v>Stef D</v>
      </c>
      <c r="S7" s="293" t="str">
        <f>Tabel152[[#This Row],[Rood Verdediging]]&amp;Tabel152[[#This Row],[Rood Aanval]]</f>
        <v>JonasBert</v>
      </c>
      <c r="T7" s="293" t="str">
        <f>Tabel152[[#This Row],[Groen Verdediging]]&amp;Tabel152[[#This Row],[Groen Aanval]]</f>
        <v>TiemenStef D</v>
      </c>
      <c r="U7" s="293" t="str">
        <f>Tabel152[[#This Row],[Winnaar 1]]&amp;Tabel152[[#This Row],[Winnaar 2]]</f>
        <v>TiemenStef D</v>
      </c>
      <c r="V7" s="147" t="b">
        <f>IF(Tabel152[[#This Row],[Team Rood]]=Tabel152[[#This Row],[Winnaars]],Tabel152[[#This Row],[Team Rood]])</f>
        <v>0</v>
      </c>
      <c r="W7" s="147" t="str">
        <f>IF(Tabel152[[#This Row],[Team Groen]]=Tabel152[[#This Row],[Winnaars]],Tabel152[[#This Row],[Team Groen]])</f>
        <v>TiemenStef D</v>
      </c>
      <c r="X7" s="283">
        <v>-14.89268423975258</v>
      </c>
      <c r="Y7" s="283">
        <v>-9.9324130591771258</v>
      </c>
      <c r="Z7" s="283">
        <v>33.351997611986924</v>
      </c>
      <c r="AA7" s="283">
        <v>37.176711915535449</v>
      </c>
      <c r="AB7" s="91" t="s">
        <v>160</v>
      </c>
      <c r="AC7" s="180">
        <f t="shared" ca="1" si="2"/>
        <v>8</v>
      </c>
      <c r="AD7" s="180">
        <f t="shared" ca="1" si="3"/>
        <v>20</v>
      </c>
      <c r="AE7" s="179">
        <f t="shared" ca="1" si="4"/>
        <v>26</v>
      </c>
      <c r="AF7" s="179">
        <f t="shared" ca="1" si="5"/>
        <v>33</v>
      </c>
      <c r="AG7" s="308">
        <f t="shared" ca="1" si="9"/>
        <v>28</v>
      </c>
      <c r="AH7" s="308">
        <f t="shared" ca="1" si="10"/>
        <v>59</v>
      </c>
      <c r="AI7" s="308">
        <f t="shared" ca="1" si="11"/>
        <v>87</v>
      </c>
      <c r="AL7" s="251" t="s">
        <v>158</v>
      </c>
      <c r="AM7" s="233" t="s">
        <v>161</v>
      </c>
      <c r="AN7" s="140" t="str">
        <f t="shared" si="6"/>
        <v>Arno*Louis*</v>
      </c>
      <c r="AO7" s="160">
        <f>IF(Tabel511[[#This Row],[Aantal Games Rood]]=0,0,(Tabel511[[#This Row],[Wins Rood]])/Tabel511[[#This Row],[Aantal Games Rood]])</f>
        <v>0</v>
      </c>
      <c r="AP7" s="159">
        <f>IF(Tabel511[[#This Row],[Aantal Games Groen]]=0,0,(Tabel511[[#This Row],[Wins Groen]])/Tabel511[[#This Row],[Aantal Games Groen]])</f>
        <v>0</v>
      </c>
      <c r="AQ7" s="156">
        <f>IF(Tabel511[[#This Row],[Aantal games Alg]]=0,0,(Tabel511[[#This Row],[Wins Alg]])/Tabel511[[#This Row],[Aantal games Alg]])</f>
        <v>0</v>
      </c>
      <c r="AR7" s="138">
        <f>COUNTIF(Tabel152[Winaar rood],Tabel511[[#This Row],[Team]])</f>
        <v>0</v>
      </c>
      <c r="AS7" s="134">
        <f>COUNTIF(Tabel152[Winnaar Groen],Tabel511[[#This Row],[Team]])</f>
        <v>0</v>
      </c>
      <c r="AT7" s="293">
        <f>COUNTIF(Tabel152[Winnaars],Tabel511[[#This Row],[Team]])</f>
        <v>0</v>
      </c>
      <c r="AU7" s="135">
        <f>Tabel511[[#This Row],[Aantal Games Rood]]-Tabel511[[#This Row],[Wins Rood]]</f>
        <v>0</v>
      </c>
      <c r="AV7" s="136">
        <f>Tabel511[[#This Row],[Aantal Games Groen]]-Tabel511[[#This Row],[Wins Groen]]</f>
        <v>0</v>
      </c>
      <c r="AW7" s="137">
        <f>Tabel511[[#This Row],[Aantal games Alg]]-Tabel511[[#This Row],[Wins Alg]]</f>
        <v>0</v>
      </c>
      <c r="AX7" s="138">
        <f>COUNTIF(Tabel152[Team Rood],Tabel511[[#This Row],[Team]])</f>
        <v>0</v>
      </c>
      <c r="AY7" s="136">
        <f>COUNTIF(Tabel152[Team Groen],Tabel511[[#This Row],[Team]])</f>
        <v>0</v>
      </c>
      <c r="AZ7" s="214">
        <f>Tabel511[[#This Row],[Aantal Games Rood]]+Tabel511[[#This Row],[Aantal Games Groen]]</f>
        <v>0</v>
      </c>
      <c r="BA7" s="138">
        <f>SUMIF(Tabel152[Team Rood],Tabel511[[#This Row],[Team]],Tabel152[Score])</f>
        <v>0</v>
      </c>
      <c r="BB7" s="138">
        <f>SUMIF(Tabel152[Team Rood],Tabel511[[#This Row],[Team]],Tabel152[Score2])</f>
        <v>0</v>
      </c>
      <c r="BC7" s="134">
        <f>SUMIF(Tabel152[Team Groen],Tabel511[[#This Row],[Team]],Tabel152[Score3])</f>
        <v>0</v>
      </c>
      <c r="BD7" s="136">
        <f>SUMIF(Tabel152[Team Groen],Tabel511[[#This Row],[Team]],Tabel152[Score4])</f>
        <v>0</v>
      </c>
      <c r="BE7" s="293">
        <f>SUM(Tabel511[[#This Row],[Goals Verdediger]]+Tabel511[[#This Row],[Goals DefG]])</f>
        <v>0</v>
      </c>
      <c r="BF7" s="293">
        <f>IF(Tabel511[[#This Row],[Aantal games Alg]]=0,0,Tabel511[[#This Row],[Goals DefA]]/Tabel511[[#This Row],[Aantal games Alg]])</f>
        <v>0</v>
      </c>
      <c r="BG7" s="293">
        <f>SUM(Tabel511[[#This Row],[Goals Aanvaller]]+Tabel511[[#This Row],[Goals OffG]])</f>
        <v>0</v>
      </c>
      <c r="BH7" s="293">
        <f>IF(Tabel511[[#This Row],[Aantal games Alg]]=0,0,Tabel511[[#This Row],[Goals OffA]]/Tabel511[[#This Row],[Aantal games Alg]])</f>
        <v>0</v>
      </c>
      <c r="BI7" s="214">
        <f>Tabel511[[#This Row],[Goals DefA]]+Tabel511[[#This Row],[Goals OffA]]</f>
        <v>0</v>
      </c>
      <c r="BJ7" s="214">
        <f>IF(Tabel511[[#This Row],[Aantal games Alg]]=0,0,Tabel511[[#This Row],[Goals Alg]]/Tabel511[[#This Row],[Aantal games Alg]])</f>
        <v>0</v>
      </c>
      <c r="BK7" s="148">
        <f>SUMIF(Tabel152[Team Rood],Tabel511[[#This Row],[Team]],Tabel152[ET])</f>
        <v>0</v>
      </c>
      <c r="BL7" s="150">
        <f>SUMIF(Tabel152[Team Groen],Tabel511[[#This Row],[Team]],Tabel152[ET])</f>
        <v>0</v>
      </c>
      <c r="BM7" s="153">
        <f>SUM(Tabel511[[#This Row],[ET Groen tot]],Tabel511[[#This Row],[ET Rood tot]])</f>
        <v>0</v>
      </c>
      <c r="BN7" s="155">
        <f>IF(Tabel511[[#This Row],[Aantal games Alg]]=0,0,Tabel511[[#This Row],[ET tot]]/Tabel511[[#This Row],[Aantal games Alg]])</f>
        <v>0</v>
      </c>
    </row>
    <row r="8" spans="1:66" x14ac:dyDescent="0.25">
      <c r="A8" s="215">
        <f ca="1">IF(Tabel152[[#This Row],[Rood Verdediging]]&lt;&gt;"",IF(A8="",NOW(),A8),"")</f>
        <v>44406.762392129633</v>
      </c>
      <c r="B8" s="218">
        <f ca="1">IF(Tabel152[[#This Row],[Rood Verdediging]]&lt;&gt;"",IF(B8="",NOW(),B8),"")</f>
        <v>44406.762392129633</v>
      </c>
      <c r="C8" s="216">
        <f ca="1">IF(Tabel152[[#This Row],[Score]]&lt;&gt;"",IF(C8="",NOW(),C8),"")</f>
        <v>44406.762414467594</v>
      </c>
      <c r="D8" s="217">
        <f ca="1">IF(OR(Tabel152[[#This Row],[Starttijd]]="",Tabel152[[#This Row],[Eindtijd]]=""),"",Tabel152[[#This Row],[Eindtijd]]-Tabel152[[#This Row],[Starttijd]])</f>
        <v>2.2337961127050221E-5</v>
      </c>
      <c r="E8" s="74">
        <v>7</v>
      </c>
      <c r="F8" s="207" t="s">
        <v>0</v>
      </c>
      <c r="G8" s="210">
        <v>3</v>
      </c>
      <c r="H8" s="207" t="s">
        <v>6</v>
      </c>
      <c r="I8" s="210">
        <v>8</v>
      </c>
      <c r="J8" s="204" t="s">
        <v>19</v>
      </c>
      <c r="K8" s="212">
        <v>2</v>
      </c>
      <c r="L8" s="204" t="s">
        <v>8</v>
      </c>
      <c r="M8" s="212">
        <v>3</v>
      </c>
      <c r="N8" s="79">
        <f>Tabel152[[#This Row],[Score]]+Tabel152[[#This Row],[Score2]]</f>
        <v>11</v>
      </c>
      <c r="O8" s="80">
        <f>Tabel152[[#This Row],[Score3]]+Tabel152[[#This Row],[Score4]]</f>
        <v>5</v>
      </c>
      <c r="P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Row],[Score4]]&lt;&gt;""),IF(AND(N8&gt;O8,N8&gt;=11),"ROOD",IF(AND(O8&gt;=11,N8&lt;&gt;O8),"GROEN","")),"")</f>
        <v>ROOD</v>
      </c>
      <c r="Q8" s="84" t="str">
        <f t="shared" si="12"/>
        <v>Jonas</v>
      </c>
      <c r="R8" s="85" t="str">
        <f t="shared" si="13"/>
        <v>Stef D</v>
      </c>
      <c r="S8" s="293" t="str">
        <f>Tabel152[[#This Row],[Rood Verdediging]]&amp;Tabel152[[#This Row],[Rood Aanval]]</f>
        <v>JonasStef D</v>
      </c>
      <c r="T8" s="293" t="str">
        <f>Tabel152[[#This Row],[Groen Verdediging]]&amp;Tabel152[[#This Row],[Groen Aanval]]</f>
        <v>NicolasLouis</v>
      </c>
      <c r="U8" s="293" t="str">
        <f>Tabel152[[#This Row],[Winnaar 1]]&amp;Tabel152[[#This Row],[Winnaar 2]]</f>
        <v>JonasStef D</v>
      </c>
      <c r="V8" s="147" t="str">
        <f>IF(Tabel152[[#This Row],[Team Rood]]=Tabel152[[#This Row],[Winnaars]],Tabel152[[#This Row],[Team Rood]])</f>
        <v>JonasStef D</v>
      </c>
      <c r="W8" s="147" t="b">
        <f>IF(Tabel152[[#This Row],[Team Groen]]=Tabel152[[#This Row],[Winnaars]],Tabel152[[#This Row],[Team Groen]])</f>
        <v>0</v>
      </c>
      <c r="X8" s="283">
        <v>46.352550749544172</v>
      </c>
      <c r="Y8" s="283">
        <v>47.165021264175863</v>
      </c>
      <c r="Z8" s="283">
        <v>-17.5</v>
      </c>
      <c r="AA8" s="283">
        <v>-29.804369326102314</v>
      </c>
      <c r="AB8" s="91" t="s">
        <v>161</v>
      </c>
      <c r="AC8" s="180">
        <f t="shared" ca="1" si="2"/>
        <v>13</v>
      </c>
      <c r="AD8" s="180">
        <f t="shared" ca="1" si="3"/>
        <v>0</v>
      </c>
      <c r="AE8" s="179">
        <f t="shared" ca="1" si="4"/>
        <v>15</v>
      </c>
      <c r="AF8" s="179">
        <f t="shared" ca="1" si="5"/>
        <v>3</v>
      </c>
      <c r="AG8" s="308">
        <f t="shared" ca="1" si="9"/>
        <v>13</v>
      </c>
      <c r="AH8" s="308">
        <f t="shared" ca="1" si="10"/>
        <v>18</v>
      </c>
      <c r="AI8" s="308">
        <f t="shared" ca="1" si="11"/>
        <v>31</v>
      </c>
      <c r="AL8" s="251" t="s">
        <v>158</v>
      </c>
      <c r="AM8" s="233" t="s">
        <v>162</v>
      </c>
      <c r="AN8" s="140" t="str">
        <f t="shared" si="6"/>
        <v>Arno*Matthijs*</v>
      </c>
      <c r="AO8" s="160">
        <f>IF(Tabel511[[#This Row],[Aantal Games Rood]]=0,0,(Tabel511[[#This Row],[Wins Rood]])/Tabel511[[#This Row],[Aantal Games Rood]])</f>
        <v>0</v>
      </c>
      <c r="AP8" s="159">
        <f>IF(Tabel511[[#This Row],[Aantal Games Groen]]=0,0,(Tabel511[[#This Row],[Wins Groen]])/Tabel511[[#This Row],[Aantal Games Groen]])</f>
        <v>0</v>
      </c>
      <c r="AQ8" s="156">
        <f>IF(Tabel511[[#This Row],[Aantal games Alg]]=0,0,(Tabel511[[#This Row],[Wins Alg]])/Tabel511[[#This Row],[Aantal games Alg]])</f>
        <v>0</v>
      </c>
      <c r="AR8" s="138">
        <f>COUNTIF(Tabel152[Winaar rood],Tabel511[[#This Row],[Team]])</f>
        <v>0</v>
      </c>
      <c r="AS8" s="134">
        <f>COUNTIF(Tabel152[Winnaar Groen],Tabel511[[#This Row],[Team]])</f>
        <v>0</v>
      </c>
      <c r="AT8" s="293">
        <f>COUNTIF(Tabel152[Winnaars],Tabel511[[#This Row],[Team]])</f>
        <v>0</v>
      </c>
      <c r="AU8" s="135">
        <f>Tabel511[[#This Row],[Aantal Games Rood]]-Tabel511[[#This Row],[Wins Rood]]</f>
        <v>0</v>
      </c>
      <c r="AV8" s="136">
        <f>Tabel511[[#This Row],[Aantal Games Groen]]-Tabel511[[#This Row],[Wins Groen]]</f>
        <v>0</v>
      </c>
      <c r="AW8" s="137">
        <f>Tabel511[[#This Row],[Aantal games Alg]]-Tabel511[[#This Row],[Wins Alg]]</f>
        <v>0</v>
      </c>
      <c r="AX8" s="138">
        <f>COUNTIF(Tabel152[Team Rood],Tabel511[[#This Row],[Team]])</f>
        <v>0</v>
      </c>
      <c r="AY8" s="136">
        <f>COUNTIF(Tabel152[Team Groen],Tabel511[[#This Row],[Team]])</f>
        <v>0</v>
      </c>
      <c r="AZ8" s="214">
        <f>Tabel511[[#This Row],[Aantal Games Rood]]+Tabel511[[#This Row],[Aantal Games Groen]]</f>
        <v>0</v>
      </c>
      <c r="BA8" s="138">
        <f>SUMIF(Tabel152[Team Rood],Tabel511[[#This Row],[Team]],Tabel152[Score])</f>
        <v>0</v>
      </c>
      <c r="BB8" s="138">
        <f>SUMIF(Tabel152[Team Rood],Tabel511[[#This Row],[Team]],Tabel152[Score2])</f>
        <v>0</v>
      </c>
      <c r="BC8" s="134">
        <f>SUMIF(Tabel152[Team Groen],Tabel511[[#This Row],[Team]],Tabel152[Score3])</f>
        <v>0</v>
      </c>
      <c r="BD8" s="136">
        <f>SUMIF(Tabel152[Team Groen],Tabel511[[#This Row],[Team]],Tabel152[Score4])</f>
        <v>0</v>
      </c>
      <c r="BE8" s="293">
        <f>SUM(Tabel511[[#This Row],[Goals Verdediger]]+Tabel511[[#This Row],[Goals DefG]])</f>
        <v>0</v>
      </c>
      <c r="BF8" s="293">
        <f>IF(Tabel511[[#This Row],[Aantal games Alg]]=0,0,Tabel511[[#This Row],[Goals DefA]]/Tabel511[[#This Row],[Aantal games Alg]])</f>
        <v>0</v>
      </c>
      <c r="BG8" s="293">
        <f>SUM(Tabel511[[#This Row],[Goals Aanvaller]]+Tabel511[[#This Row],[Goals OffG]])</f>
        <v>0</v>
      </c>
      <c r="BH8" s="293">
        <f>IF(Tabel511[[#This Row],[Aantal games Alg]]=0,0,Tabel511[[#This Row],[Goals OffA]]/Tabel511[[#This Row],[Aantal games Alg]])</f>
        <v>0</v>
      </c>
      <c r="BI8" s="214">
        <f>Tabel511[[#This Row],[Goals DefA]]+Tabel511[[#This Row],[Goals OffA]]</f>
        <v>0</v>
      </c>
      <c r="BJ8" s="214">
        <f>IF(Tabel511[[#This Row],[Aantal games Alg]]=0,0,Tabel511[[#This Row],[Goals Alg]]/Tabel511[[#This Row],[Aantal games Alg]])</f>
        <v>0</v>
      </c>
      <c r="BK8" s="148">
        <f>SUMIF(Tabel152[Team Rood],Tabel511[[#This Row],[Team]],Tabel152[ET])</f>
        <v>0</v>
      </c>
      <c r="BL8" s="150">
        <f>SUMIF(Tabel152[Team Groen],Tabel511[[#This Row],[Team]],Tabel152[ET])</f>
        <v>0</v>
      </c>
      <c r="BM8" s="153">
        <f>SUM(Tabel511[[#This Row],[ET Groen tot]],Tabel511[[#This Row],[ET Rood tot]])</f>
        <v>0</v>
      </c>
      <c r="BN8" s="155">
        <f>IF(Tabel511[[#This Row],[Aantal games Alg]]=0,0,Tabel511[[#This Row],[ET tot]]/Tabel511[[#This Row],[Aantal games Alg]])</f>
        <v>0</v>
      </c>
    </row>
    <row r="9" spans="1:66" x14ac:dyDescent="0.25">
      <c r="A9" s="215">
        <f ca="1">IF(Tabel152[[#This Row],[Rood Verdediging]]&lt;&gt;"",IF(A9="",NOW(),A9),"")</f>
        <v>44406.762782407408</v>
      </c>
      <c r="B9" s="218">
        <f ca="1">IF(Tabel152[[#This Row],[Rood Verdediging]]&lt;&gt;"",IF(B9="",NOW(),B9),"")</f>
        <v>44406.762782407408</v>
      </c>
      <c r="C9" s="216">
        <f ca="1">IF(Tabel152[[#This Row],[Score]]&lt;&gt;"",IF(C9="",NOW(),C9),"")</f>
        <v>44406.76282384259</v>
      </c>
      <c r="D9" s="217">
        <f ca="1">IF(OR(Tabel152[[#This Row],[Starttijd]]="",Tabel152[[#This Row],[Eindtijd]]=""),"",Tabel152[[#This Row],[Eindtijd]]-Tabel152[[#This Row],[Starttijd]])</f>
        <v>4.1435181628912687E-5</v>
      </c>
      <c r="E9" s="74">
        <v>8</v>
      </c>
      <c r="F9" s="207" t="s">
        <v>6</v>
      </c>
      <c r="G9" s="210">
        <v>4</v>
      </c>
      <c r="H9" s="207" t="s">
        <v>13</v>
      </c>
      <c r="I9" s="210">
        <v>7</v>
      </c>
      <c r="J9" s="204" t="s">
        <v>8</v>
      </c>
      <c r="K9" s="212">
        <v>5</v>
      </c>
      <c r="L9" s="204" t="s">
        <v>0</v>
      </c>
      <c r="M9" s="212">
        <v>2</v>
      </c>
      <c r="N9" s="79">
        <f>Tabel152[[#This Row],[Score]]+Tabel152[[#This Row],[Score2]]</f>
        <v>11</v>
      </c>
      <c r="O9" s="80">
        <f>Tabel152[[#This Row],[Score3]]+Tabel152[[#This Row],[Score4]]</f>
        <v>7</v>
      </c>
      <c r="P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Row],[Score4]]&lt;&gt;""),IF(AND(N9&gt;O9,N9&gt;=11),"ROOD",IF(AND(O9&gt;=11,N9&lt;&gt;O9),"GROEN","")),"")</f>
        <v>ROOD</v>
      </c>
      <c r="Q9" s="84" t="str">
        <f t="shared" si="12"/>
        <v>Stef D</v>
      </c>
      <c r="R9" s="85" t="str">
        <f t="shared" si="13"/>
        <v>Bert</v>
      </c>
      <c r="S9" s="293" t="str">
        <f>Tabel152[[#This Row],[Rood Verdediging]]&amp;Tabel152[[#This Row],[Rood Aanval]]</f>
        <v>Stef DBert</v>
      </c>
      <c r="T9" s="293" t="str">
        <f>Tabel152[[#This Row],[Groen Verdediging]]&amp;Tabel152[[#This Row],[Groen Aanval]]</f>
        <v>LouisJonas</v>
      </c>
      <c r="U9" s="293" t="str">
        <f>Tabel152[[#This Row],[Winnaar 1]]&amp;Tabel152[[#This Row],[Winnaar 2]]</f>
        <v>Stef DBert</v>
      </c>
      <c r="V9" s="147" t="str">
        <f>IF(Tabel152[[#This Row],[Team Rood]]=Tabel152[[#This Row],[Winnaars]],Tabel152[[#This Row],[Team Rood]])</f>
        <v>Stef DBert</v>
      </c>
      <c r="W9" s="147" t="b">
        <f>IF(Tabel152[[#This Row],[Team Groen]]=Tabel152[[#This Row],[Winnaars]],Tabel152[[#This Row],[Team Groen]])</f>
        <v>0</v>
      </c>
      <c r="X9" s="283">
        <v>58.410450868784835</v>
      </c>
      <c r="Y9" s="283">
        <v>39.176711915535449</v>
      </c>
      <c r="Z9" s="283">
        <v>-7.037436637621397</v>
      </c>
      <c r="AA9" s="283">
        <v>-34.763918426503047</v>
      </c>
      <c r="AB9" s="91" t="s">
        <v>163</v>
      </c>
      <c r="AC9" s="180">
        <f t="shared" ca="1" si="2"/>
        <v>0</v>
      </c>
      <c r="AD9" s="180">
        <f t="shared" ca="1" si="3"/>
        <v>39</v>
      </c>
      <c r="AE9" s="179">
        <f t="shared" ca="1" si="4"/>
        <v>6</v>
      </c>
      <c r="AF9" s="179">
        <f t="shared" ca="1" si="5"/>
        <v>57</v>
      </c>
      <c r="AG9" s="308">
        <f t="shared" ca="1" si="9"/>
        <v>39</v>
      </c>
      <c r="AH9" s="308">
        <f t="shared" ca="1" si="10"/>
        <v>63</v>
      </c>
      <c r="AI9" s="308">
        <f t="shared" ca="1" si="11"/>
        <v>102</v>
      </c>
      <c r="AL9" s="251" t="s">
        <v>158</v>
      </c>
      <c r="AM9" s="233" t="s">
        <v>170</v>
      </c>
      <c r="AN9" s="140" t="str">
        <f t="shared" si="6"/>
        <v>Arno*Nico*</v>
      </c>
      <c r="AO9" s="160">
        <f>IF(Tabel511[[#This Row],[Aantal Games Rood]]=0,0,(Tabel511[[#This Row],[Wins Rood]])/Tabel511[[#This Row],[Aantal Games Rood]])</f>
        <v>0</v>
      </c>
      <c r="AP9" s="159">
        <f>IF(Tabel511[[#This Row],[Aantal Games Groen]]=0,0,(Tabel511[[#This Row],[Wins Groen]])/Tabel511[[#This Row],[Aantal Games Groen]])</f>
        <v>0</v>
      </c>
      <c r="AQ9" s="156">
        <f>IF(Tabel511[[#This Row],[Aantal games Alg]]=0,0,(Tabel511[[#This Row],[Wins Alg]])/Tabel511[[#This Row],[Aantal games Alg]])</f>
        <v>0</v>
      </c>
      <c r="AR9" s="171">
        <f>COUNTIF(Tabel152[Winaar rood],Tabel511[[#This Row],[Team]])</f>
        <v>0</v>
      </c>
      <c r="AS9" s="169">
        <f>COUNTIF(Tabel152[Winnaar Groen],Tabel511[[#This Row],[Team]])</f>
        <v>0</v>
      </c>
      <c r="AT9" s="170">
        <f>COUNTIF(Tabel152[Winnaars],Tabel511[[#This Row],[Team]])</f>
        <v>0</v>
      </c>
      <c r="AU9" s="163">
        <f>Tabel511[[#This Row],[Aantal Games Rood]]-Tabel511[[#This Row],[Wins Rood]]</f>
        <v>0</v>
      </c>
      <c r="AV9" s="169">
        <f>Tabel511[[#This Row],[Aantal Games Groen]]-Tabel511[[#This Row],[Wins Groen]]</f>
        <v>0</v>
      </c>
      <c r="AW9" s="165">
        <f>Tabel511[[#This Row],[Aantal games Alg]]-Tabel511[[#This Row],[Wins Alg]]</f>
        <v>0</v>
      </c>
      <c r="AX9" s="171">
        <f>COUNTIF(Tabel152[Team Rood],Tabel511[[#This Row],[Team]])</f>
        <v>0</v>
      </c>
      <c r="AY9" s="169">
        <f>COUNTIF(Tabel152[Team Groen],Tabel511[[#This Row],[Team]])</f>
        <v>0</v>
      </c>
      <c r="AZ9" s="170">
        <f>Tabel511[[#This Row],[Aantal Games Rood]]+Tabel511[[#This Row],[Aantal Games Groen]]</f>
        <v>0</v>
      </c>
      <c r="BA9" s="171">
        <f>SUMIF(Tabel152[Team Rood],Tabel511[[#This Row],[Team]],Tabel152[Score])</f>
        <v>0</v>
      </c>
      <c r="BB9" s="171">
        <f>SUMIF(Tabel152[Team Rood],Tabel511[[#This Row],[Team]],Tabel152[Score2])</f>
        <v>0</v>
      </c>
      <c r="BC9" s="136">
        <f>SUMIF(Tabel152[Team Groen],Tabel511[[#This Row],[Team]],Tabel152[Score3])</f>
        <v>0</v>
      </c>
      <c r="BD9" s="169">
        <f>SUMIF(Tabel152[Team Groen],Tabel511[[#This Row],[Team]],Tabel152[Score4])</f>
        <v>0</v>
      </c>
      <c r="BE9" s="172">
        <f>SUM(Tabel511[[#This Row],[Goals Verdediger]]+Tabel511[[#This Row],[Goals DefG]])</f>
        <v>0</v>
      </c>
      <c r="BF9" s="170">
        <f>IF(Tabel511[[#This Row],[Aantal games Alg]]=0,0,Tabel511[[#This Row],[Goals DefA]]/Tabel511[[#This Row],[Aantal games Alg]])</f>
        <v>0</v>
      </c>
      <c r="BG9" s="172">
        <f>SUM(Tabel511[[#This Row],[Goals Aanvaller]]+Tabel511[[#This Row],[Goals OffG]])</f>
        <v>0</v>
      </c>
      <c r="BH9" s="170">
        <f>IF(Tabel511[[#This Row],[Aantal games Alg]]=0,0,Tabel511[[#This Row],[Goals OffA]]/Tabel511[[#This Row],[Aantal games Alg]])</f>
        <v>0</v>
      </c>
      <c r="BI9" s="170">
        <f>Tabel511[[#This Row],[Goals DefA]]+Tabel511[[#This Row],[Goals OffA]]</f>
        <v>0</v>
      </c>
      <c r="BJ9" s="170">
        <f>IF(Tabel511[[#This Row],[Aantal games Alg]]=0,0,Tabel511[[#This Row],[Goals Alg]]/Tabel511[[#This Row],[Aantal games Alg]])</f>
        <v>0</v>
      </c>
      <c r="BK9" s="148">
        <f>SUMIF(Tabel152[Team Rood],Tabel511[[#This Row],[Team]],Tabel152[ET])</f>
        <v>0</v>
      </c>
      <c r="BL9" s="150">
        <f>SUMIF(Tabel152[Team Groen],Tabel511[[#This Row],[Team]],Tabel152[ET])</f>
        <v>0</v>
      </c>
      <c r="BM9" s="153">
        <f>SUM(Tabel511[[#This Row],[ET Groen tot]],Tabel511[[#This Row],[ET Rood tot]])</f>
        <v>0</v>
      </c>
      <c r="BN9" s="155">
        <f>IF(Tabel511[[#This Row],[Aantal games Alg]]=0,0,Tabel511[[#This Row],[ET tot]]/Tabel511[[#This Row],[Aantal games Alg]])</f>
        <v>0</v>
      </c>
    </row>
    <row r="10" spans="1:66" x14ac:dyDescent="0.25">
      <c r="A10" s="215">
        <f ca="1">IF(Tabel152[[#This Row],[Rood Verdediging]]&lt;&gt;"",IF(A10="",NOW(),A10),"")</f>
        <v>44406.763438194444</v>
      </c>
      <c r="B10" s="218">
        <f ca="1">IF(Tabel152[[#This Row],[Rood Verdediging]]&lt;&gt;"",IF(B10="",NOW(),B10),"")</f>
        <v>44406.763438194444</v>
      </c>
      <c r="C10" s="216">
        <f ca="1">IF(Tabel152[[#This Row],[Score]]&lt;&gt;"",IF(C10="",NOW(),C10),"")</f>
        <v>44406.763462037037</v>
      </c>
      <c r="D10" s="217">
        <f ca="1">IF(OR(Tabel152[[#This Row],[Starttijd]]="",Tabel152[[#This Row],[Eindtijd]]=""),"",Tabel152[[#This Row],[Eindtijd]]-Tabel152[[#This Row],[Starttijd]])</f>
        <v>2.3842592781875283E-5</v>
      </c>
      <c r="E10" s="74">
        <v>9</v>
      </c>
      <c r="F10" s="207" t="s">
        <v>19</v>
      </c>
      <c r="G10" s="210">
        <v>1</v>
      </c>
      <c r="H10" s="207" t="s">
        <v>6</v>
      </c>
      <c r="I10" s="210">
        <v>11</v>
      </c>
      <c r="J10" s="204" t="s">
        <v>13</v>
      </c>
      <c r="K10" s="212">
        <v>4</v>
      </c>
      <c r="L10" s="204" t="s">
        <v>0</v>
      </c>
      <c r="M10" s="212">
        <v>6</v>
      </c>
      <c r="N10" s="79">
        <f>Tabel152[[#This Row],[Score]]+Tabel152[[#This Row],[Score2]]</f>
        <v>12</v>
      </c>
      <c r="O10" s="80">
        <f>Tabel152[[#This Row],[Score3]]+Tabel152[[#This Row],[Score4]]</f>
        <v>10</v>
      </c>
      <c r="P1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Row],[Score4]]&lt;&gt;""),IF(AND(N10&gt;O10,N10&gt;=11),"ROOD",IF(AND(O10&gt;=11,N10&lt;&gt;O10),"GROEN","")),"")</f>
        <v>ROOD</v>
      </c>
      <c r="Q10" s="84" t="str">
        <f t="shared" si="12"/>
        <v>Nicolas</v>
      </c>
      <c r="R10" s="85" t="str">
        <f t="shared" si="13"/>
        <v>Stef D</v>
      </c>
      <c r="S10" s="293" t="str">
        <f>Tabel152[[#This Row],[Rood Verdediging]]&amp;Tabel152[[#This Row],[Rood Aanval]]</f>
        <v>NicolasStef D</v>
      </c>
      <c r="T10" s="293" t="str">
        <f>Tabel152[[#This Row],[Groen Verdediging]]&amp;Tabel152[[#This Row],[Groen Aanval]]</f>
        <v>BertJonas</v>
      </c>
      <c r="U10" s="293" t="str">
        <f>Tabel152[[#This Row],[Winnaar 1]]&amp;Tabel152[[#This Row],[Winnaar 2]]</f>
        <v>NicolasStef D</v>
      </c>
      <c r="V10" s="147" t="str">
        <f>IF(Tabel152[[#This Row],[Team Rood]]=Tabel152[[#This Row],[Winnaars]],Tabel152[[#This Row],[Team Rood]])</f>
        <v>NicolasStef D</v>
      </c>
      <c r="W10" s="147" t="b">
        <f>IF(Tabel152[[#This Row],[Team Groen]]=Tabel152[[#This Row],[Winnaars]],Tabel152[[#This Row],[Team Groen]])</f>
        <v>0</v>
      </c>
      <c r="X10" s="283">
        <v>37.558453256797911</v>
      </c>
      <c r="Y10" s="283">
        <v>35.590477613675915</v>
      </c>
      <c r="Z10" s="283">
        <v>-7.0958898944193081</v>
      </c>
      <c r="AA10" s="283">
        <v>-14.680585093169711</v>
      </c>
      <c r="AB10" s="91" t="s">
        <v>166</v>
      </c>
      <c r="AC10" s="180">
        <f t="shared" ca="1" si="2"/>
        <v>0</v>
      </c>
      <c r="AD10" s="180">
        <f t="shared" ca="1" si="3"/>
        <v>0</v>
      </c>
      <c r="AE10" s="179">
        <f t="shared" ca="1" si="4"/>
        <v>0</v>
      </c>
      <c r="AF10" s="179">
        <f t="shared" ca="1" si="5"/>
        <v>0</v>
      </c>
      <c r="AG10" s="308">
        <f t="shared" ca="1" si="9"/>
        <v>0</v>
      </c>
      <c r="AH10" s="308">
        <f t="shared" ca="1" si="10"/>
        <v>0</v>
      </c>
      <c r="AI10" s="308">
        <f t="shared" ca="1" si="11"/>
        <v>0</v>
      </c>
      <c r="AL10" s="251" t="s">
        <v>158</v>
      </c>
      <c r="AM10" s="233" t="s">
        <v>169</v>
      </c>
      <c r="AN10" s="140" t="str">
        <f t="shared" si="6"/>
        <v>Arno*Stef*</v>
      </c>
      <c r="AO10" s="160">
        <f>IF(Tabel511[[#This Row],[Aantal Games Rood]]=0,0,(Tabel511[[#This Row],[Wins Rood]])/Tabel511[[#This Row],[Aantal Games Rood]])</f>
        <v>0</v>
      </c>
      <c r="AP10" s="159">
        <f>IF(Tabel511[[#This Row],[Aantal Games Groen]]=0,0,(Tabel511[[#This Row],[Wins Groen]])/Tabel511[[#This Row],[Aantal Games Groen]])</f>
        <v>0</v>
      </c>
      <c r="AQ10" s="156">
        <f>IF(Tabel511[[#This Row],[Aantal games Alg]]=0,0,(Tabel511[[#This Row],[Wins Alg]])/Tabel511[[#This Row],[Aantal games Alg]])</f>
        <v>0</v>
      </c>
      <c r="AR10" s="138">
        <f>COUNTIF(Tabel152[Winaar rood],Tabel511[[#This Row],[Team]])</f>
        <v>0</v>
      </c>
      <c r="AS10" s="134">
        <f>COUNTIF(Tabel152[Winnaar Groen],Tabel511[[#This Row],[Team]])</f>
        <v>0</v>
      </c>
      <c r="AT10" s="293">
        <f>COUNTIF(Tabel152[Winnaars],Tabel511[[#This Row],[Team]])</f>
        <v>0</v>
      </c>
      <c r="AU10" s="135">
        <f>Tabel511[[#This Row],[Aantal Games Rood]]-Tabel511[[#This Row],[Wins Rood]]</f>
        <v>0</v>
      </c>
      <c r="AV10" s="136">
        <f>Tabel511[[#This Row],[Aantal Games Groen]]-Tabel511[[#This Row],[Wins Groen]]</f>
        <v>0</v>
      </c>
      <c r="AW10" s="137">
        <f>Tabel511[[#This Row],[Aantal games Alg]]-Tabel511[[#This Row],[Wins Alg]]</f>
        <v>0</v>
      </c>
      <c r="AX10" s="138">
        <f>COUNTIF(Tabel152[Team Rood],Tabel511[[#This Row],[Team]])</f>
        <v>0</v>
      </c>
      <c r="AY10" s="136">
        <f>COUNTIF(Tabel152[Team Groen],Tabel511[[#This Row],[Team]])</f>
        <v>0</v>
      </c>
      <c r="AZ10" s="214">
        <f>Tabel511[[#This Row],[Aantal Games Rood]]+Tabel511[[#This Row],[Aantal Games Groen]]</f>
        <v>0</v>
      </c>
      <c r="BA10" s="138">
        <f>SUMIF(Tabel152[Team Rood],Tabel511[[#This Row],[Team]],Tabel152[Score])</f>
        <v>0</v>
      </c>
      <c r="BB10" s="138">
        <f>SUMIF(Tabel152[Team Rood],Tabel511[[#This Row],[Team]],Tabel152[Score2])</f>
        <v>0</v>
      </c>
      <c r="BC10" s="134">
        <f>SUMIF(Tabel152[Team Groen],Tabel511[[#This Row],[Team]],Tabel152[Score3])</f>
        <v>0</v>
      </c>
      <c r="BD10" s="136">
        <f>SUMIF(Tabel152[Team Groen],Tabel511[[#This Row],[Team]],Tabel152[Score4])</f>
        <v>0</v>
      </c>
      <c r="BE10" s="293">
        <f>SUM(Tabel511[[#This Row],[Goals Verdediger]]+Tabel511[[#This Row],[Goals DefG]])</f>
        <v>0</v>
      </c>
      <c r="BF10" s="293">
        <f>IF(Tabel511[[#This Row],[Aantal games Alg]]=0,0,Tabel511[[#This Row],[Goals DefA]]/Tabel511[[#This Row],[Aantal games Alg]])</f>
        <v>0</v>
      </c>
      <c r="BG10" s="293">
        <f>SUM(Tabel511[[#This Row],[Goals Aanvaller]]+Tabel511[[#This Row],[Goals OffG]])</f>
        <v>0</v>
      </c>
      <c r="BH10" s="293">
        <f>IF(Tabel511[[#This Row],[Aantal games Alg]]=0,0,Tabel511[[#This Row],[Goals OffA]]/Tabel511[[#This Row],[Aantal games Alg]])</f>
        <v>0</v>
      </c>
      <c r="BI10" s="214">
        <f>Tabel511[[#This Row],[Goals DefA]]+Tabel511[[#This Row],[Goals OffA]]</f>
        <v>0</v>
      </c>
      <c r="BJ10" s="214">
        <f>IF(Tabel511[[#This Row],[Aantal games Alg]]=0,0,Tabel511[[#This Row],[Goals Alg]]/Tabel511[[#This Row],[Aantal games Alg]])</f>
        <v>0</v>
      </c>
      <c r="BK10" s="148">
        <f>SUMIF(Tabel152[Team Rood],Tabel511[[#This Row],[Team]],Tabel152[ET])</f>
        <v>0</v>
      </c>
      <c r="BL10" s="150">
        <f>SUMIF(Tabel152[Team Groen],Tabel511[[#This Row],[Team]],Tabel152[ET])</f>
        <v>0</v>
      </c>
      <c r="BM10" s="153">
        <f>SUM(Tabel511[[#This Row],[ET Groen tot]],Tabel511[[#This Row],[ET Rood tot]])</f>
        <v>0</v>
      </c>
      <c r="BN10" s="155">
        <f>IF(Tabel511[[#This Row],[Aantal games Alg]]=0,0,Tabel511[[#This Row],[ET tot]]/Tabel511[[#This Row],[Aantal games Alg]])</f>
        <v>0</v>
      </c>
    </row>
    <row r="11" spans="1:66" x14ac:dyDescent="0.25">
      <c r="A11" s="215">
        <f ca="1">IF(Tabel152[[#This Row],[Rood Verdediging]]&lt;&gt;"",IF(A11="",NOW(),A11),"")</f>
        <v>44406.763828819443</v>
      </c>
      <c r="B11" s="218">
        <f ca="1">IF(Tabel152[[#This Row],[Rood Verdediging]]&lt;&gt;"",IF(B11="",NOW(),B11),"")</f>
        <v>44406.763828819443</v>
      </c>
      <c r="C11" s="216">
        <f ca="1">IF(Tabel152[[#This Row],[Score]]&lt;&gt;"",IF(C11="",NOW(),C11),"")</f>
        <v>44406.76385520833</v>
      </c>
      <c r="D11" s="217">
        <f ca="1">IF(OR(Tabel152[[#This Row],[Starttijd]]="",Tabel152[[#This Row],[Eindtijd]]=""),"",Tabel152[[#This Row],[Eindtijd]]-Tabel152[[#This Row],[Starttijd]])</f>
        <v>2.6388886908534914E-5</v>
      </c>
      <c r="E11" s="74">
        <v>10</v>
      </c>
      <c r="F11" s="207" t="s">
        <v>44</v>
      </c>
      <c r="G11" s="210">
        <v>5</v>
      </c>
      <c r="H11" s="207" t="s">
        <v>0</v>
      </c>
      <c r="I11" s="210">
        <v>8</v>
      </c>
      <c r="J11" s="204" t="s">
        <v>8</v>
      </c>
      <c r="K11" s="212">
        <v>5</v>
      </c>
      <c r="L11" s="204" t="s">
        <v>13</v>
      </c>
      <c r="M11" s="212">
        <v>6</v>
      </c>
      <c r="N11" s="79">
        <f>Tabel152[[#This Row],[Score]]+Tabel152[[#This Row],[Score2]]</f>
        <v>13</v>
      </c>
      <c r="O11" s="80">
        <f>Tabel152[[#This Row],[Score3]]+Tabel152[[#This Row],[Score4]]</f>
        <v>11</v>
      </c>
      <c r="P1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Row],[Score4]]&lt;&gt;""),IF(AND(N11&gt;O11,N11&gt;=11),"ROOD",IF(AND(O11&gt;=11,N11&lt;&gt;O11),"GROEN","")),"")</f>
        <v>ROOD</v>
      </c>
      <c r="Q11" s="84" t="str">
        <f t="shared" si="12"/>
        <v xml:space="preserve">Stef D </v>
      </c>
      <c r="R11" s="85" t="str">
        <f t="shared" si="13"/>
        <v>Jonas</v>
      </c>
      <c r="S11" s="293" t="str">
        <f>Tabel152[[#This Row],[Rood Verdediging]]&amp;Tabel152[[#This Row],[Rood Aanval]]</f>
        <v>Stef D Jonas</v>
      </c>
      <c r="T11" s="293" t="str">
        <f>Tabel152[[#This Row],[Groen Verdediging]]&amp;Tabel152[[#This Row],[Groen Aanval]]</f>
        <v>LouisBert</v>
      </c>
      <c r="U11" s="293" t="str">
        <f>Tabel152[[#This Row],[Winnaar 1]]&amp;Tabel152[[#This Row],[Winnaar 2]]</f>
        <v>Stef D Jonas</v>
      </c>
      <c r="V11" s="147" t="str">
        <f>IF(Tabel152[[#This Row],[Team Rood]]=Tabel152[[#This Row],[Winnaars]],Tabel152[[#This Row],[Team Rood]])</f>
        <v>Stef D Jonas</v>
      </c>
      <c r="W11" s="147" t="b">
        <f>IF(Tabel152[[#This Row],[Team Groen]]=Tabel152[[#This Row],[Winnaars]],Tabel152[[#This Row],[Team Groen]])</f>
        <v>0</v>
      </c>
      <c r="X11" s="283">
        <v>35.338267524742839</v>
      </c>
      <c r="Y11" s="283">
        <v>24.161852907455359</v>
      </c>
      <c r="Z11" s="283">
        <v>-0.88359048377524374</v>
      </c>
      <c r="AA11" s="283">
        <v>-15.066089417765774</v>
      </c>
      <c r="AB11" s="91" t="s">
        <v>171</v>
      </c>
      <c r="AC11" s="180">
        <f t="shared" ca="1" si="2"/>
        <v>0</v>
      </c>
      <c r="AD11" s="180">
        <f t="shared" ca="1" si="3"/>
        <v>0</v>
      </c>
      <c r="AE11" s="179">
        <f t="shared" ca="1" si="4"/>
        <v>0</v>
      </c>
      <c r="AF11" s="179">
        <f t="shared" ca="1" si="5"/>
        <v>0</v>
      </c>
      <c r="AG11" s="308">
        <f t="shared" ca="1" si="9"/>
        <v>0</v>
      </c>
      <c r="AH11" s="308">
        <f t="shared" ca="1" si="10"/>
        <v>0</v>
      </c>
      <c r="AI11" s="308">
        <f t="shared" ca="1" si="11"/>
        <v>0</v>
      </c>
      <c r="AL11" s="251" t="s">
        <v>158</v>
      </c>
      <c r="AM11" s="233" t="s">
        <v>166</v>
      </c>
      <c r="AN11" s="140" t="str">
        <f t="shared" si="6"/>
        <v>Arno*Stijn*</v>
      </c>
      <c r="AO11" s="160">
        <f>IF(Tabel511[[#This Row],[Aantal Games Rood]]=0,0,(Tabel511[[#This Row],[Wins Rood]])/Tabel511[[#This Row],[Aantal Games Rood]])</f>
        <v>0</v>
      </c>
      <c r="AP11" s="159">
        <f>IF(Tabel511[[#This Row],[Aantal Games Groen]]=0,0,(Tabel511[[#This Row],[Wins Groen]])/Tabel511[[#This Row],[Aantal Games Groen]])</f>
        <v>0</v>
      </c>
      <c r="AQ11" s="156">
        <f>IF(Tabel511[[#This Row],[Aantal games Alg]]=0,0,(Tabel511[[#This Row],[Wins Alg]])/Tabel511[[#This Row],[Aantal games Alg]])</f>
        <v>0</v>
      </c>
      <c r="AR11" s="133">
        <f>COUNTIF(Tabel152[Winaar rood],Tabel511[[#This Row],[Team]])</f>
        <v>0</v>
      </c>
      <c r="AS11" s="134">
        <f>COUNTIF(Tabel152[Winnaar Groen],Tabel511[[#This Row],[Team]])</f>
        <v>0</v>
      </c>
      <c r="AT11" s="293">
        <f>COUNTIF(Tabel152[Winnaars],Tabel511[[#This Row],[Team]])</f>
        <v>0</v>
      </c>
      <c r="AU11" s="135">
        <f>Tabel511[[#This Row],[Aantal Games Rood]]-Tabel511[[#This Row],[Wins Rood]]</f>
        <v>0</v>
      </c>
      <c r="AV11" s="136">
        <f>Tabel511[[#This Row],[Aantal Games Groen]]-Tabel511[[#This Row],[Wins Groen]]</f>
        <v>0</v>
      </c>
      <c r="AW11" s="137">
        <f>Tabel511[[#This Row],[Aantal games Alg]]-Tabel511[[#This Row],[Wins Alg]]</f>
        <v>0</v>
      </c>
      <c r="AX11" s="138">
        <f>COUNTIF(Tabel152[Team Rood],Tabel511[[#This Row],[Team]])</f>
        <v>0</v>
      </c>
      <c r="AY11" s="136">
        <f>COUNTIF(Tabel152[Team Groen],Tabel511[[#This Row],[Team]])</f>
        <v>0</v>
      </c>
      <c r="AZ11" s="214">
        <f>Tabel511[[#This Row],[Aantal Games Rood]]+Tabel511[[#This Row],[Aantal Games Groen]]</f>
        <v>0</v>
      </c>
      <c r="BA11" s="138">
        <f>SUMIF(Tabel152[Team Rood],Tabel511[[#This Row],[Team]],Tabel152[Score])</f>
        <v>0</v>
      </c>
      <c r="BB11" s="138">
        <f>SUMIF(Tabel152[Team Rood],Tabel511[[#This Row],[Team]],Tabel152[Score2])</f>
        <v>0</v>
      </c>
      <c r="BC11" s="134">
        <f>SUMIF(Tabel152[Team Groen],Tabel511[[#This Row],[Team]],Tabel152[Score3])</f>
        <v>0</v>
      </c>
      <c r="BD11" s="136">
        <f>SUMIF(Tabel152[Team Groen],Tabel511[[#This Row],[Team]],Tabel152[Score4])</f>
        <v>0</v>
      </c>
      <c r="BE11" s="293">
        <f>SUM(Tabel511[[#This Row],[Goals Verdediger]]+Tabel511[[#This Row],[Goals DefG]])</f>
        <v>0</v>
      </c>
      <c r="BF11" s="293">
        <f>IF(Tabel511[[#This Row],[Aantal games Alg]]=0,0,Tabel511[[#This Row],[Goals DefA]]/Tabel511[[#This Row],[Aantal games Alg]])</f>
        <v>0</v>
      </c>
      <c r="BG11" s="293">
        <f>SUM(Tabel511[[#This Row],[Goals Aanvaller]]+Tabel511[[#This Row],[Goals OffG]])</f>
        <v>0</v>
      </c>
      <c r="BH11" s="293">
        <f>IF(Tabel511[[#This Row],[Aantal games Alg]]=0,0,Tabel511[[#This Row],[Goals OffA]]/Tabel511[[#This Row],[Aantal games Alg]])</f>
        <v>0</v>
      </c>
      <c r="BI11" s="214">
        <f>Tabel511[[#This Row],[Goals DefA]]+Tabel511[[#This Row],[Goals OffA]]</f>
        <v>0</v>
      </c>
      <c r="BJ11" s="214">
        <f>IF(Tabel511[[#This Row],[Aantal games Alg]]=0,0,Tabel511[[#This Row],[Goals Alg]]/Tabel511[[#This Row],[Aantal games Alg]])</f>
        <v>0</v>
      </c>
      <c r="BK11" s="148">
        <f>SUMIF(Tabel152[Team Rood],Tabel511[[#This Row],[Team]],Tabel152[ET])</f>
        <v>0</v>
      </c>
      <c r="BL11" s="150">
        <f>SUMIF(Tabel152[Team Groen],Tabel511[[#This Row],[Team]],Tabel152[ET])</f>
        <v>0</v>
      </c>
      <c r="BM11" s="153">
        <f>SUM(Tabel511[[#This Row],[ET Groen tot]],Tabel511[[#This Row],[ET Rood tot]])</f>
        <v>0</v>
      </c>
      <c r="BN11" s="155">
        <f>IF(Tabel511[[#This Row],[Aantal games Alg]]=0,0,Tabel511[[#This Row],[ET tot]]/Tabel511[[#This Row],[Aantal games Alg]])</f>
        <v>0</v>
      </c>
    </row>
    <row r="12" spans="1:66" x14ac:dyDescent="0.25">
      <c r="A12" s="215">
        <f ca="1">IF(Tabel152[[#This Row],[Rood Verdediging]]&lt;&gt;"",IF(A12="",NOW(),A12),"")</f>
        <v>44406.764768865738</v>
      </c>
      <c r="B12" s="218">
        <f ca="1">IF(Tabel152[[#This Row],[Rood Verdediging]]&lt;&gt;"",IF(B12="",NOW(),B12),"")</f>
        <v>44406.764768865738</v>
      </c>
      <c r="C12" s="216">
        <f ca="1">IF(Tabel152[[#This Row],[Score]]&lt;&gt;"",IF(C12="",NOW(),C12),"")</f>
        <v>44406.764792476853</v>
      </c>
      <c r="D12" s="217">
        <f ca="1">IF(OR(Tabel152[[#This Row],[Starttijd]]="",Tabel152[[#This Row],[Eindtijd]]=""),"",Tabel152[[#This Row],[Eindtijd]]-Tabel152[[#This Row],[Starttijd]])</f>
        <v>2.3611115466337651E-5</v>
      </c>
      <c r="E12" s="74">
        <v>11</v>
      </c>
      <c r="F12" s="207" t="s">
        <v>8</v>
      </c>
      <c r="G12" s="210">
        <v>1</v>
      </c>
      <c r="H12" s="207" t="s">
        <v>6</v>
      </c>
      <c r="I12" s="210">
        <v>12</v>
      </c>
      <c r="J12" s="204" t="s">
        <v>0</v>
      </c>
      <c r="K12" s="212">
        <v>1</v>
      </c>
      <c r="L12" s="204" t="s">
        <v>13</v>
      </c>
      <c r="M12" s="212">
        <v>10</v>
      </c>
      <c r="N12" s="79">
        <f>Tabel152[[#This Row],[Score]]+Tabel152[[#This Row],[Score2]]</f>
        <v>13</v>
      </c>
      <c r="O12" s="80">
        <f>Tabel152[[#This Row],[Score3]]+Tabel152[[#This Row],[Score4]]</f>
        <v>11</v>
      </c>
      <c r="P1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Row],[Score4]]&lt;&gt;""),IF(AND(N12&gt;O12,N12&gt;=11),"ROOD",IF(AND(O12&gt;=11,N12&lt;&gt;O12),"GROEN","")),"")</f>
        <v>ROOD</v>
      </c>
      <c r="Q12" s="84" t="str">
        <f t="shared" si="12"/>
        <v>Louis</v>
      </c>
      <c r="R12" s="85" t="str">
        <f t="shared" si="13"/>
        <v>Stef D</v>
      </c>
      <c r="S12" s="293" t="str">
        <f>Tabel152[[#This Row],[Rood Verdediging]]&amp;Tabel152[[#This Row],[Rood Aanval]]</f>
        <v>LouisStef D</v>
      </c>
      <c r="T12" s="293" t="str">
        <f>Tabel152[[#This Row],[Groen Verdediging]]&amp;Tabel152[[#This Row],[Groen Aanval]]</f>
        <v>JonasBert</v>
      </c>
      <c r="U12" s="293" t="str">
        <f>Tabel152[[#This Row],[Winnaar 1]]&amp;Tabel152[[#This Row],[Winnaar 2]]</f>
        <v>LouisStef D</v>
      </c>
      <c r="V12" s="147" t="str">
        <f>IF(Tabel152[[#This Row],[Team Rood]]=Tabel152[[#This Row],[Winnaars]],Tabel152[[#This Row],[Team Rood]])</f>
        <v>LouisStef D</v>
      </c>
      <c r="W12" s="147" t="b">
        <f>IF(Tabel152[[#This Row],[Team Groen]]=Tabel152[[#This Row],[Winnaars]],Tabel152[[#This Row],[Team Groen]])</f>
        <v>0</v>
      </c>
      <c r="X12" s="283">
        <v>32.5</v>
      </c>
      <c r="Y12" s="283">
        <v>42.072283685212028</v>
      </c>
      <c r="Z12" s="283">
        <v>-13.996226876756666</v>
      </c>
      <c r="AA12" s="283">
        <v>0.53208322982968426</v>
      </c>
      <c r="AB12" s="132" t="s">
        <v>157</v>
      </c>
      <c r="AC12" s="175">
        <f t="shared" ca="1" si="2"/>
        <v>0</v>
      </c>
      <c r="AD12" s="175">
        <f t="shared" ca="1" si="3"/>
        <v>0</v>
      </c>
      <c r="AE12" s="176">
        <f t="shared" ca="1" si="4"/>
        <v>0</v>
      </c>
      <c r="AF12" s="176">
        <f t="shared" ca="1" si="5"/>
        <v>0</v>
      </c>
      <c r="AG12" s="308">
        <f t="shared" ca="1" si="9"/>
        <v>0</v>
      </c>
      <c r="AH12" s="308">
        <f t="shared" ca="1" si="10"/>
        <v>0</v>
      </c>
      <c r="AI12" s="308">
        <f t="shared" ca="1" si="11"/>
        <v>0</v>
      </c>
      <c r="AL12" s="251" t="s">
        <v>158</v>
      </c>
      <c r="AM12" s="233" t="s">
        <v>160</v>
      </c>
      <c r="AN12" s="140" t="str">
        <f t="shared" si="6"/>
        <v>Arno*Tiemen*</v>
      </c>
      <c r="AO12" s="160">
        <f>IF(Tabel511[[#This Row],[Aantal Games Rood]]=0,0,(Tabel511[[#This Row],[Wins Rood]])/Tabel511[[#This Row],[Aantal Games Rood]])</f>
        <v>0</v>
      </c>
      <c r="AP12" s="159">
        <f>IF(Tabel511[[#This Row],[Aantal Games Groen]]=0,0,(Tabel511[[#This Row],[Wins Groen]])/Tabel511[[#This Row],[Aantal Games Groen]])</f>
        <v>0</v>
      </c>
      <c r="AQ12" s="156">
        <f>IF(Tabel511[[#This Row],[Aantal games Alg]]=0,0,(Tabel511[[#This Row],[Wins Alg]])/Tabel511[[#This Row],[Aantal games Alg]])</f>
        <v>0</v>
      </c>
      <c r="AR12" s="138">
        <f>COUNTIF(Tabel152[Winaar rood],Tabel511[[#This Row],[Team]])</f>
        <v>0</v>
      </c>
      <c r="AS12" s="134">
        <f>COUNTIF(Tabel152[Winnaar Groen],Tabel511[[#This Row],[Team]])</f>
        <v>0</v>
      </c>
      <c r="AT12" s="293">
        <f>COUNTIF(Tabel152[Winnaars],Tabel511[[#This Row],[Team]])</f>
        <v>0</v>
      </c>
      <c r="AU12" s="135">
        <f>Tabel511[[#This Row],[Aantal Games Rood]]-Tabel511[[#This Row],[Wins Rood]]</f>
        <v>0</v>
      </c>
      <c r="AV12" s="136">
        <f>Tabel511[[#This Row],[Aantal Games Groen]]-Tabel511[[#This Row],[Wins Groen]]</f>
        <v>0</v>
      </c>
      <c r="AW12" s="137">
        <f>Tabel511[[#This Row],[Aantal games Alg]]-Tabel511[[#This Row],[Wins Alg]]</f>
        <v>0</v>
      </c>
      <c r="AX12" s="138">
        <f>COUNTIF(Tabel152[Team Rood],Tabel511[[#This Row],[Team]])</f>
        <v>0</v>
      </c>
      <c r="AY12" s="136">
        <f>COUNTIF(Tabel152[Team Groen],Tabel511[[#This Row],[Team]])</f>
        <v>0</v>
      </c>
      <c r="AZ12" s="214">
        <f>Tabel511[[#This Row],[Aantal Games Rood]]+Tabel511[[#This Row],[Aantal Games Groen]]</f>
        <v>0</v>
      </c>
      <c r="BA12" s="138">
        <f>SUMIF(Tabel152[Team Rood],Tabel511[[#This Row],[Team]],Tabel152[Score])</f>
        <v>0</v>
      </c>
      <c r="BB12" s="138">
        <f>SUMIF(Tabel152[Team Rood],Tabel511[[#This Row],[Team]],Tabel152[Score2])</f>
        <v>0</v>
      </c>
      <c r="BC12" s="134">
        <f>SUMIF(Tabel152[Team Groen],Tabel511[[#This Row],[Team]],Tabel152[Score3])</f>
        <v>0</v>
      </c>
      <c r="BD12" s="136">
        <f>SUMIF(Tabel152[Team Groen],Tabel511[[#This Row],[Team]],Tabel152[Score4])</f>
        <v>0</v>
      </c>
      <c r="BE12" s="293">
        <f>SUM(Tabel511[[#This Row],[Goals Verdediger]]+Tabel511[[#This Row],[Goals DefG]])</f>
        <v>0</v>
      </c>
      <c r="BF12" s="293">
        <f>IF(Tabel511[[#This Row],[Aantal games Alg]]=0,0,Tabel511[[#This Row],[Goals DefA]]/Tabel511[[#This Row],[Aantal games Alg]])</f>
        <v>0</v>
      </c>
      <c r="BG12" s="293">
        <f>SUM(Tabel511[[#This Row],[Goals Aanvaller]]+Tabel511[[#This Row],[Goals OffG]])</f>
        <v>0</v>
      </c>
      <c r="BH12" s="293">
        <f>IF(Tabel511[[#This Row],[Aantal games Alg]]=0,0,Tabel511[[#This Row],[Goals OffA]]/Tabel511[[#This Row],[Aantal games Alg]])</f>
        <v>0</v>
      </c>
      <c r="BI12" s="214">
        <f>Tabel511[[#This Row],[Goals DefA]]+Tabel511[[#This Row],[Goals OffA]]</f>
        <v>0</v>
      </c>
      <c r="BJ12" s="214">
        <f>IF(Tabel511[[#This Row],[Aantal games Alg]]=0,0,Tabel511[[#This Row],[Goals Alg]]/Tabel511[[#This Row],[Aantal games Alg]])</f>
        <v>0</v>
      </c>
      <c r="BK12" s="148">
        <f>SUMIF(Tabel152[Team Rood],Tabel511[[#This Row],[Team]],Tabel152[ET])</f>
        <v>0</v>
      </c>
      <c r="BL12" s="150">
        <f>SUMIF(Tabel152[Team Groen],Tabel511[[#This Row],[Team]],Tabel152[ET])</f>
        <v>0</v>
      </c>
      <c r="BM12" s="153">
        <f>SUM(Tabel511[[#This Row],[ET Groen tot]],Tabel511[[#This Row],[ET Rood tot]])</f>
        <v>0</v>
      </c>
      <c r="BN12" s="155">
        <f>IF(Tabel511[[#This Row],[Aantal games Alg]]=0,0,Tabel511[[#This Row],[ET tot]]/Tabel511[[#This Row],[Aantal games Alg]])</f>
        <v>0</v>
      </c>
    </row>
    <row r="13" spans="1:66" x14ac:dyDescent="0.25">
      <c r="A13" s="215">
        <f ca="1">IF(Tabel152[[#This Row],[Rood Verdediging]]&lt;&gt;"",IF(A13="",NOW(),A13),"")</f>
        <v>44406.765436805559</v>
      </c>
      <c r="B13" s="218">
        <f ca="1">IF(Tabel152[[#This Row],[Rood Verdediging]]&lt;&gt;"",IF(B13="",NOW(),B13),"")</f>
        <v>44406.765436805559</v>
      </c>
      <c r="C13" s="216">
        <f ca="1">IF(Tabel152[[#This Row],[Score]]&lt;&gt;"",IF(C13="",NOW(),C13),"")</f>
        <v>44406.765457638889</v>
      </c>
      <c r="D13" s="217">
        <f ca="1">IF(OR(Tabel152[[#This Row],[Starttijd]]="",Tabel152[[#This Row],[Eindtijd]]=""),"",Tabel152[[#This Row],[Eindtijd]]-Tabel152[[#This Row],[Starttijd]])</f>
        <v>2.0833329472225159E-5</v>
      </c>
      <c r="E13" s="74">
        <v>12</v>
      </c>
      <c r="F13" s="207" t="s">
        <v>6</v>
      </c>
      <c r="G13" s="210">
        <v>5</v>
      </c>
      <c r="H13" s="207" t="s">
        <v>0</v>
      </c>
      <c r="I13" s="210">
        <v>6</v>
      </c>
      <c r="J13" s="204" t="s">
        <v>7</v>
      </c>
      <c r="K13" s="212">
        <v>4</v>
      </c>
      <c r="L13" s="204" t="s">
        <v>167</v>
      </c>
      <c r="M13" s="212">
        <v>5</v>
      </c>
      <c r="N13" s="79">
        <f>Tabel152[[#This Row],[Score]]+Tabel152[[#This Row],[Score2]]</f>
        <v>11</v>
      </c>
      <c r="O13" s="80">
        <f>Tabel152[[#This Row],[Score3]]+Tabel152[[#This Row],[Score4]]</f>
        <v>9</v>
      </c>
      <c r="P1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Row],[Score4]]&lt;&gt;""),IF(AND(N13&gt;O13,N13&gt;=11),"ROOD",IF(AND(O13&gt;=11,N13&lt;&gt;O13),"GROEN","")),"")</f>
        <v>ROOD</v>
      </c>
      <c r="Q13" s="84" t="str">
        <f t="shared" si="12"/>
        <v>Stef D</v>
      </c>
      <c r="R13" s="85" t="str">
        <f t="shared" si="13"/>
        <v>Jonas</v>
      </c>
      <c r="S13" s="293" t="str">
        <f>Tabel152[[#This Row],[Rood Verdediging]]&amp;Tabel152[[#This Row],[Rood Aanval]]</f>
        <v>Stef DJonas</v>
      </c>
      <c r="T13" s="293" t="str">
        <f>Tabel152[[#This Row],[Groen Verdediging]]&amp;Tabel152[[#This Row],[Groen Aanval]]</f>
        <v>TiemenCoghe</v>
      </c>
      <c r="U13" s="293" t="str">
        <f>Tabel152[[#This Row],[Winnaar 1]]&amp;Tabel152[[#This Row],[Winnaar 2]]</f>
        <v>Stef DJonas</v>
      </c>
      <c r="V13" s="147" t="str">
        <f>IF(Tabel152[[#This Row],[Team Rood]]=Tabel152[[#This Row],[Winnaars]],Tabel152[[#This Row],[Team Rood]])</f>
        <v>Stef DJonas</v>
      </c>
      <c r="W13" s="147" t="b">
        <f>IF(Tabel152[[#This Row],[Team Groen]]=Tabel152[[#This Row],[Winnaars]],Tabel152[[#This Row],[Team Groen]])</f>
        <v>0</v>
      </c>
      <c r="X13" s="283">
        <v>45.224019804814994</v>
      </c>
      <c r="Y13" s="283">
        <v>30.397788307691549</v>
      </c>
      <c r="Z13" s="283">
        <v>-3.0403902284615185</v>
      </c>
      <c r="AA13" s="283">
        <v>-19.277716868125292</v>
      </c>
      <c r="AB13" s="132" t="s">
        <v>158</v>
      </c>
      <c r="AC13" s="175">
        <f t="shared" ca="1" si="2"/>
        <v>0</v>
      </c>
      <c r="AD13" s="175">
        <f t="shared" ca="1" si="3"/>
        <v>0</v>
      </c>
      <c r="AE13" s="176">
        <f t="shared" ca="1" si="4"/>
        <v>0</v>
      </c>
      <c r="AF13" s="176">
        <f t="shared" ca="1" si="5"/>
        <v>0</v>
      </c>
      <c r="AG13" s="308">
        <f t="shared" ca="1" si="9"/>
        <v>0</v>
      </c>
      <c r="AH13" s="308">
        <f t="shared" ca="1" si="10"/>
        <v>0</v>
      </c>
      <c r="AI13" s="308">
        <f t="shared" ca="1" si="11"/>
        <v>0</v>
      </c>
      <c r="AL13" s="251" t="s">
        <v>158</v>
      </c>
      <c r="AM13" s="233" t="s">
        <v>157</v>
      </c>
      <c r="AN13" s="140" t="str">
        <f t="shared" si="6"/>
        <v>Arno*Tobi*</v>
      </c>
      <c r="AO13" s="160">
        <f>IF(Tabel511[[#This Row],[Aantal Games Rood]]=0,0,(Tabel511[[#This Row],[Wins Rood]])/Tabel511[[#This Row],[Aantal Games Rood]])</f>
        <v>0</v>
      </c>
      <c r="AP13" s="159">
        <f>IF(Tabel511[[#This Row],[Aantal Games Groen]]=0,0,(Tabel511[[#This Row],[Wins Groen]])/Tabel511[[#This Row],[Aantal Games Groen]])</f>
        <v>0</v>
      </c>
      <c r="AQ13" s="156">
        <f>IF(Tabel511[[#This Row],[Aantal games Alg]]=0,0,(Tabel511[[#This Row],[Wins Alg]])/Tabel511[[#This Row],[Aantal games Alg]])</f>
        <v>0</v>
      </c>
      <c r="AR13" s="133">
        <f>COUNTIF(Tabel152[Winaar rood],Tabel511[[#This Row],[Team]])</f>
        <v>0</v>
      </c>
      <c r="AS13" s="134">
        <f>COUNTIF(Tabel152[Winnaar Groen],Tabel511[[#This Row],[Team]])</f>
        <v>0</v>
      </c>
      <c r="AT13" s="293">
        <f>COUNTIF(Tabel152[Winnaars],Tabel511[[#This Row],[Team]])</f>
        <v>0</v>
      </c>
      <c r="AU13" s="135">
        <f>Tabel511[[#This Row],[Aantal Games Rood]]-Tabel511[[#This Row],[Wins Rood]]</f>
        <v>0</v>
      </c>
      <c r="AV13" s="136">
        <f>Tabel511[[#This Row],[Aantal Games Groen]]-Tabel511[[#This Row],[Wins Groen]]</f>
        <v>0</v>
      </c>
      <c r="AW13" s="137">
        <f>Tabel511[[#This Row],[Aantal games Alg]]-Tabel511[[#This Row],[Wins Alg]]</f>
        <v>0</v>
      </c>
      <c r="AX13" s="138">
        <f>COUNTIF(Tabel152[Team Rood],Tabel511[[#This Row],[Team]])</f>
        <v>0</v>
      </c>
      <c r="AY13" s="136">
        <f>COUNTIF(Tabel152[Team Groen],Tabel511[[#This Row],[Team]])</f>
        <v>0</v>
      </c>
      <c r="AZ13" s="214">
        <f>Tabel511[[#This Row],[Aantal Games Rood]]+Tabel511[[#This Row],[Aantal Games Groen]]</f>
        <v>0</v>
      </c>
      <c r="BA13" s="138">
        <f>SUMIF(Tabel152[Team Rood],Tabel511[[#This Row],[Team]],Tabel152[Score])</f>
        <v>0</v>
      </c>
      <c r="BB13" s="138">
        <f>SUMIF(Tabel152[Team Rood],Tabel511[[#This Row],[Team]],Tabel152[Score2])</f>
        <v>0</v>
      </c>
      <c r="BC13" s="134">
        <f>SUMIF(Tabel152[Team Groen],Tabel511[[#This Row],[Team]],Tabel152[Score3])</f>
        <v>0</v>
      </c>
      <c r="BD13" s="136">
        <f>SUMIF(Tabel152[Team Groen],Tabel511[[#This Row],[Team]],Tabel152[Score4])</f>
        <v>0</v>
      </c>
      <c r="BE13" s="293">
        <f>SUM(Tabel511[[#This Row],[Goals Verdediger]]+Tabel511[[#This Row],[Goals DefG]])</f>
        <v>0</v>
      </c>
      <c r="BF13" s="293">
        <f>IF(Tabel511[[#This Row],[Aantal games Alg]]=0,0,Tabel511[[#This Row],[Goals DefA]]/Tabel511[[#This Row],[Aantal games Alg]])</f>
        <v>0</v>
      </c>
      <c r="BG13" s="293">
        <f>SUM(Tabel511[[#This Row],[Goals Aanvaller]]+Tabel511[[#This Row],[Goals OffG]])</f>
        <v>0</v>
      </c>
      <c r="BH13" s="293">
        <f>IF(Tabel511[[#This Row],[Aantal games Alg]]=0,0,Tabel511[[#This Row],[Goals OffA]]/Tabel511[[#This Row],[Aantal games Alg]])</f>
        <v>0</v>
      </c>
      <c r="BI13" s="214">
        <f>Tabel511[[#This Row],[Goals DefA]]+Tabel511[[#This Row],[Goals OffA]]</f>
        <v>0</v>
      </c>
      <c r="BJ13" s="214">
        <f>IF(Tabel511[[#This Row],[Aantal games Alg]]=0,0,Tabel511[[#This Row],[Goals Alg]]/Tabel511[[#This Row],[Aantal games Alg]])</f>
        <v>0</v>
      </c>
      <c r="BK13" s="148">
        <f>SUMIF(Tabel152[Team Rood],Tabel511[[#This Row],[Team]],Tabel152[ET])</f>
        <v>0</v>
      </c>
      <c r="BL13" s="150">
        <f>SUMIF(Tabel152[Team Groen],Tabel511[[#This Row],[Team]],Tabel152[ET])</f>
        <v>0</v>
      </c>
      <c r="BM13" s="153">
        <f>SUM(Tabel511[[#This Row],[ET Groen tot]],Tabel511[[#This Row],[ET Rood tot]])</f>
        <v>0</v>
      </c>
      <c r="BN13" s="155">
        <f>IF(Tabel511[[#This Row],[Aantal games Alg]]=0,0,Tabel511[[#This Row],[ET tot]]/Tabel511[[#This Row],[Aantal games Alg]])</f>
        <v>0</v>
      </c>
    </row>
    <row r="14" spans="1:66" x14ac:dyDescent="0.25">
      <c r="A14" s="215">
        <f ca="1">IF(Tabel152[[#This Row],[Rood Verdediging]]&lt;&gt;"",IF(A14="",NOW(),A14),"")</f>
        <v>44406.765864699075</v>
      </c>
      <c r="B14" s="218">
        <f ca="1">IF(Tabel152[[#This Row],[Rood Verdediging]]&lt;&gt;"",IF(B14="",NOW(),B14),"")</f>
        <v>44406.765864699075</v>
      </c>
      <c r="C14" s="216">
        <f ca="1">IF(Tabel152[[#This Row],[Score]]&lt;&gt;"",IF(C14="",NOW(),C14),"")</f>
        <v>44406.765888078706</v>
      </c>
      <c r="D14" s="217">
        <f ca="1">IF(OR(Tabel152[[#This Row],[Starttijd]]="",Tabel152[[#This Row],[Eindtijd]]=""),"",Tabel152[[#This Row],[Eindtijd]]-Tabel152[[#This Row],[Starttijd]])</f>
        <v>2.3379630874842405E-5</v>
      </c>
      <c r="E14" s="74">
        <v>13</v>
      </c>
      <c r="F14" s="207" t="s">
        <v>0</v>
      </c>
      <c r="G14" s="210">
        <v>1</v>
      </c>
      <c r="H14" s="207" t="s">
        <v>6</v>
      </c>
      <c r="I14" s="210">
        <v>8</v>
      </c>
      <c r="J14" s="204" t="s">
        <v>167</v>
      </c>
      <c r="K14" s="212">
        <v>1</v>
      </c>
      <c r="L14" s="204" t="s">
        <v>7</v>
      </c>
      <c r="M14" s="212">
        <v>10</v>
      </c>
      <c r="N14" s="79">
        <f>Tabel152[[#This Row],[Score]]+Tabel152[[#This Row],[Score2]]</f>
        <v>9</v>
      </c>
      <c r="O14" s="80">
        <f>Tabel152[[#This Row],[Score3]]+Tabel152[[#This Row],[Score4]]</f>
        <v>11</v>
      </c>
      <c r="P1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Row],[Score4]]&lt;&gt;""),IF(AND(N14&gt;O14,N14&gt;=11),"ROOD",IF(AND(O14&gt;=11,N14&lt;&gt;O14),"GROEN","")),"")</f>
        <v>GROEN</v>
      </c>
      <c r="Q14" s="84" t="str">
        <f t="shared" si="12"/>
        <v>Coghe</v>
      </c>
      <c r="R14" s="85" t="str">
        <f t="shared" si="13"/>
        <v>Tiemen</v>
      </c>
      <c r="S14" s="293" t="str">
        <f>Tabel152[[#This Row],[Rood Verdediging]]&amp;Tabel152[[#This Row],[Rood Aanval]]</f>
        <v>JonasStef D</v>
      </c>
      <c r="T14" s="293" t="str">
        <f>Tabel152[[#This Row],[Groen Verdediging]]&amp;Tabel152[[#This Row],[Groen Aanval]]</f>
        <v>CogheTiemen</v>
      </c>
      <c r="U14" s="293" t="str">
        <f>Tabel152[[#This Row],[Winnaar 1]]&amp;Tabel152[[#This Row],[Winnaar 2]]</f>
        <v>CogheTiemen</v>
      </c>
      <c r="V14" s="147" t="b">
        <f>IF(Tabel152[[#This Row],[Team Rood]]=Tabel152[[#This Row],[Winnaars]],Tabel152[[#This Row],[Team Rood]])</f>
        <v>0</v>
      </c>
      <c r="W14" s="147" t="str">
        <f>IF(Tabel152[[#This Row],[Team Groen]]=Tabel152[[#This Row],[Winnaars]],Tabel152[[#This Row],[Team Groen]])</f>
        <v>CogheTiemen</v>
      </c>
      <c r="X14" s="283">
        <v>-14.092644347776769</v>
      </c>
      <c r="Y14" s="283">
        <v>-17.488630681310966</v>
      </c>
      <c r="Z14" s="283">
        <v>43.387925813996787</v>
      </c>
      <c r="AA14" s="283">
        <v>52.722435377843482</v>
      </c>
      <c r="AB14" s="132" t="s">
        <v>168</v>
      </c>
      <c r="AC14" s="175">
        <f t="shared" ca="1" si="2"/>
        <v>9</v>
      </c>
      <c r="AD14" s="175">
        <f t="shared" ca="1" si="3"/>
        <v>8</v>
      </c>
      <c r="AE14" s="176">
        <f t="shared" ca="1" si="4"/>
        <v>10</v>
      </c>
      <c r="AF14" s="176">
        <f t="shared" ca="1" si="5"/>
        <v>8</v>
      </c>
      <c r="AG14" s="308">
        <f t="shared" ca="1" si="9"/>
        <v>17</v>
      </c>
      <c r="AH14" s="308">
        <f t="shared" ca="1" si="10"/>
        <v>18</v>
      </c>
      <c r="AI14" s="308">
        <f t="shared" ca="1" si="11"/>
        <v>35</v>
      </c>
      <c r="AL14" s="251" t="s">
        <v>163</v>
      </c>
      <c r="AM14" s="233" t="s">
        <v>158</v>
      </c>
      <c r="AN14" s="140" t="str">
        <f t="shared" si="6"/>
        <v>Bert*Arno*</v>
      </c>
      <c r="AO14" s="160">
        <f>IF(Tabel511[[#This Row],[Aantal Games Rood]]=0,0,(Tabel511[[#This Row],[Wins Rood]])/Tabel511[[#This Row],[Aantal Games Rood]])</f>
        <v>0</v>
      </c>
      <c r="AP14" s="159">
        <f>IF(Tabel511[[#This Row],[Aantal Games Groen]]=0,0,(Tabel511[[#This Row],[Wins Groen]])/Tabel511[[#This Row],[Aantal Games Groen]])</f>
        <v>0</v>
      </c>
      <c r="AQ14" s="156">
        <f>IF(Tabel511[[#This Row],[Aantal games Alg]]=0,0,(Tabel511[[#This Row],[Wins Alg]])/Tabel511[[#This Row],[Aantal games Alg]])</f>
        <v>0</v>
      </c>
      <c r="AR14" s="133">
        <f>COUNTIF(Tabel152[Winaar rood],Tabel511[[#This Row],[Team]])</f>
        <v>0</v>
      </c>
      <c r="AS14" s="134">
        <f>COUNTIF(Tabel152[Winnaar Groen],Tabel511[[#This Row],[Team]])</f>
        <v>0</v>
      </c>
      <c r="AT14" s="293">
        <f>COUNTIF(Tabel152[Winnaars],Tabel511[[#This Row],[Team]])</f>
        <v>0</v>
      </c>
      <c r="AU14" s="135">
        <f>Tabel511[[#This Row],[Aantal Games Rood]]-Tabel511[[#This Row],[Wins Rood]]</f>
        <v>0</v>
      </c>
      <c r="AV14" s="136">
        <f>Tabel511[[#This Row],[Aantal Games Groen]]-Tabel511[[#This Row],[Wins Groen]]</f>
        <v>0</v>
      </c>
      <c r="AW14" s="137">
        <f>Tabel511[[#This Row],[Aantal games Alg]]-Tabel511[[#This Row],[Wins Alg]]</f>
        <v>0</v>
      </c>
      <c r="AX14" s="138">
        <f>COUNTIF(Tabel152[Team Rood],Tabel511[[#This Row],[Team]])</f>
        <v>0</v>
      </c>
      <c r="AY14" s="136">
        <f>COUNTIF(Tabel152[Team Groen],Tabel511[[#This Row],[Team]])</f>
        <v>0</v>
      </c>
      <c r="AZ14" s="214">
        <f>Tabel511[[#This Row],[Aantal Games Rood]]+Tabel511[[#This Row],[Aantal Games Groen]]</f>
        <v>0</v>
      </c>
      <c r="BA14" s="138">
        <f>SUMIF(Tabel152[Team Rood],Tabel511[[#This Row],[Team]],Tabel152[Score])</f>
        <v>0</v>
      </c>
      <c r="BB14" s="138">
        <f>SUMIF(Tabel152[Team Rood],Tabel511[[#This Row],[Team]],Tabel152[Score2])</f>
        <v>0</v>
      </c>
      <c r="BC14" s="134">
        <f>SUMIF(Tabel152[Team Groen],Tabel511[[#This Row],[Team]],Tabel152[Score3])</f>
        <v>0</v>
      </c>
      <c r="BD14" s="136">
        <f>SUMIF(Tabel152[Team Groen],Tabel511[[#This Row],[Team]],Tabel152[Score4])</f>
        <v>0</v>
      </c>
      <c r="BE14" s="293">
        <f>SUM(Tabel511[[#This Row],[Goals Verdediger]]+Tabel511[[#This Row],[Goals DefG]])</f>
        <v>0</v>
      </c>
      <c r="BF14" s="293">
        <f>IF(Tabel511[[#This Row],[Aantal games Alg]]=0,0,Tabel511[[#This Row],[Goals DefA]]/Tabel511[[#This Row],[Aantal games Alg]])</f>
        <v>0</v>
      </c>
      <c r="BG14" s="293">
        <f>SUM(Tabel511[[#This Row],[Goals Aanvaller]]+Tabel511[[#This Row],[Goals OffG]])</f>
        <v>0</v>
      </c>
      <c r="BH14" s="293">
        <f>IF(Tabel511[[#This Row],[Aantal games Alg]]=0,0,Tabel511[[#This Row],[Goals OffA]]/Tabel511[[#This Row],[Aantal games Alg]])</f>
        <v>0</v>
      </c>
      <c r="BI14" s="214">
        <f>Tabel511[[#This Row],[Goals DefA]]+Tabel511[[#This Row],[Goals OffA]]</f>
        <v>0</v>
      </c>
      <c r="BJ14" s="214">
        <f>IF(Tabel511[[#This Row],[Aantal games Alg]]=0,0,Tabel511[[#This Row],[Goals Alg]]/Tabel511[[#This Row],[Aantal games Alg]])</f>
        <v>0</v>
      </c>
      <c r="BK14" s="148">
        <f>SUMIF(Tabel152[Team Rood],Tabel511[[#This Row],[Team]],Tabel152[ET])</f>
        <v>0</v>
      </c>
      <c r="BL14" s="150">
        <f>SUMIF(Tabel152[Team Groen],Tabel511[[#This Row],[Team]],Tabel152[ET])</f>
        <v>0</v>
      </c>
      <c r="BM14" s="153">
        <f>SUM(Tabel511[[#This Row],[ET Groen tot]],Tabel511[[#This Row],[ET Rood tot]])</f>
        <v>0</v>
      </c>
      <c r="BN14" s="155">
        <f>IF(Tabel511[[#This Row],[Aantal games Alg]]=0,0,Tabel511[[#This Row],[ET tot]]/Tabel511[[#This Row],[Aantal games Alg]])</f>
        <v>0</v>
      </c>
    </row>
    <row r="15" spans="1:66" x14ac:dyDescent="0.25">
      <c r="A15" s="215">
        <f ca="1">IF(Tabel152[[#This Row],[Rood Verdediging]]&lt;&gt;"",IF(A15="",NOW(),A15),"")</f>
        <v>44406.766485763888</v>
      </c>
      <c r="B15" s="218">
        <f ca="1">IF(Tabel152[[#This Row],[Rood Verdediging]]&lt;&gt;"",IF(B15="",NOW(),B15),"")</f>
        <v>44406.766485763888</v>
      </c>
      <c r="C15" s="216">
        <f ca="1">IF(Tabel152[[#This Row],[Score]]&lt;&gt;"",IF(C15="",NOW(),C15),"")</f>
        <v>44406.766511458336</v>
      </c>
      <c r="D15" s="217">
        <f ca="1">IF(OR(Tabel152[[#This Row],[Starttijd]]="",Tabel152[[#This Row],[Eindtijd]]=""),"",Tabel152[[#This Row],[Eindtijd]]-Tabel152[[#This Row],[Starttijd]])</f>
        <v>2.5694447685964406E-5</v>
      </c>
      <c r="E15" s="74">
        <v>14</v>
      </c>
      <c r="F15" s="207" t="s">
        <v>7</v>
      </c>
      <c r="G15" s="210">
        <v>6</v>
      </c>
      <c r="H15" s="207" t="s">
        <v>6</v>
      </c>
      <c r="I15" s="210">
        <v>5</v>
      </c>
      <c r="J15" s="204" t="s">
        <v>0</v>
      </c>
      <c r="K15" s="212">
        <v>3</v>
      </c>
      <c r="L15" s="204" t="s">
        <v>167</v>
      </c>
      <c r="M15" s="212">
        <v>3</v>
      </c>
      <c r="N15" s="79">
        <f>Tabel152[[#This Row],[Score]]+Tabel152[[#This Row],[Score2]]</f>
        <v>11</v>
      </c>
      <c r="O15" s="80">
        <f>Tabel152[[#This Row],[Score3]]+Tabel152[[#This Row],[Score4]]</f>
        <v>6</v>
      </c>
      <c r="P1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Row],[Score4]]&lt;&gt;""),IF(AND(N15&gt;O15,N15&gt;=11),"ROOD",IF(AND(O15&gt;=11,N15&lt;&gt;O15),"GROEN","")),"")</f>
        <v>ROOD</v>
      </c>
      <c r="Q15" s="84" t="str">
        <f t="shared" si="12"/>
        <v>Tiemen</v>
      </c>
      <c r="R15" s="85" t="str">
        <f t="shared" si="13"/>
        <v>Stef D</v>
      </c>
      <c r="S15" s="293" t="str">
        <f>Tabel152[[#This Row],[Rood Verdediging]]&amp;Tabel152[[#This Row],[Rood Aanval]]</f>
        <v>TiemenStef D</v>
      </c>
      <c r="T15" s="293" t="str">
        <f>Tabel152[[#This Row],[Groen Verdediging]]&amp;Tabel152[[#This Row],[Groen Aanval]]</f>
        <v>JonasCoghe</v>
      </c>
      <c r="U15" s="293" t="str">
        <f>Tabel152[[#This Row],[Winnaar 1]]&amp;Tabel152[[#This Row],[Winnaar 2]]</f>
        <v>TiemenStef D</v>
      </c>
      <c r="V15" s="147" t="str">
        <f>IF(Tabel152[[#This Row],[Team Rood]]=Tabel152[[#This Row],[Winnaars]],Tabel152[[#This Row],[Team Rood]])</f>
        <v>TiemenStef D</v>
      </c>
      <c r="W15" s="147" t="b">
        <f>IF(Tabel152[[#This Row],[Team Groen]]=Tabel152[[#This Row],[Winnaars]],Tabel152[[#This Row],[Team Groen]])</f>
        <v>0</v>
      </c>
      <c r="X15" s="283">
        <v>61.352550749544172</v>
      </c>
      <c r="Y15" s="283">
        <v>24.993570558687633</v>
      </c>
      <c r="Z15" s="283">
        <v>-1.5317999137776006</v>
      </c>
      <c r="AA15" s="283">
        <v>-29.669642333449211</v>
      </c>
      <c r="AL15" s="251" t="s">
        <v>163</v>
      </c>
      <c r="AM15" s="233" t="s">
        <v>168</v>
      </c>
      <c r="AN15" s="140" t="str">
        <f t="shared" si="6"/>
        <v>Bert*Coghe*</v>
      </c>
      <c r="AO15" s="160">
        <f>IF(Tabel511[[#This Row],[Aantal Games Rood]]=0,0,(Tabel511[[#This Row],[Wins Rood]])/Tabel511[[#This Row],[Aantal Games Rood]])</f>
        <v>0</v>
      </c>
      <c r="AP15" s="159">
        <f>IF(Tabel511[[#This Row],[Aantal Games Groen]]=0,0,(Tabel511[[#This Row],[Wins Groen]])/Tabel511[[#This Row],[Aantal Games Groen]])</f>
        <v>0</v>
      </c>
      <c r="AQ15" s="156">
        <f>IF(Tabel511[[#This Row],[Aantal games Alg]]=0,0,(Tabel511[[#This Row],[Wins Alg]])/Tabel511[[#This Row],[Aantal games Alg]])</f>
        <v>0</v>
      </c>
      <c r="AR15" s="133">
        <f>COUNTIF(Tabel152[Winaar rood],Tabel511[[#This Row],[Team]])</f>
        <v>0</v>
      </c>
      <c r="AS15" s="134">
        <f>COUNTIF(Tabel152[Winnaar Groen],Tabel511[[#This Row],[Team]])</f>
        <v>0</v>
      </c>
      <c r="AT15" s="293">
        <f>COUNTIF(Tabel152[Winnaars],Tabel511[[#This Row],[Team]])</f>
        <v>0</v>
      </c>
      <c r="AU15" s="135">
        <f>Tabel511[[#This Row],[Aantal Games Rood]]-Tabel511[[#This Row],[Wins Rood]]</f>
        <v>0</v>
      </c>
      <c r="AV15" s="136">
        <f>Tabel511[[#This Row],[Aantal Games Groen]]-Tabel511[[#This Row],[Wins Groen]]</f>
        <v>0</v>
      </c>
      <c r="AW15" s="137">
        <f>Tabel511[[#This Row],[Aantal games Alg]]-Tabel511[[#This Row],[Wins Alg]]</f>
        <v>0</v>
      </c>
      <c r="AX15" s="138">
        <f>COUNTIF(Tabel152[Team Rood],Tabel511[[#This Row],[Team]])</f>
        <v>0</v>
      </c>
      <c r="AY15" s="136">
        <f>COUNTIF(Tabel152[Team Groen],Tabel511[[#This Row],[Team]])</f>
        <v>0</v>
      </c>
      <c r="AZ15" s="214">
        <f>Tabel511[[#This Row],[Aantal Games Rood]]+Tabel511[[#This Row],[Aantal Games Groen]]</f>
        <v>0</v>
      </c>
      <c r="BA15" s="138">
        <f>SUMIF(Tabel152[Team Rood],Tabel511[[#This Row],[Team]],Tabel152[Score])</f>
        <v>0</v>
      </c>
      <c r="BB15" s="138">
        <f>SUMIF(Tabel152[Team Rood],Tabel511[[#This Row],[Team]],Tabel152[Score2])</f>
        <v>0</v>
      </c>
      <c r="BC15" s="134">
        <f>SUMIF(Tabel152[Team Groen],Tabel511[[#This Row],[Team]],Tabel152[Score3])</f>
        <v>0</v>
      </c>
      <c r="BD15" s="136">
        <f>SUMIF(Tabel152[Team Groen],Tabel511[[#This Row],[Team]],Tabel152[Score4])</f>
        <v>0</v>
      </c>
      <c r="BE15" s="293">
        <f>SUM(Tabel511[[#This Row],[Goals Verdediger]]+Tabel511[[#This Row],[Goals DefG]])</f>
        <v>0</v>
      </c>
      <c r="BF15" s="293">
        <f>IF(Tabel511[[#This Row],[Aantal games Alg]]=0,0,Tabel511[[#This Row],[Goals DefA]]/Tabel511[[#This Row],[Aantal games Alg]])</f>
        <v>0</v>
      </c>
      <c r="BG15" s="293">
        <f>SUM(Tabel511[[#This Row],[Goals Aanvaller]]+Tabel511[[#This Row],[Goals OffG]])</f>
        <v>0</v>
      </c>
      <c r="BH15" s="293">
        <f>IF(Tabel511[[#This Row],[Aantal games Alg]]=0,0,Tabel511[[#This Row],[Goals OffA]]/Tabel511[[#This Row],[Aantal games Alg]])</f>
        <v>0</v>
      </c>
      <c r="BI15" s="214">
        <f>Tabel511[[#This Row],[Goals DefA]]+Tabel511[[#This Row],[Goals OffA]]</f>
        <v>0</v>
      </c>
      <c r="BJ15" s="214">
        <f>IF(Tabel511[[#This Row],[Aantal games Alg]]=0,0,Tabel511[[#This Row],[Goals Alg]]/Tabel511[[#This Row],[Aantal games Alg]])</f>
        <v>0</v>
      </c>
      <c r="BK15" s="148">
        <f>SUMIF(Tabel152[Team Rood],Tabel511[[#This Row],[Team]],Tabel152[ET])</f>
        <v>0</v>
      </c>
      <c r="BL15" s="150">
        <f>SUMIF(Tabel152[Team Groen],Tabel511[[#This Row],[Team]],Tabel152[ET])</f>
        <v>0</v>
      </c>
      <c r="BM15" s="153">
        <f>SUM(Tabel511[[#This Row],[ET Groen tot]],Tabel511[[#This Row],[ET Rood tot]])</f>
        <v>0</v>
      </c>
      <c r="BN15" s="155">
        <f>IF(Tabel511[[#This Row],[Aantal games Alg]]=0,0,Tabel511[[#This Row],[ET tot]]/Tabel511[[#This Row],[Aantal games Alg]])</f>
        <v>0</v>
      </c>
    </row>
    <row r="16" spans="1:66" x14ac:dyDescent="0.25">
      <c r="A16" s="215">
        <f ca="1">IF(Tabel152[[#This Row],[Rood Verdediging]]&lt;&gt;"",IF(A16="",NOW(),A16),"")</f>
        <v>44406.76695740741</v>
      </c>
      <c r="B16" s="218">
        <f ca="1">IF(Tabel152[[#This Row],[Rood Verdediging]]&lt;&gt;"",IF(B16="",NOW(),B16),"")</f>
        <v>44406.76695740741</v>
      </c>
      <c r="C16" s="216">
        <f ca="1">IF(Tabel152[[#This Row],[Score]]&lt;&gt;"",IF(C16="",NOW(),C16),"")</f>
        <v>44406.767004861111</v>
      </c>
      <c r="D16" s="217">
        <f ca="1">IF(OR(Tabel152[[#This Row],[Starttijd]]="",Tabel152[[#This Row],[Eindtijd]]=""),"",Tabel152[[#This Row],[Eindtijd]]-Tabel152[[#This Row],[Starttijd]])</f>
        <v>4.7453700972255319E-5</v>
      </c>
      <c r="E16" s="74">
        <v>15</v>
      </c>
      <c r="F16" s="207" t="s">
        <v>6</v>
      </c>
      <c r="G16" s="210">
        <v>5</v>
      </c>
      <c r="H16" s="207" t="s">
        <v>0</v>
      </c>
      <c r="I16" s="210">
        <v>6</v>
      </c>
      <c r="J16" s="204" t="s">
        <v>7</v>
      </c>
      <c r="K16" s="212">
        <v>5</v>
      </c>
      <c r="L16" s="204" t="s">
        <v>11</v>
      </c>
      <c r="M16" s="212">
        <v>3</v>
      </c>
      <c r="N16" s="79">
        <f>Tabel152[[#This Row],[Score]]+Tabel152[[#This Row],[Score2]]</f>
        <v>11</v>
      </c>
      <c r="O16" s="80">
        <f>Tabel152[[#This Row],[Score3]]+Tabel152[[#This Row],[Score4]]</f>
        <v>8</v>
      </c>
      <c r="P1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Row],[Score4]]&lt;&gt;""),IF(AND(N16&gt;O16,N16&gt;=11),"ROOD",IF(AND(O16&gt;=11,N16&lt;&gt;O16),"GROEN","")),"")</f>
        <v>ROOD</v>
      </c>
      <c r="Q16" s="84" t="str">
        <f t="shared" si="12"/>
        <v>Stef D</v>
      </c>
      <c r="R16" s="85" t="str">
        <f t="shared" si="13"/>
        <v>Jonas</v>
      </c>
      <c r="S16" s="293" t="str">
        <f>Tabel152[[#This Row],[Rood Verdediging]]&amp;Tabel152[[#This Row],[Rood Aanval]]</f>
        <v>Stef DJonas</v>
      </c>
      <c r="T16" s="293" t="str">
        <f>Tabel152[[#This Row],[Groen Verdediging]]&amp;Tabel152[[#This Row],[Groen Aanval]]</f>
        <v>TiemenMatthijs</v>
      </c>
      <c r="U16" s="293" t="str">
        <f>Tabel152[[#This Row],[Winnaar 1]]&amp;Tabel152[[#This Row],[Winnaar 2]]</f>
        <v>Stef DJonas</v>
      </c>
      <c r="V16" s="147" t="str">
        <f>IF(Tabel152[[#This Row],[Team Rood]]=Tabel152[[#This Row],[Winnaars]],Tabel152[[#This Row],[Team Rood]])</f>
        <v>Stef DJonas</v>
      </c>
      <c r="W16" s="147" t="b">
        <f>IF(Tabel152[[#This Row],[Team Groen]]=Tabel152[[#This Row],[Winnaars]],Tabel152[[#This Row],[Team Groen]])</f>
        <v>0</v>
      </c>
      <c r="X16" s="283">
        <v>54.520788246319974</v>
      </c>
      <c r="Y16" s="283">
        <v>27.91631081933588</v>
      </c>
      <c r="Z16" s="283">
        <v>3.9655169532187244</v>
      </c>
      <c r="AA16" s="283">
        <v>-24.427728814849029</v>
      </c>
      <c r="AL16" s="251" t="s">
        <v>163</v>
      </c>
      <c r="AM16" s="233" t="s">
        <v>159</v>
      </c>
      <c r="AN16" s="140" t="str">
        <f t="shared" si="6"/>
        <v>Bert*Jonas*</v>
      </c>
      <c r="AO16" s="160">
        <f>IF(Tabel511[[#This Row],[Aantal Games Rood]]=0,0,(Tabel511[[#This Row],[Wins Rood]])/Tabel511[[#This Row],[Aantal Games Rood]])</f>
        <v>0</v>
      </c>
      <c r="AP16" s="159">
        <f>IF(Tabel511[[#This Row],[Aantal Games Groen]]=0,0,(Tabel511[[#This Row],[Wins Groen]])/Tabel511[[#This Row],[Aantal Games Groen]])</f>
        <v>0</v>
      </c>
      <c r="AQ16" s="156">
        <f>IF(Tabel511[[#This Row],[Aantal games Alg]]=0,0,(Tabel511[[#This Row],[Wins Alg]])/Tabel511[[#This Row],[Aantal games Alg]])</f>
        <v>0</v>
      </c>
      <c r="AR16" s="133">
        <f>COUNTIF(Tabel152[Winaar rood],Tabel511[[#This Row],[Team]])</f>
        <v>0</v>
      </c>
      <c r="AS16" s="134">
        <f>COUNTIF(Tabel152[Winnaar Groen],Tabel511[[#This Row],[Team]])</f>
        <v>0</v>
      </c>
      <c r="AT16" s="293">
        <f>COUNTIF(Tabel152[Winnaars],Tabel511[[#This Row],[Team]])</f>
        <v>0</v>
      </c>
      <c r="AU16" s="135">
        <f>Tabel511[[#This Row],[Aantal Games Rood]]-Tabel511[[#This Row],[Wins Rood]]</f>
        <v>0</v>
      </c>
      <c r="AV16" s="136">
        <f>Tabel511[[#This Row],[Aantal Games Groen]]-Tabel511[[#This Row],[Wins Groen]]</f>
        <v>2</v>
      </c>
      <c r="AW16" s="137">
        <f>Tabel511[[#This Row],[Aantal games Alg]]-Tabel511[[#This Row],[Wins Alg]]</f>
        <v>2</v>
      </c>
      <c r="AX16" s="138">
        <f>COUNTIF(Tabel152[Team Rood],Tabel511[[#This Row],[Team]])</f>
        <v>0</v>
      </c>
      <c r="AY16" s="136">
        <f>COUNTIF(Tabel152[Team Groen],Tabel511[[#This Row],[Team]])</f>
        <v>2</v>
      </c>
      <c r="AZ16" s="214">
        <f>Tabel511[[#This Row],[Aantal Games Rood]]+Tabel511[[#This Row],[Aantal Games Groen]]</f>
        <v>2</v>
      </c>
      <c r="BA16" s="138">
        <f>SUMIF(Tabel152[Team Rood],Tabel511[[#This Row],[Team]],Tabel152[Score])</f>
        <v>0</v>
      </c>
      <c r="BB16" s="138">
        <f>SUMIF(Tabel152[Team Rood],Tabel511[[#This Row],[Team]],Tabel152[Score2])</f>
        <v>0</v>
      </c>
      <c r="BC16" s="134">
        <f>SUMIF(Tabel152[Team Groen],Tabel511[[#This Row],[Team]],Tabel152[Score3])</f>
        <v>6</v>
      </c>
      <c r="BD16" s="136">
        <f>SUMIF(Tabel152[Team Groen],Tabel511[[#This Row],[Team]],Tabel152[Score4])</f>
        <v>13</v>
      </c>
      <c r="BE16" s="293">
        <f>SUM(Tabel511[[#This Row],[Goals Verdediger]]+Tabel511[[#This Row],[Goals DefG]])</f>
        <v>6</v>
      </c>
      <c r="BF16" s="293">
        <f>IF(Tabel511[[#This Row],[Aantal games Alg]]=0,0,Tabel511[[#This Row],[Goals DefA]]/Tabel511[[#This Row],[Aantal games Alg]])</f>
        <v>3</v>
      </c>
      <c r="BG16" s="293">
        <f>SUM(Tabel511[[#This Row],[Goals Aanvaller]]+Tabel511[[#This Row],[Goals OffG]])</f>
        <v>13</v>
      </c>
      <c r="BH16" s="293">
        <f>IF(Tabel511[[#This Row],[Aantal games Alg]]=0,0,Tabel511[[#This Row],[Goals OffA]]/Tabel511[[#This Row],[Aantal games Alg]])</f>
        <v>6.5</v>
      </c>
      <c r="BI16" s="214">
        <f>Tabel511[[#This Row],[Goals DefA]]+Tabel511[[#This Row],[Goals OffA]]</f>
        <v>19</v>
      </c>
      <c r="BJ16" s="214">
        <f>IF(Tabel511[[#This Row],[Aantal games Alg]]=0,0,Tabel511[[#This Row],[Goals Alg]]/Tabel511[[#This Row],[Aantal games Alg]])</f>
        <v>9.5</v>
      </c>
      <c r="BK16" s="148">
        <f>SUMIF(Tabel152[Team Rood],Tabel511[[#This Row],[Team]],Tabel152[ET])</f>
        <v>0</v>
      </c>
      <c r="BL16" s="150">
        <f ca="1">SUMIF(Tabel152[Team Groen],Tabel511[[#This Row],[Team]],Tabel152[ET])</f>
        <v>4.8958332627080381E-5</v>
      </c>
      <c r="BM16" s="153">
        <f ca="1">SUM(Tabel511[[#This Row],[ET Groen tot]],Tabel511[[#This Row],[ET Rood tot]])</f>
        <v>4.8958332627080381E-5</v>
      </c>
      <c r="BN16" s="155">
        <f ca="1">IF(Tabel511[[#This Row],[Aantal games Alg]]=0,0,Tabel511[[#This Row],[ET tot]]/Tabel511[[#This Row],[Aantal games Alg]])</f>
        <v>2.447916631354019E-5</v>
      </c>
    </row>
    <row r="17" spans="1:66" x14ac:dyDescent="0.25">
      <c r="A17" s="215">
        <f ca="1">IF(Tabel152[[#This Row],[Rood Verdediging]]&lt;&gt;"",IF(A17="",NOW(),A17),"")</f>
        <v>44406.767478240741</v>
      </c>
      <c r="B17" s="218">
        <f ca="1">IF(Tabel152[[#This Row],[Rood Verdediging]]&lt;&gt;"",IF(B17="",NOW(),B17),"")</f>
        <v>44406.767478240741</v>
      </c>
      <c r="C17" s="216">
        <f ca="1">IF(Tabel152[[#This Row],[Score]]&lt;&gt;"",IF(C17="",NOW(),C17),"")</f>
        <v>44406.76750347222</v>
      </c>
      <c r="D17" s="217">
        <f ca="1">IF(OR(Tabel152[[#This Row],[Starttijd]]="",Tabel152[[#This Row],[Eindtijd]]=""),"",Tabel152[[#This Row],[Eindtijd]]-Tabel152[[#This Row],[Starttijd]])</f>
        <v>2.5231478502973914E-5</v>
      </c>
      <c r="E17" s="74">
        <v>16</v>
      </c>
      <c r="F17" s="207" t="s">
        <v>167</v>
      </c>
      <c r="G17" s="210">
        <v>2</v>
      </c>
      <c r="H17" s="207" t="s">
        <v>13</v>
      </c>
      <c r="I17" s="210">
        <v>3</v>
      </c>
      <c r="J17" s="204" t="s">
        <v>71</v>
      </c>
      <c r="K17" s="212">
        <v>3</v>
      </c>
      <c r="L17" s="204" t="s">
        <v>3</v>
      </c>
      <c r="M17" s="212">
        <v>8</v>
      </c>
      <c r="N17" s="79">
        <f>Tabel152[[#This Row],[Score]]+Tabel152[[#This Row],[Score2]]</f>
        <v>5</v>
      </c>
      <c r="O17" s="80">
        <f>Tabel152[[#This Row],[Score3]]+Tabel152[[#This Row],[Score4]]</f>
        <v>11</v>
      </c>
      <c r="P1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Row],[Score4]]&lt;&gt;""),IF(AND(N17&gt;O17,N17&gt;=11),"ROOD",IF(AND(O17&gt;=11,N17&lt;&gt;O17),"GROEN","")),"")</f>
        <v>GROEN</v>
      </c>
      <c r="Q17" s="84" t="str">
        <f t="shared" si="12"/>
        <v xml:space="preserve">Matthijs </v>
      </c>
      <c r="R17" s="85" t="str">
        <f t="shared" si="13"/>
        <v>Karel</v>
      </c>
      <c r="S17" s="293" t="str">
        <f>Tabel152[[#This Row],[Rood Verdediging]]&amp;Tabel152[[#This Row],[Rood Aanval]]</f>
        <v>CogheBert</v>
      </c>
      <c r="T17" s="293" t="str">
        <f>Tabel152[[#This Row],[Groen Verdediging]]&amp;Tabel152[[#This Row],[Groen Aanval]]</f>
        <v>Matthijs Karel</v>
      </c>
      <c r="U17" s="293" t="str">
        <f>Tabel152[[#This Row],[Winnaar 1]]&amp;Tabel152[[#This Row],[Winnaar 2]]</f>
        <v>Matthijs Karel</v>
      </c>
      <c r="V17" s="147" t="b">
        <f>IF(Tabel152[[#This Row],[Team Rood]]=Tabel152[[#This Row],[Winnaars]],Tabel152[[#This Row],[Team Rood]])</f>
        <v>0</v>
      </c>
      <c r="W17" s="147" t="str">
        <f>IF(Tabel152[[#This Row],[Team Groen]]=Tabel152[[#This Row],[Winnaars]],Tabel152[[#This Row],[Team Groen]])</f>
        <v>Matthijs Karel</v>
      </c>
      <c r="X17" s="283">
        <v>-15.048862503449511</v>
      </c>
      <c r="Y17" s="283">
        <v>-26.746323074057749</v>
      </c>
      <c r="Z17" s="283">
        <v>47.20936912923262</v>
      </c>
      <c r="AA17" s="283">
        <v>36.483505426529291</v>
      </c>
      <c r="AL17" s="251" t="s">
        <v>163</v>
      </c>
      <c r="AM17" s="233" t="s">
        <v>164</v>
      </c>
      <c r="AN17" s="140" t="str">
        <f t="shared" si="6"/>
        <v>Bert*Karel*</v>
      </c>
      <c r="AO17" s="160">
        <f>IF(Tabel511[[#This Row],[Aantal Games Rood]]=0,0,(Tabel511[[#This Row],[Wins Rood]])/Tabel511[[#This Row],[Aantal Games Rood]])</f>
        <v>0</v>
      </c>
      <c r="AP17" s="159">
        <f>IF(Tabel511[[#This Row],[Aantal Games Groen]]=0,0,(Tabel511[[#This Row],[Wins Groen]])/Tabel511[[#This Row],[Aantal Games Groen]])</f>
        <v>0</v>
      </c>
      <c r="AQ17" s="156">
        <f>IF(Tabel511[[#This Row],[Aantal games Alg]]=0,0,(Tabel511[[#This Row],[Wins Alg]])/Tabel511[[#This Row],[Aantal games Alg]])</f>
        <v>0</v>
      </c>
      <c r="AR17" s="133">
        <f>COUNTIF(Tabel152[Winaar rood],Tabel511[[#This Row],[Team]])</f>
        <v>0</v>
      </c>
      <c r="AS17" s="134">
        <f>COUNTIF(Tabel152[Winnaar Groen],Tabel511[[#This Row],[Team]])</f>
        <v>0</v>
      </c>
      <c r="AT17" s="293">
        <f>COUNTIF(Tabel152[Winnaars],Tabel511[[#This Row],[Team]])</f>
        <v>0</v>
      </c>
      <c r="AU17" s="135">
        <f>Tabel511[[#This Row],[Aantal Games Rood]]-Tabel511[[#This Row],[Wins Rood]]</f>
        <v>0</v>
      </c>
      <c r="AV17" s="136">
        <f>Tabel511[[#This Row],[Aantal Games Groen]]-Tabel511[[#This Row],[Wins Groen]]</f>
        <v>0</v>
      </c>
      <c r="AW17" s="137">
        <f>Tabel511[[#This Row],[Aantal games Alg]]-Tabel511[[#This Row],[Wins Alg]]</f>
        <v>0</v>
      </c>
      <c r="AX17" s="138">
        <f>COUNTIF(Tabel152[Team Rood],Tabel511[[#This Row],[Team]])</f>
        <v>0</v>
      </c>
      <c r="AY17" s="136">
        <f>COUNTIF(Tabel152[Team Groen],Tabel511[[#This Row],[Team]])</f>
        <v>0</v>
      </c>
      <c r="AZ17" s="214">
        <f>Tabel511[[#This Row],[Aantal Games Rood]]+Tabel511[[#This Row],[Aantal Games Groen]]</f>
        <v>0</v>
      </c>
      <c r="BA17" s="138">
        <f>SUMIF(Tabel152[Team Rood],Tabel511[[#This Row],[Team]],Tabel152[Score])</f>
        <v>0</v>
      </c>
      <c r="BB17" s="138">
        <f>SUMIF(Tabel152[Team Rood],Tabel511[[#This Row],[Team]],Tabel152[Score2])</f>
        <v>0</v>
      </c>
      <c r="BC17" s="134">
        <f>SUMIF(Tabel152[Team Groen],Tabel511[[#This Row],[Team]],Tabel152[Score3])</f>
        <v>0</v>
      </c>
      <c r="BD17" s="136">
        <f>SUMIF(Tabel152[Team Groen],Tabel511[[#This Row],[Team]],Tabel152[Score4])</f>
        <v>0</v>
      </c>
      <c r="BE17" s="293">
        <f>SUM(Tabel511[[#This Row],[Goals Verdediger]]+Tabel511[[#This Row],[Goals DefG]])</f>
        <v>0</v>
      </c>
      <c r="BF17" s="293">
        <f>IF(Tabel511[[#This Row],[Aantal games Alg]]=0,0,Tabel511[[#This Row],[Goals DefA]]/Tabel511[[#This Row],[Aantal games Alg]])</f>
        <v>0</v>
      </c>
      <c r="BG17" s="293">
        <f>SUM(Tabel511[[#This Row],[Goals Aanvaller]]+Tabel511[[#This Row],[Goals OffG]])</f>
        <v>0</v>
      </c>
      <c r="BH17" s="293">
        <f>IF(Tabel511[[#This Row],[Aantal games Alg]]=0,0,Tabel511[[#This Row],[Goals OffA]]/Tabel511[[#This Row],[Aantal games Alg]])</f>
        <v>0</v>
      </c>
      <c r="BI17" s="214">
        <f>Tabel511[[#This Row],[Goals DefA]]+Tabel511[[#This Row],[Goals OffA]]</f>
        <v>0</v>
      </c>
      <c r="BJ17" s="214">
        <f>IF(Tabel511[[#This Row],[Aantal games Alg]]=0,0,Tabel511[[#This Row],[Goals Alg]]/Tabel511[[#This Row],[Aantal games Alg]])</f>
        <v>0</v>
      </c>
      <c r="BK17" s="148">
        <f>SUMIF(Tabel152[Team Rood],Tabel511[[#This Row],[Team]],Tabel152[ET])</f>
        <v>0</v>
      </c>
      <c r="BL17" s="150">
        <f>SUMIF(Tabel152[Team Groen],Tabel511[[#This Row],[Team]],Tabel152[ET])</f>
        <v>0</v>
      </c>
      <c r="BM17" s="153">
        <f>SUM(Tabel511[[#This Row],[ET Groen tot]],Tabel511[[#This Row],[ET Rood tot]])</f>
        <v>0</v>
      </c>
      <c r="BN17" s="155">
        <f>IF(Tabel511[[#This Row],[Aantal games Alg]]=0,0,Tabel511[[#This Row],[ET tot]]/Tabel511[[#This Row],[Aantal games Alg]])</f>
        <v>0</v>
      </c>
    </row>
    <row r="18" spans="1:66" x14ac:dyDescent="0.25">
      <c r="A18" s="215">
        <f ca="1">IF(Tabel152[[#This Row],[Rood Verdediging]]&lt;&gt;"",IF(A18="",NOW(),A18),"")</f>
        <v>44406.767875115744</v>
      </c>
      <c r="B18" s="218">
        <f ca="1">IF(Tabel152[[#This Row],[Rood Verdediging]]&lt;&gt;"",IF(B18="",NOW(),B18),"")</f>
        <v>44406.767875115744</v>
      </c>
      <c r="C18" s="216">
        <f ca="1">IF(Tabel152[[#This Row],[Score]]&lt;&gt;"",IF(C18="",NOW(),C18),"")</f>
        <v>44406.767896296296</v>
      </c>
      <c r="D18" s="217">
        <f ca="1">IF(OR(Tabel152[[#This Row],[Starttijd]]="",Tabel152[[#This Row],[Eindtijd]]=""),"",Tabel152[[#This Row],[Eindtijd]]-Tabel152[[#This Row],[Starttijd]])</f>
        <v>2.1180552721489221E-5</v>
      </c>
      <c r="E18" s="74">
        <v>17</v>
      </c>
      <c r="F18" s="207" t="s">
        <v>11</v>
      </c>
      <c r="G18" s="210">
        <v>2</v>
      </c>
      <c r="H18" s="207" t="s">
        <v>6</v>
      </c>
      <c r="I18" s="210">
        <v>9</v>
      </c>
      <c r="J18" s="204" t="s">
        <v>167</v>
      </c>
      <c r="K18" s="212">
        <v>2</v>
      </c>
      <c r="L18" s="204" t="s">
        <v>3</v>
      </c>
      <c r="M18" s="212">
        <v>6</v>
      </c>
      <c r="N18" s="79">
        <f>Tabel152[[#This Row],[Score]]+Tabel152[[#This Row],[Score2]]</f>
        <v>11</v>
      </c>
      <c r="O18" s="80">
        <f>Tabel152[[#This Row],[Score3]]+Tabel152[[#This Row],[Score4]]</f>
        <v>8</v>
      </c>
      <c r="P1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Row],[Score4]]&lt;&gt;""),IF(AND(N18&gt;O18,N18&gt;=11),"ROOD",IF(AND(O18&gt;=11,N18&lt;&gt;O18),"GROEN","")),"")</f>
        <v>ROOD</v>
      </c>
      <c r="Q18" s="84" t="str">
        <f t="shared" si="12"/>
        <v>Matthijs</v>
      </c>
      <c r="R18" s="85" t="str">
        <f t="shared" si="13"/>
        <v>Stef D</v>
      </c>
      <c r="S18" s="293" t="str">
        <f>Tabel152[[#This Row],[Rood Verdediging]]&amp;Tabel152[[#This Row],[Rood Aanval]]</f>
        <v>MatthijsStef D</v>
      </c>
      <c r="T18" s="293" t="str">
        <f>Tabel152[[#This Row],[Groen Verdediging]]&amp;Tabel152[[#This Row],[Groen Aanval]]</f>
        <v>CogheKarel</v>
      </c>
      <c r="U18" s="293" t="str">
        <f>Tabel152[[#This Row],[Winnaar 1]]&amp;Tabel152[[#This Row],[Winnaar 2]]</f>
        <v>MatthijsStef D</v>
      </c>
      <c r="V18" s="147" t="str">
        <f>IF(Tabel152[[#This Row],[Team Rood]]=Tabel152[[#This Row],[Winnaars]],Tabel152[[#This Row],[Team Rood]])</f>
        <v>MatthijsStef D</v>
      </c>
      <c r="W18" s="147" t="b">
        <f>IF(Tabel152[[#This Row],[Team Groen]]=Tabel152[[#This Row],[Winnaars]],Tabel152[[#This Row],[Team Groen]])</f>
        <v>0</v>
      </c>
      <c r="X18" s="283">
        <v>33.006340763204143</v>
      </c>
      <c r="Y18" s="283">
        <v>30.505112642324178</v>
      </c>
      <c r="Z18" s="283">
        <v>-6.5917294785005467</v>
      </c>
      <c r="AA18" s="283">
        <v>-12.114510852821457</v>
      </c>
      <c r="AL18" s="251" t="s">
        <v>163</v>
      </c>
      <c r="AM18" s="233" t="s">
        <v>67</v>
      </c>
      <c r="AN18" s="140" t="str">
        <f t="shared" si="6"/>
        <v>Bert*Lawrence</v>
      </c>
      <c r="AO18" s="160">
        <f>IF(Tabel511[[#This Row],[Aantal Games Rood]]=0,0,(Tabel511[[#This Row],[Wins Rood]])/Tabel511[[#This Row],[Aantal Games Rood]])</f>
        <v>0</v>
      </c>
      <c r="AP18" s="159">
        <f>IF(Tabel511[[#This Row],[Aantal Games Groen]]=0,0,(Tabel511[[#This Row],[Wins Groen]])/Tabel511[[#This Row],[Aantal Games Groen]])</f>
        <v>0</v>
      </c>
      <c r="AQ18" s="156">
        <f>IF(Tabel511[[#This Row],[Aantal games Alg]]=0,0,(Tabel511[[#This Row],[Wins Alg]])/Tabel511[[#This Row],[Aantal games Alg]])</f>
        <v>0</v>
      </c>
      <c r="AR18" s="138">
        <f>COUNTIF(Tabel152[Winaar rood],Tabel511[[#This Row],[Team]])</f>
        <v>0</v>
      </c>
      <c r="AS18" s="134">
        <f>COUNTIF(Tabel152[Winnaar Groen],Tabel511[[#This Row],[Team]])</f>
        <v>0</v>
      </c>
      <c r="AT18" s="293">
        <f>COUNTIF(Tabel152[Winnaars],Tabel511[[#This Row],[Team]])</f>
        <v>0</v>
      </c>
      <c r="AU18" s="135">
        <f>Tabel511[[#This Row],[Aantal Games Rood]]-Tabel511[[#This Row],[Wins Rood]]</f>
        <v>0</v>
      </c>
      <c r="AV18" s="136">
        <f>Tabel511[[#This Row],[Aantal Games Groen]]-Tabel511[[#This Row],[Wins Groen]]</f>
        <v>0</v>
      </c>
      <c r="AW18" s="137">
        <f>Tabel511[[#This Row],[Aantal games Alg]]-Tabel511[[#This Row],[Wins Alg]]</f>
        <v>0</v>
      </c>
      <c r="AX18" s="138">
        <f>COUNTIF(Tabel152[Team Rood],Tabel511[[#This Row],[Team]])</f>
        <v>0</v>
      </c>
      <c r="AY18" s="136">
        <f>COUNTIF(Tabel152[Team Groen],Tabel511[[#This Row],[Team]])</f>
        <v>0</v>
      </c>
      <c r="AZ18" s="214">
        <f>Tabel511[[#This Row],[Aantal Games Rood]]+Tabel511[[#This Row],[Aantal Games Groen]]</f>
        <v>0</v>
      </c>
      <c r="BA18" s="138">
        <f>SUMIF(Tabel152[Team Rood],Tabel511[[#This Row],[Team]],Tabel152[Score])</f>
        <v>0</v>
      </c>
      <c r="BB18" s="138">
        <f>SUMIF(Tabel152[Team Rood],Tabel511[[#This Row],[Team]],Tabel152[Score2])</f>
        <v>0</v>
      </c>
      <c r="BC18" s="134">
        <f>SUMIF(Tabel152[Team Groen],Tabel511[[#This Row],[Team]],Tabel152[Score3])</f>
        <v>0</v>
      </c>
      <c r="BD18" s="136">
        <f>SUMIF(Tabel152[Team Groen],Tabel511[[#This Row],[Team]],Tabel152[Score4])</f>
        <v>0</v>
      </c>
      <c r="BE18" s="293">
        <f>SUM(Tabel511[[#This Row],[Goals Verdediger]]+Tabel511[[#This Row],[Goals DefG]])</f>
        <v>0</v>
      </c>
      <c r="BF18" s="293">
        <f>IF(Tabel511[[#This Row],[Aantal games Alg]]=0,0,Tabel511[[#This Row],[Goals DefA]]/Tabel511[[#This Row],[Aantal games Alg]])</f>
        <v>0</v>
      </c>
      <c r="BG18" s="293">
        <f>SUM(Tabel511[[#This Row],[Goals Aanvaller]]+Tabel511[[#This Row],[Goals OffG]])</f>
        <v>0</v>
      </c>
      <c r="BH18" s="293">
        <f>IF(Tabel511[[#This Row],[Aantal games Alg]]=0,0,Tabel511[[#This Row],[Goals OffA]]/Tabel511[[#This Row],[Aantal games Alg]])</f>
        <v>0</v>
      </c>
      <c r="BI18" s="214">
        <f>Tabel511[[#This Row],[Goals DefA]]+Tabel511[[#This Row],[Goals OffA]]</f>
        <v>0</v>
      </c>
      <c r="BJ18" s="214">
        <f>IF(Tabel511[[#This Row],[Aantal games Alg]]=0,0,Tabel511[[#This Row],[Goals Alg]]/Tabel511[[#This Row],[Aantal games Alg]])</f>
        <v>0</v>
      </c>
      <c r="BK18" s="148">
        <f>SUMIF(Tabel152[Team Rood],Tabel511[[#This Row],[Team]],Tabel152[ET])</f>
        <v>0</v>
      </c>
      <c r="BL18" s="150">
        <f>SUMIF(Tabel152[Team Groen],Tabel511[[#This Row],[Team]],Tabel152[ET])</f>
        <v>0</v>
      </c>
      <c r="BM18" s="153">
        <f>SUM(Tabel511[[#This Row],[ET Groen tot]],Tabel511[[#This Row],[ET Rood tot]])</f>
        <v>0</v>
      </c>
      <c r="BN18" s="155">
        <f>IF(Tabel511[[#This Row],[Aantal games Alg]]=0,0,Tabel511[[#This Row],[ET tot]]/Tabel511[[#This Row],[Aantal games Alg]])</f>
        <v>0</v>
      </c>
    </row>
    <row r="19" spans="1:66" x14ac:dyDescent="0.25">
      <c r="A19" s="215">
        <f ca="1">IF(Tabel152[[#This Row],[Rood Verdediging]]&lt;&gt;"",IF(A19="",NOW(),A19),"")</f>
        <v>44406.768330671293</v>
      </c>
      <c r="B19" s="218">
        <f ca="1">IF(Tabel152[[#This Row],[Rood Verdediging]]&lt;&gt;"",IF(B19="",NOW(),B19),"")</f>
        <v>44406.768330671293</v>
      </c>
      <c r="C19" s="216">
        <f ca="1">IF(Tabel152[[#This Row],[Score]]&lt;&gt;"",IF(C19="",NOW(),C19),"")</f>
        <v>44406.768353587962</v>
      </c>
      <c r="D19" s="217">
        <f ca="1">IF(OR(Tabel152[[#This Row],[Starttijd]]="",Tabel152[[#This Row],[Eindtijd]]=""),"",Tabel152[[#This Row],[Eindtijd]]-Tabel152[[#This Row],[Starttijd]])</f>
        <v>2.2916668967809528E-5</v>
      </c>
      <c r="E19" s="74">
        <v>18</v>
      </c>
      <c r="F19" s="207" t="s">
        <v>3</v>
      </c>
      <c r="G19" s="209">
        <v>4</v>
      </c>
      <c r="H19" s="207" t="s">
        <v>11</v>
      </c>
      <c r="I19" s="209">
        <v>5</v>
      </c>
      <c r="J19" s="208" t="s">
        <v>0</v>
      </c>
      <c r="K19" s="211">
        <v>5</v>
      </c>
      <c r="L19" s="208" t="s">
        <v>13</v>
      </c>
      <c r="M19" s="211">
        <v>6</v>
      </c>
      <c r="N19" s="79">
        <f>Tabel152[[#This Row],[Score]]+Tabel152[[#This Row],[Score2]]</f>
        <v>9</v>
      </c>
      <c r="O19" s="80">
        <f>Tabel152[[#This Row],[Score3]]+Tabel152[[#This Row],[Score4]]</f>
        <v>11</v>
      </c>
      <c r="P1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Row],[Score4]]&lt;&gt;""),IF(AND(N19&gt;O19,N19&gt;=11),"ROOD",IF(AND(O19&gt;=11,N19&lt;&gt;O19),"GROEN","")),"")</f>
        <v>GROEN</v>
      </c>
      <c r="Q19" s="84" t="str">
        <f t="shared" si="12"/>
        <v>Jonas</v>
      </c>
      <c r="R19" s="85" t="str">
        <f t="shared" si="13"/>
        <v>Bert</v>
      </c>
      <c r="S19" s="293" t="str">
        <f>Tabel152[[#This Row],[Rood Verdediging]]&amp;Tabel152[[#This Row],[Rood Aanval]]</f>
        <v>KarelMatthijs</v>
      </c>
      <c r="T19" s="293" t="str">
        <f>Tabel152[[#This Row],[Groen Verdediging]]&amp;Tabel152[[#This Row],[Groen Aanval]]</f>
        <v>JonasBert</v>
      </c>
      <c r="U19" s="293" t="str">
        <f>Tabel152[[#This Row],[Winnaar 1]]&amp;Tabel152[[#This Row],[Winnaar 2]]</f>
        <v>JonasBert</v>
      </c>
      <c r="V19" s="147" t="b">
        <f>IF(Tabel152[[#This Row],[Team Rood]]=Tabel152[[#This Row],[Winnaars]],Tabel152[[#This Row],[Team Rood]])</f>
        <v>0</v>
      </c>
      <c r="W19" s="147" t="str">
        <f>IF(Tabel152[[#This Row],[Team Groen]]=Tabel152[[#This Row],[Winnaars]],Tabel152[[#This Row],[Team Groen]])</f>
        <v>JonasBert</v>
      </c>
      <c r="X19" s="283">
        <v>-9.0997116479065063</v>
      </c>
      <c r="Y19" s="283">
        <v>-30.501440946076123</v>
      </c>
      <c r="Z19" s="283">
        <v>58.519977476046222</v>
      </c>
      <c r="AA19" s="283">
        <v>43.299396964203694</v>
      </c>
      <c r="AL19" s="251" t="s">
        <v>163</v>
      </c>
      <c r="AM19" s="233" t="s">
        <v>161</v>
      </c>
      <c r="AN19" s="140" t="str">
        <f t="shared" si="6"/>
        <v>Bert*Louis*</v>
      </c>
      <c r="AO19" s="160">
        <f>IF(Tabel511[[#This Row],[Aantal Games Rood]]=0,0,(Tabel511[[#This Row],[Wins Rood]])/Tabel511[[#This Row],[Aantal Games Rood]])</f>
        <v>0</v>
      </c>
      <c r="AP19" s="159">
        <f>IF(Tabel511[[#This Row],[Aantal Games Groen]]=0,0,(Tabel511[[#This Row],[Wins Groen]])/Tabel511[[#This Row],[Aantal Games Groen]])</f>
        <v>0</v>
      </c>
      <c r="AQ19" s="156">
        <f>IF(Tabel511[[#This Row],[Aantal games Alg]]=0,0,(Tabel511[[#This Row],[Wins Alg]])/Tabel511[[#This Row],[Aantal games Alg]])</f>
        <v>0</v>
      </c>
      <c r="AR19" s="138">
        <f>COUNTIF(Tabel152[Winaar rood],Tabel511[[#This Row],[Team]])</f>
        <v>0</v>
      </c>
      <c r="AS19" s="134">
        <f>COUNTIF(Tabel152[Winnaar Groen],Tabel511[[#This Row],[Team]])</f>
        <v>0</v>
      </c>
      <c r="AT19" s="293">
        <f>COUNTIF(Tabel152[Winnaars],Tabel511[[#This Row],[Team]])</f>
        <v>0</v>
      </c>
      <c r="AU19" s="135">
        <f>Tabel511[[#This Row],[Aantal Games Rood]]-Tabel511[[#This Row],[Wins Rood]]</f>
        <v>0</v>
      </c>
      <c r="AV19" s="136">
        <f>Tabel511[[#This Row],[Aantal Games Groen]]-Tabel511[[#This Row],[Wins Groen]]</f>
        <v>0</v>
      </c>
      <c r="AW19" s="137">
        <f>Tabel511[[#This Row],[Aantal games Alg]]-Tabel511[[#This Row],[Wins Alg]]</f>
        <v>0</v>
      </c>
      <c r="AX19" s="138">
        <f>COUNTIF(Tabel152[Team Rood],Tabel511[[#This Row],[Team]])</f>
        <v>0</v>
      </c>
      <c r="AY19" s="136">
        <f>COUNTIF(Tabel152[Team Groen],Tabel511[[#This Row],[Team]])</f>
        <v>0</v>
      </c>
      <c r="AZ19" s="214">
        <f>Tabel511[[#This Row],[Aantal Games Rood]]+Tabel511[[#This Row],[Aantal Games Groen]]</f>
        <v>0</v>
      </c>
      <c r="BA19" s="138">
        <f>SUMIF(Tabel152[Team Rood],Tabel511[[#This Row],[Team]],Tabel152[Score])</f>
        <v>0</v>
      </c>
      <c r="BB19" s="138">
        <f>SUMIF(Tabel152[Team Rood],Tabel511[[#This Row],[Team]],Tabel152[Score2])</f>
        <v>0</v>
      </c>
      <c r="BC19" s="134">
        <f>SUMIF(Tabel152[Team Groen],Tabel511[[#This Row],[Team]],Tabel152[Score3])</f>
        <v>0</v>
      </c>
      <c r="BD19" s="136">
        <f>SUMIF(Tabel152[Team Groen],Tabel511[[#This Row],[Team]],Tabel152[Score4])</f>
        <v>0</v>
      </c>
      <c r="BE19" s="293">
        <f>SUM(Tabel511[[#This Row],[Goals Verdediger]]+Tabel511[[#This Row],[Goals DefG]])</f>
        <v>0</v>
      </c>
      <c r="BF19" s="293">
        <f>IF(Tabel511[[#This Row],[Aantal games Alg]]=0,0,Tabel511[[#This Row],[Goals DefA]]/Tabel511[[#This Row],[Aantal games Alg]])</f>
        <v>0</v>
      </c>
      <c r="BG19" s="293">
        <f>SUM(Tabel511[[#This Row],[Goals Aanvaller]]+Tabel511[[#This Row],[Goals OffG]])</f>
        <v>0</v>
      </c>
      <c r="BH19" s="293">
        <f>IF(Tabel511[[#This Row],[Aantal games Alg]]=0,0,Tabel511[[#This Row],[Goals OffA]]/Tabel511[[#This Row],[Aantal games Alg]])</f>
        <v>0</v>
      </c>
      <c r="BI19" s="214">
        <f>Tabel511[[#This Row],[Goals DefA]]+Tabel511[[#This Row],[Goals OffA]]</f>
        <v>0</v>
      </c>
      <c r="BJ19" s="214">
        <f>IF(Tabel511[[#This Row],[Aantal games Alg]]=0,0,Tabel511[[#This Row],[Goals Alg]]/Tabel511[[#This Row],[Aantal games Alg]])</f>
        <v>0</v>
      </c>
      <c r="BK19" s="148">
        <f>SUMIF(Tabel152[Team Rood],Tabel511[[#This Row],[Team]],Tabel152[ET])</f>
        <v>0</v>
      </c>
      <c r="BL19" s="150">
        <f>SUMIF(Tabel152[Team Groen],Tabel511[[#This Row],[Team]],Tabel152[ET])</f>
        <v>0</v>
      </c>
      <c r="BM19" s="153">
        <f>SUM(Tabel511[[#This Row],[ET Groen tot]],Tabel511[[#This Row],[ET Rood tot]])</f>
        <v>0</v>
      </c>
      <c r="BN19" s="155">
        <f>IF(Tabel511[[#This Row],[Aantal games Alg]]=0,0,Tabel511[[#This Row],[ET tot]]/Tabel511[[#This Row],[Aantal games Alg]])</f>
        <v>0</v>
      </c>
    </row>
    <row r="20" spans="1:66" x14ac:dyDescent="0.25">
      <c r="A20" s="215">
        <f ca="1">IF(Tabel152[[#This Row],[Rood Verdediging]]&lt;&gt;"",IF(A20="",NOW(),A20),"")</f>
        <v>44406.770325347221</v>
      </c>
      <c r="B20" s="218">
        <f ca="1">IF(Tabel152[[#This Row],[Rood Verdediging]]&lt;&gt;"",IF(B20="",NOW(),B20),"")</f>
        <v>44406.770325347221</v>
      </c>
      <c r="C20" s="216">
        <f ca="1">IF(Tabel152[[#This Row],[Score]]&lt;&gt;"",IF(C20="",NOW(),C20),"")</f>
        <v>44406.770350462961</v>
      </c>
      <c r="D20" s="217">
        <f ca="1">IF(OR(Tabel152[[#This Row],[Starttijd]]="",Tabel152[[#This Row],[Eindtijd]]=""),"",Tabel152[[#This Row],[Eindtijd]]-Tabel152[[#This Row],[Starttijd]])</f>
        <v>2.5115739845205098E-5</v>
      </c>
      <c r="E20" s="74">
        <v>19</v>
      </c>
      <c r="F20" s="205" t="s">
        <v>11</v>
      </c>
      <c r="G20" s="210">
        <v>3</v>
      </c>
      <c r="H20" s="205" t="s">
        <v>3</v>
      </c>
      <c r="I20" s="210">
        <v>8</v>
      </c>
      <c r="J20" s="206" t="s">
        <v>13</v>
      </c>
      <c r="K20" s="212">
        <v>2</v>
      </c>
      <c r="L20" s="206" t="s">
        <v>0</v>
      </c>
      <c r="M20" s="212">
        <v>7</v>
      </c>
      <c r="N20" s="79">
        <f>Tabel152[[#This Row],[Score]]+Tabel152[[#This Row],[Score2]]</f>
        <v>11</v>
      </c>
      <c r="O20" s="80">
        <f>Tabel152[[#This Row],[Score3]]+Tabel152[[#This Row],[Score4]]</f>
        <v>9</v>
      </c>
      <c r="P2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Row],[Score4]]&lt;&gt;""),IF(AND(N20&gt;O20,N20&gt;=11),"ROOD",IF(AND(O20&gt;=11,N20&lt;&gt;O20),"GROEN","")),"")</f>
        <v>ROOD</v>
      </c>
      <c r="Q20" s="84" t="str">
        <f t="shared" si="12"/>
        <v>Matthijs</v>
      </c>
      <c r="R20" s="85" t="str">
        <f t="shared" si="13"/>
        <v>Karel</v>
      </c>
      <c r="S20" s="293" t="str">
        <f>Tabel152[[#This Row],[Rood Verdediging]]&amp;Tabel152[[#This Row],[Rood Aanval]]</f>
        <v>MatthijsKarel</v>
      </c>
      <c r="T20" s="293" t="str">
        <f>Tabel152[[#This Row],[Groen Verdediging]]&amp;Tabel152[[#This Row],[Groen Aanval]]</f>
        <v>BertJonas</v>
      </c>
      <c r="U20" s="293" t="str">
        <f>Tabel152[[#This Row],[Winnaar 1]]&amp;Tabel152[[#This Row],[Winnaar 2]]</f>
        <v>MatthijsKarel</v>
      </c>
      <c r="V20" s="147" t="str">
        <f>IF(Tabel152[[#This Row],[Team Rood]]=Tabel152[[#This Row],[Winnaars]],Tabel152[[#This Row],[Team Rood]])</f>
        <v>MatthijsKarel</v>
      </c>
      <c r="W20" s="147" t="b">
        <f>IF(Tabel152[[#This Row],[Team Groen]]=Tabel152[[#This Row],[Winnaars]],Tabel152[[#This Row],[Team Groen]])</f>
        <v>0</v>
      </c>
      <c r="X20" s="283">
        <v>23.377712703286598</v>
      </c>
      <c r="Y20" s="283">
        <v>31.143086101238396</v>
      </c>
      <c r="Z20" s="283">
        <v>-6.7033971192982058</v>
      </c>
      <c r="AA20" s="283">
        <v>-9.2679308396435101</v>
      </c>
      <c r="AL20" s="251" t="s">
        <v>163</v>
      </c>
      <c r="AM20" s="233" t="s">
        <v>162</v>
      </c>
      <c r="AN20" s="140" t="str">
        <f t="shared" si="6"/>
        <v>Bert*Matthijs*</v>
      </c>
      <c r="AO20" s="160">
        <f>IF(Tabel511[[#This Row],[Aantal Games Rood]]=0,0,(Tabel511[[#This Row],[Wins Rood]])/Tabel511[[#This Row],[Aantal Games Rood]])</f>
        <v>0</v>
      </c>
      <c r="AP20" s="159">
        <f>IF(Tabel511[[#This Row],[Aantal Games Groen]]=0,0,(Tabel511[[#This Row],[Wins Groen]])/Tabel511[[#This Row],[Aantal Games Groen]])</f>
        <v>0</v>
      </c>
      <c r="AQ20" s="156">
        <f>IF(Tabel511[[#This Row],[Aantal games Alg]]=0,0,(Tabel511[[#This Row],[Wins Alg]])/Tabel511[[#This Row],[Aantal games Alg]])</f>
        <v>0</v>
      </c>
      <c r="AR20" s="133">
        <f>COUNTIF(Tabel152[Winaar rood],Tabel511[[#This Row],[Team]])</f>
        <v>0</v>
      </c>
      <c r="AS20" s="134">
        <f>COUNTIF(Tabel152[Winnaar Groen],Tabel511[[#This Row],[Team]])</f>
        <v>0</v>
      </c>
      <c r="AT20" s="293">
        <f>COUNTIF(Tabel152[Winnaars],Tabel511[[#This Row],[Team]])</f>
        <v>0</v>
      </c>
      <c r="AU20" s="135">
        <f>Tabel511[[#This Row],[Aantal Games Rood]]-Tabel511[[#This Row],[Wins Rood]]</f>
        <v>0</v>
      </c>
      <c r="AV20" s="136">
        <f>Tabel511[[#This Row],[Aantal Games Groen]]-Tabel511[[#This Row],[Wins Groen]]</f>
        <v>0</v>
      </c>
      <c r="AW20" s="137">
        <f>Tabel511[[#This Row],[Aantal games Alg]]-Tabel511[[#This Row],[Wins Alg]]</f>
        <v>0</v>
      </c>
      <c r="AX20" s="138">
        <f>COUNTIF(Tabel152[Team Rood],Tabel511[[#This Row],[Team]])</f>
        <v>0</v>
      </c>
      <c r="AY20" s="136">
        <f>COUNTIF(Tabel152[Team Groen],Tabel511[[#This Row],[Team]])</f>
        <v>0</v>
      </c>
      <c r="AZ20" s="214">
        <f>Tabel511[[#This Row],[Aantal Games Rood]]+Tabel511[[#This Row],[Aantal Games Groen]]</f>
        <v>0</v>
      </c>
      <c r="BA20" s="138">
        <f>SUMIF(Tabel152[Team Rood],Tabel511[[#This Row],[Team]],Tabel152[Score])</f>
        <v>0</v>
      </c>
      <c r="BB20" s="138">
        <f>SUMIF(Tabel152[Team Rood],Tabel511[[#This Row],[Team]],Tabel152[Score2])</f>
        <v>0</v>
      </c>
      <c r="BC20" s="134">
        <f>SUMIF(Tabel152[Team Groen],Tabel511[[#This Row],[Team]],Tabel152[Score3])</f>
        <v>0</v>
      </c>
      <c r="BD20" s="136">
        <f>SUMIF(Tabel152[Team Groen],Tabel511[[#This Row],[Team]],Tabel152[Score4])</f>
        <v>0</v>
      </c>
      <c r="BE20" s="293">
        <f>SUM(Tabel511[[#This Row],[Goals Verdediger]]+Tabel511[[#This Row],[Goals DefG]])</f>
        <v>0</v>
      </c>
      <c r="BF20" s="293">
        <f>IF(Tabel511[[#This Row],[Aantal games Alg]]=0,0,Tabel511[[#This Row],[Goals DefA]]/Tabel511[[#This Row],[Aantal games Alg]])</f>
        <v>0</v>
      </c>
      <c r="BG20" s="293">
        <f>SUM(Tabel511[[#This Row],[Goals Aanvaller]]+Tabel511[[#This Row],[Goals OffG]])</f>
        <v>0</v>
      </c>
      <c r="BH20" s="293">
        <f>IF(Tabel511[[#This Row],[Aantal games Alg]]=0,0,Tabel511[[#This Row],[Goals OffA]]/Tabel511[[#This Row],[Aantal games Alg]])</f>
        <v>0</v>
      </c>
      <c r="BI20" s="214">
        <f>Tabel511[[#This Row],[Goals DefA]]+Tabel511[[#This Row],[Goals OffA]]</f>
        <v>0</v>
      </c>
      <c r="BJ20" s="214">
        <f>IF(Tabel511[[#This Row],[Aantal games Alg]]=0,0,Tabel511[[#This Row],[Goals Alg]]/Tabel511[[#This Row],[Aantal games Alg]])</f>
        <v>0</v>
      </c>
      <c r="BK20" s="148">
        <f>SUMIF(Tabel152[Team Rood],Tabel511[[#This Row],[Team]],Tabel152[ET])</f>
        <v>0</v>
      </c>
      <c r="BL20" s="150">
        <f>SUMIF(Tabel152[Team Groen],Tabel511[[#This Row],[Team]],Tabel152[ET])</f>
        <v>0</v>
      </c>
      <c r="BM20" s="153">
        <f>SUM(Tabel511[[#This Row],[ET Groen tot]],Tabel511[[#This Row],[ET Rood tot]])</f>
        <v>0</v>
      </c>
      <c r="BN20" s="155">
        <f>IF(Tabel511[[#This Row],[Aantal games Alg]]=0,0,Tabel511[[#This Row],[ET tot]]/Tabel511[[#This Row],[Aantal games Alg]])</f>
        <v>0</v>
      </c>
    </row>
    <row r="21" spans="1:66" x14ac:dyDescent="0.25">
      <c r="A21" s="215">
        <f ca="1">IF(Tabel152[[#This Row],[Rood Verdediging]]&lt;&gt;"",IF(A21="",NOW(),A21),"")</f>
        <v>44406.770723611109</v>
      </c>
      <c r="B21" s="218">
        <f ca="1">IF(Tabel152[[#This Row],[Rood Verdediging]]&lt;&gt;"",IF(B21="",NOW(),B21),"")</f>
        <v>44406.770723611109</v>
      </c>
      <c r="C21" s="216">
        <f ca="1">IF(Tabel152[[#This Row],[Score]]&lt;&gt;"",IF(C21="",NOW(),C21),"")</f>
        <v>44406.770756712962</v>
      </c>
      <c r="D21" s="217">
        <f ca="1">IF(OR(Tabel152[[#This Row],[Starttijd]]="",Tabel152[[#This Row],[Eindtijd]]=""),"",Tabel152[[#This Row],[Eindtijd]]-Tabel152[[#This Row],[Starttijd]])</f>
        <v>3.3101852750405669E-5</v>
      </c>
      <c r="E21" s="74">
        <v>20</v>
      </c>
      <c r="F21" s="205" t="s">
        <v>11</v>
      </c>
      <c r="G21" s="210">
        <v>1</v>
      </c>
      <c r="H21" s="205" t="s">
        <v>13</v>
      </c>
      <c r="I21" s="210">
        <v>10</v>
      </c>
      <c r="J21" s="206" t="s">
        <v>3</v>
      </c>
      <c r="K21" s="212">
        <v>2</v>
      </c>
      <c r="L21" s="206" t="s">
        <v>6</v>
      </c>
      <c r="M21" s="212">
        <v>11</v>
      </c>
      <c r="N21" s="79">
        <f>Tabel152[[#This Row],[Score]]+Tabel152[[#This Row],[Score2]]</f>
        <v>11</v>
      </c>
      <c r="O21" s="80">
        <f>Tabel152[[#This Row],[Score3]]+Tabel152[[#This Row],[Score4]]</f>
        <v>13</v>
      </c>
      <c r="P2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Row],[Score4]]&lt;&gt;""),IF(AND(N21&gt;O21,N21&gt;=11),"ROOD",IF(AND(O21&gt;=11,N21&lt;&gt;O21),"GROEN","")),"")</f>
        <v>GROEN</v>
      </c>
      <c r="Q21" s="84" t="str">
        <f t="shared" si="12"/>
        <v>Karel</v>
      </c>
      <c r="R21" s="85" t="str">
        <f t="shared" si="13"/>
        <v>Stef D</v>
      </c>
      <c r="S21" s="293" t="str">
        <f>Tabel152[[#This Row],[Rood Verdediging]]&amp;Tabel152[[#This Row],[Rood Aanval]]</f>
        <v>MatthijsBert</v>
      </c>
      <c r="T21" s="293" t="str">
        <f>Tabel152[[#This Row],[Groen Verdediging]]&amp;Tabel152[[#This Row],[Groen Aanval]]</f>
        <v>KarelStef D</v>
      </c>
      <c r="U21" s="293" t="str">
        <f>Tabel152[[#This Row],[Winnaar 1]]&amp;Tabel152[[#This Row],[Winnaar 2]]</f>
        <v>KarelStef D</v>
      </c>
      <c r="V21" s="147" t="b">
        <f>IF(Tabel152[[#This Row],[Team Rood]]=Tabel152[[#This Row],[Winnaars]],Tabel152[[#This Row],[Team Rood]])</f>
        <v>0</v>
      </c>
      <c r="W21" s="147" t="str">
        <f>IF(Tabel152[[#This Row],[Team Groen]]=Tabel152[[#This Row],[Winnaars]],Tabel152[[#This Row],[Team Groen]])</f>
        <v>KarelStef D</v>
      </c>
      <c r="X21" s="283">
        <v>-8.4640934901792377</v>
      </c>
      <c r="Y21" s="283">
        <v>2.5883235898753192</v>
      </c>
      <c r="Z21" s="283">
        <v>32.5</v>
      </c>
      <c r="AA21" s="283">
        <v>27.466561997677559</v>
      </c>
      <c r="AL21" s="251" t="s">
        <v>163</v>
      </c>
      <c r="AM21" s="233" t="s">
        <v>170</v>
      </c>
      <c r="AN21" s="140" t="str">
        <f t="shared" si="6"/>
        <v>Bert*Nico*</v>
      </c>
      <c r="AO21" s="160">
        <f>IF(Tabel511[[#This Row],[Aantal Games Rood]]=0,0,(Tabel511[[#This Row],[Wins Rood]])/Tabel511[[#This Row],[Aantal Games Rood]])</f>
        <v>0</v>
      </c>
      <c r="AP21" s="159">
        <f>IF(Tabel511[[#This Row],[Aantal Games Groen]]=0,0,(Tabel511[[#This Row],[Wins Groen]])/Tabel511[[#This Row],[Aantal Games Groen]])</f>
        <v>0</v>
      </c>
      <c r="AQ21" s="156">
        <f>IF(Tabel511[[#This Row],[Aantal games Alg]]=0,0,(Tabel511[[#This Row],[Wins Alg]])/Tabel511[[#This Row],[Aantal games Alg]])</f>
        <v>0</v>
      </c>
      <c r="AR21" s="171">
        <f>COUNTIF(Tabel152[Winaar rood],Tabel511[[#This Row],[Team]])</f>
        <v>0</v>
      </c>
      <c r="AS21" s="169">
        <f>COUNTIF(Tabel152[Winnaar Groen],Tabel511[[#This Row],[Team]])</f>
        <v>0</v>
      </c>
      <c r="AT21" s="170">
        <f>COUNTIF(Tabel152[Winnaars],Tabel511[[#This Row],[Team]])</f>
        <v>0</v>
      </c>
      <c r="AU21" s="163">
        <f>Tabel511[[#This Row],[Aantal Games Rood]]-Tabel511[[#This Row],[Wins Rood]]</f>
        <v>0</v>
      </c>
      <c r="AV21" s="169">
        <f>Tabel511[[#This Row],[Aantal Games Groen]]-Tabel511[[#This Row],[Wins Groen]]</f>
        <v>0</v>
      </c>
      <c r="AW21" s="165">
        <f>Tabel511[[#This Row],[Aantal games Alg]]-Tabel511[[#This Row],[Wins Alg]]</f>
        <v>0</v>
      </c>
      <c r="AX21" s="171">
        <f>COUNTIF(Tabel152[Team Rood],Tabel511[[#This Row],[Team]])</f>
        <v>0</v>
      </c>
      <c r="AY21" s="169">
        <f>COUNTIF(Tabel152[Team Groen],Tabel511[[#This Row],[Team]])</f>
        <v>0</v>
      </c>
      <c r="AZ21" s="170">
        <f>Tabel511[[#This Row],[Aantal Games Rood]]+Tabel511[[#This Row],[Aantal Games Groen]]</f>
        <v>0</v>
      </c>
      <c r="BA21" s="171">
        <f>SUMIF(Tabel152[Team Rood],Tabel511[[#This Row],[Team]],Tabel152[Score])</f>
        <v>0</v>
      </c>
      <c r="BB21" s="171">
        <f>SUMIF(Tabel152[Team Rood],Tabel511[[#This Row],[Team]],Tabel152[Score2])</f>
        <v>0</v>
      </c>
      <c r="BC21" s="136">
        <f>SUMIF(Tabel152[Team Groen],Tabel511[[#This Row],[Team]],Tabel152[Score3])</f>
        <v>0</v>
      </c>
      <c r="BD21" s="169">
        <f>SUMIF(Tabel152[Team Groen],Tabel511[[#This Row],[Team]],Tabel152[Score4])</f>
        <v>0</v>
      </c>
      <c r="BE21" s="172">
        <f>SUM(Tabel511[[#This Row],[Goals Verdediger]]+Tabel511[[#This Row],[Goals DefG]])</f>
        <v>0</v>
      </c>
      <c r="BF21" s="170">
        <f>IF(Tabel511[[#This Row],[Aantal games Alg]]=0,0,Tabel511[[#This Row],[Goals DefA]]/Tabel511[[#This Row],[Aantal games Alg]])</f>
        <v>0</v>
      </c>
      <c r="BG21" s="172">
        <f>SUM(Tabel511[[#This Row],[Goals Aanvaller]]+Tabel511[[#This Row],[Goals OffG]])</f>
        <v>0</v>
      </c>
      <c r="BH21" s="170">
        <f>IF(Tabel511[[#This Row],[Aantal games Alg]]=0,0,Tabel511[[#This Row],[Goals OffA]]/Tabel511[[#This Row],[Aantal games Alg]])</f>
        <v>0</v>
      </c>
      <c r="BI21" s="170">
        <f>Tabel511[[#This Row],[Goals DefA]]+Tabel511[[#This Row],[Goals OffA]]</f>
        <v>0</v>
      </c>
      <c r="BJ21" s="170">
        <f>IF(Tabel511[[#This Row],[Aantal games Alg]]=0,0,Tabel511[[#This Row],[Goals Alg]]/Tabel511[[#This Row],[Aantal games Alg]])</f>
        <v>0</v>
      </c>
      <c r="BK21" s="148">
        <f>SUMIF(Tabel152[Team Rood],Tabel511[[#This Row],[Team]],Tabel152[ET])</f>
        <v>0</v>
      </c>
      <c r="BL21" s="150">
        <f>SUMIF(Tabel152[Team Groen],Tabel511[[#This Row],[Team]],Tabel152[ET])</f>
        <v>0</v>
      </c>
      <c r="BM21" s="153">
        <f>SUM(Tabel511[[#This Row],[ET Groen tot]],Tabel511[[#This Row],[ET Rood tot]])</f>
        <v>0</v>
      </c>
      <c r="BN21" s="155">
        <f>IF(Tabel511[[#This Row],[Aantal games Alg]]=0,0,Tabel511[[#This Row],[ET tot]]/Tabel511[[#This Row],[Aantal games Alg]])</f>
        <v>0</v>
      </c>
    </row>
    <row r="22" spans="1:66" x14ac:dyDescent="0.25">
      <c r="A22" s="215">
        <f ca="1">IF(Tabel152[[#This Row],[Rood Verdediging]]&lt;&gt;"",IF(A22="",NOW(),A22),"")</f>
        <v>44406.771148842592</v>
      </c>
      <c r="B22" s="218">
        <f ca="1">IF(Tabel152[[#This Row],[Rood Verdediging]]&lt;&gt;"",IF(B22="",NOW(),B22),"")</f>
        <v>44406.771148842592</v>
      </c>
      <c r="C22" s="216">
        <f ca="1">IF(Tabel152[[#This Row],[Score]]&lt;&gt;"",IF(C22="",NOW(),C22),"")</f>
        <v>44406.771171527776</v>
      </c>
      <c r="D22" s="217">
        <f ca="1">IF(OR(Tabel152[[#This Row],[Starttijd]]="",Tabel152[[#This Row],[Eindtijd]]=""),"",Tabel152[[#This Row],[Eindtijd]]-Tabel152[[#This Row],[Starttijd]])</f>
        <v>2.2685184376314282E-5</v>
      </c>
      <c r="E22" s="74">
        <v>21</v>
      </c>
      <c r="F22" s="205" t="s">
        <v>11</v>
      </c>
      <c r="G22" s="210">
        <v>6</v>
      </c>
      <c r="H22" s="205" t="s">
        <v>0</v>
      </c>
      <c r="I22" s="210">
        <v>5</v>
      </c>
      <c r="J22" s="206" t="s">
        <v>6</v>
      </c>
      <c r="K22" s="212">
        <v>6</v>
      </c>
      <c r="L22" s="206" t="s">
        <v>13</v>
      </c>
      <c r="M22" s="212">
        <v>7</v>
      </c>
      <c r="N22" s="79">
        <f>Tabel152[[#This Row],[Score]]+Tabel152[[#This Row],[Score2]]</f>
        <v>11</v>
      </c>
      <c r="O22" s="80">
        <f>Tabel152[[#This Row],[Score3]]+Tabel152[[#This Row],[Score4]]</f>
        <v>13</v>
      </c>
      <c r="P2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Row],[Score4]]&lt;&gt;""),IF(AND(N22&gt;O22,N22&gt;=11),"ROOD",IF(AND(O22&gt;=11,N22&lt;&gt;O22),"GROEN","")),"")</f>
        <v>GROEN</v>
      </c>
      <c r="Q22" s="84" t="str">
        <f t="shared" si="12"/>
        <v>Stef D</v>
      </c>
      <c r="R22" s="85" t="str">
        <f t="shared" si="13"/>
        <v>Bert</v>
      </c>
      <c r="S22" s="293" t="str">
        <f>Tabel152[[#This Row],[Rood Verdediging]]&amp;Tabel152[[#This Row],[Rood Aanval]]</f>
        <v>MatthijsJonas</v>
      </c>
      <c r="T22" s="293" t="str">
        <f>Tabel152[[#This Row],[Groen Verdediging]]&amp;Tabel152[[#This Row],[Groen Aanval]]</f>
        <v>Stef DBert</v>
      </c>
      <c r="U22" s="293" t="str">
        <f>Tabel152[[#This Row],[Winnaar 1]]&amp;Tabel152[[#This Row],[Winnaar 2]]</f>
        <v>Stef DBert</v>
      </c>
      <c r="V22" s="147" t="b">
        <f>IF(Tabel152[[#This Row],[Team Rood]]=Tabel152[[#This Row],[Winnaars]],Tabel152[[#This Row],[Team Rood]])</f>
        <v>0</v>
      </c>
      <c r="W22" s="147" t="str">
        <f>IF(Tabel152[[#This Row],[Team Groen]]=Tabel152[[#This Row],[Winnaars]],Tabel152[[#This Row],[Team Groen]])</f>
        <v>Stef DBert</v>
      </c>
      <c r="X22" s="283">
        <v>6.8509518702373207</v>
      </c>
      <c r="Y22" s="283">
        <v>-20.80233734353979</v>
      </c>
      <c r="Z22" s="283">
        <v>44.428027832098934</v>
      </c>
      <c r="AA22" s="283">
        <v>27.498055178359984</v>
      </c>
      <c r="AL22" s="251" t="s">
        <v>163</v>
      </c>
      <c r="AM22" s="233" t="s">
        <v>169</v>
      </c>
      <c r="AN22" s="140" t="str">
        <f t="shared" si="6"/>
        <v>Bert*Stef*</v>
      </c>
      <c r="AO22" s="160">
        <f>IF(Tabel511[[#This Row],[Aantal Games Rood]]=0,0,(Tabel511[[#This Row],[Wins Rood]])/Tabel511[[#This Row],[Aantal Games Rood]])</f>
        <v>0</v>
      </c>
      <c r="AP22" s="159">
        <f>IF(Tabel511[[#This Row],[Aantal Games Groen]]=0,0,(Tabel511[[#This Row],[Wins Groen]])/Tabel511[[#This Row],[Aantal Games Groen]])</f>
        <v>0</v>
      </c>
      <c r="AQ22" s="156">
        <f>IF(Tabel511[[#This Row],[Aantal games Alg]]=0,0,(Tabel511[[#This Row],[Wins Alg]])/Tabel511[[#This Row],[Aantal games Alg]])</f>
        <v>0</v>
      </c>
      <c r="AR22" s="133">
        <f>COUNTIF(Tabel152[Winaar rood],Tabel511[[#This Row],[Team]])</f>
        <v>0</v>
      </c>
      <c r="AS22" s="134">
        <f>COUNTIF(Tabel152[Winnaar Groen],Tabel511[[#This Row],[Team]])</f>
        <v>0</v>
      </c>
      <c r="AT22" s="293">
        <f>COUNTIF(Tabel152[Winnaars],Tabel511[[#This Row],[Team]])</f>
        <v>0</v>
      </c>
      <c r="AU22" s="135">
        <f>Tabel511[[#This Row],[Aantal Games Rood]]-Tabel511[[#This Row],[Wins Rood]]</f>
        <v>0</v>
      </c>
      <c r="AV22" s="136">
        <f>Tabel511[[#This Row],[Aantal Games Groen]]-Tabel511[[#This Row],[Wins Groen]]</f>
        <v>0</v>
      </c>
      <c r="AW22" s="137">
        <f>Tabel511[[#This Row],[Aantal games Alg]]-Tabel511[[#This Row],[Wins Alg]]</f>
        <v>0</v>
      </c>
      <c r="AX22" s="138">
        <f>COUNTIF(Tabel152[Team Rood],Tabel511[[#This Row],[Team]])</f>
        <v>0</v>
      </c>
      <c r="AY22" s="136">
        <f>COUNTIF(Tabel152[Team Groen],Tabel511[[#This Row],[Team]])</f>
        <v>0</v>
      </c>
      <c r="AZ22" s="214">
        <f>Tabel511[[#This Row],[Aantal Games Rood]]+Tabel511[[#This Row],[Aantal Games Groen]]</f>
        <v>0</v>
      </c>
      <c r="BA22" s="138">
        <f>SUMIF(Tabel152[Team Rood],Tabel511[[#This Row],[Team]],Tabel152[Score])</f>
        <v>0</v>
      </c>
      <c r="BB22" s="138">
        <f>SUMIF(Tabel152[Team Rood],Tabel511[[#This Row],[Team]],Tabel152[Score2])</f>
        <v>0</v>
      </c>
      <c r="BC22" s="134">
        <f>SUMIF(Tabel152[Team Groen],Tabel511[[#This Row],[Team]],Tabel152[Score3])</f>
        <v>0</v>
      </c>
      <c r="BD22" s="136">
        <f>SUMIF(Tabel152[Team Groen],Tabel511[[#This Row],[Team]],Tabel152[Score4])</f>
        <v>0</v>
      </c>
      <c r="BE22" s="293">
        <f>SUM(Tabel511[[#This Row],[Goals Verdediger]]+Tabel511[[#This Row],[Goals DefG]])</f>
        <v>0</v>
      </c>
      <c r="BF22" s="293">
        <f>IF(Tabel511[[#This Row],[Aantal games Alg]]=0,0,Tabel511[[#This Row],[Goals DefA]]/Tabel511[[#This Row],[Aantal games Alg]])</f>
        <v>0</v>
      </c>
      <c r="BG22" s="293">
        <f>SUM(Tabel511[[#This Row],[Goals Aanvaller]]+Tabel511[[#This Row],[Goals OffG]])</f>
        <v>0</v>
      </c>
      <c r="BH22" s="293">
        <f>IF(Tabel511[[#This Row],[Aantal games Alg]]=0,0,Tabel511[[#This Row],[Goals OffA]]/Tabel511[[#This Row],[Aantal games Alg]])</f>
        <v>0</v>
      </c>
      <c r="BI22" s="214">
        <f>Tabel511[[#This Row],[Goals DefA]]+Tabel511[[#This Row],[Goals OffA]]</f>
        <v>0</v>
      </c>
      <c r="BJ22" s="214">
        <f>IF(Tabel511[[#This Row],[Aantal games Alg]]=0,0,Tabel511[[#This Row],[Goals Alg]]/Tabel511[[#This Row],[Aantal games Alg]])</f>
        <v>0</v>
      </c>
      <c r="BK22" s="148">
        <f>SUMIF(Tabel152[Team Rood],Tabel511[[#This Row],[Team]],Tabel152[ET])</f>
        <v>0</v>
      </c>
      <c r="BL22" s="150">
        <f>SUMIF(Tabel152[Team Groen],Tabel511[[#This Row],[Team]],Tabel152[ET])</f>
        <v>0</v>
      </c>
      <c r="BM22" s="153">
        <f>SUM(Tabel511[[#This Row],[ET Groen tot]],Tabel511[[#This Row],[ET Rood tot]])</f>
        <v>0</v>
      </c>
      <c r="BN22" s="155">
        <f>IF(Tabel511[[#This Row],[Aantal games Alg]]=0,0,Tabel511[[#This Row],[ET tot]]/Tabel511[[#This Row],[Aantal games Alg]])</f>
        <v>0</v>
      </c>
    </row>
    <row r="23" spans="1:66" x14ac:dyDescent="0.25">
      <c r="A23" s="215">
        <f ca="1">IF(Tabel152[[#This Row],[Rood Verdediging]]&lt;&gt;"",IF(A23="",NOW(),A23),"")</f>
        <v>44407.821224305553</v>
      </c>
      <c r="B23" s="218">
        <f ca="1">IF(Tabel152[[#This Row],[Rood Verdediging]]&lt;&gt;"",IF(B23="",NOW(),B23),"")</f>
        <v>44407.821224305553</v>
      </c>
      <c r="C23" s="216">
        <f ca="1">IF(Tabel152[[#This Row],[Score]]&lt;&gt;"",IF(C23="",NOW(),C23),"")</f>
        <v>44407.832125694447</v>
      </c>
      <c r="D23" s="217">
        <f ca="1">IF(OR(Tabel152[[#This Row],[Starttijd]]="",Tabel152[[#This Row],[Eindtijd]]=""),"",Tabel152[[#This Row],[Eindtijd]]-Tabel152[[#This Row],[Starttijd]])</f>
        <v>1.0901388894126285E-2</v>
      </c>
      <c r="E23" s="74">
        <v>22</v>
      </c>
      <c r="F23" s="205" t="s">
        <v>167</v>
      </c>
      <c r="G23" s="210">
        <v>0</v>
      </c>
      <c r="H23" s="205" t="s">
        <v>6</v>
      </c>
      <c r="I23" s="210">
        <v>7</v>
      </c>
      <c r="J23" s="206" t="s">
        <v>7</v>
      </c>
      <c r="K23" s="212">
        <v>3</v>
      </c>
      <c r="L23" s="206" t="s">
        <v>0</v>
      </c>
      <c r="M23" s="212">
        <v>8</v>
      </c>
      <c r="N23" s="79">
        <f>Tabel152[[#This Row],[Score]]+Tabel152[[#This Row],[Score2]]</f>
        <v>7</v>
      </c>
      <c r="O23" s="80">
        <f>Tabel152[[#This Row],[Score3]]+Tabel152[[#This Row],[Score4]]</f>
        <v>11</v>
      </c>
      <c r="P2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Row],[Score4]]&lt;&gt;""),IF(AND(N23&gt;O23,N23&gt;=11),"ROOD",IF(AND(O23&gt;=11,N23&lt;&gt;O23),"GROEN","")),"")</f>
        <v>GROEN</v>
      </c>
      <c r="Q23" s="84" t="str">
        <f t="shared" si="12"/>
        <v>Tiemen</v>
      </c>
      <c r="R23" s="85" t="str">
        <f t="shared" si="13"/>
        <v>Jonas</v>
      </c>
      <c r="S23" s="293" t="str">
        <f>Tabel152[[#This Row],[Rood Verdediging]]&amp;Tabel152[[#This Row],[Rood Aanval]]</f>
        <v>CogheStef D</v>
      </c>
      <c r="T23" s="293" t="str">
        <f>Tabel152[[#This Row],[Groen Verdediging]]&amp;Tabel152[[#This Row],[Groen Aanval]]</f>
        <v>TiemenJonas</v>
      </c>
      <c r="U23" s="293" t="str">
        <f>Tabel152[[#This Row],[Winnaar 1]]&amp;Tabel152[[#This Row],[Winnaar 2]]</f>
        <v>TiemenJonas</v>
      </c>
      <c r="V23" s="147" t="b">
        <f>IF(Tabel152[[#This Row],[Team Rood]]=Tabel152[[#This Row],[Winnaars]],Tabel152[[#This Row],[Team Rood]])</f>
        <v>0</v>
      </c>
      <c r="W23" s="147" t="str">
        <f>IF(Tabel152[[#This Row],[Team Groen]]=Tabel152[[#This Row],[Winnaars]],Tabel152[[#This Row],[Team Groen]])</f>
        <v>TiemenJonas</v>
      </c>
      <c r="X23" s="283">
        <v>-14.29774522842415</v>
      </c>
      <c r="Y23" s="283">
        <v>-25.161169859475564</v>
      </c>
      <c r="Z23" s="283">
        <v>36.639510017355754</v>
      </c>
      <c r="AA23" s="283">
        <v>47.684524833440157</v>
      </c>
      <c r="AL23" s="251" t="s">
        <v>163</v>
      </c>
      <c r="AM23" s="233" t="s">
        <v>166</v>
      </c>
      <c r="AN23" s="140" t="str">
        <f t="shared" si="6"/>
        <v>Bert*Stijn*</v>
      </c>
      <c r="AO23" s="160">
        <f>IF(Tabel511[[#This Row],[Aantal Games Rood]]=0,0,(Tabel511[[#This Row],[Wins Rood]])/Tabel511[[#This Row],[Aantal Games Rood]])</f>
        <v>0</v>
      </c>
      <c r="AP23" s="159">
        <f>IF(Tabel511[[#This Row],[Aantal Games Groen]]=0,0,(Tabel511[[#This Row],[Wins Groen]])/Tabel511[[#This Row],[Aantal Games Groen]])</f>
        <v>0</v>
      </c>
      <c r="AQ23" s="156">
        <f>IF(Tabel511[[#This Row],[Aantal games Alg]]=0,0,(Tabel511[[#This Row],[Wins Alg]])/Tabel511[[#This Row],[Aantal games Alg]])</f>
        <v>0</v>
      </c>
      <c r="AR23" s="133">
        <f>COUNTIF(Tabel152[Winaar rood],Tabel511[[#This Row],[Team]])</f>
        <v>0</v>
      </c>
      <c r="AS23" s="134">
        <f>COUNTIF(Tabel152[Winnaar Groen],Tabel511[[#This Row],[Team]])</f>
        <v>0</v>
      </c>
      <c r="AT23" s="293">
        <f>COUNTIF(Tabel152[Winnaars],Tabel511[[#This Row],[Team]])</f>
        <v>0</v>
      </c>
      <c r="AU23" s="135">
        <f>Tabel511[[#This Row],[Aantal Games Rood]]-Tabel511[[#This Row],[Wins Rood]]</f>
        <v>0</v>
      </c>
      <c r="AV23" s="136">
        <f>Tabel511[[#This Row],[Aantal Games Groen]]-Tabel511[[#This Row],[Wins Groen]]</f>
        <v>0</v>
      </c>
      <c r="AW23" s="137">
        <f>Tabel511[[#This Row],[Aantal games Alg]]-Tabel511[[#This Row],[Wins Alg]]</f>
        <v>0</v>
      </c>
      <c r="AX23" s="138">
        <f>COUNTIF(Tabel152[Team Rood],Tabel511[[#This Row],[Team]])</f>
        <v>0</v>
      </c>
      <c r="AY23" s="136">
        <f>COUNTIF(Tabel152[Team Groen],Tabel511[[#This Row],[Team]])</f>
        <v>0</v>
      </c>
      <c r="AZ23" s="214">
        <f>Tabel511[[#This Row],[Aantal Games Rood]]+Tabel511[[#This Row],[Aantal Games Groen]]</f>
        <v>0</v>
      </c>
      <c r="BA23" s="138">
        <f>SUMIF(Tabel152[Team Rood],Tabel511[[#This Row],[Team]],Tabel152[Score])</f>
        <v>0</v>
      </c>
      <c r="BB23" s="138">
        <f>SUMIF(Tabel152[Team Rood],Tabel511[[#This Row],[Team]],Tabel152[Score2])</f>
        <v>0</v>
      </c>
      <c r="BC23" s="134">
        <f>SUMIF(Tabel152[Team Groen],Tabel511[[#This Row],[Team]],Tabel152[Score3])</f>
        <v>0</v>
      </c>
      <c r="BD23" s="136">
        <f>SUMIF(Tabel152[Team Groen],Tabel511[[#This Row],[Team]],Tabel152[Score4])</f>
        <v>0</v>
      </c>
      <c r="BE23" s="293">
        <f>SUM(Tabel511[[#This Row],[Goals Verdediger]]+Tabel511[[#This Row],[Goals DefG]])</f>
        <v>0</v>
      </c>
      <c r="BF23" s="293">
        <f>IF(Tabel511[[#This Row],[Aantal games Alg]]=0,0,Tabel511[[#This Row],[Goals DefA]]/Tabel511[[#This Row],[Aantal games Alg]])</f>
        <v>0</v>
      </c>
      <c r="BG23" s="293">
        <f>SUM(Tabel511[[#This Row],[Goals Aanvaller]]+Tabel511[[#This Row],[Goals OffG]])</f>
        <v>0</v>
      </c>
      <c r="BH23" s="293">
        <f>IF(Tabel511[[#This Row],[Aantal games Alg]]=0,0,Tabel511[[#This Row],[Goals OffA]]/Tabel511[[#This Row],[Aantal games Alg]])</f>
        <v>0</v>
      </c>
      <c r="BI23" s="214">
        <f>Tabel511[[#This Row],[Goals DefA]]+Tabel511[[#This Row],[Goals OffA]]</f>
        <v>0</v>
      </c>
      <c r="BJ23" s="214">
        <f>IF(Tabel511[[#This Row],[Aantal games Alg]]=0,0,Tabel511[[#This Row],[Goals Alg]]/Tabel511[[#This Row],[Aantal games Alg]])</f>
        <v>0</v>
      </c>
      <c r="BK23" s="148">
        <f>SUMIF(Tabel152[Team Rood],Tabel511[[#This Row],[Team]],Tabel152[ET])</f>
        <v>0</v>
      </c>
      <c r="BL23" s="150">
        <f>SUMIF(Tabel152[Team Groen],Tabel511[[#This Row],[Team]],Tabel152[ET])</f>
        <v>0</v>
      </c>
      <c r="BM23" s="153">
        <f>SUM(Tabel511[[#This Row],[ET Groen tot]],Tabel511[[#This Row],[ET Rood tot]])</f>
        <v>0</v>
      </c>
      <c r="BN23" s="155">
        <f>IF(Tabel511[[#This Row],[Aantal games Alg]]=0,0,Tabel511[[#This Row],[ET tot]]/Tabel511[[#This Row],[Aantal games Alg]])</f>
        <v>0</v>
      </c>
    </row>
    <row r="24" spans="1:66" x14ac:dyDescent="0.25">
      <c r="A24" s="215">
        <f ca="1">IF(Tabel152[[#This Row],[Rood Verdediging]]&lt;&gt;"",IF(A24="",NOW(),A24),"")</f>
        <v>44407.849667013892</v>
      </c>
      <c r="B24" s="218">
        <f ca="1">IF(Tabel152[[#This Row],[Rood Verdediging]]&lt;&gt;"",IF(B24="",NOW(),B24),"")</f>
        <v>44407.849667013892</v>
      </c>
      <c r="C24" s="216">
        <f ca="1">IF(Tabel152[[#This Row],[Score]]&lt;&gt;"",IF(C24="",NOW(),C24),"")</f>
        <v>44407.849691203701</v>
      </c>
      <c r="D24" s="217">
        <f ca="1">IF(OR(Tabel152[[#This Row],[Starttijd]]="",Tabel152[[#This Row],[Eindtijd]]=""),"",Tabel152[[#This Row],[Eindtijd]]-Tabel152[[#This Row],[Starttijd]])</f>
        <v>2.418980875518173E-5</v>
      </c>
      <c r="E24" s="74">
        <v>23</v>
      </c>
      <c r="F24" s="205" t="s">
        <v>6</v>
      </c>
      <c r="G24" s="210">
        <v>4</v>
      </c>
      <c r="H24" s="205" t="s">
        <v>183</v>
      </c>
      <c r="I24" s="210">
        <v>8</v>
      </c>
      <c r="J24" s="206" t="s">
        <v>0</v>
      </c>
      <c r="K24" s="212">
        <v>3</v>
      </c>
      <c r="L24" s="206" t="s">
        <v>7</v>
      </c>
      <c r="M24" s="212">
        <v>11</v>
      </c>
      <c r="N24" s="79">
        <f>Tabel152[[#This Row],[Score]]+Tabel152[[#This Row],[Score2]]</f>
        <v>12</v>
      </c>
      <c r="O24" s="80">
        <f>Tabel152[[#This Row],[Score3]]+Tabel152[[#This Row],[Score4]]</f>
        <v>14</v>
      </c>
      <c r="P2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Row],[Score4]]&lt;&gt;""),IF(AND(N24&gt;O24,N24&gt;=11),"ROOD",IF(AND(O24&gt;=11,N24&lt;&gt;O24),"GROEN","")),"")</f>
        <v>GROEN</v>
      </c>
      <c r="Q24" s="84" t="str">
        <f t="shared" si="12"/>
        <v>Jonas</v>
      </c>
      <c r="R24" s="85" t="str">
        <f t="shared" si="13"/>
        <v>Tiemen</v>
      </c>
      <c r="S24" s="293" t="str">
        <f>Tabel152[[#This Row],[Rood Verdediging]]&amp;Tabel152[[#This Row],[Rood Aanval]]</f>
        <v xml:space="preserve">Stef DCoghe </v>
      </c>
      <c r="T24" s="293" t="str">
        <f>Tabel152[[#This Row],[Groen Verdediging]]&amp;Tabel152[[#This Row],[Groen Aanval]]</f>
        <v>JonasTiemen</v>
      </c>
      <c r="U24" s="293" t="str">
        <f>Tabel152[[#This Row],[Winnaar 1]]&amp;Tabel152[[#This Row],[Winnaar 2]]</f>
        <v>JonasTiemen</v>
      </c>
      <c r="V24" s="147" t="b">
        <f>IF(Tabel152[[#This Row],[Team Rood]]=Tabel152[[#This Row],[Winnaars]],Tabel152[[#This Row],[Team Rood]])</f>
        <v>0</v>
      </c>
      <c r="W24" s="147" t="str">
        <f>IF(Tabel152[[#This Row],[Team Groen]]=Tabel152[[#This Row],[Winnaars]],Tabel152[[#This Row],[Team Groen]])</f>
        <v>JonasTiemen</v>
      </c>
      <c r="X24" s="283">
        <v>-7.0958898944193081</v>
      </c>
      <c r="Y24" s="283">
        <v>-11.744320753110472</v>
      </c>
      <c r="Z24" s="283">
        <v>31.004177216295609</v>
      </c>
      <c r="AA24" s="283">
        <v>26.943073240404239</v>
      </c>
      <c r="AL24" s="251" t="s">
        <v>163</v>
      </c>
      <c r="AM24" s="233" t="s">
        <v>160</v>
      </c>
      <c r="AN24" s="140" t="str">
        <f t="shared" si="6"/>
        <v>Bert*Tiemen*</v>
      </c>
      <c r="AO24" s="160">
        <f>IF(Tabel511[[#This Row],[Aantal Games Rood]]=0,0,(Tabel511[[#This Row],[Wins Rood]])/Tabel511[[#This Row],[Aantal Games Rood]])</f>
        <v>0</v>
      </c>
      <c r="AP24" s="159">
        <f>IF(Tabel511[[#This Row],[Aantal Games Groen]]=0,0,(Tabel511[[#This Row],[Wins Groen]])/Tabel511[[#This Row],[Aantal Games Groen]])</f>
        <v>0</v>
      </c>
      <c r="AQ24" s="156">
        <f>IF(Tabel511[[#This Row],[Aantal games Alg]]=0,0,(Tabel511[[#This Row],[Wins Alg]])/Tabel511[[#This Row],[Aantal games Alg]])</f>
        <v>0</v>
      </c>
      <c r="AR24" s="133">
        <f>COUNTIF(Tabel152[Winaar rood],Tabel511[[#This Row],[Team]])</f>
        <v>0</v>
      </c>
      <c r="AS24" s="134">
        <f>COUNTIF(Tabel152[Winnaar Groen],Tabel511[[#This Row],[Team]])</f>
        <v>0</v>
      </c>
      <c r="AT24" s="293">
        <f>COUNTIF(Tabel152[Winnaars],Tabel511[[#This Row],[Team]])</f>
        <v>0</v>
      </c>
      <c r="AU24" s="135">
        <f>Tabel511[[#This Row],[Aantal Games Rood]]-Tabel511[[#This Row],[Wins Rood]]</f>
        <v>0</v>
      </c>
      <c r="AV24" s="136">
        <f>Tabel511[[#This Row],[Aantal Games Groen]]-Tabel511[[#This Row],[Wins Groen]]</f>
        <v>0</v>
      </c>
      <c r="AW24" s="137">
        <f>Tabel511[[#This Row],[Aantal games Alg]]-Tabel511[[#This Row],[Wins Alg]]</f>
        <v>0</v>
      </c>
      <c r="AX24" s="138">
        <f>COUNTIF(Tabel152[Team Rood],Tabel511[[#This Row],[Team]])</f>
        <v>0</v>
      </c>
      <c r="AY24" s="136">
        <f>COUNTIF(Tabel152[Team Groen],Tabel511[[#This Row],[Team]])</f>
        <v>0</v>
      </c>
      <c r="AZ24" s="214">
        <f>Tabel511[[#This Row],[Aantal Games Rood]]+Tabel511[[#This Row],[Aantal Games Groen]]</f>
        <v>0</v>
      </c>
      <c r="BA24" s="138">
        <f>SUMIF(Tabel152[Team Rood],Tabel511[[#This Row],[Team]],Tabel152[Score])</f>
        <v>0</v>
      </c>
      <c r="BB24" s="138">
        <f>SUMIF(Tabel152[Team Rood],Tabel511[[#This Row],[Team]],Tabel152[Score2])</f>
        <v>0</v>
      </c>
      <c r="BC24" s="134">
        <f>SUMIF(Tabel152[Team Groen],Tabel511[[#This Row],[Team]],Tabel152[Score3])</f>
        <v>0</v>
      </c>
      <c r="BD24" s="136">
        <f>SUMIF(Tabel152[Team Groen],Tabel511[[#This Row],[Team]],Tabel152[Score4])</f>
        <v>0</v>
      </c>
      <c r="BE24" s="293">
        <f>SUM(Tabel511[[#This Row],[Goals Verdediger]]+Tabel511[[#This Row],[Goals DefG]])</f>
        <v>0</v>
      </c>
      <c r="BF24" s="293">
        <f>IF(Tabel511[[#This Row],[Aantal games Alg]]=0,0,Tabel511[[#This Row],[Goals DefA]]/Tabel511[[#This Row],[Aantal games Alg]])</f>
        <v>0</v>
      </c>
      <c r="BG24" s="293">
        <f>SUM(Tabel511[[#This Row],[Goals Aanvaller]]+Tabel511[[#This Row],[Goals OffG]])</f>
        <v>0</v>
      </c>
      <c r="BH24" s="293">
        <f>IF(Tabel511[[#This Row],[Aantal games Alg]]=0,0,Tabel511[[#This Row],[Goals OffA]]/Tabel511[[#This Row],[Aantal games Alg]])</f>
        <v>0</v>
      </c>
      <c r="BI24" s="214">
        <f>Tabel511[[#This Row],[Goals DefA]]+Tabel511[[#This Row],[Goals OffA]]</f>
        <v>0</v>
      </c>
      <c r="BJ24" s="214">
        <f>IF(Tabel511[[#This Row],[Aantal games Alg]]=0,0,Tabel511[[#This Row],[Goals Alg]]/Tabel511[[#This Row],[Aantal games Alg]])</f>
        <v>0</v>
      </c>
      <c r="BK24" s="148">
        <f>SUMIF(Tabel152[Team Rood],Tabel511[[#This Row],[Team]],Tabel152[ET])</f>
        <v>0</v>
      </c>
      <c r="BL24" s="150">
        <f>SUMIF(Tabel152[Team Groen],Tabel511[[#This Row],[Team]],Tabel152[ET])</f>
        <v>0</v>
      </c>
      <c r="BM24" s="153">
        <f>SUM(Tabel511[[#This Row],[ET Groen tot]],Tabel511[[#This Row],[ET Rood tot]])</f>
        <v>0</v>
      </c>
      <c r="BN24" s="155">
        <f>IF(Tabel511[[#This Row],[Aantal games Alg]]=0,0,Tabel511[[#This Row],[ET tot]]/Tabel511[[#This Row],[Aantal games Alg]])</f>
        <v>0</v>
      </c>
    </row>
    <row r="25" spans="1:66" x14ac:dyDescent="0.25">
      <c r="A25" s="215">
        <f ca="1">IF(Tabel152[[#This Row],[Rood Verdediging]]&lt;&gt;"",IF(A25="",NOW(),A25),"")</f>
        <v>44407.851222916666</v>
      </c>
      <c r="B25" s="218">
        <f ca="1">IF(Tabel152[[#This Row],[Rood Verdediging]]&lt;&gt;"",IF(B25="",NOW(),B25),"")</f>
        <v>44407.851222916666</v>
      </c>
      <c r="C25" s="216">
        <f ca="1">IF(Tabel152[[#This Row],[Score]]&lt;&gt;"",IF(C25="",NOW(),C25),"")</f>
        <v>44407.896428472224</v>
      </c>
      <c r="D25" s="217">
        <f ca="1">IF(OR(Tabel152[[#This Row],[Starttijd]]="",Tabel152[[#This Row],[Eindtijd]]=""),"",Tabel152[[#This Row],[Eindtijd]]-Tabel152[[#This Row],[Starttijd]])</f>
        <v>4.5205555557913613E-2</v>
      </c>
      <c r="E25" s="74">
        <v>24</v>
      </c>
      <c r="F25" s="205" t="s">
        <v>167</v>
      </c>
      <c r="G25" s="210">
        <v>7</v>
      </c>
      <c r="H25" s="205" t="s">
        <v>11</v>
      </c>
      <c r="I25" s="210">
        <v>4</v>
      </c>
      <c r="J25" s="206" t="s">
        <v>3</v>
      </c>
      <c r="K25" s="212">
        <v>4</v>
      </c>
      <c r="L25" s="206" t="s">
        <v>13</v>
      </c>
      <c r="M25" s="212">
        <v>9</v>
      </c>
      <c r="N25" s="79">
        <f>Tabel152[[#This Row],[Score]]+Tabel152[[#This Row],[Score2]]</f>
        <v>11</v>
      </c>
      <c r="O25" s="80">
        <f>Tabel152[[#This Row],[Score3]]+Tabel152[[#This Row],[Score4]]</f>
        <v>13</v>
      </c>
      <c r="P2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Row],[Score4]]&lt;&gt;""),IF(AND(N25&gt;O25,N25&gt;=11),"ROOD",IF(AND(O25&gt;=11,N25&lt;&gt;O25),"GROEN","")),"")</f>
        <v>GROEN</v>
      </c>
      <c r="Q25" s="84" t="str">
        <f t="shared" si="12"/>
        <v>Karel</v>
      </c>
      <c r="R25" s="85" t="str">
        <f t="shared" si="13"/>
        <v>Bert</v>
      </c>
      <c r="S25" s="293" t="str">
        <f>Tabel152[[#This Row],[Rood Verdediging]]&amp;Tabel152[[#This Row],[Rood Aanval]]</f>
        <v>CogheMatthijs</v>
      </c>
      <c r="T25" s="293" t="str">
        <f>Tabel152[[#This Row],[Groen Verdediging]]&amp;Tabel152[[#This Row],[Groen Aanval]]</f>
        <v>KarelBert</v>
      </c>
      <c r="U25" s="293" t="str">
        <f>Tabel152[[#This Row],[Winnaar 1]]&amp;Tabel152[[#This Row],[Winnaar 2]]</f>
        <v>KarelBert</v>
      </c>
      <c r="V25" s="147" t="b">
        <f>IF(Tabel152[[#This Row],[Team Rood]]=Tabel152[[#This Row],[Winnaars]],Tabel152[[#This Row],[Team Rood]])</f>
        <v>0</v>
      </c>
      <c r="W25" s="147" t="str">
        <f>IF(Tabel152[[#This Row],[Team Groen]]=Tabel152[[#This Row],[Winnaars]],Tabel152[[#This Row],[Team Groen]])</f>
        <v>KarelBert</v>
      </c>
      <c r="X25" s="283">
        <v>10.385356484920663</v>
      </c>
      <c r="Y25" s="283">
        <v>-25.779464014412348</v>
      </c>
      <c r="Z25" s="283">
        <v>49.885640285455523</v>
      </c>
      <c r="AA25" s="283">
        <v>21.155876762942377</v>
      </c>
      <c r="AL25" s="251" t="s">
        <v>163</v>
      </c>
      <c r="AM25" s="233" t="s">
        <v>157</v>
      </c>
      <c r="AN25" s="140" t="str">
        <f t="shared" si="6"/>
        <v>Bert*Tobi*</v>
      </c>
      <c r="AO25" s="160">
        <f>IF(Tabel511[[#This Row],[Aantal Games Rood]]=0,0,(Tabel511[[#This Row],[Wins Rood]])/Tabel511[[#This Row],[Aantal Games Rood]])</f>
        <v>0</v>
      </c>
      <c r="AP25" s="159">
        <f>IF(Tabel511[[#This Row],[Aantal Games Groen]]=0,0,(Tabel511[[#This Row],[Wins Groen]])/Tabel511[[#This Row],[Aantal Games Groen]])</f>
        <v>0</v>
      </c>
      <c r="AQ25" s="156">
        <f>IF(Tabel511[[#This Row],[Aantal games Alg]]=0,0,(Tabel511[[#This Row],[Wins Alg]])/Tabel511[[#This Row],[Aantal games Alg]])</f>
        <v>0</v>
      </c>
      <c r="AR25" s="133">
        <f>COUNTIF(Tabel152[Winaar rood],Tabel511[[#This Row],[Team]])</f>
        <v>0</v>
      </c>
      <c r="AS25" s="134">
        <f>COUNTIF(Tabel152[Winnaar Groen],Tabel511[[#This Row],[Team]])</f>
        <v>0</v>
      </c>
      <c r="AT25" s="293">
        <f>COUNTIF(Tabel152[Winnaars],Tabel511[[#This Row],[Team]])</f>
        <v>0</v>
      </c>
      <c r="AU25" s="135">
        <f>Tabel511[[#This Row],[Aantal Games Rood]]-Tabel511[[#This Row],[Wins Rood]]</f>
        <v>0</v>
      </c>
      <c r="AV25" s="136">
        <f>Tabel511[[#This Row],[Aantal Games Groen]]-Tabel511[[#This Row],[Wins Groen]]</f>
        <v>0</v>
      </c>
      <c r="AW25" s="137">
        <f>Tabel511[[#This Row],[Aantal games Alg]]-Tabel511[[#This Row],[Wins Alg]]</f>
        <v>0</v>
      </c>
      <c r="AX25" s="138">
        <f>COUNTIF(Tabel152[Team Rood],Tabel511[[#This Row],[Team]])</f>
        <v>0</v>
      </c>
      <c r="AY25" s="136">
        <f>COUNTIF(Tabel152[Team Groen],Tabel511[[#This Row],[Team]])</f>
        <v>0</v>
      </c>
      <c r="AZ25" s="214">
        <f>Tabel511[[#This Row],[Aantal Games Rood]]+Tabel511[[#This Row],[Aantal Games Groen]]</f>
        <v>0</v>
      </c>
      <c r="BA25" s="138">
        <f>SUMIF(Tabel152[Team Rood],Tabel511[[#This Row],[Team]],Tabel152[Score])</f>
        <v>0</v>
      </c>
      <c r="BB25" s="138">
        <f>SUMIF(Tabel152[Team Rood],Tabel511[[#This Row],[Team]],Tabel152[Score2])</f>
        <v>0</v>
      </c>
      <c r="BC25" s="134">
        <f>SUMIF(Tabel152[Team Groen],Tabel511[[#This Row],[Team]],Tabel152[Score3])</f>
        <v>0</v>
      </c>
      <c r="BD25" s="136">
        <f>SUMIF(Tabel152[Team Groen],Tabel511[[#This Row],[Team]],Tabel152[Score4])</f>
        <v>0</v>
      </c>
      <c r="BE25" s="293">
        <f>SUM(Tabel511[[#This Row],[Goals Verdediger]]+Tabel511[[#This Row],[Goals DefG]])</f>
        <v>0</v>
      </c>
      <c r="BF25" s="293">
        <f>IF(Tabel511[[#This Row],[Aantal games Alg]]=0,0,Tabel511[[#This Row],[Goals DefA]]/Tabel511[[#This Row],[Aantal games Alg]])</f>
        <v>0</v>
      </c>
      <c r="BG25" s="293">
        <f>SUM(Tabel511[[#This Row],[Goals Aanvaller]]+Tabel511[[#This Row],[Goals OffG]])</f>
        <v>0</v>
      </c>
      <c r="BH25" s="293">
        <f>IF(Tabel511[[#This Row],[Aantal games Alg]]=0,0,Tabel511[[#This Row],[Goals OffA]]/Tabel511[[#This Row],[Aantal games Alg]])</f>
        <v>0</v>
      </c>
      <c r="BI25" s="214">
        <f>Tabel511[[#This Row],[Goals DefA]]+Tabel511[[#This Row],[Goals OffA]]</f>
        <v>0</v>
      </c>
      <c r="BJ25" s="214">
        <f>IF(Tabel511[[#This Row],[Aantal games Alg]]=0,0,Tabel511[[#This Row],[Goals Alg]]/Tabel511[[#This Row],[Aantal games Alg]])</f>
        <v>0</v>
      </c>
      <c r="BK25" s="148">
        <f>SUMIF(Tabel152[Team Rood],Tabel511[[#This Row],[Team]],Tabel152[ET])</f>
        <v>0</v>
      </c>
      <c r="BL25" s="150">
        <f>SUMIF(Tabel152[Team Groen],Tabel511[[#This Row],[Team]],Tabel152[ET])</f>
        <v>0</v>
      </c>
      <c r="BM25" s="153">
        <f>SUM(Tabel511[[#This Row],[ET Groen tot]],Tabel511[[#This Row],[ET Rood tot]])</f>
        <v>0</v>
      </c>
      <c r="BN25" s="155">
        <f>IF(Tabel511[[#This Row],[Aantal games Alg]]=0,0,Tabel511[[#This Row],[ET tot]]/Tabel511[[#This Row],[Aantal games Alg]])</f>
        <v>0</v>
      </c>
    </row>
    <row r="26" spans="1:66" x14ac:dyDescent="0.25">
      <c r="A26" s="215">
        <f ca="1">IF(Tabel152[[#This Row],[Rood Verdediging]]&lt;&gt;"",IF(A26="",NOW(),A26),"")</f>
        <v>44407.896721759258</v>
      </c>
      <c r="B26" s="218">
        <f ca="1">IF(Tabel152[[#This Row],[Rood Verdediging]]&lt;&gt;"",IF(B26="",NOW(),B26),"")</f>
        <v>44407.896721759258</v>
      </c>
      <c r="C26" s="216">
        <f ca="1">IF(Tabel152[[#This Row],[Score]]&lt;&gt;"",IF(C26="",NOW(),C26),"")</f>
        <v>44407.907404282407</v>
      </c>
      <c r="D26" s="217">
        <f ca="1">IF(OR(Tabel152[[#This Row],[Starttijd]]="",Tabel152[[#This Row],[Eindtijd]]=""),"",Tabel152[[#This Row],[Eindtijd]]-Tabel152[[#This Row],[Starttijd]])</f>
        <v>1.0682523148716427E-2</v>
      </c>
      <c r="E26" s="74">
        <v>25</v>
      </c>
      <c r="F26" s="205" t="s">
        <v>0</v>
      </c>
      <c r="G26" s="210">
        <v>3</v>
      </c>
      <c r="H26" s="205" t="s">
        <v>13</v>
      </c>
      <c r="I26" s="210">
        <v>4</v>
      </c>
      <c r="J26" s="206" t="s">
        <v>8</v>
      </c>
      <c r="K26" s="212">
        <v>3</v>
      </c>
      <c r="L26" s="206" t="s">
        <v>6</v>
      </c>
      <c r="M26" s="212">
        <v>8</v>
      </c>
      <c r="N26" s="79">
        <f>Tabel152[[#This Row],[Score]]+Tabel152[[#This Row],[Score2]]</f>
        <v>7</v>
      </c>
      <c r="O26" s="80">
        <f>Tabel152[[#This Row],[Score3]]+Tabel152[[#This Row],[Score4]]</f>
        <v>11</v>
      </c>
      <c r="P2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Row],[Score4]]&lt;&gt;""),IF(AND(N26&gt;O26,N26&gt;=11),"ROOD",IF(AND(O26&gt;=11,N26&lt;&gt;O26),"GROEN","")),"")</f>
        <v>GROEN</v>
      </c>
      <c r="Q26" s="84" t="str">
        <f t="shared" si="12"/>
        <v>Louis</v>
      </c>
      <c r="R26" s="85" t="str">
        <f t="shared" si="13"/>
        <v>Stef D</v>
      </c>
      <c r="S26" s="293" t="str">
        <f>Tabel152[[#This Row],[Rood Verdediging]]&amp;Tabel152[[#This Row],[Rood Aanval]]</f>
        <v>JonasBert</v>
      </c>
      <c r="T26" s="293" t="str">
        <f>Tabel152[[#This Row],[Groen Verdediging]]&amp;Tabel152[[#This Row],[Groen Aanval]]</f>
        <v>LouisStef D</v>
      </c>
      <c r="U26" s="293" t="str">
        <f>Tabel152[[#This Row],[Winnaar 1]]&amp;Tabel152[[#This Row],[Winnaar 2]]</f>
        <v>LouisStef D</v>
      </c>
      <c r="V26" s="147" t="b">
        <f>IF(Tabel152[[#This Row],[Team Rood]]=Tabel152[[#This Row],[Winnaars]],Tabel152[[#This Row],[Team Rood]])</f>
        <v>0</v>
      </c>
      <c r="W26" s="147" t="str">
        <f>IF(Tabel152[[#This Row],[Team Groen]]=Tabel152[[#This Row],[Winnaars]],Tabel152[[#This Row],[Team Groen]])</f>
        <v>LouisStef D</v>
      </c>
      <c r="X26" s="283">
        <v>-9.0693323970910313</v>
      </c>
      <c r="Y26" s="283">
        <v>-21.175142936677556</v>
      </c>
      <c r="Z26" s="283">
        <v>40.479748070230613</v>
      </c>
      <c r="AA26" s="283">
        <v>24.925504784548234</v>
      </c>
      <c r="AL26" s="251" t="s">
        <v>168</v>
      </c>
      <c r="AM26" s="233" t="s">
        <v>158</v>
      </c>
      <c r="AN26" s="140" t="str">
        <f t="shared" si="6"/>
        <v>Coghe*Arno*</v>
      </c>
      <c r="AO26" s="160">
        <f>IF(Tabel511[[#This Row],[Aantal Games Rood]]=0,0,(Tabel511[[#This Row],[Wins Rood]])/Tabel511[[#This Row],[Aantal Games Rood]])</f>
        <v>0</v>
      </c>
      <c r="AP26" s="159">
        <f>IF(Tabel511[[#This Row],[Aantal Games Groen]]=0,0,(Tabel511[[#This Row],[Wins Groen]])/Tabel511[[#This Row],[Aantal Games Groen]])</f>
        <v>0</v>
      </c>
      <c r="AQ26" s="156">
        <f>IF(Tabel511[[#This Row],[Aantal games Alg]]=0,0,(Tabel511[[#This Row],[Wins Alg]])/Tabel511[[#This Row],[Aantal games Alg]])</f>
        <v>0</v>
      </c>
      <c r="AR26" s="138">
        <f>COUNTIF(Tabel152[Winaar rood],Tabel511[[#This Row],[Team]])</f>
        <v>0</v>
      </c>
      <c r="AS26" s="134">
        <f>COUNTIF(Tabel152[Winnaar Groen],Tabel511[[#This Row],[Team]])</f>
        <v>0</v>
      </c>
      <c r="AT26" s="293">
        <f>COUNTIF(Tabel152[Winnaars],Tabel511[[#This Row],[Team]])</f>
        <v>0</v>
      </c>
      <c r="AU26" s="135">
        <f>Tabel511[[#This Row],[Aantal Games Rood]]-Tabel511[[#This Row],[Wins Rood]]</f>
        <v>0</v>
      </c>
      <c r="AV26" s="136">
        <f>Tabel511[[#This Row],[Aantal Games Groen]]-Tabel511[[#This Row],[Wins Groen]]</f>
        <v>0</v>
      </c>
      <c r="AW26" s="137">
        <f>Tabel511[[#This Row],[Aantal games Alg]]-Tabel511[[#This Row],[Wins Alg]]</f>
        <v>0</v>
      </c>
      <c r="AX26" s="138">
        <f>COUNTIF(Tabel152[Team Rood],Tabel511[[#This Row],[Team]])</f>
        <v>0</v>
      </c>
      <c r="AY26" s="136">
        <f>COUNTIF(Tabel152[Team Groen],Tabel511[[#This Row],[Team]])</f>
        <v>0</v>
      </c>
      <c r="AZ26" s="214">
        <f>Tabel511[[#This Row],[Aantal Games Rood]]+Tabel511[[#This Row],[Aantal Games Groen]]</f>
        <v>0</v>
      </c>
      <c r="BA26" s="138">
        <f>SUMIF(Tabel152[Team Rood],Tabel511[[#This Row],[Team]],Tabel152[Score])</f>
        <v>0</v>
      </c>
      <c r="BB26" s="138">
        <f>SUMIF(Tabel152[Team Rood],Tabel511[[#This Row],[Team]],Tabel152[Score2])</f>
        <v>0</v>
      </c>
      <c r="BC26" s="134">
        <f>SUMIF(Tabel152[Team Groen],Tabel511[[#This Row],[Team]],Tabel152[Score3])</f>
        <v>0</v>
      </c>
      <c r="BD26" s="136">
        <f>SUMIF(Tabel152[Team Groen],Tabel511[[#This Row],[Team]],Tabel152[Score4])</f>
        <v>0</v>
      </c>
      <c r="BE26" s="293">
        <f>SUM(Tabel511[[#This Row],[Goals Verdediger]]+Tabel511[[#This Row],[Goals DefG]])</f>
        <v>0</v>
      </c>
      <c r="BF26" s="293">
        <f>IF(Tabel511[[#This Row],[Aantal games Alg]]=0,0,Tabel511[[#This Row],[Goals DefA]]/Tabel511[[#This Row],[Aantal games Alg]])</f>
        <v>0</v>
      </c>
      <c r="BG26" s="293">
        <f>SUM(Tabel511[[#This Row],[Goals Aanvaller]]+Tabel511[[#This Row],[Goals OffG]])</f>
        <v>0</v>
      </c>
      <c r="BH26" s="293">
        <f>IF(Tabel511[[#This Row],[Aantal games Alg]]=0,0,Tabel511[[#This Row],[Goals OffA]]/Tabel511[[#This Row],[Aantal games Alg]])</f>
        <v>0</v>
      </c>
      <c r="BI26" s="214">
        <f>Tabel511[[#This Row],[Goals DefA]]+Tabel511[[#This Row],[Goals OffA]]</f>
        <v>0</v>
      </c>
      <c r="BJ26" s="214">
        <f>IF(Tabel511[[#This Row],[Aantal games Alg]]=0,0,Tabel511[[#This Row],[Goals Alg]]/Tabel511[[#This Row],[Aantal games Alg]])</f>
        <v>0</v>
      </c>
      <c r="BK26" s="148">
        <f>SUMIF(Tabel152[Team Rood],Tabel511[[#This Row],[Team]],Tabel152[ET])</f>
        <v>0</v>
      </c>
      <c r="BL26" s="150">
        <f>SUMIF(Tabel152[Team Groen],Tabel511[[#This Row],[Team]],Tabel152[ET])</f>
        <v>0</v>
      </c>
      <c r="BM26" s="153">
        <f>SUM(Tabel511[[#This Row],[ET Groen tot]],Tabel511[[#This Row],[ET Rood tot]])</f>
        <v>0</v>
      </c>
      <c r="BN26" s="155">
        <f>IF(Tabel511[[#This Row],[Aantal games Alg]]=0,0,Tabel511[[#This Row],[ET tot]]/Tabel511[[#This Row],[Aantal games Alg]])</f>
        <v>0</v>
      </c>
    </row>
    <row r="27" spans="1:66" x14ac:dyDescent="0.25">
      <c r="A27" s="215">
        <f ca="1">IF(Tabel152[[#This Row],[Rood Verdediging]]&lt;&gt;"",IF(A27="",NOW(),A27),"")</f>
        <v>44407.907702893521</v>
      </c>
      <c r="B27" s="218">
        <f ca="1">IF(Tabel152[[#This Row],[Rood Verdediging]]&lt;&gt;"",IF(B27="",NOW(),B27),"")</f>
        <v>44407.907702893521</v>
      </c>
      <c r="C27" s="216">
        <f ca="1">IF(Tabel152[[#This Row],[Score]]&lt;&gt;"",IF(C27="",NOW(),C27),"")</f>
        <v>44407.915608564814</v>
      </c>
      <c r="D27" s="217">
        <f ca="1">IF(OR(Tabel152[[#This Row],[Starttijd]]="",Tabel152[[#This Row],[Eindtijd]]=""),"",Tabel152[[#This Row],[Eindtijd]]-Tabel152[[#This Row],[Starttijd]])</f>
        <v>7.9056712929741479E-3</v>
      </c>
      <c r="E27" s="74">
        <v>26</v>
      </c>
      <c r="F27" s="205" t="s">
        <v>11</v>
      </c>
      <c r="G27" s="210">
        <v>1</v>
      </c>
      <c r="H27" s="205" t="s">
        <v>3</v>
      </c>
      <c r="I27" s="210">
        <v>8</v>
      </c>
      <c r="J27" s="206" t="s">
        <v>7</v>
      </c>
      <c r="K27" s="212">
        <v>3</v>
      </c>
      <c r="L27" s="206" t="s">
        <v>6</v>
      </c>
      <c r="M27" s="212">
        <v>8</v>
      </c>
      <c r="N27" s="79">
        <f>Tabel152[[#This Row],[Score]]+Tabel152[[#This Row],[Score2]]</f>
        <v>9</v>
      </c>
      <c r="O27" s="80">
        <f>Tabel152[[#This Row],[Score3]]+Tabel152[[#This Row],[Score4]]</f>
        <v>11</v>
      </c>
      <c r="P2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Row],[Score4]]&lt;&gt;""),IF(AND(N27&gt;O27,N27&gt;=11),"ROOD",IF(AND(O27&gt;=11,N27&lt;&gt;O27),"GROEN","")),"")</f>
        <v>GROEN</v>
      </c>
      <c r="Q27" s="84" t="str">
        <f t="shared" si="12"/>
        <v>Tiemen</v>
      </c>
      <c r="R27" s="85" t="str">
        <f t="shared" si="13"/>
        <v>Stef D</v>
      </c>
      <c r="S27" s="293" t="str">
        <f>Tabel152[[#This Row],[Rood Verdediging]]&amp;Tabel152[[#This Row],[Rood Aanval]]</f>
        <v>MatthijsKarel</v>
      </c>
      <c r="T27" s="293" t="str">
        <f>Tabel152[[#This Row],[Groen Verdediging]]&amp;Tabel152[[#This Row],[Groen Aanval]]</f>
        <v>TiemenStef D</v>
      </c>
      <c r="U27" s="293" t="str">
        <f>Tabel152[[#This Row],[Winnaar 1]]&amp;Tabel152[[#This Row],[Winnaar 2]]</f>
        <v>TiemenStef D</v>
      </c>
      <c r="V27" s="147" t="b">
        <f>IF(Tabel152[[#This Row],[Team Rood]]=Tabel152[[#This Row],[Winnaars]],Tabel152[[#This Row],[Team Rood]])</f>
        <v>0</v>
      </c>
      <c r="W27" s="147" t="str">
        <f>IF(Tabel152[[#This Row],[Team Groen]]=Tabel152[[#This Row],[Winnaars]],Tabel152[[#This Row],[Team Groen]])</f>
        <v>TiemenStef D</v>
      </c>
      <c r="X27" s="283">
        <v>-7.2173445828651488</v>
      </c>
      <c r="Y27" s="283">
        <v>-6.0833932847836749</v>
      </c>
      <c r="Z27" s="283">
        <v>27.150915872434709</v>
      </c>
      <c r="AA27" s="283">
        <v>28.384297032458669</v>
      </c>
      <c r="AL27" s="251" t="s">
        <v>168</v>
      </c>
      <c r="AM27" s="233" t="s">
        <v>163</v>
      </c>
      <c r="AN27" s="140" t="str">
        <f t="shared" si="6"/>
        <v>Coghe*Bert*</v>
      </c>
      <c r="AO27" s="160">
        <f>IF(Tabel511[[#This Row],[Aantal Games Rood]]=0,0,(Tabel511[[#This Row],[Wins Rood]])/Tabel511[[#This Row],[Aantal Games Rood]])</f>
        <v>0</v>
      </c>
      <c r="AP27" s="159">
        <f>IF(Tabel511[[#This Row],[Aantal Games Groen]]=0,0,(Tabel511[[#This Row],[Wins Groen]])/Tabel511[[#This Row],[Aantal Games Groen]])</f>
        <v>1</v>
      </c>
      <c r="AQ27" s="156">
        <f>IF(Tabel511[[#This Row],[Aantal games Alg]]=0,0,(Tabel511[[#This Row],[Wins Alg]])/Tabel511[[#This Row],[Aantal games Alg]])</f>
        <v>0.5</v>
      </c>
      <c r="AR27" s="133">
        <f>COUNTIF(Tabel152[Winaar rood],Tabel511[[#This Row],[Team]])</f>
        <v>0</v>
      </c>
      <c r="AS27" s="134">
        <f>COUNTIF(Tabel152[Winnaar Groen],Tabel511[[#This Row],[Team]])</f>
        <v>1</v>
      </c>
      <c r="AT27" s="293">
        <f>COUNTIF(Tabel152[Winnaars],Tabel511[[#This Row],[Team]])</f>
        <v>1</v>
      </c>
      <c r="AU27" s="135">
        <f>Tabel511[[#This Row],[Aantal Games Rood]]-Tabel511[[#This Row],[Wins Rood]]</f>
        <v>1</v>
      </c>
      <c r="AV27" s="136">
        <f>Tabel511[[#This Row],[Aantal Games Groen]]-Tabel511[[#This Row],[Wins Groen]]</f>
        <v>0</v>
      </c>
      <c r="AW27" s="137">
        <f>Tabel511[[#This Row],[Aantal games Alg]]-Tabel511[[#This Row],[Wins Alg]]</f>
        <v>1</v>
      </c>
      <c r="AX27" s="138">
        <f>COUNTIF(Tabel152[Team Rood],Tabel511[[#This Row],[Team]])</f>
        <v>1</v>
      </c>
      <c r="AY27" s="136">
        <f>COUNTIF(Tabel152[Team Groen],Tabel511[[#This Row],[Team]])</f>
        <v>1</v>
      </c>
      <c r="AZ27" s="214">
        <f>Tabel511[[#This Row],[Aantal Games Rood]]+Tabel511[[#This Row],[Aantal Games Groen]]</f>
        <v>2</v>
      </c>
      <c r="BA27" s="138">
        <f>SUMIF(Tabel152[Team Rood],Tabel511[[#This Row],[Team]],Tabel152[Score])</f>
        <v>2</v>
      </c>
      <c r="BB27" s="138">
        <f>SUMIF(Tabel152[Team Rood],Tabel511[[#This Row],[Team]],Tabel152[Score2])</f>
        <v>3</v>
      </c>
      <c r="BC27" s="134">
        <f>SUMIF(Tabel152[Team Groen],Tabel511[[#This Row],[Team]],Tabel152[Score3])</f>
        <v>2</v>
      </c>
      <c r="BD27" s="136">
        <f>SUMIF(Tabel152[Team Groen],Tabel511[[#This Row],[Team]],Tabel152[Score4])</f>
        <v>9</v>
      </c>
      <c r="BE27" s="293">
        <f>SUM(Tabel511[[#This Row],[Goals Verdediger]]+Tabel511[[#This Row],[Goals DefG]])</f>
        <v>4</v>
      </c>
      <c r="BF27" s="293">
        <f>IF(Tabel511[[#This Row],[Aantal games Alg]]=0,0,Tabel511[[#This Row],[Goals DefA]]/Tabel511[[#This Row],[Aantal games Alg]])</f>
        <v>2</v>
      </c>
      <c r="BG27" s="293">
        <f>SUM(Tabel511[[#This Row],[Goals Aanvaller]]+Tabel511[[#This Row],[Goals OffG]])</f>
        <v>12</v>
      </c>
      <c r="BH27" s="293">
        <f>IF(Tabel511[[#This Row],[Aantal games Alg]]=0,0,Tabel511[[#This Row],[Goals OffA]]/Tabel511[[#This Row],[Aantal games Alg]])</f>
        <v>6</v>
      </c>
      <c r="BI27" s="214">
        <f>Tabel511[[#This Row],[Goals DefA]]+Tabel511[[#This Row],[Goals OffA]]</f>
        <v>16</v>
      </c>
      <c r="BJ27" s="214">
        <f>IF(Tabel511[[#This Row],[Aantal games Alg]]=0,0,Tabel511[[#This Row],[Goals Alg]]/Tabel511[[#This Row],[Aantal games Alg]])</f>
        <v>8</v>
      </c>
      <c r="BK27" s="148">
        <f ca="1">SUMIF(Tabel152[Team Rood],Tabel511[[#This Row],[Team]],Tabel152[ET])</f>
        <v>2.5231478502973914E-5</v>
      </c>
      <c r="BL27" s="150">
        <f ca="1">SUMIF(Tabel152[Team Groen],Tabel511[[#This Row],[Team]],Tabel152[ET])</f>
        <v>8.8825231505325064E-3</v>
      </c>
      <c r="BM27" s="153">
        <f ca="1">SUM(Tabel511[[#This Row],[ET Groen tot]],Tabel511[[#This Row],[ET Rood tot]])</f>
        <v>8.9077546290354803E-3</v>
      </c>
      <c r="BN27" s="155">
        <f ca="1">IF(Tabel511[[#This Row],[Aantal games Alg]]=0,0,Tabel511[[#This Row],[ET tot]]/Tabel511[[#This Row],[Aantal games Alg]])</f>
        <v>4.4538773145177402E-3</v>
      </c>
    </row>
    <row r="28" spans="1:66" x14ac:dyDescent="0.25">
      <c r="A28" s="215">
        <f ca="1">IF(Tabel152[[#This Row],[Rood Verdediging]]&lt;&gt;"",IF(A28="",NOW(),A28),"")</f>
        <v>44407.916817129626</v>
      </c>
      <c r="B28" s="218">
        <f ca="1">IF(Tabel152[[#This Row],[Rood Verdediging]]&lt;&gt;"",IF(B28="",NOW(),B28),"")</f>
        <v>44407.916817129626</v>
      </c>
      <c r="C28" s="216">
        <f ca="1">IF(Tabel152[[#This Row],[Score]]&lt;&gt;"",IF(C28="",NOW(),C28),"")</f>
        <v>44407.925699652777</v>
      </c>
      <c r="D28" s="217">
        <f ca="1">IF(OR(Tabel152[[#This Row],[Starttijd]]="",Tabel152[[#This Row],[Eindtijd]]=""),"",Tabel152[[#This Row],[Eindtijd]]-Tabel152[[#This Row],[Starttijd]])</f>
        <v>8.8825231505325064E-3</v>
      </c>
      <c r="E28" s="74">
        <v>27</v>
      </c>
      <c r="F28" s="205" t="s">
        <v>11</v>
      </c>
      <c r="G28" s="210">
        <v>1</v>
      </c>
      <c r="H28" s="205" t="s">
        <v>0</v>
      </c>
      <c r="I28" s="210">
        <v>4</v>
      </c>
      <c r="J28" s="206" t="s">
        <v>167</v>
      </c>
      <c r="K28" s="212">
        <v>2</v>
      </c>
      <c r="L28" s="206" t="s">
        <v>13</v>
      </c>
      <c r="M28" s="212">
        <v>9</v>
      </c>
      <c r="N28" s="79">
        <f>Tabel152[[#This Row],[Score]]+Tabel152[[#This Row],[Score2]]</f>
        <v>5</v>
      </c>
      <c r="O28" s="80">
        <f>Tabel152[[#This Row],[Score3]]+Tabel152[[#This Row],[Score4]]</f>
        <v>11</v>
      </c>
      <c r="P2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Row],[Score4]]&lt;&gt;""),IF(AND(N28&gt;O28,N28&gt;=11),"ROOD",IF(AND(O28&gt;=11,N28&lt;&gt;O28),"GROEN","")),"")</f>
        <v>GROEN</v>
      </c>
      <c r="Q28" s="84" t="str">
        <f t="shared" si="12"/>
        <v>Coghe</v>
      </c>
      <c r="R28" s="85" t="str">
        <f t="shared" si="13"/>
        <v>Bert</v>
      </c>
      <c r="S28" s="293" t="str">
        <f>Tabel152[[#This Row],[Rood Verdediging]]&amp;Tabel152[[#This Row],[Rood Aanval]]</f>
        <v>MatthijsJonas</v>
      </c>
      <c r="T28" s="293" t="str">
        <f>Tabel152[[#This Row],[Groen Verdediging]]&amp;Tabel152[[#This Row],[Groen Aanval]]</f>
        <v>CogheBert</v>
      </c>
      <c r="U28" s="293" t="str">
        <f>Tabel152[[#This Row],[Winnaar 1]]&amp;Tabel152[[#This Row],[Winnaar 2]]</f>
        <v>CogheBert</v>
      </c>
      <c r="V28" s="147" t="b">
        <f>IF(Tabel152[[#This Row],[Team Rood]]=Tabel152[[#This Row],[Winnaars]],Tabel152[[#This Row],[Team Rood]])</f>
        <v>0</v>
      </c>
      <c r="W28" s="147" t="str">
        <f>IF(Tabel152[[#This Row],[Team Groen]]=Tabel152[[#This Row],[Winnaars]],Tabel152[[#This Row],[Team Groen]])</f>
        <v>CogheBert</v>
      </c>
      <c r="X28" s="283">
        <v>-16.201991013492034</v>
      </c>
      <c r="Y28" s="283">
        <v>-30.844492405210069</v>
      </c>
      <c r="Z28" s="283">
        <v>51.012807529824329</v>
      </c>
      <c r="AA28" s="283">
        <v>51.042502736193768</v>
      </c>
      <c r="AL28" s="251" t="s">
        <v>168</v>
      </c>
      <c r="AM28" s="233" t="s">
        <v>159</v>
      </c>
      <c r="AN28" s="140" t="str">
        <f t="shared" si="6"/>
        <v>Coghe*Jonas*</v>
      </c>
      <c r="AO28" s="160">
        <f>IF(Tabel511[[#This Row],[Aantal Games Rood]]=0,0,(Tabel511[[#This Row],[Wins Rood]])/Tabel511[[#This Row],[Aantal Games Rood]])</f>
        <v>0</v>
      </c>
      <c r="AP28" s="159">
        <f>IF(Tabel511[[#This Row],[Aantal Games Groen]]=0,0,(Tabel511[[#This Row],[Wins Groen]])/Tabel511[[#This Row],[Aantal Games Groen]])</f>
        <v>1</v>
      </c>
      <c r="AQ28" s="156">
        <f>IF(Tabel511[[#This Row],[Aantal games Alg]]=0,0,(Tabel511[[#This Row],[Wins Alg]])/Tabel511[[#This Row],[Aantal games Alg]])</f>
        <v>1</v>
      </c>
      <c r="AR28" s="133">
        <f>COUNTIF(Tabel152[Winaar rood],Tabel511[[#This Row],[Team]])</f>
        <v>0</v>
      </c>
      <c r="AS28" s="134">
        <f>COUNTIF(Tabel152[Winnaar Groen],Tabel511[[#This Row],[Team]])</f>
        <v>1</v>
      </c>
      <c r="AT28" s="293">
        <f>COUNTIF(Tabel152[Winnaars],Tabel511[[#This Row],[Team]])</f>
        <v>1</v>
      </c>
      <c r="AU28" s="135">
        <f>Tabel511[[#This Row],[Aantal Games Rood]]-Tabel511[[#This Row],[Wins Rood]]</f>
        <v>0</v>
      </c>
      <c r="AV28" s="136">
        <f>Tabel511[[#This Row],[Aantal Games Groen]]-Tabel511[[#This Row],[Wins Groen]]</f>
        <v>0</v>
      </c>
      <c r="AW28" s="137">
        <f>Tabel511[[#This Row],[Aantal games Alg]]-Tabel511[[#This Row],[Wins Alg]]</f>
        <v>0</v>
      </c>
      <c r="AX28" s="138">
        <f>COUNTIF(Tabel152[Team Rood],Tabel511[[#This Row],[Team]])</f>
        <v>0</v>
      </c>
      <c r="AY28" s="136">
        <f>COUNTIF(Tabel152[Team Groen],Tabel511[[#This Row],[Team]])</f>
        <v>1</v>
      </c>
      <c r="AZ28" s="214">
        <f>Tabel511[[#This Row],[Aantal Games Rood]]+Tabel511[[#This Row],[Aantal Games Groen]]</f>
        <v>1</v>
      </c>
      <c r="BA28" s="138">
        <f>SUMIF(Tabel152[Team Rood],Tabel511[[#This Row],[Team]],Tabel152[Score])</f>
        <v>0</v>
      </c>
      <c r="BB28" s="138">
        <f>SUMIF(Tabel152[Team Rood],Tabel511[[#This Row],[Team]],Tabel152[Score2])</f>
        <v>0</v>
      </c>
      <c r="BC28" s="134">
        <f>SUMIF(Tabel152[Team Groen],Tabel511[[#This Row],[Team]],Tabel152[Score3])</f>
        <v>4</v>
      </c>
      <c r="BD28" s="136">
        <f>SUMIF(Tabel152[Team Groen],Tabel511[[#This Row],[Team]],Tabel152[Score4])</f>
        <v>7</v>
      </c>
      <c r="BE28" s="293">
        <f>SUM(Tabel511[[#This Row],[Goals Verdediger]]+Tabel511[[#This Row],[Goals DefG]])</f>
        <v>4</v>
      </c>
      <c r="BF28" s="293">
        <f>IF(Tabel511[[#This Row],[Aantal games Alg]]=0,0,Tabel511[[#This Row],[Goals DefA]]/Tabel511[[#This Row],[Aantal games Alg]])</f>
        <v>4</v>
      </c>
      <c r="BG28" s="293">
        <f>SUM(Tabel511[[#This Row],[Goals Aanvaller]]+Tabel511[[#This Row],[Goals OffG]])</f>
        <v>7</v>
      </c>
      <c r="BH28" s="293">
        <f>IF(Tabel511[[#This Row],[Aantal games Alg]]=0,0,Tabel511[[#This Row],[Goals OffA]]/Tabel511[[#This Row],[Aantal games Alg]])</f>
        <v>7</v>
      </c>
      <c r="BI28" s="214">
        <f>Tabel511[[#This Row],[Goals DefA]]+Tabel511[[#This Row],[Goals OffA]]</f>
        <v>11</v>
      </c>
      <c r="BJ28" s="214">
        <f>IF(Tabel511[[#This Row],[Aantal games Alg]]=0,0,Tabel511[[#This Row],[Goals Alg]]/Tabel511[[#This Row],[Aantal games Alg]])</f>
        <v>11</v>
      </c>
      <c r="BK28" s="148">
        <f>SUMIF(Tabel152[Team Rood],Tabel511[[#This Row],[Team]],Tabel152[ET])</f>
        <v>0</v>
      </c>
      <c r="BL28" s="150">
        <f ca="1">SUMIF(Tabel152[Team Groen],Tabel511[[#This Row],[Team]],Tabel152[ET])</f>
        <v>1.3368055806495249E-4</v>
      </c>
      <c r="BM28" s="153">
        <f ca="1">SUM(Tabel511[[#This Row],[ET Groen tot]],Tabel511[[#This Row],[ET Rood tot]])</f>
        <v>1.3368055806495249E-4</v>
      </c>
      <c r="BN28" s="155">
        <f ca="1">IF(Tabel511[[#This Row],[Aantal games Alg]]=0,0,Tabel511[[#This Row],[ET tot]]/Tabel511[[#This Row],[Aantal games Alg]])</f>
        <v>1.3368055806495249E-4</v>
      </c>
    </row>
    <row r="29" spans="1:66" x14ac:dyDescent="0.25">
      <c r="A29" s="215">
        <f ca="1">IF(Tabel152[[#This Row],[Rood Verdediging]]&lt;&gt;"",IF(A29="",NOW(),A29),"")</f>
        <v>44407.936784953701</v>
      </c>
      <c r="B29" s="218">
        <f ca="1">IF(Tabel152[[#This Row],[Rood Verdediging]]&lt;&gt;"",IF(B29="",NOW(),B29),"")</f>
        <v>44407.936784953701</v>
      </c>
      <c r="C29" s="216">
        <f ca="1">IF(Tabel152[[#This Row],[Score]]&lt;&gt;"",IF(C29="",NOW(),C29),"")</f>
        <v>44407.936872916667</v>
      </c>
      <c r="D29" s="217">
        <f ca="1">IF(OR(Tabel152[[#This Row],[Starttijd]]="",Tabel152[[#This Row],[Eindtijd]]=""),"",Tabel152[[#This Row],[Eindtijd]]-Tabel152[[#This Row],[Starttijd]])</f>
        <v>8.7962966063059866E-5</v>
      </c>
      <c r="E29" s="74">
        <v>28</v>
      </c>
      <c r="F29" s="205" t="s">
        <v>8</v>
      </c>
      <c r="G29" s="210">
        <v>4</v>
      </c>
      <c r="H29" s="205" t="s">
        <v>7</v>
      </c>
      <c r="I29" s="210">
        <v>7</v>
      </c>
      <c r="J29" s="206" t="s">
        <v>3</v>
      </c>
      <c r="K29" s="212">
        <v>1</v>
      </c>
      <c r="L29" s="206" t="s">
        <v>6</v>
      </c>
      <c r="M29" s="212">
        <v>7</v>
      </c>
      <c r="N29" s="79">
        <f>Tabel152[[#This Row],[Score]]+Tabel152[[#This Row],[Score2]]</f>
        <v>11</v>
      </c>
      <c r="O29" s="80">
        <f>Tabel152[[#This Row],[Score3]]+Tabel152[[#This Row],[Score4]]</f>
        <v>8</v>
      </c>
      <c r="P2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Row],[Score4]]&lt;&gt;""),IF(AND(N29&gt;O29,N29&gt;=11),"ROOD",IF(AND(O29&gt;=11,N29&lt;&gt;O29),"GROEN","")),"")</f>
        <v>ROOD</v>
      </c>
      <c r="Q29" s="84" t="str">
        <f t="shared" si="12"/>
        <v>Louis</v>
      </c>
      <c r="R29" s="85" t="str">
        <f t="shared" si="13"/>
        <v>Tiemen</v>
      </c>
      <c r="S29" s="293" t="str">
        <f>Tabel152[[#This Row],[Rood Verdediging]]&amp;Tabel152[[#This Row],[Rood Aanval]]</f>
        <v>LouisTiemen</v>
      </c>
      <c r="T29" s="293" t="str">
        <f>Tabel152[[#This Row],[Groen Verdediging]]&amp;Tabel152[[#This Row],[Groen Aanval]]</f>
        <v>KarelStef D</v>
      </c>
      <c r="U29" s="293" t="str">
        <f>Tabel152[[#This Row],[Winnaar 1]]&amp;Tabel152[[#This Row],[Winnaar 2]]</f>
        <v>LouisTiemen</v>
      </c>
      <c r="V29" s="147" t="str">
        <f>IF(Tabel152[[#This Row],[Team Rood]]=Tabel152[[#This Row],[Winnaars]],Tabel152[[#This Row],[Team Rood]])</f>
        <v>LouisTiemen</v>
      </c>
      <c r="W29" s="147" t="b">
        <f>IF(Tabel152[[#This Row],[Team Groen]]=Tabel152[[#This Row],[Winnaars]],Tabel152[[#This Row],[Team Groen]])</f>
        <v>0</v>
      </c>
      <c r="X29" s="283">
        <v>42.580902484779969</v>
      </c>
      <c r="Y29" s="283">
        <v>31.221710184028272</v>
      </c>
      <c r="Z29" s="283">
        <v>-7.2048468991813692</v>
      </c>
      <c r="AA29" s="283">
        <v>-18.544116741051308</v>
      </c>
      <c r="AL29" s="251" t="s">
        <v>168</v>
      </c>
      <c r="AM29" s="233" t="s">
        <v>164</v>
      </c>
      <c r="AN29" s="140" t="str">
        <f t="shared" si="6"/>
        <v>Coghe*Karel*</v>
      </c>
      <c r="AO29" s="160">
        <f>IF(Tabel511[[#This Row],[Aantal Games Rood]]=0,0,(Tabel511[[#This Row],[Wins Rood]])/Tabel511[[#This Row],[Aantal Games Rood]])</f>
        <v>0</v>
      </c>
      <c r="AP29" s="159">
        <f>IF(Tabel511[[#This Row],[Aantal Games Groen]]=0,0,(Tabel511[[#This Row],[Wins Groen]])/Tabel511[[#This Row],[Aantal Games Groen]])</f>
        <v>0</v>
      </c>
      <c r="AQ29" s="156">
        <f>IF(Tabel511[[#This Row],[Aantal games Alg]]=0,0,(Tabel511[[#This Row],[Wins Alg]])/Tabel511[[#This Row],[Aantal games Alg]])</f>
        <v>0</v>
      </c>
      <c r="AR29" s="133">
        <f>COUNTIF(Tabel152[Winaar rood],Tabel511[[#This Row],[Team]])</f>
        <v>0</v>
      </c>
      <c r="AS29" s="134">
        <f>COUNTIF(Tabel152[Winnaar Groen],Tabel511[[#This Row],[Team]])</f>
        <v>0</v>
      </c>
      <c r="AT29" s="293">
        <f>COUNTIF(Tabel152[Winnaars],Tabel511[[#This Row],[Team]])</f>
        <v>0</v>
      </c>
      <c r="AU29" s="135">
        <f>Tabel511[[#This Row],[Aantal Games Rood]]-Tabel511[[#This Row],[Wins Rood]]</f>
        <v>0</v>
      </c>
      <c r="AV29" s="136">
        <f>Tabel511[[#This Row],[Aantal Games Groen]]-Tabel511[[#This Row],[Wins Groen]]</f>
        <v>1</v>
      </c>
      <c r="AW29" s="137">
        <f>Tabel511[[#This Row],[Aantal games Alg]]-Tabel511[[#This Row],[Wins Alg]]</f>
        <v>1</v>
      </c>
      <c r="AX29" s="138">
        <f>COUNTIF(Tabel152[Team Rood],Tabel511[[#This Row],[Team]])</f>
        <v>0</v>
      </c>
      <c r="AY29" s="136">
        <f>COUNTIF(Tabel152[Team Groen],Tabel511[[#This Row],[Team]])</f>
        <v>1</v>
      </c>
      <c r="AZ29" s="214">
        <f>Tabel511[[#This Row],[Aantal Games Rood]]+Tabel511[[#This Row],[Aantal Games Groen]]</f>
        <v>1</v>
      </c>
      <c r="BA29" s="138">
        <f>SUMIF(Tabel152[Team Rood],Tabel511[[#This Row],[Team]],Tabel152[Score])</f>
        <v>0</v>
      </c>
      <c r="BB29" s="138">
        <f>SUMIF(Tabel152[Team Rood],Tabel511[[#This Row],[Team]],Tabel152[Score2])</f>
        <v>0</v>
      </c>
      <c r="BC29" s="134">
        <f>SUMIF(Tabel152[Team Groen],Tabel511[[#This Row],[Team]],Tabel152[Score3])</f>
        <v>2</v>
      </c>
      <c r="BD29" s="136">
        <f>SUMIF(Tabel152[Team Groen],Tabel511[[#This Row],[Team]],Tabel152[Score4])</f>
        <v>6</v>
      </c>
      <c r="BE29" s="293">
        <f>SUM(Tabel511[[#This Row],[Goals Verdediger]]+Tabel511[[#This Row],[Goals DefG]])</f>
        <v>2</v>
      </c>
      <c r="BF29" s="293">
        <f>IF(Tabel511[[#This Row],[Aantal games Alg]]=0,0,Tabel511[[#This Row],[Goals DefA]]/Tabel511[[#This Row],[Aantal games Alg]])</f>
        <v>2</v>
      </c>
      <c r="BG29" s="293">
        <f>SUM(Tabel511[[#This Row],[Goals Aanvaller]]+Tabel511[[#This Row],[Goals OffG]])</f>
        <v>6</v>
      </c>
      <c r="BH29" s="293">
        <f>IF(Tabel511[[#This Row],[Aantal games Alg]]=0,0,Tabel511[[#This Row],[Goals OffA]]/Tabel511[[#This Row],[Aantal games Alg]])</f>
        <v>6</v>
      </c>
      <c r="BI29" s="214">
        <f>Tabel511[[#This Row],[Goals DefA]]+Tabel511[[#This Row],[Goals OffA]]</f>
        <v>8</v>
      </c>
      <c r="BJ29" s="214">
        <f>IF(Tabel511[[#This Row],[Aantal games Alg]]=0,0,Tabel511[[#This Row],[Goals Alg]]/Tabel511[[#This Row],[Aantal games Alg]])</f>
        <v>8</v>
      </c>
      <c r="BK29" s="148">
        <f>SUMIF(Tabel152[Team Rood],Tabel511[[#This Row],[Team]],Tabel152[ET])</f>
        <v>0</v>
      </c>
      <c r="BL29" s="150">
        <f ca="1">SUMIF(Tabel152[Team Groen],Tabel511[[#This Row],[Team]],Tabel152[ET])</f>
        <v>2.1180552721489221E-5</v>
      </c>
      <c r="BM29" s="153">
        <f ca="1">SUM(Tabel511[[#This Row],[ET Groen tot]],Tabel511[[#This Row],[ET Rood tot]])</f>
        <v>2.1180552721489221E-5</v>
      </c>
      <c r="BN29" s="155">
        <f ca="1">IF(Tabel511[[#This Row],[Aantal games Alg]]=0,0,Tabel511[[#This Row],[ET tot]]/Tabel511[[#This Row],[Aantal games Alg]])</f>
        <v>2.1180552721489221E-5</v>
      </c>
    </row>
    <row r="30" spans="1:66" x14ac:dyDescent="0.25">
      <c r="A30" s="215">
        <f ca="1">IF(Tabel152[[#This Row],[Rood Verdediging]]&lt;&gt;"",IF(A30="",NOW(),A30),"")</f>
        <v>44407.937537268517</v>
      </c>
      <c r="B30" s="218">
        <f ca="1">IF(Tabel152[[#This Row],[Rood Verdediging]]&lt;&gt;"",IF(B30="",NOW(),B30),"")</f>
        <v>44407.937537268517</v>
      </c>
      <c r="C30" s="216">
        <f ca="1">IF(Tabel152[[#This Row],[Score]]&lt;&gt;"",IF(C30="",NOW(),C30),"")</f>
        <v>44407.947371875001</v>
      </c>
      <c r="D30" s="217">
        <f ca="1">IF(OR(Tabel152[[#This Row],[Starttijd]]="",Tabel152[[#This Row],[Eindtijd]]=""),"",Tabel152[[#This Row],[Eindtijd]]-Tabel152[[#This Row],[Starttijd]])</f>
        <v>9.8346064842189662E-3</v>
      </c>
      <c r="E30" s="74">
        <v>29</v>
      </c>
      <c r="F30" s="205" t="s">
        <v>0</v>
      </c>
      <c r="G30" s="210">
        <v>4</v>
      </c>
      <c r="H30" s="205" t="s">
        <v>7</v>
      </c>
      <c r="I30" s="210">
        <v>5</v>
      </c>
      <c r="J30" s="206" t="s">
        <v>71</v>
      </c>
      <c r="K30" s="212">
        <v>1</v>
      </c>
      <c r="L30" s="206" t="s">
        <v>3</v>
      </c>
      <c r="M30" s="212">
        <v>10</v>
      </c>
      <c r="N30" s="79">
        <f>Tabel152[[#This Row],[Score]]+Tabel152[[#This Row],[Score2]]</f>
        <v>9</v>
      </c>
      <c r="O30" s="80">
        <f>Tabel152[[#This Row],[Score3]]+Tabel152[[#This Row],[Score4]]</f>
        <v>11</v>
      </c>
      <c r="P3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Row],[Score4]]&lt;&gt;""),IF(AND(N30&gt;O30,N30&gt;=11),"ROOD",IF(AND(O30&gt;=11,N30&lt;&gt;O30),"GROEN","")),"")</f>
        <v>GROEN</v>
      </c>
      <c r="Q30" s="84" t="str">
        <f t="shared" si="12"/>
        <v xml:space="preserve">Matthijs </v>
      </c>
      <c r="R30" s="85" t="str">
        <f t="shared" si="13"/>
        <v>Karel</v>
      </c>
      <c r="S30" s="293" t="str">
        <f>Tabel152[[#This Row],[Rood Verdediging]]&amp;Tabel152[[#This Row],[Rood Aanval]]</f>
        <v>JonasTiemen</v>
      </c>
      <c r="T30" s="293" t="str">
        <f>Tabel152[[#This Row],[Groen Verdediging]]&amp;Tabel152[[#This Row],[Groen Aanval]]</f>
        <v>Matthijs Karel</v>
      </c>
      <c r="U30" s="293" t="str">
        <f>Tabel152[[#This Row],[Winnaar 1]]&amp;Tabel152[[#This Row],[Winnaar 2]]</f>
        <v>Matthijs Karel</v>
      </c>
      <c r="V30" s="147" t="b">
        <f>IF(Tabel152[[#This Row],[Team Rood]]=Tabel152[[#This Row],[Winnaars]],Tabel152[[#This Row],[Team Rood]])</f>
        <v>0</v>
      </c>
      <c r="W30" s="147" t="str">
        <f>IF(Tabel152[[#This Row],[Team Groen]]=Tabel152[[#This Row],[Winnaars]],Tabel152[[#This Row],[Team Groen]])</f>
        <v>Matthijs Karel</v>
      </c>
      <c r="X30" s="283">
        <v>-2.5150432761550929</v>
      </c>
      <c r="Y30" s="283">
        <v>-19.738170531195117</v>
      </c>
      <c r="Z30" s="283">
        <v>44.098571956641912</v>
      </c>
      <c r="AA30" s="283">
        <v>36.991747788174571</v>
      </c>
      <c r="AL30" s="251" t="s">
        <v>168</v>
      </c>
      <c r="AM30" s="233" t="s">
        <v>67</v>
      </c>
      <c r="AN30" s="140" t="str">
        <f t="shared" si="6"/>
        <v>Coghe*Lawrence</v>
      </c>
      <c r="AO30" s="160">
        <f>IF(Tabel511[[#This Row],[Aantal Games Rood]]=0,0,(Tabel511[[#This Row],[Wins Rood]])/Tabel511[[#This Row],[Aantal Games Rood]])</f>
        <v>0</v>
      </c>
      <c r="AP30" s="159">
        <f>IF(Tabel511[[#This Row],[Aantal Games Groen]]=0,0,(Tabel511[[#This Row],[Wins Groen]])/Tabel511[[#This Row],[Aantal Games Groen]])</f>
        <v>0</v>
      </c>
      <c r="AQ30" s="156">
        <f>IF(Tabel511[[#This Row],[Aantal games Alg]]=0,0,(Tabel511[[#This Row],[Wins Alg]])/Tabel511[[#This Row],[Aantal games Alg]])</f>
        <v>0</v>
      </c>
      <c r="AR30" s="138">
        <f>COUNTIF(Tabel152[Winaar rood],Tabel511[[#This Row],[Team]])</f>
        <v>0</v>
      </c>
      <c r="AS30" s="134">
        <f>COUNTIF(Tabel152[Winnaar Groen],Tabel511[[#This Row],[Team]])</f>
        <v>0</v>
      </c>
      <c r="AT30" s="293">
        <f>COUNTIF(Tabel152[Winnaars],Tabel511[[#This Row],[Team]])</f>
        <v>0</v>
      </c>
      <c r="AU30" s="135">
        <f>Tabel511[[#This Row],[Aantal Games Rood]]-Tabel511[[#This Row],[Wins Rood]]</f>
        <v>0</v>
      </c>
      <c r="AV30" s="136">
        <f>Tabel511[[#This Row],[Aantal Games Groen]]-Tabel511[[#This Row],[Wins Groen]]</f>
        <v>0</v>
      </c>
      <c r="AW30" s="137">
        <f>Tabel511[[#This Row],[Aantal games Alg]]-Tabel511[[#This Row],[Wins Alg]]</f>
        <v>0</v>
      </c>
      <c r="AX30" s="138">
        <f>COUNTIF(Tabel152[Team Rood],Tabel511[[#This Row],[Team]])</f>
        <v>0</v>
      </c>
      <c r="AY30" s="136">
        <f>COUNTIF(Tabel152[Team Groen],Tabel511[[#This Row],[Team]])</f>
        <v>0</v>
      </c>
      <c r="AZ30" s="214">
        <f>Tabel511[[#This Row],[Aantal Games Rood]]+Tabel511[[#This Row],[Aantal Games Groen]]</f>
        <v>0</v>
      </c>
      <c r="BA30" s="138">
        <f>SUMIF(Tabel152[Team Rood],Tabel511[[#This Row],[Team]],Tabel152[Score])</f>
        <v>0</v>
      </c>
      <c r="BB30" s="138">
        <f>SUMIF(Tabel152[Team Rood],Tabel511[[#This Row],[Team]],Tabel152[Score2])</f>
        <v>0</v>
      </c>
      <c r="BC30" s="134">
        <f>SUMIF(Tabel152[Team Groen],Tabel511[[#This Row],[Team]],Tabel152[Score3])</f>
        <v>0</v>
      </c>
      <c r="BD30" s="136">
        <f>SUMIF(Tabel152[Team Groen],Tabel511[[#This Row],[Team]],Tabel152[Score4])</f>
        <v>0</v>
      </c>
      <c r="BE30" s="293">
        <f>SUM(Tabel511[[#This Row],[Goals Verdediger]]+Tabel511[[#This Row],[Goals DefG]])</f>
        <v>0</v>
      </c>
      <c r="BF30" s="293">
        <f>IF(Tabel511[[#This Row],[Aantal games Alg]]=0,0,Tabel511[[#This Row],[Goals DefA]]/Tabel511[[#This Row],[Aantal games Alg]])</f>
        <v>0</v>
      </c>
      <c r="BG30" s="293">
        <f>SUM(Tabel511[[#This Row],[Goals Aanvaller]]+Tabel511[[#This Row],[Goals OffG]])</f>
        <v>0</v>
      </c>
      <c r="BH30" s="293">
        <f>IF(Tabel511[[#This Row],[Aantal games Alg]]=0,0,Tabel511[[#This Row],[Goals OffA]]/Tabel511[[#This Row],[Aantal games Alg]])</f>
        <v>0</v>
      </c>
      <c r="BI30" s="214">
        <f>Tabel511[[#This Row],[Goals DefA]]+Tabel511[[#This Row],[Goals OffA]]</f>
        <v>0</v>
      </c>
      <c r="BJ30" s="214">
        <f>IF(Tabel511[[#This Row],[Aantal games Alg]]=0,0,Tabel511[[#This Row],[Goals Alg]]/Tabel511[[#This Row],[Aantal games Alg]])</f>
        <v>0</v>
      </c>
      <c r="BK30" s="148">
        <f>SUMIF(Tabel152[Team Rood],Tabel511[[#This Row],[Team]],Tabel152[ET])</f>
        <v>0</v>
      </c>
      <c r="BL30" s="150">
        <f>SUMIF(Tabel152[Team Groen],Tabel511[[#This Row],[Team]],Tabel152[ET])</f>
        <v>0</v>
      </c>
      <c r="BM30" s="153">
        <f>SUM(Tabel511[[#This Row],[ET Groen tot]],Tabel511[[#This Row],[ET Rood tot]])</f>
        <v>0</v>
      </c>
      <c r="BN30" s="155">
        <f>IF(Tabel511[[#This Row],[Aantal games Alg]]=0,0,Tabel511[[#This Row],[ET tot]]/Tabel511[[#This Row],[Aantal games Alg]])</f>
        <v>0</v>
      </c>
    </row>
    <row r="31" spans="1:66" x14ac:dyDescent="0.25">
      <c r="A31" s="215">
        <f ca="1">IF(Tabel152[[#This Row],[Rood Verdediging]]&lt;&gt;"",IF(A31="",NOW(),A31),"")</f>
        <v>44407.984085763892</v>
      </c>
      <c r="B31" s="218">
        <f ca="1">IF(Tabel152[[#This Row],[Rood Verdediging]]&lt;&gt;"",IF(B31="",NOW(),B31),"")</f>
        <v>44407.984085763892</v>
      </c>
      <c r="C31" s="216">
        <f ca="1">IF(Tabel152[[#This Row],[Score]]&lt;&gt;"",IF(C31="",NOW(),C31),"")</f>
        <v>44407.984174074074</v>
      </c>
      <c r="D31" s="217">
        <f ca="1">IF(OR(Tabel152[[#This Row],[Starttijd]]="",Tabel152[[#This Row],[Eindtijd]]=""),"",Tabel152[[#This Row],[Eindtijd]]-Tabel152[[#This Row],[Starttijd]])</f>
        <v>8.8310182036366314E-5</v>
      </c>
      <c r="E31" s="74">
        <v>30</v>
      </c>
      <c r="F31" s="205" t="s">
        <v>11</v>
      </c>
      <c r="G31" s="210">
        <v>1</v>
      </c>
      <c r="H31" s="205" t="s">
        <v>7</v>
      </c>
      <c r="I31" s="210">
        <v>8</v>
      </c>
      <c r="J31" s="206" t="s">
        <v>3</v>
      </c>
      <c r="K31" s="212">
        <v>4</v>
      </c>
      <c r="L31" s="206" t="s">
        <v>0</v>
      </c>
      <c r="M31" s="212">
        <v>7</v>
      </c>
      <c r="N31" s="79">
        <f>Tabel152[[#This Row],[Score]]+Tabel152[[#This Row],[Score2]]</f>
        <v>9</v>
      </c>
      <c r="O31" s="80">
        <f>Tabel152[[#This Row],[Score3]]+Tabel152[[#This Row],[Score4]]</f>
        <v>11</v>
      </c>
      <c r="P3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Row],[Score4]]&lt;&gt;""),IF(AND(N31&gt;O31,N31&gt;=11),"ROOD",IF(AND(O31&gt;=11,N31&lt;&gt;O31),"GROEN","")),"")</f>
        <v>GROEN</v>
      </c>
      <c r="Q31" s="84" t="str">
        <f t="shared" si="12"/>
        <v>Karel</v>
      </c>
      <c r="R31" s="85" t="s">
        <v>208</v>
      </c>
      <c r="S31" s="293" t="str">
        <f>Tabel152[[#This Row],[Rood Verdediging]]&amp;Tabel152[[#This Row],[Rood Aanval]]</f>
        <v>MatthijsTiemen</v>
      </c>
      <c r="T31" s="293" t="str">
        <f>Tabel152[[#This Row],[Groen Verdediging]]&amp;Tabel152[[#This Row],[Groen Aanval]]</f>
        <v>KarelJonas</v>
      </c>
      <c r="U31" s="293" t="str">
        <f>Tabel152[[#This Row],[Winnaar 1]]&amp;Tabel152[[#This Row],[Winnaar 2]]</f>
        <v>KarelMa</v>
      </c>
      <c r="V31" s="147" t="b">
        <f>IF(Tabel152[[#This Row],[Team Rood]]=Tabel152[[#This Row],[Winnaars]],Tabel152[[#This Row],[Team Rood]])</f>
        <v>0</v>
      </c>
      <c r="W31" s="147" t="b">
        <f>IF(Tabel152[[#This Row],[Team Groen]]=Tabel152[[#This Row],[Winnaars]],Tabel152[[#This Row],[Team Groen]])</f>
        <v>0</v>
      </c>
      <c r="X31" s="283">
        <v>-10.288714348039562</v>
      </c>
      <c r="Y31" s="283">
        <v>-15.053527278308227</v>
      </c>
      <c r="Z31" s="283">
        <v>39.898487490403618</v>
      </c>
      <c r="AA31" s="283">
        <v>34.409799523659444</v>
      </c>
      <c r="AL31" s="251" t="s">
        <v>168</v>
      </c>
      <c r="AM31" s="233" t="s">
        <v>161</v>
      </c>
      <c r="AN31" s="140" t="str">
        <f t="shared" si="6"/>
        <v>Coghe*Louis*</v>
      </c>
      <c r="AO31" s="160">
        <f>IF(Tabel511[[#This Row],[Aantal Games Rood]]=0,0,(Tabel511[[#This Row],[Wins Rood]])/Tabel511[[#This Row],[Aantal Games Rood]])</f>
        <v>0</v>
      </c>
      <c r="AP31" s="159">
        <f>IF(Tabel511[[#This Row],[Aantal Games Groen]]=0,0,(Tabel511[[#This Row],[Wins Groen]])/Tabel511[[#This Row],[Aantal Games Groen]])</f>
        <v>0</v>
      </c>
      <c r="AQ31" s="156">
        <f>IF(Tabel511[[#This Row],[Aantal games Alg]]=0,0,(Tabel511[[#This Row],[Wins Alg]])/Tabel511[[#This Row],[Aantal games Alg]])</f>
        <v>0</v>
      </c>
      <c r="AR31" s="133">
        <f>COUNTIF(Tabel152[Winaar rood],Tabel511[[#This Row],[Team]])</f>
        <v>0</v>
      </c>
      <c r="AS31" s="134">
        <f>COUNTIF(Tabel152[Winnaar Groen],Tabel511[[#This Row],[Team]])</f>
        <v>0</v>
      </c>
      <c r="AT31" s="293">
        <f>COUNTIF(Tabel152[Winnaars],Tabel511[[#This Row],[Team]])</f>
        <v>0</v>
      </c>
      <c r="AU31" s="135">
        <f>Tabel511[[#This Row],[Aantal Games Rood]]-Tabel511[[#This Row],[Wins Rood]]</f>
        <v>0</v>
      </c>
      <c r="AV31" s="136">
        <f>Tabel511[[#This Row],[Aantal Games Groen]]-Tabel511[[#This Row],[Wins Groen]]</f>
        <v>0</v>
      </c>
      <c r="AW31" s="137">
        <f>Tabel511[[#This Row],[Aantal games Alg]]-Tabel511[[#This Row],[Wins Alg]]</f>
        <v>0</v>
      </c>
      <c r="AX31" s="138">
        <f>COUNTIF(Tabel152[Team Rood],Tabel511[[#This Row],[Team]])</f>
        <v>0</v>
      </c>
      <c r="AY31" s="136">
        <f>COUNTIF(Tabel152[Team Groen],Tabel511[[#This Row],[Team]])</f>
        <v>0</v>
      </c>
      <c r="AZ31" s="214">
        <f>Tabel511[[#This Row],[Aantal Games Rood]]+Tabel511[[#This Row],[Aantal Games Groen]]</f>
        <v>0</v>
      </c>
      <c r="BA31" s="138">
        <f>SUMIF(Tabel152[Team Rood],Tabel511[[#This Row],[Team]],Tabel152[Score])</f>
        <v>0</v>
      </c>
      <c r="BB31" s="138">
        <f>SUMIF(Tabel152[Team Rood],Tabel511[[#This Row],[Team]],Tabel152[Score2])</f>
        <v>0</v>
      </c>
      <c r="BC31" s="134">
        <f>SUMIF(Tabel152[Team Groen],Tabel511[[#This Row],[Team]],Tabel152[Score3])</f>
        <v>0</v>
      </c>
      <c r="BD31" s="136">
        <f>SUMIF(Tabel152[Team Groen],Tabel511[[#This Row],[Team]],Tabel152[Score4])</f>
        <v>0</v>
      </c>
      <c r="BE31" s="293">
        <f>SUM(Tabel511[[#This Row],[Goals Verdediger]]+Tabel511[[#This Row],[Goals DefG]])</f>
        <v>0</v>
      </c>
      <c r="BF31" s="293">
        <f>IF(Tabel511[[#This Row],[Aantal games Alg]]=0,0,Tabel511[[#This Row],[Goals DefA]]/Tabel511[[#This Row],[Aantal games Alg]])</f>
        <v>0</v>
      </c>
      <c r="BG31" s="293">
        <f>SUM(Tabel511[[#This Row],[Goals Aanvaller]]+Tabel511[[#This Row],[Goals OffG]])</f>
        <v>0</v>
      </c>
      <c r="BH31" s="293">
        <f>IF(Tabel511[[#This Row],[Aantal games Alg]]=0,0,Tabel511[[#This Row],[Goals OffA]]/Tabel511[[#This Row],[Aantal games Alg]])</f>
        <v>0</v>
      </c>
      <c r="BI31" s="214">
        <f>Tabel511[[#This Row],[Goals DefA]]+Tabel511[[#This Row],[Goals OffA]]</f>
        <v>0</v>
      </c>
      <c r="BJ31" s="214">
        <f>IF(Tabel511[[#This Row],[Aantal games Alg]]=0,0,Tabel511[[#This Row],[Goals Alg]]/Tabel511[[#This Row],[Aantal games Alg]])</f>
        <v>0</v>
      </c>
      <c r="BK31" s="148">
        <f>SUMIF(Tabel152[Team Rood],Tabel511[[#This Row],[Team]],Tabel152[ET])</f>
        <v>0</v>
      </c>
      <c r="BL31" s="150">
        <f>SUMIF(Tabel152[Team Groen],Tabel511[[#This Row],[Team]],Tabel152[ET])</f>
        <v>0</v>
      </c>
      <c r="BM31" s="153">
        <f>SUM(Tabel511[[#This Row],[ET Groen tot]],Tabel511[[#This Row],[ET Rood tot]])</f>
        <v>0</v>
      </c>
      <c r="BN31" s="155">
        <f>IF(Tabel511[[#This Row],[Aantal games Alg]]=0,0,Tabel511[[#This Row],[ET tot]]/Tabel511[[#This Row],[Aantal games Alg]])</f>
        <v>0</v>
      </c>
    </row>
    <row r="32" spans="1:66" x14ac:dyDescent="0.25">
      <c r="A32" s="215">
        <f ca="1">IF(Tabel152[[#This Row],[Rood Verdediging]]&lt;&gt;"",IF(A32="",NOW(),A32),"")</f>
        <v>44407.99718298611</v>
      </c>
      <c r="B32" s="218">
        <f ca="1">IF(Tabel152[[#This Row],[Rood Verdediging]]&lt;&gt;"",IF(B32="",NOW(),B32),"")</f>
        <v>44407.99718298611</v>
      </c>
      <c r="C32" s="216">
        <f ca="1">IF(Tabel152[[#This Row],[Score]]&lt;&gt;"",IF(C32="",NOW(),C32),"")</f>
        <v>44407.997199074074</v>
      </c>
      <c r="D32" s="217">
        <f ca="1">IF(OR(Tabel152[[#This Row],[Starttijd]]="",Tabel152[[#This Row],[Eindtijd]]=""),"",Tabel152[[#This Row],[Eindtijd]]-Tabel152[[#This Row],[Starttijd]])</f>
        <v>1.6087964468169957E-5</v>
      </c>
      <c r="E32" s="74">
        <v>31</v>
      </c>
      <c r="F32" s="205" t="s">
        <v>8</v>
      </c>
      <c r="G32" s="210">
        <v>4</v>
      </c>
      <c r="H32" s="205" t="s">
        <v>13</v>
      </c>
      <c r="I32" s="210">
        <v>7</v>
      </c>
      <c r="J32" s="206" t="s">
        <v>7</v>
      </c>
      <c r="K32" s="212">
        <v>1</v>
      </c>
      <c r="L32" s="206" t="s">
        <v>0</v>
      </c>
      <c r="M32" s="212">
        <v>5</v>
      </c>
      <c r="N32" s="79">
        <f>Tabel152[[#This Row],[Score]]+Tabel152[[#This Row],[Score2]]</f>
        <v>11</v>
      </c>
      <c r="O32" s="80">
        <f>Tabel152[[#This Row],[Score3]]+Tabel152[[#This Row],[Score4]]</f>
        <v>6</v>
      </c>
      <c r="P3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Row],[Score4]]&lt;&gt;""),IF(AND(N32&gt;O32,N32&gt;=11),"ROOD",IF(AND(O32&gt;=11,N32&lt;&gt;O32),"GROEN","")),"")</f>
        <v>ROOD</v>
      </c>
      <c r="Q32" s="84" t="str">
        <f t="shared" si="12"/>
        <v>Louis</v>
      </c>
      <c r="R32" s="85" t="str">
        <f t="shared" si="13"/>
        <v>Bert</v>
      </c>
      <c r="S32" s="293" t="str">
        <f>Tabel152[[#This Row],[Rood Verdediging]]&amp;Tabel152[[#This Row],[Rood Aanval]]</f>
        <v>LouisBert</v>
      </c>
      <c r="T32" s="293" t="str">
        <f>Tabel152[[#This Row],[Groen Verdediging]]&amp;Tabel152[[#This Row],[Groen Aanval]]</f>
        <v>TiemenJonas</v>
      </c>
      <c r="U32" s="293" t="str">
        <f>Tabel152[[#This Row],[Winnaar 1]]&amp;Tabel152[[#This Row],[Winnaar 2]]</f>
        <v>LouisBert</v>
      </c>
      <c r="V32" s="147" t="str">
        <f>IF(Tabel152[[#This Row],[Team Rood]]=Tabel152[[#This Row],[Winnaars]],Tabel152[[#This Row],[Team Rood]])</f>
        <v>LouisBert</v>
      </c>
      <c r="W32" s="147" t="b">
        <f>IF(Tabel152[[#This Row],[Team Groen]]=Tabel152[[#This Row],[Winnaars]],Tabel152[[#This Row],[Team Groen]])</f>
        <v>0</v>
      </c>
      <c r="X32" s="283">
        <v>43.410450868784835</v>
      </c>
      <c r="Y32" s="283">
        <v>49.068786684251222</v>
      </c>
      <c r="Z32" s="283">
        <v>-19.301583659447083</v>
      </c>
      <c r="AA32" s="283">
        <v>-25.763918426503047</v>
      </c>
      <c r="AL32" s="251" t="s">
        <v>168</v>
      </c>
      <c r="AM32" s="233" t="s">
        <v>162</v>
      </c>
      <c r="AN32" s="140" t="str">
        <f t="shared" si="6"/>
        <v>Coghe*Matthijs*</v>
      </c>
      <c r="AO32" s="160">
        <f>IF(Tabel511[[#This Row],[Aantal Games Rood]]=0,0,(Tabel511[[#This Row],[Wins Rood]])/Tabel511[[#This Row],[Aantal Games Rood]])</f>
        <v>0</v>
      </c>
      <c r="AP32" s="159">
        <f>IF(Tabel511[[#This Row],[Aantal Games Groen]]=0,0,(Tabel511[[#This Row],[Wins Groen]])/Tabel511[[#This Row],[Aantal Games Groen]])</f>
        <v>0</v>
      </c>
      <c r="AQ32" s="156">
        <f>IF(Tabel511[[#This Row],[Aantal games Alg]]=0,0,(Tabel511[[#This Row],[Wins Alg]])/Tabel511[[#This Row],[Aantal games Alg]])</f>
        <v>0</v>
      </c>
      <c r="AR32" s="138">
        <f>COUNTIF(Tabel152[Winaar rood],Tabel511[[#This Row],[Team]])</f>
        <v>0</v>
      </c>
      <c r="AS32" s="134">
        <f>COUNTIF(Tabel152[Winnaar Groen],Tabel511[[#This Row],[Team]])</f>
        <v>0</v>
      </c>
      <c r="AT32" s="293">
        <f>COUNTIF(Tabel152[Winnaars],Tabel511[[#This Row],[Team]])</f>
        <v>0</v>
      </c>
      <c r="AU32" s="135">
        <f>Tabel511[[#This Row],[Aantal Games Rood]]-Tabel511[[#This Row],[Wins Rood]]</f>
        <v>1</v>
      </c>
      <c r="AV32" s="136">
        <f>Tabel511[[#This Row],[Aantal Games Groen]]-Tabel511[[#This Row],[Wins Groen]]</f>
        <v>0</v>
      </c>
      <c r="AW32" s="137">
        <f>Tabel511[[#This Row],[Aantal games Alg]]-Tabel511[[#This Row],[Wins Alg]]</f>
        <v>1</v>
      </c>
      <c r="AX32" s="138">
        <f>COUNTIF(Tabel152[Team Rood],Tabel511[[#This Row],[Team]])</f>
        <v>1</v>
      </c>
      <c r="AY32" s="136">
        <f>COUNTIF(Tabel152[Team Groen],Tabel511[[#This Row],[Team]])</f>
        <v>0</v>
      </c>
      <c r="AZ32" s="214">
        <f>Tabel511[[#This Row],[Aantal Games Rood]]+Tabel511[[#This Row],[Aantal Games Groen]]</f>
        <v>1</v>
      </c>
      <c r="BA32" s="138">
        <f>SUMIF(Tabel152[Team Rood],Tabel511[[#This Row],[Team]],Tabel152[Score])</f>
        <v>7</v>
      </c>
      <c r="BB32" s="138">
        <f>SUMIF(Tabel152[Team Rood],Tabel511[[#This Row],[Team]],Tabel152[Score2])</f>
        <v>4</v>
      </c>
      <c r="BC32" s="134">
        <f>SUMIF(Tabel152[Team Groen],Tabel511[[#This Row],[Team]],Tabel152[Score3])</f>
        <v>0</v>
      </c>
      <c r="BD32" s="136">
        <f>SUMIF(Tabel152[Team Groen],Tabel511[[#This Row],[Team]],Tabel152[Score4])</f>
        <v>0</v>
      </c>
      <c r="BE32" s="293">
        <f>SUM(Tabel511[[#This Row],[Goals Verdediger]]+Tabel511[[#This Row],[Goals DefG]])</f>
        <v>7</v>
      </c>
      <c r="BF32" s="293">
        <f>IF(Tabel511[[#This Row],[Aantal games Alg]]=0,0,Tabel511[[#This Row],[Goals DefA]]/Tabel511[[#This Row],[Aantal games Alg]])</f>
        <v>7</v>
      </c>
      <c r="BG32" s="293">
        <f>SUM(Tabel511[[#This Row],[Goals Aanvaller]]+Tabel511[[#This Row],[Goals OffG]])</f>
        <v>4</v>
      </c>
      <c r="BH32" s="293">
        <f>IF(Tabel511[[#This Row],[Aantal games Alg]]=0,0,Tabel511[[#This Row],[Goals OffA]]/Tabel511[[#This Row],[Aantal games Alg]])</f>
        <v>4</v>
      </c>
      <c r="BI32" s="214">
        <f>Tabel511[[#This Row],[Goals DefA]]+Tabel511[[#This Row],[Goals OffA]]</f>
        <v>11</v>
      </c>
      <c r="BJ32" s="214">
        <f>IF(Tabel511[[#This Row],[Aantal games Alg]]=0,0,Tabel511[[#This Row],[Goals Alg]]/Tabel511[[#This Row],[Aantal games Alg]])</f>
        <v>11</v>
      </c>
      <c r="BK32" s="148">
        <f ca="1">SUMIF(Tabel152[Team Rood],Tabel511[[#This Row],[Team]],Tabel152[ET])</f>
        <v>4.5205555557913613E-2</v>
      </c>
      <c r="BL32" s="150">
        <f>SUMIF(Tabel152[Team Groen],Tabel511[[#This Row],[Team]],Tabel152[ET])</f>
        <v>0</v>
      </c>
      <c r="BM32" s="153">
        <f ca="1">SUM(Tabel511[[#This Row],[ET Groen tot]],Tabel511[[#This Row],[ET Rood tot]])</f>
        <v>4.5205555557913613E-2</v>
      </c>
      <c r="BN32" s="155">
        <f ca="1">IF(Tabel511[[#This Row],[Aantal games Alg]]=0,0,Tabel511[[#This Row],[ET tot]]/Tabel511[[#This Row],[Aantal games Alg]])</f>
        <v>4.5205555557913613E-2</v>
      </c>
    </row>
    <row r="33" spans="1:66" x14ac:dyDescent="0.25">
      <c r="A33" s="215">
        <f ca="1">IF(Tabel152[[#This Row],[Rood Verdediging]]&lt;&gt;"",IF(A33="",NOW(),A33),"")</f>
        <v>44408.008681712963</v>
      </c>
      <c r="B33" s="218">
        <f ca="1">IF(Tabel152[[#This Row],[Rood Verdediging]]&lt;&gt;"",IF(B33="",NOW(),B33),"")</f>
        <v>44408.008681712963</v>
      </c>
      <c r="C33" s="216">
        <f ca="1">IF(Tabel152[[#This Row],[Score]]&lt;&gt;"",IF(C33="",NOW(),C33),"")</f>
        <v>44408.016767824076</v>
      </c>
      <c r="D33" s="217">
        <f ca="1">IF(OR(Tabel152[[#This Row],[Starttijd]]="",Tabel152[[#This Row],[Eindtijd]]=""),"",Tabel152[[#This Row],[Eindtijd]]-Tabel152[[#This Row],[Starttijd]])</f>
        <v>8.0861111127887852E-3</v>
      </c>
      <c r="E33" s="74">
        <v>32</v>
      </c>
      <c r="F33" s="205" t="s">
        <v>7</v>
      </c>
      <c r="G33" s="210">
        <v>2</v>
      </c>
      <c r="H33" s="205" t="s">
        <v>6</v>
      </c>
      <c r="I33" s="210">
        <v>9</v>
      </c>
      <c r="J33" s="206" t="s">
        <v>8</v>
      </c>
      <c r="K33" s="212">
        <v>2</v>
      </c>
      <c r="L33" s="206" t="s">
        <v>0</v>
      </c>
      <c r="M33" s="212">
        <v>4</v>
      </c>
      <c r="N33" s="79">
        <f>Tabel152[[#This Row],[Score]]+Tabel152[[#This Row],[Score2]]</f>
        <v>11</v>
      </c>
      <c r="O33" s="80">
        <f>Tabel152[[#This Row],[Score3]]+Tabel152[[#This Row],[Score4]]</f>
        <v>6</v>
      </c>
      <c r="P3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Row],[Score4]]&lt;&gt;""),IF(AND(N33&gt;O33,N33&gt;=11),"ROOD",IF(AND(O33&gt;=11,N33&lt;&gt;O33),"GROEN","")),"")</f>
        <v>ROOD</v>
      </c>
      <c r="Q33" s="84" t="str">
        <f t="shared" si="12"/>
        <v>Tiemen</v>
      </c>
      <c r="R33" s="85" t="str">
        <f t="shared" si="13"/>
        <v>Stef D</v>
      </c>
      <c r="S33" s="293" t="str">
        <f>Tabel152[[#This Row],[Rood Verdediging]]&amp;Tabel152[[#This Row],[Rood Aanval]]</f>
        <v>TiemenStef D</v>
      </c>
      <c r="T33" s="293" t="str">
        <f>Tabel152[[#This Row],[Groen Verdediging]]&amp;Tabel152[[#This Row],[Groen Aanval]]</f>
        <v>LouisJonas</v>
      </c>
      <c r="U33" s="293" t="str">
        <f>Tabel152[[#This Row],[Winnaar 1]]&amp;Tabel152[[#This Row],[Winnaar 2]]</f>
        <v>TiemenStef D</v>
      </c>
      <c r="V33" s="147" t="str">
        <f>IF(Tabel152[[#This Row],[Team Rood]]=Tabel152[[#This Row],[Winnaars]],Tabel152[[#This Row],[Team Rood]])</f>
        <v>TiemenStef D</v>
      </c>
      <c r="W33" s="147" t="b">
        <f>IF(Tabel152[[#This Row],[Team Groen]]=Tabel152[[#This Row],[Winnaars]],Tabel152[[#This Row],[Team Groen]])</f>
        <v>0</v>
      </c>
      <c r="X33" s="283">
        <v>42.031278508082266</v>
      </c>
      <c r="Y33" s="283">
        <v>37.606184553031966</v>
      </c>
      <c r="Z33" s="283">
        <v>-14.402126182152161</v>
      </c>
      <c r="AA33" s="283">
        <v>-23.204959655467434</v>
      </c>
      <c r="AL33" s="251" t="s">
        <v>168</v>
      </c>
      <c r="AM33" s="233" t="s">
        <v>170</v>
      </c>
      <c r="AN33" s="140" t="str">
        <f t="shared" si="6"/>
        <v>Coghe*Nico*</v>
      </c>
      <c r="AO33" s="160">
        <f>IF(Tabel511[[#This Row],[Aantal Games Rood]]=0,0,(Tabel511[[#This Row],[Wins Rood]])/Tabel511[[#This Row],[Aantal Games Rood]])</f>
        <v>0</v>
      </c>
      <c r="AP33" s="159">
        <f>IF(Tabel511[[#This Row],[Aantal Games Groen]]=0,0,(Tabel511[[#This Row],[Wins Groen]])/Tabel511[[#This Row],[Aantal Games Groen]])</f>
        <v>0</v>
      </c>
      <c r="AQ33" s="156">
        <f>IF(Tabel511[[#This Row],[Aantal games Alg]]=0,0,(Tabel511[[#This Row],[Wins Alg]])/Tabel511[[#This Row],[Aantal games Alg]])</f>
        <v>0</v>
      </c>
      <c r="AR33" s="171">
        <f>COUNTIF(Tabel152[Winaar rood],Tabel511[[#This Row],[Team]])</f>
        <v>0</v>
      </c>
      <c r="AS33" s="169">
        <f>COUNTIF(Tabel152[Winnaar Groen],Tabel511[[#This Row],[Team]])</f>
        <v>0</v>
      </c>
      <c r="AT33" s="170">
        <f>COUNTIF(Tabel152[Winnaars],Tabel511[[#This Row],[Team]])</f>
        <v>0</v>
      </c>
      <c r="AU33" s="163">
        <f>Tabel511[[#This Row],[Aantal Games Rood]]-Tabel511[[#This Row],[Wins Rood]]</f>
        <v>0</v>
      </c>
      <c r="AV33" s="169">
        <f>Tabel511[[#This Row],[Aantal Games Groen]]-Tabel511[[#This Row],[Wins Groen]]</f>
        <v>0</v>
      </c>
      <c r="AW33" s="165">
        <f>Tabel511[[#This Row],[Aantal games Alg]]-Tabel511[[#This Row],[Wins Alg]]</f>
        <v>0</v>
      </c>
      <c r="AX33" s="171">
        <f>COUNTIF(Tabel152[Team Rood],Tabel511[[#This Row],[Team]])</f>
        <v>0</v>
      </c>
      <c r="AY33" s="169">
        <f>COUNTIF(Tabel152[Team Groen],Tabel511[[#This Row],[Team]])</f>
        <v>0</v>
      </c>
      <c r="AZ33" s="170">
        <f>Tabel511[[#This Row],[Aantal Games Rood]]+Tabel511[[#This Row],[Aantal Games Groen]]</f>
        <v>0</v>
      </c>
      <c r="BA33" s="171">
        <f>SUMIF(Tabel152[Team Rood],Tabel511[[#This Row],[Team]],Tabel152[Score])</f>
        <v>0</v>
      </c>
      <c r="BB33" s="171">
        <f>SUMIF(Tabel152[Team Rood],Tabel511[[#This Row],[Team]],Tabel152[Score2])</f>
        <v>0</v>
      </c>
      <c r="BC33" s="136">
        <f>SUMIF(Tabel152[Team Groen],Tabel511[[#This Row],[Team]],Tabel152[Score3])</f>
        <v>0</v>
      </c>
      <c r="BD33" s="169">
        <f>SUMIF(Tabel152[Team Groen],Tabel511[[#This Row],[Team]],Tabel152[Score4])</f>
        <v>0</v>
      </c>
      <c r="BE33" s="172">
        <f>SUM(Tabel511[[#This Row],[Goals Verdediger]]+Tabel511[[#This Row],[Goals DefG]])</f>
        <v>0</v>
      </c>
      <c r="BF33" s="170">
        <f>IF(Tabel511[[#This Row],[Aantal games Alg]]=0,0,Tabel511[[#This Row],[Goals DefA]]/Tabel511[[#This Row],[Aantal games Alg]])</f>
        <v>0</v>
      </c>
      <c r="BG33" s="172">
        <f>SUM(Tabel511[[#This Row],[Goals Aanvaller]]+Tabel511[[#This Row],[Goals OffG]])</f>
        <v>0</v>
      </c>
      <c r="BH33" s="170">
        <f>IF(Tabel511[[#This Row],[Aantal games Alg]]=0,0,Tabel511[[#This Row],[Goals OffA]]/Tabel511[[#This Row],[Aantal games Alg]])</f>
        <v>0</v>
      </c>
      <c r="BI33" s="170">
        <f>Tabel511[[#This Row],[Goals DefA]]+Tabel511[[#This Row],[Goals OffA]]</f>
        <v>0</v>
      </c>
      <c r="BJ33" s="170">
        <f>IF(Tabel511[[#This Row],[Aantal games Alg]]=0,0,Tabel511[[#This Row],[Goals Alg]]/Tabel511[[#This Row],[Aantal games Alg]])</f>
        <v>0</v>
      </c>
      <c r="BK33" s="148">
        <f>SUMIF(Tabel152[Team Rood],Tabel511[[#This Row],[Team]],Tabel152[ET])</f>
        <v>0</v>
      </c>
      <c r="BL33" s="150">
        <f>SUMIF(Tabel152[Team Groen],Tabel511[[#This Row],[Team]],Tabel152[ET])</f>
        <v>0</v>
      </c>
      <c r="BM33" s="153">
        <f>SUM(Tabel511[[#This Row],[ET Groen tot]],Tabel511[[#This Row],[ET Rood tot]])</f>
        <v>0</v>
      </c>
      <c r="BN33" s="155">
        <f>IF(Tabel511[[#This Row],[Aantal games Alg]]=0,0,Tabel511[[#This Row],[ET tot]]/Tabel511[[#This Row],[Aantal games Alg]])</f>
        <v>0</v>
      </c>
    </row>
    <row r="34" spans="1:66" x14ac:dyDescent="0.25">
      <c r="A34" s="215">
        <f ca="1">IF(Tabel152[[#This Row],[Rood Verdediging]]&lt;&gt;"",IF(A34="",NOW(),A34),"")</f>
        <v>44408.065433101852</v>
      </c>
      <c r="B34" s="218">
        <f ca="1">IF(Tabel152[[#This Row],[Rood Verdediging]]&lt;&gt;"",IF(B34="",NOW(),B34),"")</f>
        <v>44408.065433101852</v>
      </c>
      <c r="C34" s="216">
        <f ca="1">IF(Tabel152[[#This Row],[Score]]&lt;&gt;"",IF(C34="",NOW(),C34),"")</f>
        <v>44408.065452083334</v>
      </c>
      <c r="D34" s="217">
        <f ca="1">IF(OR(Tabel152[[#This Row],[Starttijd]]="",Tabel152[[#This Row],[Eindtijd]]=""),"",Tabel152[[#This Row],[Eindtijd]]-Tabel152[[#This Row],[Starttijd]])</f>
        <v>1.8981481844093651E-5</v>
      </c>
      <c r="E34" s="74">
        <v>33</v>
      </c>
      <c r="F34" s="205" t="s">
        <v>8</v>
      </c>
      <c r="G34" s="210">
        <v>4</v>
      </c>
      <c r="H34" s="205" t="s">
        <v>3</v>
      </c>
      <c r="I34" s="210">
        <v>7</v>
      </c>
      <c r="J34" s="206" t="s">
        <v>0</v>
      </c>
      <c r="K34" s="212">
        <v>1</v>
      </c>
      <c r="L34" s="206" t="s">
        <v>13</v>
      </c>
      <c r="M34" s="212">
        <v>5</v>
      </c>
      <c r="N34" s="79">
        <f>Tabel152[[#This Row],[Score]]+Tabel152[[#This Row],[Score2]]</f>
        <v>11</v>
      </c>
      <c r="O34" s="80">
        <f>Tabel152[[#This Row],[Score3]]+Tabel152[[#This Row],[Score4]]</f>
        <v>6</v>
      </c>
      <c r="P3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Row],[Score4]]&lt;&gt;""),IF(AND(N34&gt;O34,N34&gt;=11),"ROOD",IF(AND(O34&gt;=11,N34&lt;&gt;O34),"GROEN","")),"")</f>
        <v>ROOD</v>
      </c>
      <c r="Q34" s="84" t="str">
        <f t="shared" si="12"/>
        <v>Louis</v>
      </c>
      <c r="R34" s="85" t="str">
        <f t="shared" si="13"/>
        <v>Karel</v>
      </c>
      <c r="S34" s="293" t="str">
        <f>Tabel152[[#This Row],[Rood Verdediging]]&amp;Tabel152[[#This Row],[Rood Aanval]]</f>
        <v>LouisKarel</v>
      </c>
      <c r="T34" s="293" t="str">
        <f>Tabel152[[#This Row],[Groen Verdediging]]&amp;Tabel152[[#This Row],[Groen Aanval]]</f>
        <v>JonasBert</v>
      </c>
      <c r="U34" s="293" t="str">
        <f>Tabel152[[#This Row],[Winnaar 1]]&amp;Tabel152[[#This Row],[Winnaar 2]]</f>
        <v>LouisKarel</v>
      </c>
      <c r="V34" s="147" t="str">
        <f>IF(Tabel152[[#This Row],[Team Rood]]=Tabel152[[#This Row],[Winnaars]],Tabel152[[#This Row],[Team Rood]])</f>
        <v>LouisKarel</v>
      </c>
      <c r="W34" s="147" t="b">
        <f>IF(Tabel152[[#This Row],[Team Groen]]=Tabel152[[#This Row],[Winnaars]],Tabel152[[#This Row],[Team Groen]])</f>
        <v>0</v>
      </c>
      <c r="X34" s="283">
        <v>38.81080083164548</v>
      </c>
      <c r="Y34" s="283">
        <v>34.10454795030018</v>
      </c>
      <c r="Z34" s="283">
        <v>-10.53141471887108</v>
      </c>
      <c r="AA34" s="283">
        <v>-20.391205986499052</v>
      </c>
      <c r="AL34" s="251" t="s">
        <v>168</v>
      </c>
      <c r="AM34" s="233" t="s">
        <v>169</v>
      </c>
      <c r="AN34" s="140" t="str">
        <f t="shared" si="6"/>
        <v>Coghe*Stef*</v>
      </c>
      <c r="AO34" s="160">
        <f>IF(Tabel511[[#This Row],[Aantal Games Rood]]=0,0,(Tabel511[[#This Row],[Wins Rood]])/Tabel511[[#This Row],[Aantal Games Rood]])</f>
        <v>0</v>
      </c>
      <c r="AP34" s="159">
        <f>IF(Tabel511[[#This Row],[Aantal Games Groen]]=0,0,(Tabel511[[#This Row],[Wins Groen]])/Tabel511[[#This Row],[Aantal Games Groen]])</f>
        <v>0</v>
      </c>
      <c r="AQ34" s="156">
        <f>IF(Tabel511[[#This Row],[Aantal games Alg]]=0,0,(Tabel511[[#This Row],[Wins Alg]])/Tabel511[[#This Row],[Aantal games Alg]])</f>
        <v>0</v>
      </c>
      <c r="AR34" s="133">
        <f>COUNTIF(Tabel152[Winaar rood],Tabel511[[#This Row],[Team]])</f>
        <v>0</v>
      </c>
      <c r="AS34" s="134">
        <f>COUNTIF(Tabel152[Winnaar Groen],Tabel511[[#This Row],[Team]])</f>
        <v>0</v>
      </c>
      <c r="AT34" s="293">
        <f>COUNTIF(Tabel152[Winnaars],Tabel511[[#This Row],[Team]])</f>
        <v>0</v>
      </c>
      <c r="AU34" s="135">
        <f>Tabel511[[#This Row],[Aantal Games Rood]]-Tabel511[[#This Row],[Wins Rood]]</f>
        <v>1</v>
      </c>
      <c r="AV34" s="136">
        <f>Tabel511[[#This Row],[Aantal Games Groen]]-Tabel511[[#This Row],[Wins Groen]]</f>
        <v>0</v>
      </c>
      <c r="AW34" s="137">
        <f>Tabel511[[#This Row],[Aantal games Alg]]-Tabel511[[#This Row],[Wins Alg]]</f>
        <v>1</v>
      </c>
      <c r="AX34" s="138">
        <f>COUNTIF(Tabel152[Team Rood],Tabel511[[#This Row],[Team]])</f>
        <v>1</v>
      </c>
      <c r="AY34" s="136">
        <f>COUNTIF(Tabel152[Team Groen],Tabel511[[#This Row],[Team]])</f>
        <v>0</v>
      </c>
      <c r="AZ34" s="214">
        <f>Tabel511[[#This Row],[Aantal Games Rood]]+Tabel511[[#This Row],[Aantal Games Groen]]</f>
        <v>1</v>
      </c>
      <c r="BA34" s="138">
        <f>SUMIF(Tabel152[Team Rood],Tabel511[[#This Row],[Team]],Tabel152[Score])</f>
        <v>0</v>
      </c>
      <c r="BB34" s="138">
        <f>SUMIF(Tabel152[Team Rood],Tabel511[[#This Row],[Team]],Tabel152[Score2])</f>
        <v>7</v>
      </c>
      <c r="BC34" s="134">
        <f>SUMIF(Tabel152[Team Groen],Tabel511[[#This Row],[Team]],Tabel152[Score3])</f>
        <v>0</v>
      </c>
      <c r="BD34" s="136">
        <f>SUMIF(Tabel152[Team Groen],Tabel511[[#This Row],[Team]],Tabel152[Score4])</f>
        <v>0</v>
      </c>
      <c r="BE34" s="293">
        <f>SUM(Tabel511[[#This Row],[Goals Verdediger]]+Tabel511[[#This Row],[Goals DefG]])</f>
        <v>0</v>
      </c>
      <c r="BF34" s="293">
        <f>IF(Tabel511[[#This Row],[Aantal games Alg]]=0,0,Tabel511[[#This Row],[Goals DefA]]/Tabel511[[#This Row],[Aantal games Alg]])</f>
        <v>0</v>
      </c>
      <c r="BG34" s="293">
        <f>SUM(Tabel511[[#This Row],[Goals Aanvaller]]+Tabel511[[#This Row],[Goals OffG]])</f>
        <v>7</v>
      </c>
      <c r="BH34" s="293">
        <f>IF(Tabel511[[#This Row],[Aantal games Alg]]=0,0,Tabel511[[#This Row],[Goals OffA]]/Tabel511[[#This Row],[Aantal games Alg]])</f>
        <v>7</v>
      </c>
      <c r="BI34" s="214">
        <f>Tabel511[[#This Row],[Goals DefA]]+Tabel511[[#This Row],[Goals OffA]]</f>
        <v>7</v>
      </c>
      <c r="BJ34" s="214">
        <f>IF(Tabel511[[#This Row],[Aantal games Alg]]=0,0,Tabel511[[#This Row],[Goals Alg]]/Tabel511[[#This Row],[Aantal games Alg]])</f>
        <v>7</v>
      </c>
      <c r="BK34" s="148">
        <f ca="1">SUMIF(Tabel152[Team Rood],Tabel511[[#This Row],[Team]],Tabel152[ET])</f>
        <v>1.0901388894126285E-2</v>
      </c>
      <c r="BL34" s="150">
        <f>SUMIF(Tabel152[Team Groen],Tabel511[[#This Row],[Team]],Tabel152[ET])</f>
        <v>0</v>
      </c>
      <c r="BM34" s="153">
        <f ca="1">SUM(Tabel511[[#This Row],[ET Groen tot]],Tabel511[[#This Row],[ET Rood tot]])</f>
        <v>1.0901388894126285E-2</v>
      </c>
      <c r="BN34" s="155">
        <f ca="1">IF(Tabel511[[#This Row],[Aantal games Alg]]=0,0,Tabel511[[#This Row],[ET tot]]/Tabel511[[#This Row],[Aantal games Alg]])</f>
        <v>1.0901388894126285E-2</v>
      </c>
    </row>
    <row r="35" spans="1:66" x14ac:dyDescent="0.25">
      <c r="A35" s="215">
        <f ca="1">IF(Tabel152[[#This Row],[Rood Verdediging]]&lt;&gt;"",IF(A35="",NOW(),A35),"")</f>
        <v>44408.111943865741</v>
      </c>
      <c r="B35" s="218">
        <f ca="1">IF(Tabel152[[#This Row],[Rood Verdediging]]&lt;&gt;"",IF(B35="",NOW(),B35),"")</f>
        <v>44408.111943865741</v>
      </c>
      <c r="C35" s="216">
        <f ca="1">IF(Tabel152[[#This Row],[Score]]&lt;&gt;"",IF(C35="",NOW(),C35),"")</f>
        <v>44408.111981134258</v>
      </c>
      <c r="D35" s="217">
        <f ca="1">IF(OR(Tabel152[[#This Row],[Starttijd]]="",Tabel152[[#This Row],[Eindtijd]]=""),"",Tabel152[[#This Row],[Eindtijd]]-Tabel152[[#This Row],[Starttijd]])</f>
        <v>3.7268517189659178E-5</v>
      </c>
      <c r="E35" s="74">
        <v>34</v>
      </c>
      <c r="F35" s="205" t="s">
        <v>11</v>
      </c>
      <c r="G35" s="210">
        <v>0</v>
      </c>
      <c r="H35" s="205" t="s">
        <v>3</v>
      </c>
      <c r="I35" s="210">
        <v>8</v>
      </c>
      <c r="J35" s="206" t="s">
        <v>6</v>
      </c>
      <c r="K35" s="212">
        <v>3</v>
      </c>
      <c r="L35" s="206" t="s">
        <v>6</v>
      </c>
      <c r="M35" s="212">
        <v>8</v>
      </c>
      <c r="N35" s="79">
        <v>8</v>
      </c>
      <c r="O35" s="80">
        <v>11</v>
      </c>
      <c r="P35" s="71" t="s">
        <v>46</v>
      </c>
      <c r="Q35" s="84" t="s">
        <v>6</v>
      </c>
      <c r="R35" s="85" t="s">
        <v>6</v>
      </c>
      <c r="V35" s="147"/>
      <c r="W35" s="147"/>
      <c r="X35" s="283">
        <v>-20</v>
      </c>
      <c r="Y35" s="283">
        <v>-10</v>
      </c>
      <c r="Z35" s="283">
        <v>28</v>
      </c>
      <c r="AA35" s="283">
        <v>20</v>
      </c>
      <c r="AL35" s="251" t="s">
        <v>168</v>
      </c>
      <c r="AM35" s="233" t="s">
        <v>166</v>
      </c>
      <c r="AN35" s="140" t="str">
        <f t="shared" si="6"/>
        <v>Coghe*Stijn*</v>
      </c>
      <c r="AO35" s="160">
        <f>IF(Tabel511[[#This Row],[Aantal Games Rood]]=0,0,(Tabel511[[#This Row],[Wins Rood]])/Tabel511[[#This Row],[Aantal Games Rood]])</f>
        <v>0</v>
      </c>
      <c r="AP35" s="159">
        <f>IF(Tabel511[[#This Row],[Aantal Games Groen]]=0,0,(Tabel511[[#This Row],[Wins Groen]])/Tabel511[[#This Row],[Aantal Games Groen]])</f>
        <v>0</v>
      </c>
      <c r="AQ35" s="156">
        <f>IF(Tabel511[[#This Row],[Aantal games Alg]]=0,0,(Tabel511[[#This Row],[Wins Alg]])/Tabel511[[#This Row],[Aantal games Alg]])</f>
        <v>0</v>
      </c>
      <c r="AR35" s="138">
        <f>COUNTIF(Tabel152[Winaar rood],Tabel511[[#This Row],[Team]])</f>
        <v>0</v>
      </c>
      <c r="AS35" s="134">
        <f>COUNTIF(Tabel152[Winnaar Groen],Tabel511[[#This Row],[Team]])</f>
        <v>0</v>
      </c>
      <c r="AT35" s="293">
        <f>COUNTIF(Tabel152[Winnaars],Tabel511[[#This Row],[Team]])</f>
        <v>0</v>
      </c>
      <c r="AU35" s="135">
        <f>Tabel511[[#This Row],[Aantal Games Rood]]-Tabel511[[#This Row],[Wins Rood]]</f>
        <v>0</v>
      </c>
      <c r="AV35" s="136">
        <f>Tabel511[[#This Row],[Aantal Games Groen]]-Tabel511[[#This Row],[Wins Groen]]</f>
        <v>0</v>
      </c>
      <c r="AW35" s="137">
        <f>Tabel511[[#This Row],[Aantal games Alg]]-Tabel511[[#This Row],[Wins Alg]]</f>
        <v>0</v>
      </c>
      <c r="AX35" s="138">
        <f>COUNTIF(Tabel152[Team Rood],Tabel511[[#This Row],[Team]])</f>
        <v>0</v>
      </c>
      <c r="AY35" s="136">
        <f>COUNTIF(Tabel152[Team Groen],Tabel511[[#This Row],[Team]])</f>
        <v>0</v>
      </c>
      <c r="AZ35" s="214">
        <f>Tabel511[[#This Row],[Aantal Games Rood]]+Tabel511[[#This Row],[Aantal Games Groen]]</f>
        <v>0</v>
      </c>
      <c r="BA35" s="138">
        <f>SUMIF(Tabel152[Team Rood],Tabel511[[#This Row],[Team]],Tabel152[Score])</f>
        <v>0</v>
      </c>
      <c r="BB35" s="138">
        <f>SUMIF(Tabel152[Team Rood],Tabel511[[#This Row],[Team]],Tabel152[Score2])</f>
        <v>0</v>
      </c>
      <c r="BC35" s="134">
        <f>SUMIF(Tabel152[Team Groen],Tabel511[[#This Row],[Team]],Tabel152[Score3])</f>
        <v>0</v>
      </c>
      <c r="BD35" s="136">
        <f>SUMIF(Tabel152[Team Groen],Tabel511[[#This Row],[Team]],Tabel152[Score4])</f>
        <v>0</v>
      </c>
      <c r="BE35" s="293">
        <f>SUM(Tabel511[[#This Row],[Goals Verdediger]]+Tabel511[[#This Row],[Goals DefG]])</f>
        <v>0</v>
      </c>
      <c r="BF35" s="293">
        <f>IF(Tabel511[[#This Row],[Aantal games Alg]]=0,0,Tabel511[[#This Row],[Goals DefA]]/Tabel511[[#This Row],[Aantal games Alg]])</f>
        <v>0</v>
      </c>
      <c r="BG35" s="293">
        <f>SUM(Tabel511[[#This Row],[Goals Aanvaller]]+Tabel511[[#This Row],[Goals OffG]])</f>
        <v>0</v>
      </c>
      <c r="BH35" s="293">
        <f>IF(Tabel511[[#This Row],[Aantal games Alg]]=0,0,Tabel511[[#This Row],[Goals OffA]]/Tabel511[[#This Row],[Aantal games Alg]])</f>
        <v>0</v>
      </c>
      <c r="BI35" s="214">
        <f>Tabel511[[#This Row],[Goals DefA]]+Tabel511[[#This Row],[Goals OffA]]</f>
        <v>0</v>
      </c>
      <c r="BJ35" s="214">
        <f>IF(Tabel511[[#This Row],[Aantal games Alg]]=0,0,Tabel511[[#This Row],[Goals Alg]]/Tabel511[[#This Row],[Aantal games Alg]])</f>
        <v>0</v>
      </c>
      <c r="BK35" s="148">
        <f>SUMIF(Tabel152[Team Rood],Tabel511[[#This Row],[Team]],Tabel152[ET])</f>
        <v>0</v>
      </c>
      <c r="BL35" s="150">
        <f>SUMIF(Tabel152[Team Groen],Tabel511[[#This Row],[Team]],Tabel152[ET])</f>
        <v>0</v>
      </c>
      <c r="BM35" s="153">
        <f>SUM(Tabel511[[#This Row],[ET Groen tot]],Tabel511[[#This Row],[ET Rood tot]])</f>
        <v>0</v>
      </c>
      <c r="BN35" s="155">
        <f>IF(Tabel511[[#This Row],[Aantal games Alg]]=0,0,Tabel511[[#This Row],[ET tot]]/Tabel511[[#This Row],[Aantal games Alg]])</f>
        <v>0</v>
      </c>
    </row>
    <row r="36" spans="1:66" x14ac:dyDescent="0.25">
      <c r="A36" s="215" t="str">
        <f ca="1">IF(Tabel152[[#This Row],[Rood Verdediging]]&lt;&gt;"",IF(A36="",NOW(),A36),"")</f>
        <v/>
      </c>
      <c r="B36" s="218" t="str">
        <f ca="1">IF(Tabel152[[#This Row],[Rood Verdediging]]&lt;&gt;"",IF(B36="",NOW(),B36),"")</f>
        <v/>
      </c>
      <c r="C36" s="216" t="str">
        <f ca="1">IF(Tabel152[[#This Row],[Score]]&lt;&gt;"",IF(C36="",NOW(),C36),"")</f>
        <v/>
      </c>
      <c r="D36" s="217" t="str">
        <f ca="1">IF(OR(Tabel152[[#This Row],[Starttijd]]="",Tabel152[[#This Row],[Eindtijd]]=""),"",Tabel152[[#This Row],[Eindtijd]]-Tabel152[[#This Row],[Starttijd]])</f>
        <v/>
      </c>
      <c r="E36" s="74">
        <v>35</v>
      </c>
      <c r="F36" s="205"/>
      <c r="G36" s="210"/>
      <c r="H36" s="205"/>
      <c r="I36" s="210"/>
      <c r="J36" s="206"/>
      <c r="K36" s="212"/>
      <c r="L36" s="206"/>
      <c r="M36" s="212"/>
      <c r="N36" s="79">
        <f>Tabel152[[#This Row],[Score]]+Tabel152[[#This Row],[Score2]]</f>
        <v>0</v>
      </c>
      <c r="O36" s="80">
        <f>Tabel152[[#This Row],[Score3]]+Tabel152[[#This Row],[Score4]]</f>
        <v>0</v>
      </c>
      <c r="P3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Row],[Score4]]&lt;&gt;""),IF(AND(N36&gt;O36,N36&gt;=11),"ROOD",IF(AND(O36&gt;=11,N36&lt;&gt;O36),"GROEN","")),"")</f>
        <v/>
      </c>
      <c r="Q36" s="84">
        <f t="shared" si="12"/>
        <v>0</v>
      </c>
      <c r="R36" s="85">
        <f t="shared" si="13"/>
        <v>0</v>
      </c>
      <c r="S36" s="293" t="str">
        <f>Tabel152[[#This Row],[Rood Verdediging]]&amp;Tabel152[[#This Row],[Rood Aanval]]</f>
        <v/>
      </c>
      <c r="T36" s="293" t="str">
        <f>Tabel152[[#This Row],[Groen Verdediging]]&amp;Tabel152[[#This Row],[Groen Aanval]]</f>
        <v/>
      </c>
      <c r="U36" s="293" t="str">
        <f>Tabel152[[#This Row],[Winnaar 1]]&amp;Tabel152[[#This Row],[Winnaar 2]]</f>
        <v>00</v>
      </c>
      <c r="V36" s="147" t="b">
        <f>IF(Tabel152[[#This Row],[Team Rood]]=Tabel152[[#This Row],[Winnaars]],Tabel152[[#This Row],[Team Rood]])</f>
        <v>0</v>
      </c>
      <c r="W36" s="147" t="b">
        <f>IF(Tabel152[[#This Row],[Team Groen]]=Tabel152[[#This Row],[Winnaars]],Tabel152[[#This Row],[Team Groen]])</f>
        <v>0</v>
      </c>
      <c r="X36" s="283"/>
      <c r="Y36" s="283"/>
      <c r="Z36" s="283"/>
      <c r="AA36" s="283"/>
      <c r="AL36" s="251" t="s">
        <v>168</v>
      </c>
      <c r="AM36" s="233" t="s">
        <v>160</v>
      </c>
      <c r="AN36" s="140" t="str">
        <f t="shared" si="6"/>
        <v>Coghe*Tiemen*</v>
      </c>
      <c r="AO36" s="160">
        <f>IF(Tabel511[[#This Row],[Aantal Games Rood]]=0,0,(Tabel511[[#This Row],[Wins Rood]])/Tabel511[[#This Row],[Aantal Games Rood]])</f>
        <v>0</v>
      </c>
      <c r="AP36" s="159">
        <f>IF(Tabel511[[#This Row],[Aantal Games Groen]]=0,0,(Tabel511[[#This Row],[Wins Groen]])/Tabel511[[#This Row],[Aantal Games Groen]])</f>
        <v>0.5</v>
      </c>
      <c r="AQ36" s="156">
        <f>IF(Tabel511[[#This Row],[Aantal games Alg]]=0,0,(Tabel511[[#This Row],[Wins Alg]])/Tabel511[[#This Row],[Aantal games Alg]])</f>
        <v>0.5</v>
      </c>
      <c r="AR36" s="138">
        <f>COUNTIF(Tabel152[Winaar rood],Tabel511[[#This Row],[Team]])</f>
        <v>0</v>
      </c>
      <c r="AS36" s="136">
        <f>COUNTIF(Tabel152[Winnaar Groen],Tabel511[[#This Row],[Team]])</f>
        <v>1</v>
      </c>
      <c r="AT36" s="214">
        <f>COUNTIF(Tabel152[Winnaars],Tabel511[[#This Row],[Team]])</f>
        <v>1</v>
      </c>
      <c r="AU36" s="135">
        <f>Tabel511[[#This Row],[Aantal Games Rood]]-Tabel511[[#This Row],[Wins Rood]]</f>
        <v>0</v>
      </c>
      <c r="AV36" s="136">
        <f>Tabel511[[#This Row],[Aantal Games Groen]]-Tabel511[[#This Row],[Wins Groen]]</f>
        <v>1</v>
      </c>
      <c r="AW36" s="137">
        <f>Tabel511[[#This Row],[Aantal games Alg]]-Tabel511[[#This Row],[Wins Alg]]</f>
        <v>1</v>
      </c>
      <c r="AX36" s="138">
        <f>COUNTIF(Tabel152[Team Rood],Tabel511[[#This Row],[Team]])</f>
        <v>0</v>
      </c>
      <c r="AY36" s="136">
        <f>COUNTIF(Tabel152[Team Groen],Tabel511[[#This Row],[Team]])</f>
        <v>2</v>
      </c>
      <c r="AZ36" s="214">
        <f>Tabel511[[#This Row],[Aantal Games Rood]]+Tabel511[[#This Row],[Aantal Games Groen]]</f>
        <v>2</v>
      </c>
      <c r="BA36" s="138">
        <f>SUMIF(Tabel152[Team Rood],Tabel511[[#This Row],[Team]],Tabel152[Score])</f>
        <v>0</v>
      </c>
      <c r="BB36" s="138">
        <f>SUMIF(Tabel152[Team Rood],Tabel511[[#This Row],[Team]],Tabel152[Score2])</f>
        <v>0</v>
      </c>
      <c r="BC36" s="134">
        <f>SUMIF(Tabel152[Team Groen],Tabel511[[#This Row],[Team]],Tabel152[Score3])</f>
        <v>2</v>
      </c>
      <c r="BD36" s="136">
        <f>SUMIF(Tabel152[Team Groen],Tabel511[[#This Row],[Team]],Tabel152[Score4])</f>
        <v>15</v>
      </c>
      <c r="BE36" s="293">
        <f>SUM(Tabel511[[#This Row],[Goals Verdediger]]+Tabel511[[#This Row],[Goals DefG]])</f>
        <v>2</v>
      </c>
      <c r="BF36" s="293">
        <f>IF(Tabel511[[#This Row],[Aantal games Alg]]=0,0,Tabel511[[#This Row],[Goals DefA]]/Tabel511[[#This Row],[Aantal games Alg]])</f>
        <v>1</v>
      </c>
      <c r="BG36" s="293">
        <f>SUM(Tabel511[[#This Row],[Goals Aanvaller]]+Tabel511[[#This Row],[Goals OffG]])</f>
        <v>15</v>
      </c>
      <c r="BH36" s="293">
        <f>IF(Tabel511[[#This Row],[Aantal games Alg]]=0,0,Tabel511[[#This Row],[Goals OffA]]/Tabel511[[#This Row],[Aantal games Alg]])</f>
        <v>7.5</v>
      </c>
      <c r="BI36" s="214">
        <f>Tabel511[[#This Row],[Goals DefA]]+Tabel511[[#This Row],[Goals OffA]]</f>
        <v>17</v>
      </c>
      <c r="BJ36" s="214">
        <f>IF(Tabel511[[#This Row],[Aantal games Alg]]=0,0,Tabel511[[#This Row],[Goals Alg]]/Tabel511[[#This Row],[Aantal games Alg]])</f>
        <v>8.5</v>
      </c>
      <c r="BK36" s="148">
        <f>SUMIF(Tabel152[Team Rood],Tabel511[[#This Row],[Team]],Tabel152[ET])</f>
        <v>0</v>
      </c>
      <c r="BL36" s="150">
        <f ca="1">SUMIF(Tabel152[Team Groen],Tabel511[[#This Row],[Team]],Tabel152[ET])</f>
        <v>4.3634259782265872E-5</v>
      </c>
      <c r="BM36" s="153">
        <f ca="1">SUM(Tabel511[[#This Row],[ET Groen tot]],Tabel511[[#This Row],[ET Rood tot]])</f>
        <v>4.3634259782265872E-5</v>
      </c>
      <c r="BN36" s="155">
        <f ca="1">IF(Tabel511[[#This Row],[Aantal games Alg]]=0,0,Tabel511[[#This Row],[ET tot]]/Tabel511[[#This Row],[Aantal games Alg]])</f>
        <v>2.1817129891132936E-5</v>
      </c>
    </row>
    <row r="37" spans="1:66" x14ac:dyDescent="0.25">
      <c r="A37" s="215" t="str">
        <f ca="1">IF(Tabel152[[#This Row],[Rood Verdediging]]&lt;&gt;"",IF(A37="",NOW(),A37),"")</f>
        <v/>
      </c>
      <c r="B37" s="218" t="str">
        <f ca="1">IF(Tabel152[[#This Row],[Rood Verdediging]]&lt;&gt;"",IF(B37="",NOW(),B37),"")</f>
        <v/>
      </c>
      <c r="C37" s="216" t="str">
        <f ca="1">IF(Tabel152[[#This Row],[Score]]&lt;&gt;"",IF(C37="",NOW(),C37),"")</f>
        <v/>
      </c>
      <c r="D37" s="217" t="str">
        <f ca="1">IF(OR(Tabel152[[#This Row],[Starttijd]]="",Tabel152[[#This Row],[Eindtijd]]=""),"",Tabel152[[#This Row],[Eindtijd]]-Tabel152[[#This Row],[Starttijd]])</f>
        <v/>
      </c>
      <c r="E37" s="74">
        <v>36</v>
      </c>
      <c r="F37" s="205"/>
      <c r="G37" s="210"/>
      <c r="H37" s="205"/>
      <c r="I37" s="210"/>
      <c r="J37" s="206"/>
      <c r="K37" s="212"/>
      <c r="L37" s="206"/>
      <c r="M37" s="212"/>
      <c r="N37" s="79">
        <f>Tabel152[[#This Row],[Score]]+Tabel152[[#This Row],[Score2]]</f>
        <v>0</v>
      </c>
      <c r="O37" s="80">
        <f>Tabel152[[#This Row],[Score3]]+Tabel152[[#This Row],[Score4]]</f>
        <v>0</v>
      </c>
      <c r="P3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Row],[Score4]]&lt;&gt;""),IF(AND(N37&gt;O37,N37&gt;=11),"ROOD",IF(AND(O37&gt;=11,N37&lt;&gt;O37),"GROEN","")),"")</f>
        <v/>
      </c>
      <c r="Q37" s="84">
        <f t="shared" si="12"/>
        <v>0</v>
      </c>
      <c r="R37" s="85">
        <f t="shared" si="13"/>
        <v>0</v>
      </c>
      <c r="S37" s="293" t="str">
        <f>Tabel152[[#This Row],[Rood Verdediging]]&amp;Tabel152[[#This Row],[Rood Aanval]]</f>
        <v/>
      </c>
      <c r="T37" s="293" t="str">
        <f>Tabel152[[#This Row],[Groen Verdediging]]&amp;Tabel152[[#This Row],[Groen Aanval]]</f>
        <v/>
      </c>
      <c r="U37" s="293" t="str">
        <f>Tabel152[[#This Row],[Winnaar 1]]&amp;Tabel152[[#This Row],[Winnaar 2]]</f>
        <v>00</v>
      </c>
      <c r="V37" s="147" t="b">
        <f>IF(Tabel152[[#This Row],[Team Rood]]=Tabel152[[#This Row],[Winnaars]],Tabel152[[#This Row],[Team Rood]])</f>
        <v>0</v>
      </c>
      <c r="W37" s="147" t="b">
        <f>IF(Tabel152[[#This Row],[Team Groen]]=Tabel152[[#This Row],[Winnaars]],Tabel152[[#This Row],[Team Groen]])</f>
        <v>0</v>
      </c>
      <c r="X37" s="283"/>
      <c r="Y37" s="283"/>
      <c r="Z37" s="283"/>
      <c r="AA37" s="283"/>
      <c r="AL37" s="251" t="s">
        <v>168</v>
      </c>
      <c r="AM37" s="233" t="s">
        <v>157</v>
      </c>
      <c r="AN37" s="140" t="str">
        <f t="shared" si="6"/>
        <v>Coghe*Tobi*</v>
      </c>
      <c r="AO37" s="160">
        <f>IF(Tabel511[[#This Row],[Aantal Games Rood]]=0,0,(Tabel511[[#This Row],[Wins Rood]])/Tabel511[[#This Row],[Aantal Games Rood]])</f>
        <v>0</v>
      </c>
      <c r="AP37" s="159">
        <f>IF(Tabel511[[#This Row],[Aantal Games Groen]]=0,0,(Tabel511[[#This Row],[Wins Groen]])/Tabel511[[#This Row],[Aantal Games Groen]])</f>
        <v>0</v>
      </c>
      <c r="AQ37" s="156">
        <f>IF(Tabel511[[#This Row],[Aantal games Alg]]=0,0,(Tabel511[[#This Row],[Wins Alg]])/Tabel511[[#This Row],[Aantal games Alg]])</f>
        <v>0</v>
      </c>
      <c r="AR37" s="133">
        <f>COUNTIF(Tabel152[Winaar rood],Tabel511[[#This Row],[Team]])</f>
        <v>0</v>
      </c>
      <c r="AS37" s="134">
        <f>COUNTIF(Tabel152[Winnaar Groen],Tabel511[[#This Row],[Team]])</f>
        <v>0</v>
      </c>
      <c r="AT37" s="293">
        <f>COUNTIF(Tabel152[Winnaars],Tabel511[[#This Row],[Team]])</f>
        <v>0</v>
      </c>
      <c r="AU37" s="135">
        <f>Tabel511[[#This Row],[Aantal Games Rood]]-Tabel511[[#This Row],[Wins Rood]]</f>
        <v>0</v>
      </c>
      <c r="AV37" s="136">
        <f>Tabel511[[#This Row],[Aantal Games Groen]]-Tabel511[[#This Row],[Wins Groen]]</f>
        <v>0</v>
      </c>
      <c r="AW37" s="137">
        <f>Tabel511[[#This Row],[Aantal games Alg]]-Tabel511[[#This Row],[Wins Alg]]</f>
        <v>0</v>
      </c>
      <c r="AX37" s="138">
        <f>COUNTIF(Tabel152[Team Rood],Tabel511[[#This Row],[Team]])</f>
        <v>0</v>
      </c>
      <c r="AY37" s="136">
        <f>COUNTIF(Tabel152[Team Groen],Tabel511[[#This Row],[Team]])</f>
        <v>0</v>
      </c>
      <c r="AZ37" s="214">
        <f>Tabel511[[#This Row],[Aantal Games Rood]]+Tabel511[[#This Row],[Aantal Games Groen]]</f>
        <v>0</v>
      </c>
      <c r="BA37" s="138">
        <f>SUMIF(Tabel152[Team Rood],Tabel511[[#This Row],[Team]],Tabel152[Score])</f>
        <v>0</v>
      </c>
      <c r="BB37" s="138">
        <f>SUMIF(Tabel152[Team Rood],Tabel511[[#This Row],[Team]],Tabel152[Score2])</f>
        <v>0</v>
      </c>
      <c r="BC37" s="134">
        <f>SUMIF(Tabel152[Team Groen],Tabel511[[#This Row],[Team]],Tabel152[Score3])</f>
        <v>0</v>
      </c>
      <c r="BD37" s="136">
        <f>SUMIF(Tabel152[Team Groen],Tabel511[[#This Row],[Team]],Tabel152[Score4])</f>
        <v>0</v>
      </c>
      <c r="BE37" s="293">
        <f>SUM(Tabel511[[#This Row],[Goals Verdediger]]+Tabel511[[#This Row],[Goals DefG]])</f>
        <v>0</v>
      </c>
      <c r="BF37" s="293">
        <f>IF(Tabel511[[#This Row],[Aantal games Alg]]=0,0,Tabel511[[#This Row],[Goals DefA]]/Tabel511[[#This Row],[Aantal games Alg]])</f>
        <v>0</v>
      </c>
      <c r="BG37" s="293">
        <f>SUM(Tabel511[[#This Row],[Goals Aanvaller]]+Tabel511[[#This Row],[Goals OffG]])</f>
        <v>0</v>
      </c>
      <c r="BH37" s="293">
        <f>IF(Tabel511[[#This Row],[Aantal games Alg]]=0,0,Tabel511[[#This Row],[Goals OffA]]/Tabel511[[#This Row],[Aantal games Alg]])</f>
        <v>0</v>
      </c>
      <c r="BI37" s="214">
        <f>Tabel511[[#This Row],[Goals DefA]]+Tabel511[[#This Row],[Goals OffA]]</f>
        <v>0</v>
      </c>
      <c r="BJ37" s="214">
        <f>IF(Tabel511[[#This Row],[Aantal games Alg]]=0,0,Tabel511[[#This Row],[Goals Alg]]/Tabel511[[#This Row],[Aantal games Alg]])</f>
        <v>0</v>
      </c>
      <c r="BK37" s="148">
        <f>SUMIF(Tabel152[Team Rood],Tabel511[[#This Row],[Team]],Tabel152[ET])</f>
        <v>0</v>
      </c>
      <c r="BL37" s="150">
        <f>SUMIF(Tabel152[Team Groen],Tabel511[[#This Row],[Team]],Tabel152[ET])</f>
        <v>0</v>
      </c>
      <c r="BM37" s="153">
        <f>SUM(Tabel511[[#This Row],[ET Groen tot]],Tabel511[[#This Row],[ET Rood tot]])</f>
        <v>0</v>
      </c>
      <c r="BN37" s="155">
        <f>IF(Tabel511[[#This Row],[Aantal games Alg]]=0,0,Tabel511[[#This Row],[ET tot]]/Tabel511[[#This Row],[Aantal games Alg]])</f>
        <v>0</v>
      </c>
    </row>
    <row r="38" spans="1:66" x14ac:dyDescent="0.25">
      <c r="A38" s="215" t="str">
        <f ca="1">IF(Tabel152[[#This Row],[Rood Verdediging]]&lt;&gt;"",IF(A38="",NOW(),A38),"")</f>
        <v/>
      </c>
      <c r="B38" s="218" t="str">
        <f ca="1">IF(Tabel152[[#This Row],[Rood Verdediging]]&lt;&gt;"",IF(B38="",NOW(),B38),"")</f>
        <v/>
      </c>
      <c r="C38" s="216" t="str">
        <f ca="1">IF(Tabel152[[#This Row],[Score]]&lt;&gt;"",IF(C38="",NOW(),C38),"")</f>
        <v/>
      </c>
      <c r="D38" s="217" t="str">
        <f ca="1">IF(OR(Tabel152[[#This Row],[Starttijd]]="",Tabel152[[#This Row],[Eindtijd]]=""),"",Tabel152[[#This Row],[Eindtijd]]-Tabel152[[#This Row],[Starttijd]])</f>
        <v/>
      </c>
      <c r="E38" s="74">
        <v>37</v>
      </c>
      <c r="F38" s="205"/>
      <c r="G38" s="210"/>
      <c r="H38" s="205"/>
      <c r="I38" s="210"/>
      <c r="J38" s="206"/>
      <c r="K38" s="212"/>
      <c r="L38" s="206"/>
      <c r="M38" s="212"/>
      <c r="N38" s="79">
        <f>Tabel152[[#This Row],[Score]]+Tabel152[[#This Row],[Score2]]</f>
        <v>0</v>
      </c>
      <c r="O38" s="80">
        <f>Tabel152[[#This Row],[Score3]]+Tabel152[[#This Row],[Score4]]</f>
        <v>0</v>
      </c>
      <c r="P3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Row],[Score4]]&lt;&gt;""),IF(AND(N38&gt;O38,N38&gt;=11),"ROOD",IF(AND(O38&gt;=11,N38&lt;&gt;O38),"GROEN","")),"")</f>
        <v/>
      </c>
      <c r="Q38" s="84">
        <f t="shared" si="12"/>
        <v>0</v>
      </c>
      <c r="R38" s="85">
        <f t="shared" si="13"/>
        <v>0</v>
      </c>
      <c r="S38" s="293" t="str">
        <f>Tabel152[[#This Row],[Rood Verdediging]]&amp;Tabel152[[#This Row],[Rood Aanval]]</f>
        <v/>
      </c>
      <c r="T38" s="293" t="str">
        <f>Tabel152[[#This Row],[Groen Verdediging]]&amp;Tabel152[[#This Row],[Groen Aanval]]</f>
        <v/>
      </c>
      <c r="U38" s="293" t="str">
        <f>Tabel152[[#This Row],[Winnaar 1]]&amp;Tabel152[[#This Row],[Winnaar 2]]</f>
        <v>00</v>
      </c>
      <c r="V38" s="147" t="b">
        <f>IF(Tabel152[[#This Row],[Team Rood]]=Tabel152[[#This Row],[Winnaars]],Tabel152[[#This Row],[Team Rood]])</f>
        <v>0</v>
      </c>
      <c r="W38" s="147" t="b">
        <f>IF(Tabel152[[#This Row],[Team Groen]]=Tabel152[[#This Row],[Winnaars]],Tabel152[[#This Row],[Team Groen]])</f>
        <v>0</v>
      </c>
      <c r="X38" s="283"/>
      <c r="Y38" s="283"/>
      <c r="Z38" s="283"/>
      <c r="AA38" s="283"/>
      <c r="AL38" s="251" t="s">
        <v>159</v>
      </c>
      <c r="AM38" s="233" t="s">
        <v>158</v>
      </c>
      <c r="AN38" s="140" t="str">
        <f t="shared" si="6"/>
        <v>Jonas*Arno*</v>
      </c>
      <c r="AO38" s="160">
        <f>IF(Tabel511[[#This Row],[Aantal Games Rood]]=0,0,(Tabel511[[#This Row],[Wins Rood]])/Tabel511[[#This Row],[Aantal Games Rood]])</f>
        <v>0</v>
      </c>
      <c r="AP38" s="159">
        <f>IF(Tabel511[[#This Row],[Aantal Games Groen]]=0,0,(Tabel511[[#This Row],[Wins Groen]])/Tabel511[[#This Row],[Aantal Games Groen]])</f>
        <v>0</v>
      </c>
      <c r="AQ38" s="156">
        <f>IF(Tabel511[[#This Row],[Aantal games Alg]]=0,0,(Tabel511[[#This Row],[Wins Alg]])/Tabel511[[#This Row],[Aantal games Alg]])</f>
        <v>0</v>
      </c>
      <c r="AR38" s="138">
        <f>COUNTIF(Tabel152[Winaar rood],Tabel511[[#This Row],[Team]])</f>
        <v>0</v>
      </c>
      <c r="AS38" s="134">
        <f>COUNTIF(Tabel152[Winnaar Groen],Tabel511[[#This Row],[Team]])</f>
        <v>0</v>
      </c>
      <c r="AT38" s="293">
        <f>COUNTIF(Tabel152[Winnaars],Tabel511[[#This Row],[Team]])</f>
        <v>0</v>
      </c>
      <c r="AU38" s="135">
        <f>Tabel511[[#This Row],[Aantal Games Rood]]-Tabel511[[#This Row],[Wins Rood]]</f>
        <v>0</v>
      </c>
      <c r="AV38" s="136">
        <f>Tabel511[[#This Row],[Aantal Games Groen]]-Tabel511[[#This Row],[Wins Groen]]</f>
        <v>0</v>
      </c>
      <c r="AW38" s="137">
        <f>Tabel511[[#This Row],[Aantal games Alg]]-Tabel511[[#This Row],[Wins Alg]]</f>
        <v>0</v>
      </c>
      <c r="AX38" s="138">
        <f>COUNTIF(Tabel152[Team Rood],Tabel511[[#This Row],[Team]])</f>
        <v>0</v>
      </c>
      <c r="AY38" s="136">
        <f>COUNTIF(Tabel152[Team Groen],Tabel511[[#This Row],[Team]])</f>
        <v>0</v>
      </c>
      <c r="AZ38" s="214">
        <f>Tabel511[[#This Row],[Aantal Games Rood]]+Tabel511[[#This Row],[Aantal Games Groen]]</f>
        <v>0</v>
      </c>
      <c r="BA38" s="138">
        <f>SUMIF(Tabel152[Team Rood],Tabel511[[#This Row],[Team]],Tabel152[Score])</f>
        <v>0</v>
      </c>
      <c r="BB38" s="138">
        <f>SUMIF(Tabel152[Team Rood],Tabel511[[#This Row],[Team]],Tabel152[Score2])</f>
        <v>0</v>
      </c>
      <c r="BC38" s="134">
        <f>SUMIF(Tabel152[Team Groen],Tabel511[[#This Row],[Team]],Tabel152[Score3])</f>
        <v>0</v>
      </c>
      <c r="BD38" s="136">
        <f>SUMIF(Tabel152[Team Groen],Tabel511[[#This Row],[Team]],Tabel152[Score4])</f>
        <v>0</v>
      </c>
      <c r="BE38" s="293">
        <f>SUM(Tabel511[[#This Row],[Goals Verdediger]]+Tabel511[[#This Row],[Goals DefG]])</f>
        <v>0</v>
      </c>
      <c r="BF38" s="293">
        <f>IF(Tabel511[[#This Row],[Aantal games Alg]]=0,0,Tabel511[[#This Row],[Goals DefA]]/Tabel511[[#This Row],[Aantal games Alg]])</f>
        <v>0</v>
      </c>
      <c r="BG38" s="293">
        <f>SUM(Tabel511[[#This Row],[Goals Aanvaller]]+Tabel511[[#This Row],[Goals OffG]])</f>
        <v>0</v>
      </c>
      <c r="BH38" s="293">
        <f>IF(Tabel511[[#This Row],[Aantal games Alg]]=0,0,Tabel511[[#This Row],[Goals OffA]]/Tabel511[[#This Row],[Aantal games Alg]])</f>
        <v>0</v>
      </c>
      <c r="BI38" s="214">
        <f>Tabel511[[#This Row],[Goals DefA]]+Tabel511[[#This Row],[Goals OffA]]</f>
        <v>0</v>
      </c>
      <c r="BJ38" s="214">
        <f>IF(Tabel511[[#This Row],[Aantal games Alg]]=0,0,Tabel511[[#This Row],[Goals Alg]]/Tabel511[[#This Row],[Aantal games Alg]])</f>
        <v>0</v>
      </c>
      <c r="BK38" s="148">
        <f>SUMIF(Tabel152[Team Rood],Tabel511[[#This Row],[Team]],Tabel152[ET])</f>
        <v>0</v>
      </c>
      <c r="BL38" s="150">
        <f>SUMIF(Tabel152[Team Groen],Tabel511[[#This Row],[Team]],Tabel152[ET])</f>
        <v>0</v>
      </c>
      <c r="BM38" s="153">
        <f>SUM(Tabel511[[#This Row],[ET Groen tot]],Tabel511[[#This Row],[ET Rood tot]])</f>
        <v>0</v>
      </c>
      <c r="BN38" s="155">
        <f>IF(Tabel511[[#This Row],[Aantal games Alg]]=0,0,Tabel511[[#This Row],[ET tot]]/Tabel511[[#This Row],[Aantal games Alg]])</f>
        <v>0</v>
      </c>
    </row>
    <row r="39" spans="1:66" x14ac:dyDescent="0.25">
      <c r="A39" s="215" t="str">
        <f ca="1">IF(Tabel152[[#This Row],[Rood Verdediging]]&lt;&gt;"",IF(A39="",NOW(),A39),"")</f>
        <v/>
      </c>
      <c r="B39" s="218" t="str">
        <f ca="1">IF(Tabel152[[#This Row],[Rood Verdediging]]&lt;&gt;"",IF(B39="",NOW(),B39),"")</f>
        <v/>
      </c>
      <c r="C39" s="216" t="str">
        <f ca="1">IF(Tabel152[[#This Row],[Score]]&lt;&gt;"",IF(C39="",NOW(),C39),"")</f>
        <v/>
      </c>
      <c r="D39" s="217" t="str">
        <f ca="1">IF(OR(Tabel152[[#This Row],[Starttijd]]="",Tabel152[[#This Row],[Eindtijd]]=""),"",Tabel152[[#This Row],[Eindtijd]]-Tabel152[[#This Row],[Starttijd]])</f>
        <v/>
      </c>
      <c r="E39" s="74">
        <v>38</v>
      </c>
      <c r="F39" s="205"/>
      <c r="G39" s="210"/>
      <c r="H39" s="205"/>
      <c r="I39" s="210"/>
      <c r="J39" s="206"/>
      <c r="K39" s="212"/>
      <c r="L39" s="206"/>
      <c r="M39" s="212"/>
      <c r="N39" s="79">
        <f>Tabel152[[#This Row],[Score]]+Tabel152[[#This Row],[Score2]]</f>
        <v>0</v>
      </c>
      <c r="O39" s="80">
        <f>Tabel152[[#This Row],[Score3]]+Tabel152[[#This Row],[Score4]]</f>
        <v>0</v>
      </c>
      <c r="P3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Row],[Score4]]&lt;&gt;""),IF(AND(N39&gt;O39,N39&gt;=11),"ROOD",IF(AND(O39&gt;=11,N39&lt;&gt;O39),"GROEN","")),"")</f>
        <v/>
      </c>
      <c r="Q39" s="84">
        <f t="shared" si="12"/>
        <v>0</v>
      </c>
      <c r="R39" s="85">
        <f t="shared" si="13"/>
        <v>0</v>
      </c>
      <c r="S39" s="293" t="str">
        <f>Tabel152[[#This Row],[Rood Verdediging]]&amp;Tabel152[[#This Row],[Rood Aanval]]</f>
        <v/>
      </c>
      <c r="T39" s="293" t="str">
        <f>Tabel152[[#This Row],[Groen Verdediging]]&amp;Tabel152[[#This Row],[Groen Aanval]]</f>
        <v/>
      </c>
      <c r="U39" s="293" t="str">
        <f>Tabel152[[#This Row],[Winnaar 1]]&amp;Tabel152[[#This Row],[Winnaar 2]]</f>
        <v>00</v>
      </c>
      <c r="V39" s="147" t="b">
        <f>IF(Tabel152[[#This Row],[Team Rood]]=Tabel152[[#This Row],[Winnaars]],Tabel152[[#This Row],[Team Rood]])</f>
        <v>0</v>
      </c>
      <c r="W39" s="147" t="b">
        <f>IF(Tabel152[[#This Row],[Team Groen]]=Tabel152[[#This Row],[Winnaars]],Tabel152[[#This Row],[Team Groen]])</f>
        <v>0</v>
      </c>
      <c r="X39" s="283"/>
      <c r="Y39" s="283"/>
      <c r="Z39" s="283"/>
      <c r="AA39" s="283"/>
      <c r="AL39" s="251" t="s">
        <v>159</v>
      </c>
      <c r="AM39" s="233" t="s">
        <v>163</v>
      </c>
      <c r="AN39" s="140" t="str">
        <f t="shared" si="6"/>
        <v>Jonas*Bert*</v>
      </c>
      <c r="AO39" s="160">
        <f>IF(Tabel511[[#This Row],[Aantal Games Rood]]=0,0,(Tabel511[[#This Row],[Wins Rood]])/Tabel511[[#This Row],[Aantal Games Rood]])</f>
        <v>0</v>
      </c>
      <c r="AP39" s="159">
        <f>IF(Tabel511[[#This Row],[Aantal Games Groen]]=0,0,(Tabel511[[#This Row],[Wins Groen]])/Tabel511[[#This Row],[Aantal Games Groen]])</f>
        <v>0.33333333333333331</v>
      </c>
      <c r="AQ39" s="156">
        <f>IF(Tabel511[[#This Row],[Aantal games Alg]]=0,0,(Tabel511[[#This Row],[Wins Alg]])/Tabel511[[#This Row],[Aantal games Alg]])</f>
        <v>0.2</v>
      </c>
      <c r="AR39" s="133">
        <f>COUNTIF(Tabel152[Winaar rood],Tabel511[[#This Row],[Team]])</f>
        <v>0</v>
      </c>
      <c r="AS39" s="134">
        <f>COUNTIF(Tabel152[Winnaar Groen],Tabel511[[#This Row],[Team]])</f>
        <v>1</v>
      </c>
      <c r="AT39" s="293">
        <f>COUNTIF(Tabel152[Winnaars],Tabel511[[#This Row],[Team]])</f>
        <v>1</v>
      </c>
      <c r="AU39" s="135">
        <f>Tabel511[[#This Row],[Aantal Games Rood]]-Tabel511[[#This Row],[Wins Rood]]</f>
        <v>2</v>
      </c>
      <c r="AV39" s="136">
        <f>Tabel511[[#This Row],[Aantal Games Groen]]-Tabel511[[#This Row],[Wins Groen]]</f>
        <v>2</v>
      </c>
      <c r="AW39" s="137">
        <f>Tabel511[[#This Row],[Aantal games Alg]]-Tabel511[[#This Row],[Wins Alg]]</f>
        <v>4</v>
      </c>
      <c r="AX39" s="138">
        <f>COUNTIF(Tabel152[Team Rood],Tabel511[[#This Row],[Team]])</f>
        <v>2</v>
      </c>
      <c r="AY39" s="136">
        <f>COUNTIF(Tabel152[Team Groen],Tabel511[[#This Row],[Team]])</f>
        <v>3</v>
      </c>
      <c r="AZ39" s="214">
        <f>Tabel511[[#This Row],[Aantal Games Rood]]+Tabel511[[#This Row],[Aantal Games Groen]]</f>
        <v>5</v>
      </c>
      <c r="BA39" s="138">
        <f>SUMIF(Tabel152[Team Rood],Tabel511[[#This Row],[Team]],Tabel152[Score])</f>
        <v>4</v>
      </c>
      <c r="BB39" s="138">
        <f>SUMIF(Tabel152[Team Rood],Tabel511[[#This Row],[Team]],Tabel152[Score2])</f>
        <v>12</v>
      </c>
      <c r="BC39" s="134">
        <f>SUMIF(Tabel152[Team Groen],Tabel511[[#This Row],[Team]],Tabel152[Score3])</f>
        <v>7</v>
      </c>
      <c r="BD39" s="136">
        <f>SUMIF(Tabel152[Team Groen],Tabel511[[#This Row],[Team]],Tabel152[Score4])</f>
        <v>21</v>
      </c>
      <c r="BE39" s="293">
        <f>SUM(Tabel511[[#This Row],[Goals Verdediger]]+Tabel511[[#This Row],[Goals DefG]])</f>
        <v>11</v>
      </c>
      <c r="BF39" s="293">
        <f>IF(Tabel511[[#This Row],[Aantal games Alg]]=0,0,Tabel511[[#This Row],[Goals DefA]]/Tabel511[[#This Row],[Aantal games Alg]])</f>
        <v>2.2000000000000002</v>
      </c>
      <c r="BG39" s="293">
        <f>SUM(Tabel511[[#This Row],[Goals Aanvaller]]+Tabel511[[#This Row],[Goals OffG]])</f>
        <v>33</v>
      </c>
      <c r="BH39" s="293">
        <f>IF(Tabel511[[#This Row],[Aantal games Alg]]=0,0,Tabel511[[#This Row],[Goals OffA]]/Tabel511[[#This Row],[Aantal games Alg]])</f>
        <v>6.6</v>
      </c>
      <c r="BI39" s="214">
        <f>Tabel511[[#This Row],[Goals DefA]]+Tabel511[[#This Row],[Goals OffA]]</f>
        <v>44</v>
      </c>
      <c r="BJ39" s="214">
        <f>IF(Tabel511[[#This Row],[Aantal games Alg]]=0,0,Tabel511[[#This Row],[Goals Alg]]/Tabel511[[#This Row],[Aantal games Alg]])</f>
        <v>8.8000000000000007</v>
      </c>
      <c r="BK39" s="148">
        <f ca="1">SUMIF(Tabel152[Team Rood],Tabel511[[#This Row],[Team]],Tabel152[ET])</f>
        <v>1.0726736109063495E-2</v>
      </c>
      <c r="BL39" s="150">
        <f ca="1">SUMIF(Tabel152[Team Groen],Tabel511[[#This Row],[Team]],Tabel152[ET])</f>
        <v>6.550926627824083E-5</v>
      </c>
      <c r="BM39" s="153">
        <f ca="1">SUM(Tabel511[[#This Row],[ET Groen tot]],Tabel511[[#This Row],[ET Rood tot]])</f>
        <v>1.0792245375341736E-2</v>
      </c>
      <c r="BN39" s="155">
        <f ca="1">IF(Tabel511[[#This Row],[Aantal games Alg]]=0,0,Tabel511[[#This Row],[ET tot]]/Tabel511[[#This Row],[Aantal games Alg]])</f>
        <v>2.1584490750683472E-3</v>
      </c>
    </row>
    <row r="40" spans="1:66" x14ac:dyDescent="0.25">
      <c r="A40" s="215" t="str">
        <f ca="1">IF(Tabel152[[#This Row],[Rood Verdediging]]&lt;&gt;"",IF(A40="",NOW(),A40),"")</f>
        <v/>
      </c>
      <c r="B40" s="218" t="str">
        <f ca="1">IF(Tabel152[[#This Row],[Rood Verdediging]]&lt;&gt;"",IF(B40="",NOW(),B40),"")</f>
        <v/>
      </c>
      <c r="C40" s="216" t="str">
        <f ca="1">IF(Tabel152[[#This Row],[Score]]&lt;&gt;"",IF(C40="",NOW(),C40),"")</f>
        <v/>
      </c>
      <c r="D40" s="217" t="str">
        <f ca="1">IF(OR(Tabel152[[#This Row],[Starttijd]]="",Tabel152[[#This Row],[Eindtijd]]=""),"",Tabel152[[#This Row],[Eindtijd]]-Tabel152[[#This Row],[Starttijd]])</f>
        <v/>
      </c>
      <c r="E40" s="74">
        <v>39</v>
      </c>
      <c r="F40" s="205"/>
      <c r="G40" s="210"/>
      <c r="H40" s="205"/>
      <c r="I40" s="210"/>
      <c r="J40" s="206"/>
      <c r="K40" s="212"/>
      <c r="L40" s="206"/>
      <c r="M40" s="212"/>
      <c r="N40" s="79">
        <f>Tabel152[[#This Row],[Score]]+Tabel152[[#This Row],[Score2]]</f>
        <v>0</v>
      </c>
      <c r="O40" s="80">
        <f>Tabel152[[#This Row],[Score3]]+Tabel152[[#This Row],[Score4]]</f>
        <v>0</v>
      </c>
      <c r="P4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Row],[Score4]]&lt;&gt;""),IF(AND(N40&gt;O40,N40&gt;=11),"ROOD",IF(AND(O40&gt;=11,N40&lt;&gt;O40),"GROEN","")),"")</f>
        <v/>
      </c>
      <c r="Q40" s="84">
        <f t="shared" si="12"/>
        <v>0</v>
      </c>
      <c r="R40" s="85">
        <f t="shared" si="13"/>
        <v>0</v>
      </c>
      <c r="S40" s="293" t="str">
        <f>Tabel152[[#This Row],[Rood Verdediging]]&amp;Tabel152[[#This Row],[Rood Aanval]]</f>
        <v/>
      </c>
      <c r="T40" s="293" t="str">
        <f>Tabel152[[#This Row],[Groen Verdediging]]&amp;Tabel152[[#This Row],[Groen Aanval]]</f>
        <v/>
      </c>
      <c r="U40" s="293" t="str">
        <f>Tabel152[[#This Row],[Winnaar 1]]&amp;Tabel152[[#This Row],[Winnaar 2]]</f>
        <v>00</v>
      </c>
      <c r="V40" s="147" t="b">
        <f>IF(Tabel152[[#This Row],[Team Rood]]=Tabel152[[#This Row],[Winnaars]],Tabel152[[#This Row],[Team Rood]])</f>
        <v>0</v>
      </c>
      <c r="W40" s="147" t="b">
        <f>IF(Tabel152[[#This Row],[Team Groen]]=Tabel152[[#This Row],[Winnaars]],Tabel152[[#This Row],[Team Groen]])</f>
        <v>0</v>
      </c>
      <c r="X40" s="283"/>
      <c r="Y40" s="283"/>
      <c r="Z40" s="283"/>
      <c r="AA40" s="283"/>
      <c r="AL40" s="251" t="s">
        <v>159</v>
      </c>
      <c r="AM40" s="233" t="s">
        <v>168</v>
      </c>
      <c r="AN40" s="140" t="str">
        <f t="shared" si="6"/>
        <v>Jonas*Coghe*</v>
      </c>
      <c r="AO40" s="160">
        <f>IF(Tabel511[[#This Row],[Aantal Games Rood]]=0,0,(Tabel511[[#This Row],[Wins Rood]])/Tabel511[[#This Row],[Aantal Games Rood]])</f>
        <v>0</v>
      </c>
      <c r="AP40" s="159">
        <f>IF(Tabel511[[#This Row],[Aantal Games Groen]]=0,0,(Tabel511[[#This Row],[Wins Groen]])/Tabel511[[#This Row],[Aantal Games Groen]])</f>
        <v>0</v>
      </c>
      <c r="AQ40" s="156">
        <f>IF(Tabel511[[#This Row],[Aantal games Alg]]=0,0,(Tabel511[[#This Row],[Wins Alg]])/Tabel511[[#This Row],[Aantal games Alg]])</f>
        <v>0</v>
      </c>
      <c r="AR40" s="133">
        <f>COUNTIF(Tabel152[Winaar rood],Tabel511[[#This Row],[Team]])</f>
        <v>0</v>
      </c>
      <c r="AS40" s="134">
        <f>COUNTIF(Tabel152[Winnaar Groen],Tabel511[[#This Row],[Team]])</f>
        <v>0</v>
      </c>
      <c r="AT40" s="293">
        <f>COUNTIF(Tabel152[Winnaars],Tabel511[[#This Row],[Team]])</f>
        <v>0</v>
      </c>
      <c r="AU40" s="135">
        <f>Tabel511[[#This Row],[Aantal Games Rood]]-Tabel511[[#This Row],[Wins Rood]]</f>
        <v>0</v>
      </c>
      <c r="AV40" s="136">
        <f>Tabel511[[#This Row],[Aantal Games Groen]]-Tabel511[[#This Row],[Wins Groen]]</f>
        <v>1</v>
      </c>
      <c r="AW40" s="137">
        <f>Tabel511[[#This Row],[Aantal games Alg]]-Tabel511[[#This Row],[Wins Alg]]</f>
        <v>1</v>
      </c>
      <c r="AX40" s="138">
        <f>COUNTIF(Tabel152[Team Rood],Tabel511[[#This Row],[Team]])</f>
        <v>0</v>
      </c>
      <c r="AY40" s="136">
        <f>COUNTIF(Tabel152[Team Groen],Tabel511[[#This Row],[Team]])</f>
        <v>1</v>
      </c>
      <c r="AZ40" s="214">
        <f>Tabel511[[#This Row],[Aantal Games Rood]]+Tabel511[[#This Row],[Aantal Games Groen]]</f>
        <v>1</v>
      </c>
      <c r="BA40" s="138">
        <f>SUMIF(Tabel152[Team Rood],Tabel511[[#This Row],[Team]],Tabel152[Score])</f>
        <v>0</v>
      </c>
      <c r="BB40" s="138">
        <f>SUMIF(Tabel152[Team Rood],Tabel511[[#This Row],[Team]],Tabel152[Score2])</f>
        <v>0</v>
      </c>
      <c r="BC40" s="134">
        <f>SUMIF(Tabel152[Team Groen],Tabel511[[#This Row],[Team]],Tabel152[Score3])</f>
        <v>3</v>
      </c>
      <c r="BD40" s="136">
        <f>SUMIF(Tabel152[Team Groen],Tabel511[[#This Row],[Team]],Tabel152[Score4])</f>
        <v>3</v>
      </c>
      <c r="BE40" s="293">
        <f>SUM(Tabel511[[#This Row],[Goals Verdediger]]+Tabel511[[#This Row],[Goals DefG]])</f>
        <v>3</v>
      </c>
      <c r="BF40" s="293">
        <f>IF(Tabel511[[#This Row],[Aantal games Alg]]=0,0,Tabel511[[#This Row],[Goals DefA]]/Tabel511[[#This Row],[Aantal games Alg]])</f>
        <v>3</v>
      </c>
      <c r="BG40" s="293">
        <f>SUM(Tabel511[[#This Row],[Goals Aanvaller]]+Tabel511[[#This Row],[Goals OffG]])</f>
        <v>3</v>
      </c>
      <c r="BH40" s="293">
        <f>IF(Tabel511[[#This Row],[Aantal games Alg]]=0,0,Tabel511[[#This Row],[Goals OffA]]/Tabel511[[#This Row],[Aantal games Alg]])</f>
        <v>3</v>
      </c>
      <c r="BI40" s="214">
        <f>Tabel511[[#This Row],[Goals DefA]]+Tabel511[[#This Row],[Goals OffA]]</f>
        <v>6</v>
      </c>
      <c r="BJ40" s="214">
        <f>IF(Tabel511[[#This Row],[Aantal games Alg]]=0,0,Tabel511[[#This Row],[Goals Alg]]/Tabel511[[#This Row],[Aantal games Alg]])</f>
        <v>6</v>
      </c>
      <c r="BK40" s="148">
        <f>SUMIF(Tabel152[Team Rood],Tabel511[[#This Row],[Team]],Tabel152[ET])</f>
        <v>0</v>
      </c>
      <c r="BL40" s="150">
        <f ca="1">SUMIF(Tabel152[Team Groen],Tabel511[[#This Row],[Team]],Tabel152[ET])</f>
        <v>2.5694447685964406E-5</v>
      </c>
      <c r="BM40" s="153">
        <f ca="1">SUM(Tabel511[[#This Row],[ET Groen tot]],Tabel511[[#This Row],[ET Rood tot]])</f>
        <v>2.5694447685964406E-5</v>
      </c>
      <c r="BN40" s="155">
        <f ca="1">IF(Tabel511[[#This Row],[Aantal games Alg]]=0,0,Tabel511[[#This Row],[ET tot]]/Tabel511[[#This Row],[Aantal games Alg]])</f>
        <v>2.5694447685964406E-5</v>
      </c>
    </row>
    <row r="41" spans="1:66" x14ac:dyDescent="0.25">
      <c r="A41" s="215" t="str">
        <f ca="1">IF(Tabel152[[#This Row],[Rood Verdediging]]&lt;&gt;"",IF(A41="",NOW(),A41),"")</f>
        <v/>
      </c>
      <c r="B41" s="218" t="str">
        <f ca="1">IF(Tabel152[[#This Row],[Rood Verdediging]]&lt;&gt;"",IF(B41="",NOW(),B41),"")</f>
        <v/>
      </c>
      <c r="C41" s="216" t="str">
        <f ca="1">IF(Tabel152[[#This Row],[Score]]&lt;&gt;"",IF(C41="",NOW(),C41),"")</f>
        <v/>
      </c>
      <c r="D41" s="217" t="str">
        <f ca="1">IF(OR(Tabel152[[#This Row],[Starttijd]]="",Tabel152[[#This Row],[Eindtijd]]=""),"",Tabel152[[#This Row],[Eindtijd]]-Tabel152[[#This Row],[Starttijd]])</f>
        <v/>
      </c>
      <c r="E41" s="74">
        <v>40</v>
      </c>
      <c r="F41" s="205"/>
      <c r="G41" s="210"/>
      <c r="H41" s="205"/>
      <c r="I41" s="210"/>
      <c r="J41" s="206"/>
      <c r="K41" s="212"/>
      <c r="L41" s="206"/>
      <c r="M41" s="212"/>
      <c r="N41" s="79">
        <f>Tabel152[[#This Row],[Score]]+Tabel152[[#This Row],[Score2]]</f>
        <v>0</v>
      </c>
      <c r="O41" s="80">
        <f>Tabel152[[#This Row],[Score3]]+Tabel152[[#This Row],[Score4]]</f>
        <v>0</v>
      </c>
      <c r="P4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Row],[Score4]]&lt;&gt;""),IF(AND(N41&gt;O41,N41&gt;=11),"ROOD",IF(AND(O41&gt;=11,N41&lt;&gt;O41),"GROEN","")),"")</f>
        <v/>
      </c>
      <c r="Q41" s="84">
        <f t="shared" si="12"/>
        <v>0</v>
      </c>
      <c r="R41" s="85">
        <f t="shared" si="13"/>
        <v>0</v>
      </c>
      <c r="S41" s="293" t="str">
        <f>Tabel152[[#This Row],[Rood Verdediging]]&amp;Tabel152[[#This Row],[Rood Aanval]]</f>
        <v/>
      </c>
      <c r="T41" s="293" t="str">
        <f>Tabel152[[#This Row],[Groen Verdediging]]&amp;Tabel152[[#This Row],[Groen Aanval]]</f>
        <v/>
      </c>
      <c r="U41" s="293" t="str">
        <f>Tabel152[[#This Row],[Winnaar 1]]&amp;Tabel152[[#This Row],[Winnaar 2]]</f>
        <v>00</v>
      </c>
      <c r="V41" s="147" t="b">
        <f>IF(Tabel152[[#This Row],[Team Rood]]=Tabel152[[#This Row],[Winnaars]],Tabel152[[#This Row],[Team Rood]])</f>
        <v>0</v>
      </c>
      <c r="W41" s="147" t="b">
        <f>IF(Tabel152[[#This Row],[Team Groen]]=Tabel152[[#This Row],[Winnaars]],Tabel152[[#This Row],[Team Groen]])</f>
        <v>0</v>
      </c>
      <c r="X41" s="283"/>
      <c r="Y41" s="283"/>
      <c r="Z41" s="283"/>
      <c r="AA41" s="283"/>
      <c r="AL41" s="251" t="s">
        <v>159</v>
      </c>
      <c r="AM41" s="233" t="s">
        <v>164</v>
      </c>
      <c r="AN41" s="140" t="str">
        <f t="shared" si="6"/>
        <v>Jonas*Karel*</v>
      </c>
      <c r="AO41" s="160">
        <f>IF(Tabel511[[#This Row],[Aantal Games Rood]]=0,0,(Tabel511[[#This Row],[Wins Rood]])/Tabel511[[#This Row],[Aantal Games Rood]])</f>
        <v>0</v>
      </c>
      <c r="AP41" s="159">
        <f>IF(Tabel511[[#This Row],[Aantal Games Groen]]=0,0,(Tabel511[[#This Row],[Wins Groen]])/Tabel511[[#This Row],[Aantal Games Groen]])</f>
        <v>1</v>
      </c>
      <c r="AQ41" s="156">
        <f>IF(Tabel511[[#This Row],[Aantal games Alg]]=0,0,(Tabel511[[#This Row],[Wins Alg]])/Tabel511[[#This Row],[Aantal games Alg]])</f>
        <v>1</v>
      </c>
      <c r="AR41" s="133">
        <f>COUNTIF(Tabel152[Winaar rood],Tabel511[[#This Row],[Team]])</f>
        <v>0</v>
      </c>
      <c r="AS41" s="134">
        <f>COUNTIF(Tabel152[Winnaar Groen],Tabel511[[#This Row],[Team]])</f>
        <v>1</v>
      </c>
      <c r="AT41" s="293">
        <f>COUNTIF(Tabel152[Winnaars],Tabel511[[#This Row],[Team]])</f>
        <v>1</v>
      </c>
      <c r="AU41" s="135">
        <f>Tabel511[[#This Row],[Aantal Games Rood]]-Tabel511[[#This Row],[Wins Rood]]</f>
        <v>0</v>
      </c>
      <c r="AV41" s="136">
        <f>Tabel511[[#This Row],[Aantal Games Groen]]-Tabel511[[#This Row],[Wins Groen]]</f>
        <v>0</v>
      </c>
      <c r="AW41" s="137">
        <f>Tabel511[[#This Row],[Aantal games Alg]]-Tabel511[[#This Row],[Wins Alg]]</f>
        <v>0</v>
      </c>
      <c r="AX41" s="138">
        <f>COUNTIF(Tabel152[Team Rood],Tabel511[[#This Row],[Team]])</f>
        <v>0</v>
      </c>
      <c r="AY41" s="136">
        <f>COUNTIF(Tabel152[Team Groen],Tabel511[[#This Row],[Team]])</f>
        <v>1</v>
      </c>
      <c r="AZ41" s="214">
        <f>Tabel511[[#This Row],[Aantal Games Rood]]+Tabel511[[#This Row],[Aantal Games Groen]]</f>
        <v>1</v>
      </c>
      <c r="BA41" s="138">
        <f>SUMIF(Tabel152[Team Rood],Tabel511[[#This Row],[Team]],Tabel152[Score])</f>
        <v>0</v>
      </c>
      <c r="BB41" s="138">
        <f>SUMIF(Tabel152[Team Rood],Tabel511[[#This Row],[Team]],Tabel152[Score2])</f>
        <v>0</v>
      </c>
      <c r="BC41" s="134">
        <f>SUMIF(Tabel152[Team Groen],Tabel511[[#This Row],[Team]],Tabel152[Score3])</f>
        <v>2</v>
      </c>
      <c r="BD41" s="136">
        <f>SUMIF(Tabel152[Team Groen],Tabel511[[#This Row],[Team]],Tabel152[Score4])</f>
        <v>11</v>
      </c>
      <c r="BE41" s="293">
        <f>SUM(Tabel511[[#This Row],[Goals Verdediger]]+Tabel511[[#This Row],[Goals DefG]])</f>
        <v>2</v>
      </c>
      <c r="BF41" s="293">
        <f>IF(Tabel511[[#This Row],[Aantal games Alg]]=0,0,Tabel511[[#This Row],[Goals DefA]]/Tabel511[[#This Row],[Aantal games Alg]])</f>
        <v>2</v>
      </c>
      <c r="BG41" s="293">
        <f>SUM(Tabel511[[#This Row],[Goals Aanvaller]]+Tabel511[[#This Row],[Goals OffG]])</f>
        <v>11</v>
      </c>
      <c r="BH41" s="293">
        <f>IF(Tabel511[[#This Row],[Aantal games Alg]]=0,0,Tabel511[[#This Row],[Goals OffA]]/Tabel511[[#This Row],[Aantal games Alg]])</f>
        <v>11</v>
      </c>
      <c r="BI41" s="214">
        <f>Tabel511[[#This Row],[Goals DefA]]+Tabel511[[#This Row],[Goals OffA]]</f>
        <v>13</v>
      </c>
      <c r="BJ41" s="214">
        <f>IF(Tabel511[[#This Row],[Aantal games Alg]]=0,0,Tabel511[[#This Row],[Goals Alg]]/Tabel511[[#This Row],[Aantal games Alg]])</f>
        <v>13</v>
      </c>
      <c r="BK41" s="148">
        <f>SUMIF(Tabel152[Team Rood],Tabel511[[#This Row],[Team]],Tabel152[ET])</f>
        <v>0</v>
      </c>
      <c r="BL41" s="150">
        <f ca="1">SUMIF(Tabel152[Team Groen],Tabel511[[#This Row],[Team]],Tabel152[ET])</f>
        <v>7.1875001594889909E-5</v>
      </c>
      <c r="BM41" s="153">
        <f ca="1">SUM(Tabel511[[#This Row],[ET Groen tot]],Tabel511[[#This Row],[ET Rood tot]])</f>
        <v>7.1875001594889909E-5</v>
      </c>
      <c r="BN41" s="155">
        <f ca="1">IF(Tabel511[[#This Row],[Aantal games Alg]]=0,0,Tabel511[[#This Row],[ET tot]]/Tabel511[[#This Row],[Aantal games Alg]])</f>
        <v>7.1875001594889909E-5</v>
      </c>
    </row>
    <row r="42" spans="1:66" x14ac:dyDescent="0.25">
      <c r="A42" s="215" t="str">
        <f ca="1">IF(Tabel152[[#This Row],[Rood Verdediging]]&lt;&gt;"",IF(A42="",NOW(),A42),"")</f>
        <v/>
      </c>
      <c r="B42" s="218" t="str">
        <f ca="1">IF(Tabel152[[#This Row],[Rood Verdediging]]&lt;&gt;"",IF(B42="",NOW(),B42),"")</f>
        <v/>
      </c>
      <c r="C42" s="216" t="str">
        <f ca="1">IF(Tabel152[[#This Row],[Score]]&lt;&gt;"",IF(C42="",NOW(),C42),"")</f>
        <v/>
      </c>
      <c r="D42" s="217" t="str">
        <f ca="1">IF(OR(Tabel152[[#This Row],[Starttijd]]="",Tabel152[[#This Row],[Eindtijd]]=""),"",Tabel152[[#This Row],[Eindtijd]]-Tabel152[[#This Row],[Starttijd]])</f>
        <v/>
      </c>
      <c r="E42" s="74">
        <v>41</v>
      </c>
      <c r="F42" s="205"/>
      <c r="G42" s="210"/>
      <c r="H42" s="205"/>
      <c r="I42" s="210"/>
      <c r="J42" s="206"/>
      <c r="K42" s="212"/>
      <c r="L42" s="206"/>
      <c r="M42" s="212"/>
      <c r="N42" s="79">
        <f>Tabel152[[#This Row],[Score]]+Tabel152[[#This Row],[Score2]]</f>
        <v>0</v>
      </c>
      <c r="O42" s="80">
        <f>Tabel152[[#This Row],[Score3]]+Tabel152[[#This Row],[Score4]]</f>
        <v>0</v>
      </c>
      <c r="P4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Row],[Score4]]&lt;&gt;""),IF(AND(N42&gt;O42,N42&gt;=11),"ROOD",IF(AND(O42&gt;=11,N42&lt;&gt;O42),"GROEN","")),"")</f>
        <v/>
      </c>
      <c r="Q42" s="84">
        <f t="shared" si="12"/>
        <v>0</v>
      </c>
      <c r="R42" s="85">
        <f t="shared" si="13"/>
        <v>0</v>
      </c>
      <c r="S42" s="293" t="str">
        <f>Tabel152[[#This Row],[Rood Verdediging]]&amp;Tabel152[[#This Row],[Rood Aanval]]</f>
        <v/>
      </c>
      <c r="T42" s="293" t="str">
        <f>Tabel152[[#This Row],[Groen Verdediging]]&amp;Tabel152[[#This Row],[Groen Aanval]]</f>
        <v/>
      </c>
      <c r="U42" s="293" t="str">
        <f>Tabel152[[#This Row],[Winnaar 1]]&amp;Tabel152[[#This Row],[Winnaar 2]]</f>
        <v>00</v>
      </c>
      <c r="V42" s="147" t="b">
        <f>IF(Tabel152[[#This Row],[Team Rood]]=Tabel152[[#This Row],[Winnaars]],Tabel152[[#This Row],[Team Rood]])</f>
        <v>0</v>
      </c>
      <c r="W42" s="147" t="b">
        <f>IF(Tabel152[[#This Row],[Team Groen]]=Tabel152[[#This Row],[Winnaars]],Tabel152[[#This Row],[Team Groen]])</f>
        <v>0</v>
      </c>
      <c r="X42" s="283"/>
      <c r="Y42" s="283"/>
      <c r="Z42" s="283"/>
      <c r="AA42" s="283"/>
      <c r="AL42" s="251" t="s">
        <v>159</v>
      </c>
      <c r="AM42" s="233" t="s">
        <v>67</v>
      </c>
      <c r="AN42" s="140" t="str">
        <f t="shared" si="6"/>
        <v>Jonas*Lawrence</v>
      </c>
      <c r="AO42" s="160">
        <f>IF(Tabel511[[#This Row],[Aantal Games Rood]]=0,0,(Tabel511[[#This Row],[Wins Rood]])/Tabel511[[#This Row],[Aantal Games Rood]])</f>
        <v>0</v>
      </c>
      <c r="AP42" s="159">
        <f>IF(Tabel511[[#This Row],[Aantal Games Groen]]=0,0,(Tabel511[[#This Row],[Wins Groen]])/Tabel511[[#This Row],[Aantal Games Groen]])</f>
        <v>0</v>
      </c>
      <c r="AQ42" s="156">
        <f>IF(Tabel511[[#This Row],[Aantal games Alg]]=0,0,(Tabel511[[#This Row],[Wins Alg]])/Tabel511[[#This Row],[Aantal games Alg]])</f>
        <v>0</v>
      </c>
      <c r="AR42" s="138">
        <f>COUNTIF(Tabel152[Winaar rood],Tabel511[[#This Row],[Team]])</f>
        <v>0</v>
      </c>
      <c r="AS42" s="134">
        <f>COUNTIF(Tabel152[Winnaar Groen],Tabel511[[#This Row],[Team]])</f>
        <v>0</v>
      </c>
      <c r="AT42" s="293">
        <f>COUNTIF(Tabel152[Winnaars],Tabel511[[#This Row],[Team]])</f>
        <v>0</v>
      </c>
      <c r="AU42" s="135">
        <f>Tabel511[[#This Row],[Aantal Games Rood]]-Tabel511[[#This Row],[Wins Rood]]</f>
        <v>0</v>
      </c>
      <c r="AV42" s="136">
        <f>Tabel511[[#This Row],[Aantal Games Groen]]-Tabel511[[#This Row],[Wins Groen]]</f>
        <v>0</v>
      </c>
      <c r="AW42" s="137">
        <f>Tabel511[[#This Row],[Aantal games Alg]]-Tabel511[[#This Row],[Wins Alg]]</f>
        <v>0</v>
      </c>
      <c r="AX42" s="138">
        <f>COUNTIF(Tabel152[Team Rood],Tabel511[[#This Row],[Team]])</f>
        <v>0</v>
      </c>
      <c r="AY42" s="136">
        <f>COUNTIF(Tabel152[Team Groen],Tabel511[[#This Row],[Team]])</f>
        <v>0</v>
      </c>
      <c r="AZ42" s="214">
        <f>Tabel511[[#This Row],[Aantal Games Rood]]+Tabel511[[#This Row],[Aantal Games Groen]]</f>
        <v>0</v>
      </c>
      <c r="BA42" s="138">
        <f>SUMIF(Tabel152[Team Rood],Tabel511[[#This Row],[Team]],Tabel152[Score])</f>
        <v>0</v>
      </c>
      <c r="BB42" s="138">
        <f>SUMIF(Tabel152[Team Rood],Tabel511[[#This Row],[Team]],Tabel152[Score2])</f>
        <v>0</v>
      </c>
      <c r="BC42" s="134">
        <f>SUMIF(Tabel152[Team Groen],Tabel511[[#This Row],[Team]],Tabel152[Score3])</f>
        <v>0</v>
      </c>
      <c r="BD42" s="136">
        <f>SUMIF(Tabel152[Team Groen],Tabel511[[#This Row],[Team]],Tabel152[Score4])</f>
        <v>0</v>
      </c>
      <c r="BE42" s="293">
        <f>SUM(Tabel511[[#This Row],[Goals Verdediger]]+Tabel511[[#This Row],[Goals DefG]])</f>
        <v>0</v>
      </c>
      <c r="BF42" s="293">
        <f>IF(Tabel511[[#This Row],[Aantal games Alg]]=0,0,Tabel511[[#This Row],[Goals DefA]]/Tabel511[[#This Row],[Aantal games Alg]])</f>
        <v>0</v>
      </c>
      <c r="BG42" s="293">
        <f>SUM(Tabel511[[#This Row],[Goals Aanvaller]]+Tabel511[[#This Row],[Goals OffG]])</f>
        <v>0</v>
      </c>
      <c r="BH42" s="293">
        <f>IF(Tabel511[[#This Row],[Aantal games Alg]]=0,0,Tabel511[[#This Row],[Goals OffA]]/Tabel511[[#This Row],[Aantal games Alg]])</f>
        <v>0</v>
      </c>
      <c r="BI42" s="214">
        <f>Tabel511[[#This Row],[Goals DefA]]+Tabel511[[#This Row],[Goals OffA]]</f>
        <v>0</v>
      </c>
      <c r="BJ42" s="214">
        <f>IF(Tabel511[[#This Row],[Aantal games Alg]]=0,0,Tabel511[[#This Row],[Goals Alg]]/Tabel511[[#This Row],[Aantal games Alg]])</f>
        <v>0</v>
      </c>
      <c r="BK42" s="148">
        <f>SUMIF(Tabel152[Team Rood],Tabel511[[#This Row],[Team]],Tabel152[ET])</f>
        <v>0</v>
      </c>
      <c r="BL42" s="150">
        <f>SUMIF(Tabel152[Team Groen],Tabel511[[#This Row],[Team]],Tabel152[ET])</f>
        <v>0</v>
      </c>
      <c r="BM42" s="153">
        <f>SUM(Tabel511[[#This Row],[ET Groen tot]],Tabel511[[#This Row],[ET Rood tot]])</f>
        <v>0</v>
      </c>
      <c r="BN42" s="155">
        <f>IF(Tabel511[[#This Row],[Aantal games Alg]]=0,0,Tabel511[[#This Row],[ET tot]]/Tabel511[[#This Row],[Aantal games Alg]])</f>
        <v>0</v>
      </c>
    </row>
    <row r="43" spans="1:66" x14ac:dyDescent="0.25">
      <c r="A43" s="215" t="str">
        <f ca="1">IF(Tabel152[[#This Row],[Rood Verdediging]]&lt;&gt;"",IF(A43="",NOW(),A43),"")</f>
        <v/>
      </c>
      <c r="B43" s="218" t="str">
        <f ca="1">IF(Tabel152[[#This Row],[Rood Verdediging]]&lt;&gt;"",IF(B43="",NOW(),B43),"")</f>
        <v/>
      </c>
      <c r="C43" s="216" t="str">
        <f ca="1">IF(Tabel152[[#This Row],[Score]]&lt;&gt;"",IF(C43="",NOW(),C43),"")</f>
        <v/>
      </c>
      <c r="D43" s="217" t="str">
        <f ca="1">IF(OR(Tabel152[[#This Row],[Starttijd]]="",Tabel152[[#This Row],[Eindtijd]]=""),"",Tabel152[[#This Row],[Eindtijd]]-Tabel152[[#This Row],[Starttijd]])</f>
        <v/>
      </c>
      <c r="E43" s="74">
        <v>42</v>
      </c>
      <c r="F43" s="205"/>
      <c r="G43" s="210"/>
      <c r="H43" s="205"/>
      <c r="I43" s="210"/>
      <c r="J43" s="206"/>
      <c r="K43" s="212"/>
      <c r="L43" s="206"/>
      <c r="M43" s="212"/>
      <c r="N43" s="79">
        <f>Tabel152[[#This Row],[Score]]+Tabel152[[#This Row],[Score2]]</f>
        <v>0</v>
      </c>
      <c r="O43" s="80">
        <f>Tabel152[[#This Row],[Score3]]+Tabel152[[#This Row],[Score4]]</f>
        <v>0</v>
      </c>
      <c r="P4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Row],[Score4]]&lt;&gt;""),IF(AND(N43&gt;O43,N43&gt;=11),"ROOD",IF(AND(O43&gt;=11,N43&lt;&gt;O43),"GROEN","")),"")</f>
        <v/>
      </c>
      <c r="Q43" s="84">
        <f t="shared" si="12"/>
        <v>0</v>
      </c>
      <c r="R43" s="85">
        <f t="shared" si="13"/>
        <v>0</v>
      </c>
      <c r="S43" s="293" t="str">
        <f>Tabel152[[#This Row],[Rood Verdediging]]&amp;Tabel152[[#This Row],[Rood Aanval]]</f>
        <v/>
      </c>
      <c r="T43" s="293" t="str">
        <f>Tabel152[[#This Row],[Groen Verdediging]]&amp;Tabel152[[#This Row],[Groen Aanval]]</f>
        <v/>
      </c>
      <c r="U43" s="293" t="str">
        <f>Tabel152[[#This Row],[Winnaar 1]]&amp;Tabel152[[#This Row],[Winnaar 2]]</f>
        <v>00</v>
      </c>
      <c r="V43" s="147" t="b">
        <f>IF(Tabel152[[#This Row],[Team Rood]]=Tabel152[[#This Row],[Winnaars]],Tabel152[[#This Row],[Team Rood]])</f>
        <v>0</v>
      </c>
      <c r="W43" s="147" t="b">
        <f>IF(Tabel152[[#This Row],[Team Groen]]=Tabel152[[#This Row],[Winnaars]],Tabel152[[#This Row],[Team Groen]])</f>
        <v>0</v>
      </c>
      <c r="X43" s="283"/>
      <c r="Y43" s="283"/>
      <c r="Z43" s="283"/>
      <c r="AA43" s="283"/>
      <c r="AL43" s="251" t="s">
        <v>159</v>
      </c>
      <c r="AM43" s="233" t="s">
        <v>161</v>
      </c>
      <c r="AN43" s="140" t="str">
        <f t="shared" si="6"/>
        <v>Jonas*Louis*</v>
      </c>
      <c r="AO43" s="160">
        <f>IF(Tabel511[[#This Row],[Aantal Games Rood]]=0,0,(Tabel511[[#This Row],[Wins Rood]])/Tabel511[[#This Row],[Aantal Games Rood]])</f>
        <v>0</v>
      </c>
      <c r="AP43" s="159">
        <f>IF(Tabel511[[#This Row],[Aantal Games Groen]]=0,0,(Tabel511[[#This Row],[Wins Groen]])/Tabel511[[#This Row],[Aantal Games Groen]])</f>
        <v>0</v>
      </c>
      <c r="AQ43" s="156">
        <f>IF(Tabel511[[#This Row],[Aantal games Alg]]=0,0,(Tabel511[[#This Row],[Wins Alg]])/Tabel511[[#This Row],[Aantal games Alg]])</f>
        <v>0</v>
      </c>
      <c r="AR43" s="133">
        <f>COUNTIF(Tabel152[Winaar rood],Tabel511[[#This Row],[Team]])</f>
        <v>0</v>
      </c>
      <c r="AS43" s="134">
        <f>COUNTIF(Tabel152[Winnaar Groen],Tabel511[[#This Row],[Team]])</f>
        <v>0</v>
      </c>
      <c r="AT43" s="293">
        <f>COUNTIF(Tabel152[Winnaars],Tabel511[[#This Row],[Team]])</f>
        <v>0</v>
      </c>
      <c r="AU43" s="135">
        <f>Tabel511[[#This Row],[Aantal Games Rood]]-Tabel511[[#This Row],[Wins Rood]]</f>
        <v>0</v>
      </c>
      <c r="AV43" s="136">
        <f>Tabel511[[#This Row],[Aantal Games Groen]]-Tabel511[[#This Row],[Wins Groen]]</f>
        <v>0</v>
      </c>
      <c r="AW43" s="137">
        <f>Tabel511[[#This Row],[Aantal games Alg]]-Tabel511[[#This Row],[Wins Alg]]</f>
        <v>0</v>
      </c>
      <c r="AX43" s="138">
        <f>COUNTIF(Tabel152[Team Rood],Tabel511[[#This Row],[Team]])</f>
        <v>0</v>
      </c>
      <c r="AY43" s="136">
        <f>COUNTIF(Tabel152[Team Groen],Tabel511[[#This Row],[Team]])</f>
        <v>0</v>
      </c>
      <c r="AZ43" s="214">
        <f>Tabel511[[#This Row],[Aantal Games Rood]]+Tabel511[[#This Row],[Aantal Games Groen]]</f>
        <v>0</v>
      </c>
      <c r="BA43" s="138">
        <f>SUMIF(Tabel152[Team Rood],Tabel511[[#This Row],[Team]],Tabel152[Score])</f>
        <v>0</v>
      </c>
      <c r="BB43" s="138">
        <f>SUMIF(Tabel152[Team Rood],Tabel511[[#This Row],[Team]],Tabel152[Score2])</f>
        <v>0</v>
      </c>
      <c r="BC43" s="134">
        <f>SUMIF(Tabel152[Team Groen],Tabel511[[#This Row],[Team]],Tabel152[Score3])</f>
        <v>0</v>
      </c>
      <c r="BD43" s="136">
        <f>SUMIF(Tabel152[Team Groen],Tabel511[[#This Row],[Team]],Tabel152[Score4])</f>
        <v>0</v>
      </c>
      <c r="BE43" s="293">
        <f>SUM(Tabel511[[#This Row],[Goals Verdediger]]+Tabel511[[#This Row],[Goals DefG]])</f>
        <v>0</v>
      </c>
      <c r="BF43" s="293">
        <f>IF(Tabel511[[#This Row],[Aantal games Alg]]=0,0,Tabel511[[#This Row],[Goals DefA]]/Tabel511[[#This Row],[Aantal games Alg]])</f>
        <v>0</v>
      </c>
      <c r="BG43" s="293">
        <f>SUM(Tabel511[[#This Row],[Goals Aanvaller]]+Tabel511[[#This Row],[Goals OffG]])</f>
        <v>0</v>
      </c>
      <c r="BH43" s="293">
        <f>IF(Tabel511[[#This Row],[Aantal games Alg]]=0,0,Tabel511[[#This Row],[Goals OffA]]/Tabel511[[#This Row],[Aantal games Alg]])</f>
        <v>0</v>
      </c>
      <c r="BI43" s="214">
        <f>Tabel511[[#This Row],[Goals DefA]]+Tabel511[[#This Row],[Goals OffA]]</f>
        <v>0</v>
      </c>
      <c r="BJ43" s="214">
        <f>IF(Tabel511[[#This Row],[Aantal games Alg]]=0,0,Tabel511[[#This Row],[Goals Alg]]/Tabel511[[#This Row],[Aantal games Alg]])</f>
        <v>0</v>
      </c>
      <c r="BK43" s="148">
        <f>SUMIF(Tabel152[Team Rood],Tabel511[[#This Row],[Team]],Tabel152[ET])</f>
        <v>0</v>
      </c>
      <c r="BL43" s="150">
        <f>SUMIF(Tabel152[Team Groen],Tabel511[[#This Row],[Team]],Tabel152[ET])</f>
        <v>0</v>
      </c>
      <c r="BM43" s="153">
        <f>SUM(Tabel511[[#This Row],[ET Groen tot]],Tabel511[[#This Row],[ET Rood tot]])</f>
        <v>0</v>
      </c>
      <c r="BN43" s="155">
        <f>IF(Tabel511[[#This Row],[Aantal games Alg]]=0,0,Tabel511[[#This Row],[ET tot]]/Tabel511[[#This Row],[Aantal games Alg]])</f>
        <v>0</v>
      </c>
    </row>
    <row r="44" spans="1:66" x14ac:dyDescent="0.25">
      <c r="A44" s="215" t="str">
        <f ca="1">IF(Tabel152[[#This Row],[Rood Verdediging]]&lt;&gt;"",IF(A44="",NOW(),A44),"")</f>
        <v/>
      </c>
      <c r="B44" s="218" t="str">
        <f ca="1">IF(Tabel152[[#This Row],[Rood Verdediging]]&lt;&gt;"",IF(B44="",NOW(),B44),"")</f>
        <v/>
      </c>
      <c r="C44" s="216" t="str">
        <f ca="1">IF(Tabel152[[#This Row],[Score]]&lt;&gt;"",IF(C44="",NOW(),C44),"")</f>
        <v/>
      </c>
      <c r="D44" s="217" t="str">
        <f ca="1">IF(OR(Tabel152[[#This Row],[Starttijd]]="",Tabel152[[#This Row],[Eindtijd]]=""),"",Tabel152[[#This Row],[Eindtijd]]-Tabel152[[#This Row],[Starttijd]])</f>
        <v/>
      </c>
      <c r="E44" s="74">
        <v>43</v>
      </c>
      <c r="F44" s="205"/>
      <c r="G44" s="210"/>
      <c r="H44" s="205"/>
      <c r="I44" s="210"/>
      <c r="J44" s="206"/>
      <c r="K44" s="212"/>
      <c r="L44" s="206"/>
      <c r="M44" s="212"/>
      <c r="N44" s="79">
        <f>Tabel152[[#This Row],[Score]]+Tabel152[[#This Row],[Score2]]</f>
        <v>0</v>
      </c>
      <c r="O44" s="80">
        <f>Tabel152[[#This Row],[Score3]]+Tabel152[[#This Row],[Score4]]</f>
        <v>0</v>
      </c>
      <c r="P4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Row],[Score4]]&lt;&gt;""),IF(AND(N44&gt;O44,N44&gt;=11),"ROOD",IF(AND(O44&gt;=11,N44&lt;&gt;O44),"GROEN","")),"")</f>
        <v/>
      </c>
      <c r="Q44" s="84">
        <f t="shared" si="12"/>
        <v>0</v>
      </c>
      <c r="R44" s="85">
        <f t="shared" si="13"/>
        <v>0</v>
      </c>
      <c r="S44" s="293" t="str">
        <f>Tabel152[[#This Row],[Rood Verdediging]]&amp;Tabel152[[#This Row],[Rood Aanval]]</f>
        <v/>
      </c>
      <c r="T44" s="293" t="str">
        <f>Tabel152[[#This Row],[Groen Verdediging]]&amp;Tabel152[[#This Row],[Groen Aanval]]</f>
        <v/>
      </c>
      <c r="U44" s="293" t="str">
        <f>Tabel152[[#This Row],[Winnaar 1]]&amp;Tabel152[[#This Row],[Winnaar 2]]</f>
        <v>00</v>
      </c>
      <c r="V44" s="147" t="b">
        <f>IF(Tabel152[[#This Row],[Team Rood]]=Tabel152[[#This Row],[Winnaars]],Tabel152[[#This Row],[Team Rood]])</f>
        <v>0</v>
      </c>
      <c r="W44" s="147" t="b">
        <f>IF(Tabel152[[#This Row],[Team Groen]]=Tabel152[[#This Row],[Winnaars]],Tabel152[[#This Row],[Team Groen]])</f>
        <v>0</v>
      </c>
      <c r="X44" s="283"/>
      <c r="Y44" s="283"/>
      <c r="Z44" s="283"/>
      <c r="AA44" s="283"/>
      <c r="AL44" s="251" t="s">
        <v>159</v>
      </c>
      <c r="AM44" s="233" t="s">
        <v>162</v>
      </c>
      <c r="AN44" s="140" t="str">
        <f t="shared" si="6"/>
        <v>Jonas*Matthijs*</v>
      </c>
      <c r="AO44" s="160">
        <f>IF(Tabel511[[#This Row],[Aantal Games Rood]]=0,0,(Tabel511[[#This Row],[Wins Rood]])/Tabel511[[#This Row],[Aantal Games Rood]])</f>
        <v>0</v>
      </c>
      <c r="AP44" s="159">
        <f>IF(Tabel511[[#This Row],[Aantal Games Groen]]=0,0,(Tabel511[[#This Row],[Wins Groen]])/Tabel511[[#This Row],[Aantal Games Groen]])</f>
        <v>0</v>
      </c>
      <c r="AQ44" s="156">
        <f>IF(Tabel511[[#This Row],[Aantal games Alg]]=0,0,(Tabel511[[#This Row],[Wins Alg]])/Tabel511[[#This Row],[Aantal games Alg]])</f>
        <v>0</v>
      </c>
      <c r="AR44" s="138">
        <f>COUNTIF(Tabel152[Winaar rood],Tabel511[[#This Row],[Team]])</f>
        <v>0</v>
      </c>
      <c r="AS44" s="134">
        <f>COUNTIF(Tabel152[Winnaar Groen],Tabel511[[#This Row],[Team]])</f>
        <v>0</v>
      </c>
      <c r="AT44" s="293">
        <f>COUNTIF(Tabel152[Winnaars],Tabel511[[#This Row],[Team]])</f>
        <v>0</v>
      </c>
      <c r="AU44" s="135">
        <f>Tabel511[[#This Row],[Aantal Games Rood]]-Tabel511[[#This Row],[Wins Rood]]</f>
        <v>0</v>
      </c>
      <c r="AV44" s="136">
        <f>Tabel511[[#This Row],[Aantal Games Groen]]-Tabel511[[#This Row],[Wins Groen]]</f>
        <v>0</v>
      </c>
      <c r="AW44" s="137">
        <f>Tabel511[[#This Row],[Aantal games Alg]]-Tabel511[[#This Row],[Wins Alg]]</f>
        <v>0</v>
      </c>
      <c r="AX44" s="138">
        <f>COUNTIF(Tabel152[Team Rood],Tabel511[[#This Row],[Team]])</f>
        <v>0</v>
      </c>
      <c r="AY44" s="136">
        <f>COUNTIF(Tabel152[Team Groen],Tabel511[[#This Row],[Team]])</f>
        <v>0</v>
      </c>
      <c r="AZ44" s="214">
        <f>Tabel511[[#This Row],[Aantal Games Rood]]+Tabel511[[#This Row],[Aantal Games Groen]]</f>
        <v>0</v>
      </c>
      <c r="BA44" s="138">
        <f>SUMIF(Tabel152[Team Rood],Tabel511[[#This Row],[Team]],Tabel152[Score])</f>
        <v>0</v>
      </c>
      <c r="BB44" s="138">
        <f>SUMIF(Tabel152[Team Rood],Tabel511[[#This Row],[Team]],Tabel152[Score2])</f>
        <v>0</v>
      </c>
      <c r="BC44" s="134">
        <f>SUMIF(Tabel152[Team Groen],Tabel511[[#This Row],[Team]],Tabel152[Score3])</f>
        <v>0</v>
      </c>
      <c r="BD44" s="136">
        <f>SUMIF(Tabel152[Team Groen],Tabel511[[#This Row],[Team]],Tabel152[Score4])</f>
        <v>0</v>
      </c>
      <c r="BE44" s="293">
        <f>SUM(Tabel511[[#This Row],[Goals Verdediger]]+Tabel511[[#This Row],[Goals DefG]])</f>
        <v>0</v>
      </c>
      <c r="BF44" s="293">
        <f>IF(Tabel511[[#This Row],[Aantal games Alg]]=0,0,Tabel511[[#This Row],[Goals DefA]]/Tabel511[[#This Row],[Aantal games Alg]])</f>
        <v>0</v>
      </c>
      <c r="BG44" s="293">
        <f>SUM(Tabel511[[#This Row],[Goals Aanvaller]]+Tabel511[[#This Row],[Goals OffG]])</f>
        <v>0</v>
      </c>
      <c r="BH44" s="293">
        <f>IF(Tabel511[[#This Row],[Aantal games Alg]]=0,0,Tabel511[[#This Row],[Goals OffA]]/Tabel511[[#This Row],[Aantal games Alg]])</f>
        <v>0</v>
      </c>
      <c r="BI44" s="214">
        <f>Tabel511[[#This Row],[Goals DefA]]+Tabel511[[#This Row],[Goals OffA]]</f>
        <v>0</v>
      </c>
      <c r="BJ44" s="214">
        <f>IF(Tabel511[[#This Row],[Aantal games Alg]]=0,0,Tabel511[[#This Row],[Goals Alg]]/Tabel511[[#This Row],[Aantal games Alg]])</f>
        <v>0</v>
      </c>
      <c r="BK44" s="148">
        <f>SUMIF(Tabel152[Team Rood],Tabel511[[#This Row],[Team]],Tabel152[ET])</f>
        <v>0</v>
      </c>
      <c r="BL44" s="150">
        <f>SUMIF(Tabel152[Team Groen],Tabel511[[#This Row],[Team]],Tabel152[ET])</f>
        <v>0</v>
      </c>
      <c r="BM44" s="153">
        <f>SUM(Tabel511[[#This Row],[ET Groen tot]],Tabel511[[#This Row],[ET Rood tot]])</f>
        <v>0</v>
      </c>
      <c r="BN44" s="155">
        <f>IF(Tabel511[[#This Row],[Aantal games Alg]]=0,0,Tabel511[[#This Row],[ET tot]]/Tabel511[[#This Row],[Aantal games Alg]])</f>
        <v>0</v>
      </c>
    </row>
    <row r="45" spans="1:66" x14ac:dyDescent="0.25">
      <c r="A45" s="215" t="str">
        <f ca="1">IF(Tabel152[[#This Row],[Rood Verdediging]]&lt;&gt;"",IF(A45="",NOW(),A45),"")</f>
        <v/>
      </c>
      <c r="B45" s="218" t="str">
        <f ca="1">IF(Tabel152[[#This Row],[Rood Verdediging]]&lt;&gt;"",IF(B45="",NOW(),B45),"")</f>
        <v/>
      </c>
      <c r="C45" s="216" t="str">
        <f ca="1">IF(Tabel152[[#This Row],[Score]]&lt;&gt;"",IF(C45="",NOW(),C45),"")</f>
        <v/>
      </c>
      <c r="D45" s="217" t="str">
        <f ca="1">IF(OR(Tabel152[[#This Row],[Starttijd]]="",Tabel152[[#This Row],[Eindtijd]]=""),"",Tabel152[[#This Row],[Eindtijd]]-Tabel152[[#This Row],[Starttijd]])</f>
        <v/>
      </c>
      <c r="E45" s="74">
        <v>44</v>
      </c>
      <c r="F45" s="205"/>
      <c r="G45" s="210"/>
      <c r="H45" s="205"/>
      <c r="I45" s="210"/>
      <c r="J45" s="206"/>
      <c r="K45" s="212"/>
      <c r="L45" s="206"/>
      <c r="M45" s="212"/>
      <c r="N45" s="79">
        <f>Tabel152[[#This Row],[Score]]+Tabel152[[#This Row],[Score2]]</f>
        <v>0</v>
      </c>
      <c r="O45" s="80">
        <f>Tabel152[[#This Row],[Score3]]+Tabel152[[#This Row],[Score4]]</f>
        <v>0</v>
      </c>
      <c r="P4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Row],[Score4]]&lt;&gt;""),IF(AND(N45&gt;O45,N45&gt;=11),"ROOD",IF(AND(O45&gt;=11,N45&lt;&gt;O45),"GROEN","")),"")</f>
        <v/>
      </c>
      <c r="Q45" s="84">
        <f t="shared" si="12"/>
        <v>0</v>
      </c>
      <c r="R45" s="85">
        <f t="shared" si="13"/>
        <v>0</v>
      </c>
      <c r="S45" s="293" t="str">
        <f>Tabel152[[#This Row],[Rood Verdediging]]&amp;Tabel152[[#This Row],[Rood Aanval]]</f>
        <v/>
      </c>
      <c r="T45" s="293" t="str">
        <f>Tabel152[[#This Row],[Groen Verdediging]]&amp;Tabel152[[#This Row],[Groen Aanval]]</f>
        <v/>
      </c>
      <c r="U45" s="293" t="str">
        <f>Tabel152[[#This Row],[Winnaar 1]]&amp;Tabel152[[#This Row],[Winnaar 2]]</f>
        <v>00</v>
      </c>
      <c r="V45" s="147" t="b">
        <f>IF(Tabel152[[#This Row],[Team Rood]]=Tabel152[[#This Row],[Winnaars]],Tabel152[[#This Row],[Team Rood]])</f>
        <v>0</v>
      </c>
      <c r="W45" s="147" t="b">
        <f>IF(Tabel152[[#This Row],[Team Groen]]=Tabel152[[#This Row],[Winnaars]],Tabel152[[#This Row],[Team Groen]])</f>
        <v>0</v>
      </c>
      <c r="X45" s="283"/>
      <c r="Y45" s="283"/>
      <c r="Z45" s="283"/>
      <c r="AA45" s="283"/>
      <c r="AL45" s="251" t="s">
        <v>159</v>
      </c>
      <c r="AM45" s="233" t="s">
        <v>170</v>
      </c>
      <c r="AN45" s="140" t="str">
        <f t="shared" si="6"/>
        <v>Jonas*Nico*</v>
      </c>
      <c r="AO45" s="160">
        <f>IF(Tabel511[[#This Row],[Aantal Games Rood]]=0,0,(Tabel511[[#This Row],[Wins Rood]])/Tabel511[[#This Row],[Aantal Games Rood]])</f>
        <v>0</v>
      </c>
      <c r="AP45" s="159">
        <f>IF(Tabel511[[#This Row],[Aantal Games Groen]]=0,0,(Tabel511[[#This Row],[Wins Groen]])/Tabel511[[#This Row],[Aantal Games Groen]])</f>
        <v>0</v>
      </c>
      <c r="AQ45" s="156">
        <f>IF(Tabel511[[#This Row],[Aantal games Alg]]=0,0,(Tabel511[[#This Row],[Wins Alg]])/Tabel511[[#This Row],[Aantal games Alg]])</f>
        <v>0</v>
      </c>
      <c r="AR45" s="171">
        <f>COUNTIF(Tabel152[Winaar rood],Tabel511[[#This Row],[Team]])</f>
        <v>0</v>
      </c>
      <c r="AS45" s="169">
        <f>COUNTIF(Tabel152[Winnaar Groen],Tabel511[[#This Row],[Team]])</f>
        <v>0</v>
      </c>
      <c r="AT45" s="170">
        <f>COUNTIF(Tabel152[Winnaars],Tabel511[[#This Row],[Team]])</f>
        <v>0</v>
      </c>
      <c r="AU45" s="163">
        <f>Tabel511[[#This Row],[Aantal Games Rood]]-Tabel511[[#This Row],[Wins Rood]]</f>
        <v>0</v>
      </c>
      <c r="AV45" s="169">
        <f>Tabel511[[#This Row],[Aantal Games Groen]]-Tabel511[[#This Row],[Wins Groen]]</f>
        <v>0</v>
      </c>
      <c r="AW45" s="165">
        <f>Tabel511[[#This Row],[Aantal games Alg]]-Tabel511[[#This Row],[Wins Alg]]</f>
        <v>0</v>
      </c>
      <c r="AX45" s="171">
        <f>COUNTIF(Tabel152[Team Rood],Tabel511[[#This Row],[Team]])</f>
        <v>0</v>
      </c>
      <c r="AY45" s="169">
        <f>COUNTIF(Tabel152[Team Groen],Tabel511[[#This Row],[Team]])</f>
        <v>0</v>
      </c>
      <c r="AZ45" s="170">
        <f>Tabel511[[#This Row],[Aantal Games Rood]]+Tabel511[[#This Row],[Aantal Games Groen]]</f>
        <v>0</v>
      </c>
      <c r="BA45" s="171">
        <f>SUMIF(Tabel152[Team Rood],Tabel511[[#This Row],[Team]],Tabel152[Score])</f>
        <v>0</v>
      </c>
      <c r="BB45" s="171">
        <f>SUMIF(Tabel152[Team Rood],Tabel511[[#This Row],[Team]],Tabel152[Score2])</f>
        <v>0</v>
      </c>
      <c r="BC45" s="136">
        <f>SUMIF(Tabel152[Team Groen],Tabel511[[#This Row],[Team]],Tabel152[Score3])</f>
        <v>0</v>
      </c>
      <c r="BD45" s="169">
        <f>SUMIF(Tabel152[Team Groen],Tabel511[[#This Row],[Team]],Tabel152[Score4])</f>
        <v>0</v>
      </c>
      <c r="BE45" s="172">
        <f>SUM(Tabel511[[#This Row],[Goals Verdediger]]+Tabel511[[#This Row],[Goals DefG]])</f>
        <v>0</v>
      </c>
      <c r="BF45" s="170">
        <f>IF(Tabel511[[#This Row],[Aantal games Alg]]=0,0,Tabel511[[#This Row],[Goals DefA]]/Tabel511[[#This Row],[Aantal games Alg]])</f>
        <v>0</v>
      </c>
      <c r="BG45" s="172">
        <f>SUM(Tabel511[[#This Row],[Goals Aanvaller]]+Tabel511[[#This Row],[Goals OffG]])</f>
        <v>0</v>
      </c>
      <c r="BH45" s="170">
        <f>IF(Tabel511[[#This Row],[Aantal games Alg]]=0,0,Tabel511[[#This Row],[Goals OffA]]/Tabel511[[#This Row],[Aantal games Alg]])</f>
        <v>0</v>
      </c>
      <c r="BI45" s="170">
        <f>Tabel511[[#This Row],[Goals DefA]]+Tabel511[[#This Row],[Goals OffA]]</f>
        <v>0</v>
      </c>
      <c r="BJ45" s="170">
        <f>IF(Tabel511[[#This Row],[Aantal games Alg]]=0,0,Tabel511[[#This Row],[Goals Alg]]/Tabel511[[#This Row],[Aantal games Alg]])</f>
        <v>0</v>
      </c>
      <c r="BK45" s="148">
        <f>SUMIF(Tabel152[Team Rood],Tabel511[[#This Row],[Team]],Tabel152[ET])</f>
        <v>0</v>
      </c>
      <c r="BL45" s="150">
        <f>SUMIF(Tabel152[Team Groen],Tabel511[[#This Row],[Team]],Tabel152[ET])</f>
        <v>0</v>
      </c>
      <c r="BM45" s="153">
        <f>SUM(Tabel511[[#This Row],[ET Groen tot]],Tabel511[[#This Row],[ET Rood tot]])</f>
        <v>0</v>
      </c>
      <c r="BN45" s="155">
        <f>IF(Tabel511[[#This Row],[Aantal games Alg]]=0,0,Tabel511[[#This Row],[ET tot]]/Tabel511[[#This Row],[Aantal games Alg]])</f>
        <v>0</v>
      </c>
    </row>
    <row r="46" spans="1:66" x14ac:dyDescent="0.25">
      <c r="A46" s="215" t="str">
        <f ca="1">IF(Tabel152[[#This Row],[Rood Verdediging]]&lt;&gt;"",IF(A46="",NOW(),A46),"")</f>
        <v/>
      </c>
      <c r="B46" s="218" t="str">
        <f ca="1">IF(Tabel152[[#This Row],[Rood Verdediging]]&lt;&gt;"",IF(B46="",NOW(),B46),"")</f>
        <v/>
      </c>
      <c r="C46" s="216" t="str">
        <f ca="1">IF(Tabel152[[#This Row],[Score]]&lt;&gt;"",IF(C46="",NOW(),C46),"")</f>
        <v/>
      </c>
      <c r="D46" s="217" t="str">
        <f ca="1">IF(OR(Tabel152[[#This Row],[Starttijd]]="",Tabel152[[#This Row],[Eindtijd]]=""),"",Tabel152[[#This Row],[Eindtijd]]-Tabel152[[#This Row],[Starttijd]])</f>
        <v/>
      </c>
      <c r="E46" s="74">
        <v>45</v>
      </c>
      <c r="F46" s="205"/>
      <c r="G46" s="210"/>
      <c r="H46" s="205"/>
      <c r="I46" s="210"/>
      <c r="J46" s="206"/>
      <c r="K46" s="212"/>
      <c r="L46" s="206"/>
      <c r="M46" s="212"/>
      <c r="N46" s="79">
        <f>Tabel152[[#This Row],[Score]]+Tabel152[[#This Row],[Score2]]</f>
        <v>0</v>
      </c>
      <c r="O46" s="80">
        <f>Tabel152[[#This Row],[Score3]]+Tabel152[[#This Row],[Score4]]</f>
        <v>0</v>
      </c>
      <c r="P4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Row],[Score4]]&lt;&gt;""),IF(AND(N46&gt;O46,N46&gt;=11),"ROOD",IF(AND(O46&gt;=11,N46&lt;&gt;O46),"GROEN","")),"")</f>
        <v/>
      </c>
      <c r="Q46" s="84">
        <f t="shared" si="12"/>
        <v>0</v>
      </c>
      <c r="R46" s="85">
        <f t="shared" si="13"/>
        <v>0</v>
      </c>
      <c r="S46" s="293" t="str">
        <f>Tabel152[[#This Row],[Rood Verdediging]]&amp;Tabel152[[#This Row],[Rood Aanval]]</f>
        <v/>
      </c>
      <c r="T46" s="293" t="str">
        <f>Tabel152[[#This Row],[Groen Verdediging]]&amp;Tabel152[[#This Row],[Groen Aanval]]</f>
        <v/>
      </c>
      <c r="U46" s="293" t="str">
        <f>Tabel152[[#This Row],[Winnaar 1]]&amp;Tabel152[[#This Row],[Winnaar 2]]</f>
        <v>00</v>
      </c>
      <c r="V46" s="147" t="b">
        <f>IF(Tabel152[[#This Row],[Team Rood]]=Tabel152[[#This Row],[Winnaars]],Tabel152[[#This Row],[Team Rood]])</f>
        <v>0</v>
      </c>
      <c r="W46" s="147" t="b">
        <f>IF(Tabel152[[#This Row],[Team Groen]]=Tabel152[[#This Row],[Winnaars]],Tabel152[[#This Row],[Team Groen]])</f>
        <v>0</v>
      </c>
      <c r="X46" s="283"/>
      <c r="Y46" s="283"/>
      <c r="Z46" s="283"/>
      <c r="AA46" s="283"/>
      <c r="AL46" s="251" t="s">
        <v>159</v>
      </c>
      <c r="AM46" s="233" t="s">
        <v>169</v>
      </c>
      <c r="AN46" s="140" t="str">
        <f t="shared" si="6"/>
        <v>Jonas*Stef*</v>
      </c>
      <c r="AO46" s="160">
        <f>IF(Tabel511[[#This Row],[Aantal Games Rood]]=0,0,(Tabel511[[#This Row],[Wins Rood]])/Tabel511[[#This Row],[Aantal Games Rood]])</f>
        <v>0.66666666666666663</v>
      </c>
      <c r="AP46" s="159">
        <f>IF(Tabel511[[#This Row],[Aantal Games Groen]]=0,0,(Tabel511[[#This Row],[Wins Groen]])/Tabel511[[#This Row],[Aantal Games Groen]])</f>
        <v>0</v>
      </c>
      <c r="AQ46" s="156">
        <f>IF(Tabel511[[#This Row],[Aantal games Alg]]=0,0,(Tabel511[[#This Row],[Wins Alg]])/Tabel511[[#This Row],[Aantal games Alg]])</f>
        <v>0.66666666666666663</v>
      </c>
      <c r="AR46" s="133">
        <f>COUNTIF(Tabel152[Winaar rood],Tabel511[[#This Row],[Team]])</f>
        <v>2</v>
      </c>
      <c r="AS46" s="134">
        <f>COUNTIF(Tabel152[Winnaar Groen],Tabel511[[#This Row],[Team]])</f>
        <v>0</v>
      </c>
      <c r="AT46" s="293">
        <f>COUNTIF(Tabel152[Winnaars],Tabel511[[#This Row],[Team]])</f>
        <v>2</v>
      </c>
      <c r="AU46" s="135">
        <f>Tabel511[[#This Row],[Aantal Games Rood]]-Tabel511[[#This Row],[Wins Rood]]</f>
        <v>1</v>
      </c>
      <c r="AV46" s="136">
        <f>Tabel511[[#This Row],[Aantal Games Groen]]-Tabel511[[#This Row],[Wins Groen]]</f>
        <v>0</v>
      </c>
      <c r="AW46" s="137">
        <f>Tabel511[[#This Row],[Aantal games Alg]]-Tabel511[[#This Row],[Wins Alg]]</f>
        <v>1</v>
      </c>
      <c r="AX46" s="138">
        <f>COUNTIF(Tabel152[Team Rood],Tabel511[[#This Row],[Team]])</f>
        <v>3</v>
      </c>
      <c r="AY46" s="136">
        <f>COUNTIF(Tabel152[Team Groen],Tabel511[[#This Row],[Team]])</f>
        <v>0</v>
      </c>
      <c r="AZ46" s="214">
        <f>Tabel511[[#This Row],[Aantal Games Rood]]+Tabel511[[#This Row],[Aantal Games Groen]]</f>
        <v>3</v>
      </c>
      <c r="BA46" s="138">
        <f>SUMIF(Tabel152[Team Rood],Tabel511[[#This Row],[Team]],Tabel152[Score])</f>
        <v>7</v>
      </c>
      <c r="BB46" s="138">
        <f>SUMIF(Tabel152[Team Rood],Tabel511[[#This Row],[Team]],Tabel152[Score2])</f>
        <v>24</v>
      </c>
      <c r="BC46" s="134">
        <f>SUMIF(Tabel152[Team Groen],Tabel511[[#This Row],[Team]],Tabel152[Score3])</f>
        <v>0</v>
      </c>
      <c r="BD46" s="136">
        <f>SUMIF(Tabel152[Team Groen],Tabel511[[#This Row],[Team]],Tabel152[Score4])</f>
        <v>0</v>
      </c>
      <c r="BE46" s="293">
        <f>SUM(Tabel511[[#This Row],[Goals Verdediger]]+Tabel511[[#This Row],[Goals DefG]])</f>
        <v>7</v>
      </c>
      <c r="BF46" s="293">
        <f>IF(Tabel511[[#This Row],[Aantal games Alg]]=0,0,Tabel511[[#This Row],[Goals DefA]]/Tabel511[[#This Row],[Aantal games Alg]])</f>
        <v>2.3333333333333335</v>
      </c>
      <c r="BG46" s="293">
        <f>SUM(Tabel511[[#This Row],[Goals Aanvaller]]+Tabel511[[#This Row],[Goals OffG]])</f>
        <v>24</v>
      </c>
      <c r="BH46" s="293">
        <f>IF(Tabel511[[#This Row],[Aantal games Alg]]=0,0,Tabel511[[#This Row],[Goals OffA]]/Tabel511[[#This Row],[Aantal games Alg]])</f>
        <v>8</v>
      </c>
      <c r="BI46" s="214">
        <f>Tabel511[[#This Row],[Goals DefA]]+Tabel511[[#This Row],[Goals OffA]]</f>
        <v>31</v>
      </c>
      <c r="BJ46" s="214">
        <f>IF(Tabel511[[#This Row],[Aantal games Alg]]=0,0,Tabel511[[#This Row],[Goals Alg]]/Tabel511[[#This Row],[Aantal games Alg]])</f>
        <v>10.333333333333334</v>
      </c>
      <c r="BK46" s="148">
        <f ca="1">SUMIF(Tabel152[Team Rood],Tabel511[[#This Row],[Team]],Tabel152[ET])</f>
        <v>6.5972220909316093E-5</v>
      </c>
      <c r="BL46" s="150">
        <f>SUMIF(Tabel152[Team Groen],Tabel511[[#This Row],[Team]],Tabel152[ET])</f>
        <v>0</v>
      </c>
      <c r="BM46" s="153">
        <f ca="1">SUM(Tabel511[[#This Row],[ET Groen tot]],Tabel511[[#This Row],[ET Rood tot]])</f>
        <v>6.5972220909316093E-5</v>
      </c>
      <c r="BN46" s="155">
        <f ca="1">IF(Tabel511[[#This Row],[Aantal games Alg]]=0,0,Tabel511[[#This Row],[ET tot]]/Tabel511[[#This Row],[Aantal games Alg]])</f>
        <v>2.1990740303105365E-5</v>
      </c>
    </row>
    <row r="47" spans="1:66" x14ac:dyDescent="0.25">
      <c r="A47" s="215" t="str">
        <f ca="1">IF(Tabel152[[#This Row],[Rood Verdediging]]&lt;&gt;"",IF(A47="",NOW(),A47),"")</f>
        <v/>
      </c>
      <c r="B47" s="218" t="str">
        <f ca="1">IF(Tabel152[[#This Row],[Rood Verdediging]]&lt;&gt;"",IF(B47="",NOW(),B47),"")</f>
        <v/>
      </c>
      <c r="C47" s="216" t="str">
        <f ca="1">IF(Tabel152[[#This Row],[Score]]&lt;&gt;"",IF(C47="",NOW(),C47),"")</f>
        <v/>
      </c>
      <c r="D47" s="217" t="str">
        <f ca="1">IF(OR(Tabel152[[#This Row],[Starttijd]]="",Tabel152[[#This Row],[Eindtijd]]=""),"",Tabel152[[#This Row],[Eindtijd]]-Tabel152[[#This Row],[Starttijd]])</f>
        <v/>
      </c>
      <c r="E47" s="74">
        <v>46</v>
      </c>
      <c r="F47" s="205"/>
      <c r="G47" s="210"/>
      <c r="H47" s="205"/>
      <c r="I47" s="210"/>
      <c r="J47" s="206"/>
      <c r="K47" s="212"/>
      <c r="L47" s="206"/>
      <c r="M47" s="212"/>
      <c r="N47" s="79">
        <f>Tabel152[[#This Row],[Score]]+Tabel152[[#This Row],[Score2]]</f>
        <v>0</v>
      </c>
      <c r="O47" s="80">
        <f>Tabel152[[#This Row],[Score3]]+Tabel152[[#This Row],[Score4]]</f>
        <v>0</v>
      </c>
      <c r="P4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Row],[Score4]]&lt;&gt;""),IF(AND(N47&gt;O47,N47&gt;=11),"ROOD",IF(AND(O47&gt;=11,N47&lt;&gt;O47),"GROEN","")),"")</f>
        <v/>
      </c>
      <c r="Q47" s="84">
        <f t="shared" si="12"/>
        <v>0</v>
      </c>
      <c r="R47" s="85">
        <f t="shared" si="13"/>
        <v>0</v>
      </c>
      <c r="S47" s="293" t="str">
        <f>Tabel152[[#This Row],[Rood Verdediging]]&amp;Tabel152[[#This Row],[Rood Aanval]]</f>
        <v/>
      </c>
      <c r="T47" s="293" t="str">
        <f>Tabel152[[#This Row],[Groen Verdediging]]&amp;Tabel152[[#This Row],[Groen Aanval]]</f>
        <v/>
      </c>
      <c r="U47" s="293" t="str">
        <f>Tabel152[[#This Row],[Winnaar 1]]&amp;Tabel152[[#This Row],[Winnaar 2]]</f>
        <v>00</v>
      </c>
      <c r="V47" s="147" t="b">
        <f>IF(Tabel152[[#This Row],[Team Rood]]=Tabel152[[#This Row],[Winnaars]],Tabel152[[#This Row],[Team Rood]])</f>
        <v>0</v>
      </c>
      <c r="W47" s="147" t="b">
        <f>IF(Tabel152[[#This Row],[Team Groen]]=Tabel152[[#This Row],[Winnaars]],Tabel152[[#This Row],[Team Groen]])</f>
        <v>0</v>
      </c>
      <c r="X47" s="283"/>
      <c r="Y47" s="283"/>
      <c r="Z47" s="283"/>
      <c r="AA47" s="283"/>
      <c r="AL47" s="251" t="s">
        <v>159</v>
      </c>
      <c r="AM47" s="233" t="s">
        <v>166</v>
      </c>
      <c r="AN47" s="140" t="str">
        <f t="shared" si="6"/>
        <v>Jonas*Stijn*</v>
      </c>
      <c r="AO47" s="160">
        <f>IF(Tabel511[[#This Row],[Aantal Games Rood]]=0,0,(Tabel511[[#This Row],[Wins Rood]])/Tabel511[[#This Row],[Aantal Games Rood]])</f>
        <v>0</v>
      </c>
      <c r="AP47" s="159">
        <f>IF(Tabel511[[#This Row],[Aantal Games Groen]]=0,0,(Tabel511[[#This Row],[Wins Groen]])/Tabel511[[#This Row],[Aantal Games Groen]])</f>
        <v>0</v>
      </c>
      <c r="AQ47" s="156">
        <f>IF(Tabel511[[#This Row],[Aantal games Alg]]=0,0,(Tabel511[[#This Row],[Wins Alg]])/Tabel511[[#This Row],[Aantal games Alg]])</f>
        <v>0</v>
      </c>
      <c r="AR47" s="138">
        <f>COUNTIF(Tabel152[Winaar rood],Tabel511[[#This Row],[Team]])</f>
        <v>0</v>
      </c>
      <c r="AS47" s="134">
        <f>COUNTIF(Tabel152[Winnaar Groen],Tabel511[[#This Row],[Team]])</f>
        <v>0</v>
      </c>
      <c r="AT47" s="293">
        <f>COUNTIF(Tabel152[Winnaars],Tabel511[[#This Row],[Team]])</f>
        <v>0</v>
      </c>
      <c r="AU47" s="135">
        <f>Tabel511[[#This Row],[Aantal Games Rood]]-Tabel511[[#This Row],[Wins Rood]]</f>
        <v>0</v>
      </c>
      <c r="AV47" s="136">
        <f>Tabel511[[#This Row],[Aantal Games Groen]]-Tabel511[[#This Row],[Wins Groen]]</f>
        <v>0</v>
      </c>
      <c r="AW47" s="137">
        <f>Tabel511[[#This Row],[Aantal games Alg]]-Tabel511[[#This Row],[Wins Alg]]</f>
        <v>0</v>
      </c>
      <c r="AX47" s="138">
        <f>COUNTIF(Tabel152[Team Rood],Tabel511[[#This Row],[Team]])</f>
        <v>0</v>
      </c>
      <c r="AY47" s="136">
        <f>COUNTIF(Tabel152[Team Groen],Tabel511[[#This Row],[Team]])</f>
        <v>0</v>
      </c>
      <c r="AZ47" s="214">
        <f>Tabel511[[#This Row],[Aantal Games Rood]]+Tabel511[[#This Row],[Aantal Games Groen]]</f>
        <v>0</v>
      </c>
      <c r="BA47" s="138">
        <f>SUMIF(Tabel152[Team Rood],Tabel511[[#This Row],[Team]],Tabel152[Score])</f>
        <v>0</v>
      </c>
      <c r="BB47" s="138">
        <f>SUMIF(Tabel152[Team Rood],Tabel511[[#This Row],[Team]],Tabel152[Score2])</f>
        <v>0</v>
      </c>
      <c r="BC47" s="134">
        <f>SUMIF(Tabel152[Team Groen],Tabel511[[#This Row],[Team]],Tabel152[Score3])</f>
        <v>0</v>
      </c>
      <c r="BD47" s="136">
        <f>SUMIF(Tabel152[Team Groen],Tabel511[[#This Row],[Team]],Tabel152[Score4])</f>
        <v>0</v>
      </c>
      <c r="BE47" s="293">
        <f>SUM(Tabel511[[#This Row],[Goals Verdediger]]+Tabel511[[#This Row],[Goals DefG]])</f>
        <v>0</v>
      </c>
      <c r="BF47" s="293">
        <f>IF(Tabel511[[#This Row],[Aantal games Alg]]=0,0,Tabel511[[#This Row],[Goals DefA]]/Tabel511[[#This Row],[Aantal games Alg]])</f>
        <v>0</v>
      </c>
      <c r="BG47" s="293">
        <f>SUM(Tabel511[[#This Row],[Goals Aanvaller]]+Tabel511[[#This Row],[Goals OffG]])</f>
        <v>0</v>
      </c>
      <c r="BH47" s="293">
        <f>IF(Tabel511[[#This Row],[Aantal games Alg]]=0,0,Tabel511[[#This Row],[Goals OffA]]/Tabel511[[#This Row],[Aantal games Alg]])</f>
        <v>0</v>
      </c>
      <c r="BI47" s="214">
        <f>Tabel511[[#This Row],[Goals DefA]]+Tabel511[[#This Row],[Goals OffA]]</f>
        <v>0</v>
      </c>
      <c r="BJ47" s="214">
        <f>IF(Tabel511[[#This Row],[Aantal games Alg]]=0,0,Tabel511[[#This Row],[Goals Alg]]/Tabel511[[#This Row],[Aantal games Alg]])</f>
        <v>0</v>
      </c>
      <c r="BK47" s="148">
        <f>SUMIF(Tabel152[Team Rood],Tabel511[[#This Row],[Team]],Tabel152[ET])</f>
        <v>0</v>
      </c>
      <c r="BL47" s="150">
        <f>SUMIF(Tabel152[Team Groen],Tabel511[[#This Row],[Team]],Tabel152[ET])</f>
        <v>0</v>
      </c>
      <c r="BM47" s="153">
        <f>SUM(Tabel511[[#This Row],[ET Groen tot]],Tabel511[[#This Row],[ET Rood tot]])</f>
        <v>0</v>
      </c>
      <c r="BN47" s="155">
        <f>IF(Tabel511[[#This Row],[Aantal games Alg]]=0,0,Tabel511[[#This Row],[ET tot]]/Tabel511[[#This Row],[Aantal games Alg]])</f>
        <v>0</v>
      </c>
    </row>
    <row r="48" spans="1:66" x14ac:dyDescent="0.25">
      <c r="A48" s="215" t="str">
        <f ca="1">IF(Tabel152[[#This Row],[Rood Verdediging]]&lt;&gt;"",IF(A48="",NOW(),A48),"")</f>
        <v/>
      </c>
      <c r="B48" s="218" t="str">
        <f ca="1">IF(Tabel152[[#This Row],[Rood Verdediging]]&lt;&gt;"",IF(B48="",NOW(),B48),"")</f>
        <v/>
      </c>
      <c r="C48" s="216" t="str">
        <f ca="1">IF(Tabel152[[#This Row],[Score]]&lt;&gt;"",IF(C48="",NOW(),C48),"")</f>
        <v/>
      </c>
      <c r="D48" s="217" t="str">
        <f ca="1">IF(OR(Tabel152[[#This Row],[Starttijd]]="",Tabel152[[#This Row],[Eindtijd]]=""),"",Tabel152[[#This Row],[Eindtijd]]-Tabel152[[#This Row],[Starttijd]])</f>
        <v/>
      </c>
      <c r="E48" s="74">
        <v>47</v>
      </c>
      <c r="F48" s="205"/>
      <c r="G48" s="210"/>
      <c r="H48" s="205"/>
      <c r="I48" s="210"/>
      <c r="J48" s="206"/>
      <c r="K48" s="212"/>
      <c r="L48" s="206"/>
      <c r="M48" s="212"/>
      <c r="N48" s="79">
        <f>Tabel152[[#This Row],[Score]]+Tabel152[[#This Row],[Score2]]</f>
        <v>0</v>
      </c>
      <c r="O48" s="80">
        <f>Tabel152[[#This Row],[Score3]]+Tabel152[[#This Row],[Score4]]</f>
        <v>0</v>
      </c>
      <c r="P4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Row],[Score4]]&lt;&gt;""),IF(AND(N48&gt;O48,N48&gt;=11),"ROOD",IF(AND(O48&gt;=11,N48&lt;&gt;O48),"GROEN","")),"")</f>
        <v/>
      </c>
      <c r="Q48" s="84">
        <f t="shared" si="12"/>
        <v>0</v>
      </c>
      <c r="R48" s="85">
        <f t="shared" si="13"/>
        <v>0</v>
      </c>
      <c r="S48" s="293" t="str">
        <f>Tabel152[[#This Row],[Rood Verdediging]]&amp;Tabel152[[#This Row],[Rood Aanval]]</f>
        <v/>
      </c>
      <c r="T48" s="293" t="str">
        <f>Tabel152[[#This Row],[Groen Verdediging]]&amp;Tabel152[[#This Row],[Groen Aanval]]</f>
        <v/>
      </c>
      <c r="U48" s="293" t="str">
        <f>Tabel152[[#This Row],[Winnaar 1]]&amp;Tabel152[[#This Row],[Winnaar 2]]</f>
        <v>00</v>
      </c>
      <c r="V48" s="147" t="b">
        <f>IF(Tabel152[[#This Row],[Team Rood]]=Tabel152[[#This Row],[Winnaars]],Tabel152[[#This Row],[Team Rood]])</f>
        <v>0</v>
      </c>
      <c r="W48" s="147" t="b">
        <f>IF(Tabel152[[#This Row],[Team Groen]]=Tabel152[[#This Row],[Winnaars]],Tabel152[[#This Row],[Team Groen]])</f>
        <v>0</v>
      </c>
      <c r="X48" s="283"/>
      <c r="Y48" s="283"/>
      <c r="Z48" s="283"/>
      <c r="AA48" s="283"/>
      <c r="AL48" s="251" t="s">
        <v>159</v>
      </c>
      <c r="AM48" s="233" t="s">
        <v>160</v>
      </c>
      <c r="AN48" s="140" t="str">
        <f t="shared" si="6"/>
        <v>Jonas*Tiemen*</v>
      </c>
      <c r="AO48" s="160">
        <f>IF(Tabel511[[#This Row],[Aantal Games Rood]]=0,0,(Tabel511[[#This Row],[Wins Rood]])/Tabel511[[#This Row],[Aantal Games Rood]])</f>
        <v>0</v>
      </c>
      <c r="AP48" s="159">
        <f>IF(Tabel511[[#This Row],[Aantal Games Groen]]=0,0,(Tabel511[[#This Row],[Wins Groen]])/Tabel511[[#This Row],[Aantal Games Groen]])</f>
        <v>1</v>
      </c>
      <c r="AQ48" s="156">
        <f>IF(Tabel511[[#This Row],[Aantal games Alg]]=0,0,(Tabel511[[#This Row],[Wins Alg]])/Tabel511[[#This Row],[Aantal games Alg]])</f>
        <v>0.5</v>
      </c>
      <c r="AR48" s="133">
        <f>COUNTIF(Tabel152[Winaar rood],Tabel511[[#This Row],[Team]])</f>
        <v>0</v>
      </c>
      <c r="AS48" s="134">
        <f>COUNTIF(Tabel152[Winnaar Groen],Tabel511[[#This Row],[Team]])</f>
        <v>1</v>
      </c>
      <c r="AT48" s="293">
        <f>COUNTIF(Tabel152[Winnaars],Tabel511[[#This Row],[Team]])</f>
        <v>1</v>
      </c>
      <c r="AU48" s="135">
        <f>Tabel511[[#This Row],[Aantal Games Rood]]-Tabel511[[#This Row],[Wins Rood]]</f>
        <v>1</v>
      </c>
      <c r="AV48" s="136">
        <f>Tabel511[[#This Row],[Aantal Games Groen]]-Tabel511[[#This Row],[Wins Groen]]</f>
        <v>0</v>
      </c>
      <c r="AW48" s="137">
        <f>Tabel511[[#This Row],[Aantal games Alg]]-Tabel511[[#This Row],[Wins Alg]]</f>
        <v>1</v>
      </c>
      <c r="AX48" s="138">
        <f>COUNTIF(Tabel152[Team Rood],Tabel511[[#This Row],[Team]])</f>
        <v>1</v>
      </c>
      <c r="AY48" s="136">
        <f>COUNTIF(Tabel152[Team Groen],Tabel511[[#This Row],[Team]])</f>
        <v>1</v>
      </c>
      <c r="AZ48" s="214">
        <f>Tabel511[[#This Row],[Aantal Games Rood]]+Tabel511[[#This Row],[Aantal Games Groen]]</f>
        <v>2</v>
      </c>
      <c r="BA48" s="138">
        <f>SUMIF(Tabel152[Team Rood],Tabel511[[#This Row],[Team]],Tabel152[Score])</f>
        <v>4</v>
      </c>
      <c r="BB48" s="138">
        <f>SUMIF(Tabel152[Team Rood],Tabel511[[#This Row],[Team]],Tabel152[Score2])</f>
        <v>5</v>
      </c>
      <c r="BC48" s="134">
        <f>SUMIF(Tabel152[Team Groen],Tabel511[[#This Row],[Team]],Tabel152[Score3])</f>
        <v>3</v>
      </c>
      <c r="BD48" s="136">
        <f>SUMIF(Tabel152[Team Groen],Tabel511[[#This Row],[Team]],Tabel152[Score4])</f>
        <v>11</v>
      </c>
      <c r="BE48" s="293">
        <f>SUM(Tabel511[[#This Row],[Goals Verdediger]]+Tabel511[[#This Row],[Goals DefG]])</f>
        <v>7</v>
      </c>
      <c r="BF48" s="293">
        <f>IF(Tabel511[[#This Row],[Aantal games Alg]]=0,0,Tabel511[[#This Row],[Goals DefA]]/Tabel511[[#This Row],[Aantal games Alg]])</f>
        <v>3.5</v>
      </c>
      <c r="BG48" s="293">
        <f>SUM(Tabel511[[#This Row],[Goals Aanvaller]]+Tabel511[[#This Row],[Goals OffG]])</f>
        <v>16</v>
      </c>
      <c r="BH48" s="293">
        <f>IF(Tabel511[[#This Row],[Aantal games Alg]]=0,0,Tabel511[[#This Row],[Goals OffA]]/Tabel511[[#This Row],[Aantal games Alg]])</f>
        <v>8</v>
      </c>
      <c r="BI48" s="214">
        <f>Tabel511[[#This Row],[Goals DefA]]+Tabel511[[#This Row],[Goals OffA]]</f>
        <v>23</v>
      </c>
      <c r="BJ48" s="214">
        <f>IF(Tabel511[[#This Row],[Aantal games Alg]]=0,0,Tabel511[[#This Row],[Goals Alg]]/Tabel511[[#This Row],[Aantal games Alg]])</f>
        <v>11.5</v>
      </c>
      <c r="BK48" s="148">
        <f ca="1">SUMIF(Tabel152[Team Rood],Tabel511[[#This Row],[Team]],Tabel152[ET])</f>
        <v>9.8346064842189662E-3</v>
      </c>
      <c r="BL48" s="150">
        <f ca="1">SUMIF(Tabel152[Team Groen],Tabel511[[#This Row],[Team]],Tabel152[ET])</f>
        <v>2.418980875518173E-5</v>
      </c>
      <c r="BM48" s="153">
        <f ca="1">SUM(Tabel511[[#This Row],[ET Groen tot]],Tabel511[[#This Row],[ET Rood tot]])</f>
        <v>9.8587962929741479E-3</v>
      </c>
      <c r="BN48" s="155">
        <f ca="1">IF(Tabel511[[#This Row],[Aantal games Alg]]=0,0,Tabel511[[#This Row],[ET tot]]/Tabel511[[#This Row],[Aantal games Alg]])</f>
        <v>4.929398146487074E-3</v>
      </c>
    </row>
    <row r="49" spans="1:66" x14ac:dyDescent="0.25">
      <c r="A49" s="215" t="str">
        <f ca="1">IF(Tabel152[[#This Row],[Rood Verdediging]]&lt;&gt;"",IF(A49="",NOW(),A49),"")</f>
        <v/>
      </c>
      <c r="B49" s="218" t="str">
        <f ca="1">IF(Tabel152[[#This Row],[Rood Verdediging]]&lt;&gt;"",IF(B49="",NOW(),B49),"")</f>
        <v/>
      </c>
      <c r="C49" s="216" t="str">
        <f ca="1">IF(Tabel152[[#This Row],[Score]]&lt;&gt;"",IF(C49="",NOW(),C49),"")</f>
        <v/>
      </c>
      <c r="D49" s="217" t="str">
        <f ca="1">IF(OR(Tabel152[[#This Row],[Starttijd]]="",Tabel152[[#This Row],[Eindtijd]]=""),"",Tabel152[[#This Row],[Eindtijd]]-Tabel152[[#This Row],[Starttijd]])</f>
        <v/>
      </c>
      <c r="E49" s="74">
        <v>48</v>
      </c>
      <c r="F49" s="205"/>
      <c r="G49" s="210"/>
      <c r="H49" s="205"/>
      <c r="I49" s="210"/>
      <c r="J49" s="206"/>
      <c r="K49" s="212"/>
      <c r="L49" s="206"/>
      <c r="M49" s="212"/>
      <c r="N49" s="79">
        <f>Tabel152[[#This Row],[Score]]+Tabel152[[#This Row],[Score2]]</f>
        <v>0</v>
      </c>
      <c r="O49" s="80">
        <f>Tabel152[[#This Row],[Score3]]+Tabel152[[#This Row],[Score4]]</f>
        <v>0</v>
      </c>
      <c r="P4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Row],[Score4]]&lt;&gt;""),IF(AND(N49&gt;O49,N49&gt;=11),"ROOD",IF(AND(O49&gt;=11,N49&lt;&gt;O49),"GROEN","")),"")</f>
        <v/>
      </c>
      <c r="Q49" s="84">
        <f t="shared" si="12"/>
        <v>0</v>
      </c>
      <c r="R49" s="85">
        <f t="shared" si="13"/>
        <v>0</v>
      </c>
      <c r="S49" s="293" t="str">
        <f>Tabel152[[#This Row],[Rood Verdediging]]&amp;Tabel152[[#This Row],[Rood Aanval]]</f>
        <v/>
      </c>
      <c r="T49" s="293" t="str">
        <f>Tabel152[[#This Row],[Groen Verdediging]]&amp;Tabel152[[#This Row],[Groen Aanval]]</f>
        <v/>
      </c>
      <c r="U49" s="293" t="str">
        <f>Tabel152[[#This Row],[Winnaar 1]]&amp;Tabel152[[#This Row],[Winnaar 2]]</f>
        <v>00</v>
      </c>
      <c r="V49" s="147" t="b">
        <f>IF(Tabel152[[#This Row],[Team Rood]]=Tabel152[[#This Row],[Winnaars]],Tabel152[[#This Row],[Team Rood]])</f>
        <v>0</v>
      </c>
      <c r="W49" s="147" t="b">
        <f>IF(Tabel152[[#This Row],[Team Groen]]=Tabel152[[#This Row],[Winnaars]],Tabel152[[#This Row],[Team Groen]])</f>
        <v>0</v>
      </c>
      <c r="X49" s="283"/>
      <c r="Y49" s="283"/>
      <c r="Z49" s="283"/>
      <c r="AA49" s="283"/>
      <c r="AL49" s="251" t="s">
        <v>159</v>
      </c>
      <c r="AM49" s="233" t="s">
        <v>157</v>
      </c>
      <c r="AN49" s="140" t="str">
        <f t="shared" si="6"/>
        <v>Jonas*Tobi*</v>
      </c>
      <c r="AO49" s="160">
        <f>IF(Tabel511[[#This Row],[Aantal Games Rood]]=0,0,(Tabel511[[#This Row],[Wins Rood]])/Tabel511[[#This Row],[Aantal Games Rood]])</f>
        <v>0</v>
      </c>
      <c r="AP49" s="159">
        <f>IF(Tabel511[[#This Row],[Aantal Games Groen]]=0,0,(Tabel511[[#This Row],[Wins Groen]])/Tabel511[[#This Row],[Aantal Games Groen]])</f>
        <v>0</v>
      </c>
      <c r="AQ49" s="156">
        <f>IF(Tabel511[[#This Row],[Aantal games Alg]]=0,0,(Tabel511[[#This Row],[Wins Alg]])/Tabel511[[#This Row],[Aantal games Alg]])</f>
        <v>0</v>
      </c>
      <c r="AR49" s="133">
        <f>COUNTIF(Tabel152[Winaar rood],Tabel511[[#This Row],[Team]])</f>
        <v>0</v>
      </c>
      <c r="AS49" s="134">
        <f>COUNTIF(Tabel152[Winnaar Groen],Tabel511[[#This Row],[Team]])</f>
        <v>0</v>
      </c>
      <c r="AT49" s="293">
        <f>COUNTIF(Tabel152[Winnaars],Tabel511[[#This Row],[Team]])</f>
        <v>0</v>
      </c>
      <c r="AU49" s="135">
        <f>Tabel511[[#This Row],[Aantal Games Rood]]-Tabel511[[#This Row],[Wins Rood]]</f>
        <v>0</v>
      </c>
      <c r="AV49" s="136">
        <f>Tabel511[[#This Row],[Aantal Games Groen]]-Tabel511[[#This Row],[Wins Groen]]</f>
        <v>0</v>
      </c>
      <c r="AW49" s="137">
        <f>Tabel511[[#This Row],[Aantal games Alg]]-Tabel511[[#This Row],[Wins Alg]]</f>
        <v>0</v>
      </c>
      <c r="AX49" s="138">
        <f>COUNTIF(Tabel152[Team Rood],Tabel511[[#This Row],[Team]])</f>
        <v>0</v>
      </c>
      <c r="AY49" s="136">
        <f>COUNTIF(Tabel152[Team Groen],Tabel511[[#This Row],[Team]])</f>
        <v>0</v>
      </c>
      <c r="AZ49" s="214">
        <f>Tabel511[[#This Row],[Aantal Games Rood]]+Tabel511[[#This Row],[Aantal Games Groen]]</f>
        <v>0</v>
      </c>
      <c r="BA49" s="138">
        <f>SUMIF(Tabel152[Team Rood],Tabel511[[#This Row],[Team]],Tabel152[Score])</f>
        <v>0</v>
      </c>
      <c r="BB49" s="138">
        <f>SUMIF(Tabel152[Team Rood],Tabel511[[#This Row],[Team]],Tabel152[Score2])</f>
        <v>0</v>
      </c>
      <c r="BC49" s="134">
        <f>SUMIF(Tabel152[Team Groen],Tabel511[[#This Row],[Team]],Tabel152[Score3])</f>
        <v>0</v>
      </c>
      <c r="BD49" s="136">
        <f>SUMIF(Tabel152[Team Groen],Tabel511[[#This Row],[Team]],Tabel152[Score4])</f>
        <v>0</v>
      </c>
      <c r="BE49" s="293">
        <f>SUM(Tabel511[[#This Row],[Goals Verdediger]]+Tabel511[[#This Row],[Goals DefG]])</f>
        <v>0</v>
      </c>
      <c r="BF49" s="293">
        <f>IF(Tabel511[[#This Row],[Aantal games Alg]]=0,0,Tabel511[[#This Row],[Goals DefA]]/Tabel511[[#This Row],[Aantal games Alg]])</f>
        <v>0</v>
      </c>
      <c r="BG49" s="293">
        <f>SUM(Tabel511[[#This Row],[Goals Aanvaller]]+Tabel511[[#This Row],[Goals OffG]])</f>
        <v>0</v>
      </c>
      <c r="BH49" s="293">
        <f>IF(Tabel511[[#This Row],[Aantal games Alg]]=0,0,Tabel511[[#This Row],[Goals OffA]]/Tabel511[[#This Row],[Aantal games Alg]])</f>
        <v>0</v>
      </c>
      <c r="BI49" s="214">
        <f>Tabel511[[#This Row],[Goals DefA]]+Tabel511[[#This Row],[Goals OffA]]</f>
        <v>0</v>
      </c>
      <c r="BJ49" s="214">
        <f>IF(Tabel511[[#This Row],[Aantal games Alg]]=0,0,Tabel511[[#This Row],[Goals Alg]]/Tabel511[[#This Row],[Aantal games Alg]])</f>
        <v>0</v>
      </c>
      <c r="BK49" s="148">
        <f>SUMIF(Tabel152[Team Rood],Tabel511[[#This Row],[Team]],Tabel152[ET])</f>
        <v>0</v>
      </c>
      <c r="BL49" s="150">
        <f>SUMIF(Tabel152[Team Groen],Tabel511[[#This Row],[Team]],Tabel152[ET])</f>
        <v>0</v>
      </c>
      <c r="BM49" s="153">
        <f>SUM(Tabel511[[#This Row],[ET Groen tot]],Tabel511[[#This Row],[ET Rood tot]])</f>
        <v>0</v>
      </c>
      <c r="BN49" s="155">
        <f>IF(Tabel511[[#This Row],[Aantal games Alg]]=0,0,Tabel511[[#This Row],[ET tot]]/Tabel511[[#This Row],[Aantal games Alg]])</f>
        <v>0</v>
      </c>
    </row>
    <row r="50" spans="1:66" x14ac:dyDescent="0.25">
      <c r="A50" s="215" t="str">
        <f ca="1">IF(Tabel152[[#This Row],[Rood Verdediging]]&lt;&gt;"",IF(A50="",NOW(),A50),"")</f>
        <v/>
      </c>
      <c r="B50" s="218" t="str">
        <f ca="1">IF(Tabel152[[#This Row],[Rood Verdediging]]&lt;&gt;"",IF(B50="",NOW(),B50),"")</f>
        <v/>
      </c>
      <c r="C50" s="216" t="str">
        <f ca="1">IF(Tabel152[[#This Row],[Score]]&lt;&gt;"",IF(C50="",NOW(),C50),"")</f>
        <v/>
      </c>
      <c r="D50" s="217" t="str">
        <f ca="1">IF(OR(Tabel152[[#This Row],[Starttijd]]="",Tabel152[[#This Row],[Eindtijd]]=""),"",Tabel152[[#This Row],[Eindtijd]]-Tabel152[[#This Row],[Starttijd]])</f>
        <v/>
      </c>
      <c r="E50" s="74">
        <v>49</v>
      </c>
      <c r="F50" s="205"/>
      <c r="G50" s="210"/>
      <c r="H50" s="205"/>
      <c r="I50" s="210"/>
      <c r="J50" s="206"/>
      <c r="K50" s="212"/>
      <c r="L50" s="206"/>
      <c r="M50" s="212"/>
      <c r="N50" s="79">
        <f>Tabel152[[#This Row],[Score]]+Tabel152[[#This Row],[Score2]]</f>
        <v>0</v>
      </c>
      <c r="O50" s="80">
        <f>Tabel152[[#This Row],[Score3]]+Tabel152[[#This Row],[Score4]]</f>
        <v>0</v>
      </c>
      <c r="P5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Row],[Score4]]&lt;&gt;""),IF(AND(N50&gt;O50,N50&gt;=11),"ROOD",IF(AND(O50&gt;=11,N50&lt;&gt;O50),"GROEN","")),"")</f>
        <v/>
      </c>
      <c r="Q50" s="84">
        <f t="shared" si="12"/>
        <v>0</v>
      </c>
      <c r="R50" s="85">
        <f t="shared" si="13"/>
        <v>0</v>
      </c>
      <c r="S50" s="293" t="str">
        <f>Tabel152[[#This Row],[Rood Verdediging]]&amp;Tabel152[[#This Row],[Rood Aanval]]</f>
        <v/>
      </c>
      <c r="T50" s="293" t="str">
        <f>Tabel152[[#This Row],[Groen Verdediging]]&amp;Tabel152[[#This Row],[Groen Aanval]]</f>
        <v/>
      </c>
      <c r="U50" s="293" t="str">
        <f>Tabel152[[#This Row],[Winnaar 1]]&amp;Tabel152[[#This Row],[Winnaar 2]]</f>
        <v>00</v>
      </c>
      <c r="V50" s="147" t="b">
        <f>IF(Tabel152[[#This Row],[Team Rood]]=Tabel152[[#This Row],[Winnaars]],Tabel152[[#This Row],[Team Rood]])</f>
        <v>0</v>
      </c>
      <c r="W50" s="147" t="b">
        <f>IF(Tabel152[[#This Row],[Team Groen]]=Tabel152[[#This Row],[Winnaars]],Tabel152[[#This Row],[Team Groen]])</f>
        <v>0</v>
      </c>
      <c r="X50" s="283"/>
      <c r="Y50" s="283"/>
      <c r="Z50" s="283"/>
      <c r="AA50" s="283"/>
      <c r="AL50" s="251" t="s">
        <v>164</v>
      </c>
      <c r="AM50" s="233" t="s">
        <v>158</v>
      </c>
      <c r="AN50" s="140" t="str">
        <f t="shared" si="6"/>
        <v>Karel*Arno*</v>
      </c>
      <c r="AO50" s="160">
        <f>IF(Tabel511[[#This Row],[Aantal Games Rood]]=0,0,(Tabel511[[#This Row],[Wins Rood]])/Tabel511[[#This Row],[Aantal Games Rood]])</f>
        <v>0</v>
      </c>
      <c r="AP50" s="159">
        <f>IF(Tabel511[[#This Row],[Aantal Games Groen]]=0,0,(Tabel511[[#This Row],[Wins Groen]])/Tabel511[[#This Row],[Aantal Games Groen]])</f>
        <v>0</v>
      </c>
      <c r="AQ50" s="156">
        <f>IF(Tabel511[[#This Row],[Aantal games Alg]]=0,0,(Tabel511[[#This Row],[Wins Alg]])/Tabel511[[#This Row],[Aantal games Alg]])</f>
        <v>0</v>
      </c>
      <c r="AR50" s="133">
        <f>COUNTIF(Tabel152[Winaar rood],Tabel511[[#This Row],[Team]])</f>
        <v>0</v>
      </c>
      <c r="AS50" s="134">
        <f>COUNTIF(Tabel152[Winnaar Groen],Tabel511[[#This Row],[Team]])</f>
        <v>0</v>
      </c>
      <c r="AT50" s="293">
        <f>COUNTIF(Tabel152[Winnaars],Tabel511[[#This Row],[Team]])</f>
        <v>0</v>
      </c>
      <c r="AU50" s="135">
        <f>Tabel511[[#This Row],[Aantal Games Rood]]-Tabel511[[#This Row],[Wins Rood]]</f>
        <v>0</v>
      </c>
      <c r="AV50" s="136">
        <f>Tabel511[[#This Row],[Aantal Games Groen]]-Tabel511[[#This Row],[Wins Groen]]</f>
        <v>0</v>
      </c>
      <c r="AW50" s="137">
        <f>Tabel511[[#This Row],[Aantal games Alg]]-Tabel511[[#This Row],[Wins Alg]]</f>
        <v>0</v>
      </c>
      <c r="AX50" s="138">
        <f>COUNTIF(Tabel152[Team Rood],Tabel511[[#This Row],[Team]])</f>
        <v>0</v>
      </c>
      <c r="AY50" s="136">
        <f>COUNTIF(Tabel152[Team Groen],Tabel511[[#This Row],[Team]])</f>
        <v>0</v>
      </c>
      <c r="AZ50" s="214">
        <f>Tabel511[[#This Row],[Aantal Games Rood]]+Tabel511[[#This Row],[Aantal Games Groen]]</f>
        <v>0</v>
      </c>
      <c r="BA50" s="138">
        <f>SUMIF(Tabel152[Team Rood],Tabel511[[#This Row],[Team]],Tabel152[Score])</f>
        <v>0</v>
      </c>
      <c r="BB50" s="138">
        <f>SUMIF(Tabel152[Team Rood],Tabel511[[#This Row],[Team]],Tabel152[Score2])</f>
        <v>0</v>
      </c>
      <c r="BC50" s="134">
        <f>SUMIF(Tabel152[Team Groen],Tabel511[[#This Row],[Team]],Tabel152[Score3])</f>
        <v>0</v>
      </c>
      <c r="BD50" s="136">
        <f>SUMIF(Tabel152[Team Groen],Tabel511[[#This Row],[Team]],Tabel152[Score4])</f>
        <v>0</v>
      </c>
      <c r="BE50" s="293">
        <f>SUM(Tabel511[[#This Row],[Goals Verdediger]]+Tabel511[[#This Row],[Goals DefG]])</f>
        <v>0</v>
      </c>
      <c r="BF50" s="293">
        <f>IF(Tabel511[[#This Row],[Aantal games Alg]]=0,0,Tabel511[[#This Row],[Goals DefA]]/Tabel511[[#This Row],[Aantal games Alg]])</f>
        <v>0</v>
      </c>
      <c r="BG50" s="293">
        <f>SUM(Tabel511[[#This Row],[Goals Aanvaller]]+Tabel511[[#This Row],[Goals OffG]])</f>
        <v>0</v>
      </c>
      <c r="BH50" s="293">
        <f>IF(Tabel511[[#This Row],[Aantal games Alg]]=0,0,Tabel511[[#This Row],[Goals OffA]]/Tabel511[[#This Row],[Aantal games Alg]])</f>
        <v>0</v>
      </c>
      <c r="BI50" s="214">
        <f>Tabel511[[#This Row],[Goals DefA]]+Tabel511[[#This Row],[Goals OffA]]</f>
        <v>0</v>
      </c>
      <c r="BJ50" s="214">
        <f>IF(Tabel511[[#This Row],[Aantal games Alg]]=0,0,Tabel511[[#This Row],[Goals Alg]]/Tabel511[[#This Row],[Aantal games Alg]])</f>
        <v>0</v>
      </c>
      <c r="BK50" s="148">
        <f>SUMIF(Tabel152[Team Rood],Tabel511[[#This Row],[Team]],Tabel152[ET])</f>
        <v>0</v>
      </c>
      <c r="BL50" s="150">
        <f>SUMIF(Tabel152[Team Groen],Tabel511[[#This Row],[Team]],Tabel152[ET])</f>
        <v>0</v>
      </c>
      <c r="BM50" s="153">
        <f>SUM(Tabel511[[#This Row],[ET Groen tot]],Tabel511[[#This Row],[ET Rood tot]])</f>
        <v>0</v>
      </c>
      <c r="BN50" s="155">
        <f>IF(Tabel511[[#This Row],[Aantal games Alg]]=0,0,Tabel511[[#This Row],[ET tot]]/Tabel511[[#This Row],[Aantal games Alg]])</f>
        <v>0</v>
      </c>
    </row>
    <row r="51" spans="1:66" x14ac:dyDescent="0.25">
      <c r="A51" s="215" t="str">
        <f ca="1">IF(Tabel152[[#This Row],[Rood Verdediging]]&lt;&gt;"",IF(A51="",NOW(),A51),"")</f>
        <v/>
      </c>
      <c r="B51" s="218" t="str">
        <f ca="1">IF(Tabel152[[#This Row],[Rood Verdediging]]&lt;&gt;"",IF(B51="",NOW(),B51),"")</f>
        <v/>
      </c>
      <c r="C51" s="216" t="str">
        <f ca="1">IF(Tabel152[[#This Row],[Score]]&lt;&gt;"",IF(C51="",NOW(),C51),"")</f>
        <v/>
      </c>
      <c r="D51" s="217" t="str">
        <f ca="1">IF(OR(Tabel152[[#This Row],[Starttijd]]="",Tabel152[[#This Row],[Eindtijd]]=""),"",Tabel152[[#This Row],[Eindtijd]]-Tabel152[[#This Row],[Starttijd]])</f>
        <v/>
      </c>
      <c r="E51" s="74">
        <v>50</v>
      </c>
      <c r="F51" s="205"/>
      <c r="G51" s="210"/>
      <c r="H51" s="205"/>
      <c r="I51" s="210"/>
      <c r="J51" s="206"/>
      <c r="K51" s="212"/>
      <c r="L51" s="206"/>
      <c r="M51" s="212"/>
      <c r="N51" s="79">
        <f>Tabel152[[#This Row],[Score]]+Tabel152[[#This Row],[Score2]]</f>
        <v>0</v>
      </c>
      <c r="O51" s="80">
        <f>Tabel152[[#This Row],[Score3]]+Tabel152[[#This Row],[Score4]]</f>
        <v>0</v>
      </c>
      <c r="P5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Row],[Score4]]&lt;&gt;""),IF(AND(N51&gt;O51,N51&gt;=11),"ROOD",IF(AND(O51&gt;=11,N51&lt;&gt;O51),"GROEN","")),"")</f>
        <v/>
      </c>
      <c r="Q51" s="84">
        <f t="shared" si="12"/>
        <v>0</v>
      </c>
      <c r="R51" s="85">
        <f t="shared" si="13"/>
        <v>0</v>
      </c>
      <c r="S51" s="293" t="str">
        <f>Tabel152[[#This Row],[Rood Verdediging]]&amp;Tabel152[[#This Row],[Rood Aanval]]</f>
        <v/>
      </c>
      <c r="T51" s="293" t="str">
        <f>Tabel152[[#This Row],[Groen Verdediging]]&amp;Tabel152[[#This Row],[Groen Aanval]]</f>
        <v/>
      </c>
      <c r="U51" s="293" t="str">
        <f>Tabel152[[#This Row],[Winnaar 1]]&amp;Tabel152[[#This Row],[Winnaar 2]]</f>
        <v>00</v>
      </c>
      <c r="V51" s="147" t="b">
        <f>IF(Tabel152[[#This Row],[Team Rood]]=Tabel152[[#This Row],[Winnaars]],Tabel152[[#This Row],[Team Rood]])</f>
        <v>0</v>
      </c>
      <c r="W51" s="147" t="b">
        <f>IF(Tabel152[[#This Row],[Team Groen]]=Tabel152[[#This Row],[Winnaars]],Tabel152[[#This Row],[Team Groen]])</f>
        <v>0</v>
      </c>
      <c r="X51" s="283"/>
      <c r="Y51" s="283"/>
      <c r="Z51" s="283"/>
      <c r="AA51" s="283"/>
      <c r="AL51" s="251" t="s">
        <v>164</v>
      </c>
      <c r="AM51" s="233" t="s">
        <v>163</v>
      </c>
      <c r="AN51" s="140" t="str">
        <f t="shared" si="6"/>
        <v>Karel*Bert*</v>
      </c>
      <c r="AO51" s="160">
        <f>IF(Tabel511[[#This Row],[Aantal Games Rood]]=0,0,(Tabel511[[#This Row],[Wins Rood]])/Tabel511[[#This Row],[Aantal Games Rood]])</f>
        <v>0</v>
      </c>
      <c r="AP51" s="159">
        <f>IF(Tabel511[[#This Row],[Aantal Games Groen]]=0,0,(Tabel511[[#This Row],[Wins Groen]])/Tabel511[[#This Row],[Aantal Games Groen]])</f>
        <v>1</v>
      </c>
      <c r="AQ51" s="156">
        <f>IF(Tabel511[[#This Row],[Aantal games Alg]]=0,0,(Tabel511[[#This Row],[Wins Alg]])/Tabel511[[#This Row],[Aantal games Alg]])</f>
        <v>0.5</v>
      </c>
      <c r="AR51" s="133">
        <f>COUNTIF(Tabel152[Winaar rood],Tabel511[[#This Row],[Team]])</f>
        <v>0</v>
      </c>
      <c r="AS51" s="134">
        <f>COUNTIF(Tabel152[Winnaar Groen],Tabel511[[#This Row],[Team]])</f>
        <v>1</v>
      </c>
      <c r="AT51" s="293">
        <f>COUNTIF(Tabel152[Winnaars],Tabel511[[#This Row],[Team]])</f>
        <v>1</v>
      </c>
      <c r="AU51" s="135">
        <f>Tabel511[[#This Row],[Aantal Games Rood]]-Tabel511[[#This Row],[Wins Rood]]</f>
        <v>1</v>
      </c>
      <c r="AV51" s="136">
        <f>Tabel511[[#This Row],[Aantal Games Groen]]-Tabel511[[#This Row],[Wins Groen]]</f>
        <v>0</v>
      </c>
      <c r="AW51" s="137">
        <f>Tabel511[[#This Row],[Aantal games Alg]]-Tabel511[[#This Row],[Wins Alg]]</f>
        <v>1</v>
      </c>
      <c r="AX51" s="138">
        <f>COUNTIF(Tabel152[Team Rood],Tabel511[[#This Row],[Team]])</f>
        <v>1</v>
      </c>
      <c r="AY51" s="136">
        <f>COUNTIF(Tabel152[Team Groen],Tabel511[[#This Row],[Team]])</f>
        <v>1</v>
      </c>
      <c r="AZ51" s="214">
        <f>Tabel511[[#This Row],[Aantal Games Rood]]+Tabel511[[#This Row],[Aantal Games Groen]]</f>
        <v>2</v>
      </c>
      <c r="BA51" s="138">
        <f>SUMIF(Tabel152[Team Rood],Tabel511[[#This Row],[Team]],Tabel152[Score])</f>
        <v>3</v>
      </c>
      <c r="BB51" s="138">
        <f>SUMIF(Tabel152[Team Rood],Tabel511[[#This Row],[Team]],Tabel152[Score2])</f>
        <v>0</v>
      </c>
      <c r="BC51" s="134">
        <f>SUMIF(Tabel152[Team Groen],Tabel511[[#This Row],[Team]],Tabel152[Score3])</f>
        <v>4</v>
      </c>
      <c r="BD51" s="136">
        <f>SUMIF(Tabel152[Team Groen],Tabel511[[#This Row],[Team]],Tabel152[Score4])</f>
        <v>9</v>
      </c>
      <c r="BE51" s="293">
        <f>SUM(Tabel511[[#This Row],[Goals Verdediger]]+Tabel511[[#This Row],[Goals DefG]])</f>
        <v>7</v>
      </c>
      <c r="BF51" s="293">
        <f>IF(Tabel511[[#This Row],[Aantal games Alg]]=0,0,Tabel511[[#This Row],[Goals DefA]]/Tabel511[[#This Row],[Aantal games Alg]])</f>
        <v>3.5</v>
      </c>
      <c r="BG51" s="293">
        <f>SUM(Tabel511[[#This Row],[Goals Aanvaller]]+Tabel511[[#This Row],[Goals OffG]])</f>
        <v>9</v>
      </c>
      <c r="BH51" s="293">
        <f>IF(Tabel511[[#This Row],[Aantal games Alg]]=0,0,Tabel511[[#This Row],[Goals OffA]]/Tabel511[[#This Row],[Aantal games Alg]])</f>
        <v>4.5</v>
      </c>
      <c r="BI51" s="214">
        <f>Tabel511[[#This Row],[Goals DefA]]+Tabel511[[#This Row],[Goals OffA]]</f>
        <v>16</v>
      </c>
      <c r="BJ51" s="214">
        <f>IF(Tabel511[[#This Row],[Aantal games Alg]]=0,0,Tabel511[[#This Row],[Goals Alg]]/Tabel511[[#This Row],[Aantal games Alg]])</f>
        <v>8</v>
      </c>
      <c r="BK51" s="148">
        <f ca="1">SUMIF(Tabel152[Team Rood],Tabel511[[#This Row],[Team]],Tabel152[ET])</f>
        <v>1.3368055806495249E-4</v>
      </c>
      <c r="BL51" s="150">
        <f ca="1">SUMIF(Tabel152[Team Groen],Tabel511[[#This Row],[Team]],Tabel152[ET])</f>
        <v>4.5205555557913613E-2</v>
      </c>
      <c r="BM51" s="153">
        <f ca="1">SUM(Tabel511[[#This Row],[ET Groen tot]],Tabel511[[#This Row],[ET Rood tot]])</f>
        <v>4.5339236115978565E-2</v>
      </c>
      <c r="BN51" s="155">
        <f ca="1">IF(Tabel511[[#This Row],[Aantal games Alg]]=0,0,Tabel511[[#This Row],[ET tot]]/Tabel511[[#This Row],[Aantal games Alg]])</f>
        <v>2.2669618057989283E-2</v>
      </c>
    </row>
    <row r="52" spans="1:66" x14ac:dyDescent="0.25">
      <c r="A52" s="215" t="str">
        <f ca="1">IF(Tabel152[[#This Row],[Rood Verdediging]]&lt;&gt;"",IF(A52="",NOW(),A52),"")</f>
        <v/>
      </c>
      <c r="B52" s="218" t="str">
        <f ca="1">IF(Tabel152[[#This Row],[Rood Verdediging]]&lt;&gt;"",IF(B52="",NOW(),B52),"")</f>
        <v/>
      </c>
      <c r="C52" s="216" t="str">
        <f ca="1">IF(Tabel152[[#This Row],[Score]]&lt;&gt;"",IF(C52="",NOW(),C52),"")</f>
        <v/>
      </c>
      <c r="D52" s="217" t="str">
        <f ca="1">IF(OR(Tabel152[[#This Row],[Starttijd]]="",Tabel152[[#This Row],[Eindtijd]]=""),"",Tabel152[[#This Row],[Eindtijd]]-Tabel152[[#This Row],[Starttijd]])</f>
        <v/>
      </c>
      <c r="E52" s="74">
        <v>51</v>
      </c>
      <c r="F52" s="205"/>
      <c r="G52" s="210"/>
      <c r="H52" s="205"/>
      <c r="I52" s="210"/>
      <c r="J52" s="206"/>
      <c r="K52" s="212"/>
      <c r="L52" s="206"/>
      <c r="M52" s="212"/>
      <c r="N52" s="79">
        <f>Tabel152[[#This Row],[Score]]+Tabel152[[#This Row],[Score2]]</f>
        <v>0</v>
      </c>
      <c r="O52" s="80">
        <f>Tabel152[[#This Row],[Score3]]+Tabel152[[#This Row],[Score4]]</f>
        <v>0</v>
      </c>
      <c r="P5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Row],[Score4]]&lt;&gt;""),IF(AND(N52&gt;O52,N52&gt;=11),"ROOD",IF(AND(O52&gt;=11,N52&lt;&gt;O52),"GROEN","")),"")</f>
        <v/>
      </c>
      <c r="Q52" s="84">
        <f t="shared" si="12"/>
        <v>0</v>
      </c>
      <c r="R52" s="85">
        <f t="shared" si="13"/>
        <v>0</v>
      </c>
      <c r="S52" s="293" t="str">
        <f>Tabel152[[#This Row],[Rood Verdediging]]&amp;Tabel152[[#This Row],[Rood Aanval]]</f>
        <v/>
      </c>
      <c r="T52" s="293" t="str">
        <f>Tabel152[[#This Row],[Groen Verdediging]]&amp;Tabel152[[#This Row],[Groen Aanval]]</f>
        <v/>
      </c>
      <c r="U52" s="293" t="str">
        <f>Tabel152[[#This Row],[Winnaar 1]]&amp;Tabel152[[#This Row],[Winnaar 2]]</f>
        <v>00</v>
      </c>
      <c r="V52" s="147" t="b">
        <f>IF(Tabel152[[#This Row],[Team Rood]]=Tabel152[[#This Row],[Winnaars]],Tabel152[[#This Row],[Team Rood]])</f>
        <v>0</v>
      </c>
      <c r="W52" s="147" t="b">
        <f>IF(Tabel152[[#This Row],[Team Groen]]=Tabel152[[#This Row],[Winnaars]],Tabel152[[#This Row],[Team Groen]])</f>
        <v>0</v>
      </c>
      <c r="X52" s="283"/>
      <c r="Y52" s="283"/>
      <c r="Z52" s="283"/>
      <c r="AA52" s="283"/>
      <c r="AL52" s="251" t="s">
        <v>164</v>
      </c>
      <c r="AM52" s="233" t="s">
        <v>168</v>
      </c>
      <c r="AN52" s="140" t="str">
        <f t="shared" si="6"/>
        <v>Karel*Coghe*</v>
      </c>
      <c r="AO52" s="160">
        <f>IF(Tabel511[[#This Row],[Aantal Games Rood]]=0,0,(Tabel511[[#This Row],[Wins Rood]])/Tabel511[[#This Row],[Aantal Games Rood]])</f>
        <v>0</v>
      </c>
      <c r="AP52" s="159">
        <f>IF(Tabel511[[#This Row],[Aantal Games Groen]]=0,0,(Tabel511[[#This Row],[Wins Groen]])/Tabel511[[#This Row],[Aantal Games Groen]])</f>
        <v>0</v>
      </c>
      <c r="AQ52" s="156">
        <f>IF(Tabel511[[#This Row],[Aantal games Alg]]=0,0,(Tabel511[[#This Row],[Wins Alg]])/Tabel511[[#This Row],[Aantal games Alg]])</f>
        <v>0</v>
      </c>
      <c r="AR52" s="133">
        <f>COUNTIF(Tabel152[Winaar rood],Tabel511[[#This Row],[Team]])</f>
        <v>0</v>
      </c>
      <c r="AS52" s="134">
        <f>COUNTIF(Tabel152[Winnaar Groen],Tabel511[[#This Row],[Team]])</f>
        <v>0</v>
      </c>
      <c r="AT52" s="293">
        <f>COUNTIF(Tabel152[Winnaars],Tabel511[[#This Row],[Team]])</f>
        <v>0</v>
      </c>
      <c r="AU52" s="135">
        <f>Tabel511[[#This Row],[Aantal Games Rood]]-Tabel511[[#This Row],[Wins Rood]]</f>
        <v>0</v>
      </c>
      <c r="AV52" s="136">
        <f>Tabel511[[#This Row],[Aantal Games Groen]]-Tabel511[[#This Row],[Wins Groen]]</f>
        <v>0</v>
      </c>
      <c r="AW52" s="137">
        <f>Tabel511[[#This Row],[Aantal games Alg]]-Tabel511[[#This Row],[Wins Alg]]</f>
        <v>0</v>
      </c>
      <c r="AX52" s="138">
        <f>COUNTIF(Tabel152[Team Rood],Tabel511[[#This Row],[Team]])</f>
        <v>0</v>
      </c>
      <c r="AY52" s="136">
        <f>COUNTIF(Tabel152[Team Groen],Tabel511[[#This Row],[Team]])</f>
        <v>0</v>
      </c>
      <c r="AZ52" s="214">
        <f>Tabel511[[#This Row],[Aantal Games Rood]]+Tabel511[[#This Row],[Aantal Games Groen]]</f>
        <v>0</v>
      </c>
      <c r="BA52" s="138">
        <f>SUMIF(Tabel152[Team Rood],Tabel511[[#This Row],[Team]],Tabel152[Score])</f>
        <v>0</v>
      </c>
      <c r="BB52" s="138">
        <f>SUMIF(Tabel152[Team Rood],Tabel511[[#This Row],[Team]],Tabel152[Score2])</f>
        <v>0</v>
      </c>
      <c r="BC52" s="134">
        <f>SUMIF(Tabel152[Team Groen],Tabel511[[#This Row],[Team]],Tabel152[Score3])</f>
        <v>0</v>
      </c>
      <c r="BD52" s="136">
        <f>SUMIF(Tabel152[Team Groen],Tabel511[[#This Row],[Team]],Tabel152[Score4])</f>
        <v>0</v>
      </c>
      <c r="BE52" s="293">
        <f>SUM(Tabel511[[#This Row],[Goals Verdediger]]+Tabel511[[#This Row],[Goals DefG]])</f>
        <v>0</v>
      </c>
      <c r="BF52" s="293">
        <f>IF(Tabel511[[#This Row],[Aantal games Alg]]=0,0,Tabel511[[#This Row],[Goals DefA]]/Tabel511[[#This Row],[Aantal games Alg]])</f>
        <v>0</v>
      </c>
      <c r="BG52" s="293">
        <f>SUM(Tabel511[[#This Row],[Goals Aanvaller]]+Tabel511[[#This Row],[Goals OffG]])</f>
        <v>0</v>
      </c>
      <c r="BH52" s="293">
        <f>IF(Tabel511[[#This Row],[Aantal games Alg]]=0,0,Tabel511[[#This Row],[Goals OffA]]/Tabel511[[#This Row],[Aantal games Alg]])</f>
        <v>0</v>
      </c>
      <c r="BI52" s="214">
        <f>Tabel511[[#This Row],[Goals DefA]]+Tabel511[[#This Row],[Goals OffA]]</f>
        <v>0</v>
      </c>
      <c r="BJ52" s="214">
        <f>IF(Tabel511[[#This Row],[Aantal games Alg]]=0,0,Tabel511[[#This Row],[Goals Alg]]/Tabel511[[#This Row],[Aantal games Alg]])</f>
        <v>0</v>
      </c>
      <c r="BK52" s="148">
        <f>SUMIF(Tabel152[Team Rood],Tabel511[[#This Row],[Team]],Tabel152[ET])</f>
        <v>0</v>
      </c>
      <c r="BL52" s="150">
        <f>SUMIF(Tabel152[Team Groen],Tabel511[[#This Row],[Team]],Tabel152[ET])</f>
        <v>0</v>
      </c>
      <c r="BM52" s="153">
        <f>SUM(Tabel511[[#This Row],[ET Groen tot]],Tabel511[[#This Row],[ET Rood tot]])</f>
        <v>0</v>
      </c>
      <c r="BN52" s="155">
        <f>IF(Tabel511[[#This Row],[Aantal games Alg]]=0,0,Tabel511[[#This Row],[ET tot]]/Tabel511[[#This Row],[Aantal games Alg]])</f>
        <v>0</v>
      </c>
    </row>
    <row r="53" spans="1:66" x14ac:dyDescent="0.25">
      <c r="A53" s="215" t="str">
        <f ca="1">IF(Tabel152[[#This Row],[Rood Verdediging]]&lt;&gt;"",IF(A53="",NOW(),A53),"")</f>
        <v/>
      </c>
      <c r="B53" s="218" t="str">
        <f ca="1">IF(Tabel152[[#This Row],[Rood Verdediging]]&lt;&gt;"",IF(B53="",NOW(),B53),"")</f>
        <v/>
      </c>
      <c r="C53" s="216" t="str">
        <f ca="1">IF(Tabel152[[#This Row],[Score]]&lt;&gt;"",IF(C53="",NOW(),C53),"")</f>
        <v/>
      </c>
      <c r="D53" s="217" t="str">
        <f ca="1">IF(OR(Tabel152[[#This Row],[Starttijd]]="",Tabel152[[#This Row],[Eindtijd]]=""),"",Tabel152[[#This Row],[Eindtijd]]-Tabel152[[#This Row],[Starttijd]])</f>
        <v/>
      </c>
      <c r="E53" s="74">
        <v>52</v>
      </c>
      <c r="F53" s="205"/>
      <c r="G53" s="210"/>
      <c r="H53" s="205"/>
      <c r="I53" s="210"/>
      <c r="J53" s="206"/>
      <c r="K53" s="212"/>
      <c r="L53" s="206"/>
      <c r="M53" s="212"/>
      <c r="N53" s="79">
        <f>Tabel152[[#This Row],[Score]]+Tabel152[[#This Row],[Score2]]</f>
        <v>0</v>
      </c>
      <c r="O53" s="80">
        <f>Tabel152[[#This Row],[Score3]]+Tabel152[[#This Row],[Score4]]</f>
        <v>0</v>
      </c>
      <c r="P5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Row],[Score4]]&lt;&gt;""),IF(AND(N53&gt;O53,N53&gt;=11),"ROOD",IF(AND(O53&gt;=11,N53&lt;&gt;O53),"GROEN","")),"")</f>
        <v/>
      </c>
      <c r="Q53" s="84">
        <f t="shared" si="12"/>
        <v>0</v>
      </c>
      <c r="R53" s="85">
        <f t="shared" si="13"/>
        <v>0</v>
      </c>
      <c r="S53" s="293" t="str">
        <f>Tabel152[[#This Row],[Rood Verdediging]]&amp;Tabel152[[#This Row],[Rood Aanval]]</f>
        <v/>
      </c>
      <c r="T53" s="293" t="str">
        <f>Tabel152[[#This Row],[Groen Verdediging]]&amp;Tabel152[[#This Row],[Groen Aanval]]</f>
        <v/>
      </c>
      <c r="U53" s="293" t="str">
        <f>Tabel152[[#This Row],[Winnaar 1]]&amp;Tabel152[[#This Row],[Winnaar 2]]</f>
        <v>00</v>
      </c>
      <c r="V53" s="147" t="b">
        <f>IF(Tabel152[[#This Row],[Team Rood]]=Tabel152[[#This Row],[Winnaars]],Tabel152[[#This Row],[Team Rood]])</f>
        <v>0</v>
      </c>
      <c r="W53" s="147" t="b">
        <f>IF(Tabel152[[#This Row],[Team Groen]]=Tabel152[[#This Row],[Winnaars]],Tabel152[[#This Row],[Team Groen]])</f>
        <v>0</v>
      </c>
      <c r="X53" s="283"/>
      <c r="Y53" s="283"/>
      <c r="Z53" s="283"/>
      <c r="AA53" s="283"/>
      <c r="AL53" s="251" t="s">
        <v>164</v>
      </c>
      <c r="AM53" s="233" t="s">
        <v>159</v>
      </c>
      <c r="AN53" s="140" t="str">
        <f t="shared" si="6"/>
        <v>Karel*Jonas*</v>
      </c>
      <c r="AO53" s="160">
        <f>IF(Tabel511[[#This Row],[Aantal Games Rood]]=0,0,(Tabel511[[#This Row],[Wins Rood]])/Tabel511[[#This Row],[Aantal Games Rood]])</f>
        <v>0</v>
      </c>
      <c r="AP53" s="159">
        <f>IF(Tabel511[[#This Row],[Aantal Games Groen]]=0,0,(Tabel511[[#This Row],[Wins Groen]])/Tabel511[[#This Row],[Aantal Games Groen]])</f>
        <v>0</v>
      </c>
      <c r="AQ53" s="156">
        <f>IF(Tabel511[[#This Row],[Aantal games Alg]]=0,0,(Tabel511[[#This Row],[Wins Alg]])/Tabel511[[#This Row],[Aantal games Alg]])</f>
        <v>0</v>
      </c>
      <c r="AR53" s="133">
        <f>COUNTIF(Tabel152[Winaar rood],Tabel511[[#This Row],[Team]])</f>
        <v>0</v>
      </c>
      <c r="AS53" s="134">
        <f>COUNTIF(Tabel152[Winnaar Groen],Tabel511[[#This Row],[Team]])</f>
        <v>0</v>
      </c>
      <c r="AT53" s="293">
        <f>COUNTIF(Tabel152[Winnaars],Tabel511[[#This Row],[Team]])</f>
        <v>0</v>
      </c>
      <c r="AU53" s="135">
        <f>Tabel511[[#This Row],[Aantal Games Rood]]-Tabel511[[#This Row],[Wins Rood]]</f>
        <v>0</v>
      </c>
      <c r="AV53" s="136">
        <f>Tabel511[[#This Row],[Aantal Games Groen]]-Tabel511[[#This Row],[Wins Groen]]</f>
        <v>1</v>
      </c>
      <c r="AW53" s="137">
        <f>Tabel511[[#This Row],[Aantal games Alg]]-Tabel511[[#This Row],[Wins Alg]]</f>
        <v>1</v>
      </c>
      <c r="AX53" s="138">
        <f>COUNTIF(Tabel152[Team Rood],Tabel511[[#This Row],[Team]])</f>
        <v>0</v>
      </c>
      <c r="AY53" s="136">
        <f>COUNTIF(Tabel152[Team Groen],Tabel511[[#This Row],[Team]])</f>
        <v>1</v>
      </c>
      <c r="AZ53" s="214">
        <f>Tabel511[[#This Row],[Aantal Games Rood]]+Tabel511[[#This Row],[Aantal Games Groen]]</f>
        <v>1</v>
      </c>
      <c r="BA53" s="138">
        <f>SUMIF(Tabel152[Team Rood],Tabel511[[#This Row],[Team]],Tabel152[Score])</f>
        <v>0</v>
      </c>
      <c r="BB53" s="138">
        <f>SUMIF(Tabel152[Team Rood],Tabel511[[#This Row],[Team]],Tabel152[Score2])</f>
        <v>0</v>
      </c>
      <c r="BC53" s="134">
        <f>SUMIF(Tabel152[Team Groen],Tabel511[[#This Row],[Team]],Tabel152[Score3])</f>
        <v>4</v>
      </c>
      <c r="BD53" s="136">
        <f>SUMIF(Tabel152[Team Groen],Tabel511[[#This Row],[Team]],Tabel152[Score4])</f>
        <v>7</v>
      </c>
      <c r="BE53" s="293">
        <f>SUM(Tabel511[[#This Row],[Goals Verdediger]]+Tabel511[[#This Row],[Goals DefG]])</f>
        <v>4</v>
      </c>
      <c r="BF53" s="293">
        <f>IF(Tabel511[[#This Row],[Aantal games Alg]]=0,0,Tabel511[[#This Row],[Goals DefA]]/Tabel511[[#This Row],[Aantal games Alg]])</f>
        <v>4</v>
      </c>
      <c r="BG53" s="293">
        <f>SUM(Tabel511[[#This Row],[Goals Aanvaller]]+Tabel511[[#This Row],[Goals OffG]])</f>
        <v>7</v>
      </c>
      <c r="BH53" s="293">
        <f>IF(Tabel511[[#This Row],[Aantal games Alg]]=0,0,Tabel511[[#This Row],[Goals OffA]]/Tabel511[[#This Row],[Aantal games Alg]])</f>
        <v>7</v>
      </c>
      <c r="BI53" s="214">
        <f>Tabel511[[#This Row],[Goals DefA]]+Tabel511[[#This Row],[Goals OffA]]</f>
        <v>11</v>
      </c>
      <c r="BJ53" s="214">
        <f>IF(Tabel511[[#This Row],[Aantal games Alg]]=0,0,Tabel511[[#This Row],[Goals Alg]]/Tabel511[[#This Row],[Aantal games Alg]])</f>
        <v>11</v>
      </c>
      <c r="BK53" s="148">
        <f>SUMIF(Tabel152[Team Rood],Tabel511[[#This Row],[Team]],Tabel152[ET])</f>
        <v>0</v>
      </c>
      <c r="BL53" s="150">
        <f ca="1">SUMIF(Tabel152[Team Groen],Tabel511[[#This Row],[Team]],Tabel152[ET])</f>
        <v>8.8310182036366314E-5</v>
      </c>
      <c r="BM53" s="153">
        <f ca="1">SUM(Tabel511[[#This Row],[ET Groen tot]],Tabel511[[#This Row],[ET Rood tot]])</f>
        <v>8.8310182036366314E-5</v>
      </c>
      <c r="BN53" s="155">
        <f ca="1">IF(Tabel511[[#This Row],[Aantal games Alg]]=0,0,Tabel511[[#This Row],[ET tot]]/Tabel511[[#This Row],[Aantal games Alg]])</f>
        <v>8.8310182036366314E-5</v>
      </c>
    </row>
    <row r="54" spans="1:66" x14ac:dyDescent="0.25">
      <c r="A54" s="215" t="str">
        <f ca="1">IF(Tabel152[[#This Row],[Rood Verdediging]]&lt;&gt;"",IF(A54="",NOW(),A54),"")</f>
        <v/>
      </c>
      <c r="B54" s="218" t="str">
        <f ca="1">IF(Tabel152[[#This Row],[Rood Verdediging]]&lt;&gt;"",IF(B54="",NOW(),B54),"")</f>
        <v/>
      </c>
      <c r="C54" s="216" t="str">
        <f ca="1">IF(Tabel152[[#This Row],[Score]]&lt;&gt;"",IF(C54="",NOW(),C54),"")</f>
        <v/>
      </c>
      <c r="D54" s="217" t="str">
        <f ca="1">IF(OR(Tabel152[[#This Row],[Starttijd]]="",Tabel152[[#This Row],[Eindtijd]]=""),"",Tabel152[[#This Row],[Eindtijd]]-Tabel152[[#This Row],[Starttijd]])</f>
        <v/>
      </c>
      <c r="E54" s="74">
        <v>53</v>
      </c>
      <c r="F54" s="205"/>
      <c r="G54" s="210"/>
      <c r="H54" s="205"/>
      <c r="I54" s="210"/>
      <c r="J54" s="206"/>
      <c r="K54" s="212"/>
      <c r="L54" s="206"/>
      <c r="M54" s="212"/>
      <c r="N54" s="79">
        <f>Tabel152[[#This Row],[Score]]+Tabel152[[#This Row],[Score2]]</f>
        <v>0</v>
      </c>
      <c r="O54" s="80">
        <f>Tabel152[[#This Row],[Score3]]+Tabel152[[#This Row],[Score4]]</f>
        <v>0</v>
      </c>
      <c r="P5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Row],[Score4]]&lt;&gt;""),IF(AND(N54&gt;O54,N54&gt;=11),"ROOD",IF(AND(O54&gt;=11,N54&lt;&gt;O54),"GROEN","")),"")</f>
        <v/>
      </c>
      <c r="Q54" s="84">
        <f t="shared" si="12"/>
        <v>0</v>
      </c>
      <c r="R54" s="85">
        <f t="shared" si="13"/>
        <v>0</v>
      </c>
      <c r="S54" s="293" t="str">
        <f>Tabel152[[#This Row],[Rood Verdediging]]&amp;Tabel152[[#This Row],[Rood Aanval]]</f>
        <v/>
      </c>
      <c r="T54" s="293" t="str">
        <f>Tabel152[[#This Row],[Groen Verdediging]]&amp;Tabel152[[#This Row],[Groen Aanval]]</f>
        <v/>
      </c>
      <c r="U54" s="293" t="str">
        <f>Tabel152[[#This Row],[Winnaar 1]]&amp;Tabel152[[#This Row],[Winnaar 2]]</f>
        <v>00</v>
      </c>
      <c r="V54" s="147" t="b">
        <f>IF(Tabel152[[#This Row],[Team Rood]]=Tabel152[[#This Row],[Winnaars]],Tabel152[[#This Row],[Team Rood]])</f>
        <v>0</v>
      </c>
      <c r="W54" s="147" t="b">
        <f>IF(Tabel152[[#This Row],[Team Groen]]=Tabel152[[#This Row],[Winnaars]],Tabel152[[#This Row],[Team Groen]])</f>
        <v>0</v>
      </c>
      <c r="X54" s="283"/>
      <c r="Y54" s="283"/>
      <c r="Z54" s="283"/>
      <c r="AA54" s="283"/>
      <c r="AL54" s="251" t="s">
        <v>164</v>
      </c>
      <c r="AM54" s="233" t="s">
        <v>67</v>
      </c>
      <c r="AN54" s="140" t="str">
        <f t="shared" si="6"/>
        <v>Karel*Lawrence</v>
      </c>
      <c r="AO54" s="160">
        <f>IF(Tabel511[[#This Row],[Aantal Games Rood]]=0,0,(Tabel511[[#This Row],[Wins Rood]])/Tabel511[[#This Row],[Aantal Games Rood]])</f>
        <v>0</v>
      </c>
      <c r="AP54" s="159">
        <f>IF(Tabel511[[#This Row],[Aantal Games Groen]]=0,0,(Tabel511[[#This Row],[Wins Groen]])/Tabel511[[#This Row],[Aantal Games Groen]])</f>
        <v>0</v>
      </c>
      <c r="AQ54" s="156">
        <f>IF(Tabel511[[#This Row],[Aantal games Alg]]=0,0,(Tabel511[[#This Row],[Wins Alg]])/Tabel511[[#This Row],[Aantal games Alg]])</f>
        <v>0</v>
      </c>
      <c r="AR54" s="133">
        <f>COUNTIF(Tabel152[Winaar rood],Tabel511[[#This Row],[Team]])</f>
        <v>0</v>
      </c>
      <c r="AS54" s="134">
        <f>COUNTIF(Tabel152[Winnaar Groen],Tabel511[[#This Row],[Team]])</f>
        <v>0</v>
      </c>
      <c r="AT54" s="293">
        <f>COUNTIF(Tabel152[Winnaars],Tabel511[[#This Row],[Team]])</f>
        <v>0</v>
      </c>
      <c r="AU54" s="135">
        <f>Tabel511[[#This Row],[Aantal Games Rood]]-Tabel511[[#This Row],[Wins Rood]]</f>
        <v>0</v>
      </c>
      <c r="AV54" s="136">
        <f>Tabel511[[#This Row],[Aantal Games Groen]]-Tabel511[[#This Row],[Wins Groen]]</f>
        <v>0</v>
      </c>
      <c r="AW54" s="137">
        <f>Tabel511[[#This Row],[Aantal games Alg]]-Tabel511[[#This Row],[Wins Alg]]</f>
        <v>0</v>
      </c>
      <c r="AX54" s="138">
        <f>COUNTIF(Tabel152[Team Rood],Tabel511[[#This Row],[Team]])</f>
        <v>0</v>
      </c>
      <c r="AY54" s="136">
        <f>COUNTIF(Tabel152[Team Groen],Tabel511[[#This Row],[Team]])</f>
        <v>0</v>
      </c>
      <c r="AZ54" s="214">
        <f>Tabel511[[#This Row],[Aantal Games Rood]]+Tabel511[[#This Row],[Aantal Games Groen]]</f>
        <v>0</v>
      </c>
      <c r="BA54" s="138">
        <f>SUMIF(Tabel152[Team Rood],Tabel511[[#This Row],[Team]],Tabel152[Score])</f>
        <v>0</v>
      </c>
      <c r="BB54" s="138">
        <f>SUMIF(Tabel152[Team Rood],Tabel511[[#This Row],[Team]],Tabel152[Score2])</f>
        <v>0</v>
      </c>
      <c r="BC54" s="134">
        <f>SUMIF(Tabel152[Team Groen],Tabel511[[#This Row],[Team]],Tabel152[Score3])</f>
        <v>0</v>
      </c>
      <c r="BD54" s="136">
        <f>SUMIF(Tabel152[Team Groen],Tabel511[[#This Row],[Team]],Tabel152[Score4])</f>
        <v>0</v>
      </c>
      <c r="BE54" s="293">
        <f>SUM(Tabel511[[#This Row],[Goals Verdediger]]+Tabel511[[#This Row],[Goals DefG]])</f>
        <v>0</v>
      </c>
      <c r="BF54" s="293">
        <f>IF(Tabel511[[#This Row],[Aantal games Alg]]=0,0,Tabel511[[#This Row],[Goals DefA]]/Tabel511[[#This Row],[Aantal games Alg]])</f>
        <v>0</v>
      </c>
      <c r="BG54" s="293">
        <f>SUM(Tabel511[[#This Row],[Goals Aanvaller]]+Tabel511[[#This Row],[Goals OffG]])</f>
        <v>0</v>
      </c>
      <c r="BH54" s="293">
        <f>IF(Tabel511[[#This Row],[Aantal games Alg]]=0,0,Tabel511[[#This Row],[Goals OffA]]/Tabel511[[#This Row],[Aantal games Alg]])</f>
        <v>0</v>
      </c>
      <c r="BI54" s="214">
        <f>Tabel511[[#This Row],[Goals DefA]]+Tabel511[[#This Row],[Goals OffA]]</f>
        <v>0</v>
      </c>
      <c r="BJ54" s="214">
        <f>IF(Tabel511[[#This Row],[Aantal games Alg]]=0,0,Tabel511[[#This Row],[Goals Alg]]/Tabel511[[#This Row],[Aantal games Alg]])</f>
        <v>0</v>
      </c>
      <c r="BK54" s="148">
        <f>SUMIF(Tabel152[Team Rood],Tabel511[[#This Row],[Team]],Tabel152[ET])</f>
        <v>0</v>
      </c>
      <c r="BL54" s="150">
        <f>SUMIF(Tabel152[Team Groen],Tabel511[[#This Row],[Team]],Tabel152[ET])</f>
        <v>0</v>
      </c>
      <c r="BM54" s="153">
        <f>SUM(Tabel511[[#This Row],[ET Groen tot]],Tabel511[[#This Row],[ET Rood tot]])</f>
        <v>0</v>
      </c>
      <c r="BN54" s="155">
        <f>IF(Tabel511[[#This Row],[Aantal games Alg]]=0,0,Tabel511[[#This Row],[ET tot]]/Tabel511[[#This Row],[Aantal games Alg]])</f>
        <v>0</v>
      </c>
    </row>
    <row r="55" spans="1:66" x14ac:dyDescent="0.25">
      <c r="A55" s="215" t="str">
        <f ca="1">IF(Tabel152[[#This Row],[Rood Verdediging]]&lt;&gt;"",IF(A55="",NOW(),A55),"")</f>
        <v/>
      </c>
      <c r="B55" s="218" t="str">
        <f ca="1">IF(Tabel152[[#This Row],[Rood Verdediging]]&lt;&gt;"",IF(B55="",NOW(),B55),"")</f>
        <v/>
      </c>
      <c r="C55" s="216" t="str">
        <f ca="1">IF(Tabel152[[#This Row],[Score]]&lt;&gt;"",IF(C55="",NOW(),C55),"")</f>
        <v/>
      </c>
      <c r="D55" s="217" t="str">
        <f ca="1">IF(OR(Tabel152[[#This Row],[Starttijd]]="",Tabel152[[#This Row],[Eindtijd]]=""),"",Tabel152[[#This Row],[Eindtijd]]-Tabel152[[#This Row],[Starttijd]])</f>
        <v/>
      </c>
      <c r="E55" s="74">
        <v>54</v>
      </c>
      <c r="F55" s="205"/>
      <c r="G55" s="210"/>
      <c r="H55" s="205"/>
      <c r="I55" s="210"/>
      <c r="J55" s="206"/>
      <c r="K55" s="212"/>
      <c r="L55" s="206"/>
      <c r="M55" s="212"/>
      <c r="N55" s="79">
        <f>Tabel152[[#This Row],[Score]]+Tabel152[[#This Row],[Score2]]</f>
        <v>0</v>
      </c>
      <c r="O55" s="80">
        <f>Tabel152[[#This Row],[Score3]]+Tabel152[[#This Row],[Score4]]</f>
        <v>0</v>
      </c>
      <c r="P5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Row],[Score4]]&lt;&gt;""),IF(AND(N55&gt;O55,N55&gt;=11),"ROOD",IF(AND(O55&gt;=11,N55&lt;&gt;O55),"GROEN","")),"")</f>
        <v/>
      </c>
      <c r="Q55" s="84">
        <f t="shared" si="12"/>
        <v>0</v>
      </c>
      <c r="R55" s="85">
        <f t="shared" si="13"/>
        <v>0</v>
      </c>
      <c r="S55" s="293" t="str">
        <f>Tabel152[[#This Row],[Rood Verdediging]]&amp;Tabel152[[#This Row],[Rood Aanval]]</f>
        <v/>
      </c>
      <c r="T55" s="293" t="str">
        <f>Tabel152[[#This Row],[Groen Verdediging]]&amp;Tabel152[[#This Row],[Groen Aanval]]</f>
        <v/>
      </c>
      <c r="U55" s="293" t="str">
        <f>Tabel152[[#This Row],[Winnaar 1]]&amp;Tabel152[[#This Row],[Winnaar 2]]</f>
        <v>00</v>
      </c>
      <c r="V55" s="147" t="b">
        <f>IF(Tabel152[[#This Row],[Team Rood]]=Tabel152[[#This Row],[Winnaars]],Tabel152[[#This Row],[Team Rood]])</f>
        <v>0</v>
      </c>
      <c r="W55" s="147" t="b">
        <f>IF(Tabel152[[#This Row],[Team Groen]]=Tabel152[[#This Row],[Winnaars]],Tabel152[[#This Row],[Team Groen]])</f>
        <v>0</v>
      </c>
      <c r="X55" s="283"/>
      <c r="Y55" s="283"/>
      <c r="Z55" s="283"/>
      <c r="AA55" s="283"/>
      <c r="AL55" s="251" t="s">
        <v>164</v>
      </c>
      <c r="AM55" s="233" t="s">
        <v>161</v>
      </c>
      <c r="AN55" s="140" t="str">
        <f t="shared" si="6"/>
        <v>Karel*Louis*</v>
      </c>
      <c r="AO55" s="160">
        <f>IF(Tabel511[[#This Row],[Aantal Games Rood]]=0,0,(Tabel511[[#This Row],[Wins Rood]])/Tabel511[[#This Row],[Aantal Games Rood]])</f>
        <v>0</v>
      </c>
      <c r="AP55" s="159">
        <f>IF(Tabel511[[#This Row],[Aantal Games Groen]]=0,0,(Tabel511[[#This Row],[Wins Groen]])/Tabel511[[#This Row],[Aantal Games Groen]])</f>
        <v>0</v>
      </c>
      <c r="AQ55" s="156">
        <f>IF(Tabel511[[#This Row],[Aantal games Alg]]=0,0,(Tabel511[[#This Row],[Wins Alg]])/Tabel511[[#This Row],[Aantal games Alg]])</f>
        <v>0</v>
      </c>
      <c r="AR55" s="133">
        <f>COUNTIF(Tabel152[Winaar rood],Tabel511[[#This Row],[Team]])</f>
        <v>0</v>
      </c>
      <c r="AS55" s="134">
        <f>COUNTIF(Tabel152[Winnaar Groen],Tabel511[[#This Row],[Team]])</f>
        <v>0</v>
      </c>
      <c r="AT55" s="293">
        <f>COUNTIF(Tabel152[Winnaars],Tabel511[[#This Row],[Team]])</f>
        <v>0</v>
      </c>
      <c r="AU55" s="135">
        <f>Tabel511[[#This Row],[Aantal Games Rood]]-Tabel511[[#This Row],[Wins Rood]]</f>
        <v>0</v>
      </c>
      <c r="AV55" s="136">
        <f>Tabel511[[#This Row],[Aantal Games Groen]]-Tabel511[[#This Row],[Wins Groen]]</f>
        <v>0</v>
      </c>
      <c r="AW55" s="137">
        <f>Tabel511[[#This Row],[Aantal games Alg]]-Tabel511[[#This Row],[Wins Alg]]</f>
        <v>0</v>
      </c>
      <c r="AX55" s="138">
        <f>COUNTIF(Tabel152[Team Rood],Tabel511[[#This Row],[Team]])</f>
        <v>0</v>
      </c>
      <c r="AY55" s="136">
        <f>COUNTIF(Tabel152[Team Groen],Tabel511[[#This Row],[Team]])</f>
        <v>0</v>
      </c>
      <c r="AZ55" s="214">
        <f>Tabel511[[#This Row],[Aantal Games Rood]]+Tabel511[[#This Row],[Aantal Games Groen]]</f>
        <v>0</v>
      </c>
      <c r="BA55" s="138">
        <f>SUMIF(Tabel152[Team Rood],Tabel511[[#This Row],[Team]],Tabel152[Score])</f>
        <v>0</v>
      </c>
      <c r="BB55" s="138">
        <f>SUMIF(Tabel152[Team Rood],Tabel511[[#This Row],[Team]],Tabel152[Score2])</f>
        <v>0</v>
      </c>
      <c r="BC55" s="134">
        <f>SUMIF(Tabel152[Team Groen],Tabel511[[#This Row],[Team]],Tabel152[Score3])</f>
        <v>0</v>
      </c>
      <c r="BD55" s="136">
        <f>SUMIF(Tabel152[Team Groen],Tabel511[[#This Row],[Team]],Tabel152[Score4])</f>
        <v>0</v>
      </c>
      <c r="BE55" s="293">
        <f>SUM(Tabel511[[#This Row],[Goals Verdediger]]+Tabel511[[#This Row],[Goals DefG]])</f>
        <v>0</v>
      </c>
      <c r="BF55" s="293">
        <f>IF(Tabel511[[#This Row],[Aantal games Alg]]=0,0,Tabel511[[#This Row],[Goals DefA]]/Tabel511[[#This Row],[Aantal games Alg]])</f>
        <v>0</v>
      </c>
      <c r="BG55" s="293">
        <f>SUM(Tabel511[[#This Row],[Goals Aanvaller]]+Tabel511[[#This Row],[Goals OffG]])</f>
        <v>0</v>
      </c>
      <c r="BH55" s="293">
        <f>IF(Tabel511[[#This Row],[Aantal games Alg]]=0,0,Tabel511[[#This Row],[Goals OffA]]/Tabel511[[#This Row],[Aantal games Alg]])</f>
        <v>0</v>
      </c>
      <c r="BI55" s="214">
        <f>Tabel511[[#This Row],[Goals DefA]]+Tabel511[[#This Row],[Goals OffA]]</f>
        <v>0</v>
      </c>
      <c r="BJ55" s="214">
        <f>IF(Tabel511[[#This Row],[Aantal games Alg]]=0,0,Tabel511[[#This Row],[Goals Alg]]/Tabel511[[#This Row],[Aantal games Alg]])</f>
        <v>0</v>
      </c>
      <c r="BK55" s="148">
        <f>SUMIF(Tabel152[Team Rood],Tabel511[[#This Row],[Team]],Tabel152[ET])</f>
        <v>0</v>
      </c>
      <c r="BL55" s="150">
        <f>SUMIF(Tabel152[Team Groen],Tabel511[[#This Row],[Team]],Tabel152[ET])</f>
        <v>0</v>
      </c>
      <c r="BM55" s="153">
        <f>SUM(Tabel511[[#This Row],[ET Groen tot]],Tabel511[[#This Row],[ET Rood tot]])</f>
        <v>0</v>
      </c>
      <c r="BN55" s="155">
        <f>IF(Tabel511[[#This Row],[Aantal games Alg]]=0,0,Tabel511[[#This Row],[ET tot]]/Tabel511[[#This Row],[Aantal games Alg]])</f>
        <v>0</v>
      </c>
    </row>
    <row r="56" spans="1:66" x14ac:dyDescent="0.25">
      <c r="A56" s="215" t="str">
        <f ca="1">IF(Tabel152[[#This Row],[Rood Verdediging]]&lt;&gt;"",IF(A56="",NOW(),A56),"")</f>
        <v/>
      </c>
      <c r="B56" s="218" t="str">
        <f ca="1">IF(Tabel152[[#This Row],[Rood Verdediging]]&lt;&gt;"",IF(B56="",NOW(),B56),"")</f>
        <v/>
      </c>
      <c r="C56" s="216" t="str">
        <f ca="1">IF(Tabel152[[#This Row],[Score]]&lt;&gt;"",IF(C56="",NOW(),C56),"")</f>
        <v/>
      </c>
      <c r="D56" s="217" t="str">
        <f ca="1">IF(OR(Tabel152[[#This Row],[Starttijd]]="",Tabel152[[#This Row],[Eindtijd]]=""),"",Tabel152[[#This Row],[Eindtijd]]-Tabel152[[#This Row],[Starttijd]])</f>
        <v/>
      </c>
      <c r="E56" s="74">
        <v>55</v>
      </c>
      <c r="F56" s="205"/>
      <c r="G56" s="210"/>
      <c r="H56" s="205"/>
      <c r="I56" s="210"/>
      <c r="J56" s="206"/>
      <c r="K56" s="212"/>
      <c r="L56" s="206"/>
      <c r="M56" s="212"/>
      <c r="N56" s="79">
        <f>Tabel152[[#This Row],[Score]]+Tabel152[[#This Row],[Score2]]</f>
        <v>0</v>
      </c>
      <c r="O56" s="80">
        <f>Tabel152[[#This Row],[Score3]]+Tabel152[[#This Row],[Score4]]</f>
        <v>0</v>
      </c>
      <c r="P5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Row],[Score4]]&lt;&gt;""),IF(AND(N56&gt;O56,N56&gt;=11),"ROOD",IF(AND(O56&gt;=11,N56&lt;&gt;O56),"GROEN","")),"")</f>
        <v/>
      </c>
      <c r="Q56" s="84">
        <f t="shared" si="12"/>
        <v>0</v>
      </c>
      <c r="R56" s="85">
        <f t="shared" si="13"/>
        <v>0</v>
      </c>
      <c r="S56" s="293" t="str">
        <f>Tabel152[[#This Row],[Rood Verdediging]]&amp;Tabel152[[#This Row],[Rood Aanval]]</f>
        <v/>
      </c>
      <c r="T56" s="293" t="str">
        <f>Tabel152[[#This Row],[Groen Verdediging]]&amp;Tabel152[[#This Row],[Groen Aanval]]</f>
        <v/>
      </c>
      <c r="U56" s="293" t="str">
        <f>Tabel152[[#This Row],[Winnaar 1]]&amp;Tabel152[[#This Row],[Winnaar 2]]</f>
        <v>00</v>
      </c>
      <c r="V56" s="147" t="b">
        <f>IF(Tabel152[[#This Row],[Team Rood]]=Tabel152[[#This Row],[Winnaars]],Tabel152[[#This Row],[Team Rood]])</f>
        <v>0</v>
      </c>
      <c r="W56" s="147" t="b">
        <f>IF(Tabel152[[#This Row],[Team Groen]]=Tabel152[[#This Row],[Winnaars]],Tabel152[[#This Row],[Team Groen]])</f>
        <v>0</v>
      </c>
      <c r="X56" s="283"/>
      <c r="Y56" s="283"/>
      <c r="Z56" s="283"/>
      <c r="AA56" s="283"/>
      <c r="AL56" s="251" t="s">
        <v>164</v>
      </c>
      <c r="AM56" s="233" t="s">
        <v>162</v>
      </c>
      <c r="AN56" s="140" t="str">
        <f t="shared" si="6"/>
        <v>Karel*Matthijs*</v>
      </c>
      <c r="AO56" s="160">
        <f>IF(Tabel511[[#This Row],[Aantal Games Rood]]=0,0,(Tabel511[[#This Row],[Wins Rood]])/Tabel511[[#This Row],[Aantal Games Rood]])</f>
        <v>0</v>
      </c>
      <c r="AP56" s="159">
        <f>IF(Tabel511[[#This Row],[Aantal Games Groen]]=0,0,(Tabel511[[#This Row],[Wins Groen]])/Tabel511[[#This Row],[Aantal Games Groen]])</f>
        <v>0</v>
      </c>
      <c r="AQ56" s="156">
        <f>IF(Tabel511[[#This Row],[Aantal games Alg]]=0,0,(Tabel511[[#This Row],[Wins Alg]])/Tabel511[[#This Row],[Aantal games Alg]])</f>
        <v>0</v>
      </c>
      <c r="AR56" s="133">
        <f>COUNTIF(Tabel152[Winaar rood],Tabel511[[#This Row],[Team]])</f>
        <v>0</v>
      </c>
      <c r="AS56" s="134">
        <f>COUNTIF(Tabel152[Winnaar Groen],Tabel511[[#This Row],[Team]])</f>
        <v>0</v>
      </c>
      <c r="AT56" s="293">
        <f>COUNTIF(Tabel152[Winnaars],Tabel511[[#This Row],[Team]])</f>
        <v>0</v>
      </c>
      <c r="AU56" s="135">
        <f>Tabel511[[#This Row],[Aantal Games Rood]]-Tabel511[[#This Row],[Wins Rood]]</f>
        <v>1</v>
      </c>
      <c r="AV56" s="136">
        <f>Tabel511[[#This Row],[Aantal Games Groen]]-Tabel511[[#This Row],[Wins Groen]]</f>
        <v>0</v>
      </c>
      <c r="AW56" s="137">
        <f>Tabel511[[#This Row],[Aantal games Alg]]-Tabel511[[#This Row],[Wins Alg]]</f>
        <v>1</v>
      </c>
      <c r="AX56" s="138">
        <f>COUNTIF(Tabel152[Team Rood],Tabel511[[#This Row],[Team]])</f>
        <v>1</v>
      </c>
      <c r="AY56" s="136">
        <f>COUNTIF(Tabel152[Team Groen],Tabel511[[#This Row],[Team]])</f>
        <v>0</v>
      </c>
      <c r="AZ56" s="214">
        <f>Tabel511[[#This Row],[Aantal Games Rood]]+Tabel511[[#This Row],[Aantal Games Groen]]</f>
        <v>1</v>
      </c>
      <c r="BA56" s="138">
        <f>SUMIF(Tabel152[Team Rood],Tabel511[[#This Row],[Team]],Tabel152[Score])</f>
        <v>4</v>
      </c>
      <c r="BB56" s="138">
        <f>SUMIF(Tabel152[Team Rood],Tabel511[[#This Row],[Team]],Tabel152[Score2])</f>
        <v>5</v>
      </c>
      <c r="BC56" s="134">
        <f>SUMIF(Tabel152[Team Groen],Tabel511[[#This Row],[Team]],Tabel152[Score3])</f>
        <v>0</v>
      </c>
      <c r="BD56" s="136">
        <f>SUMIF(Tabel152[Team Groen],Tabel511[[#This Row],[Team]],Tabel152[Score4])</f>
        <v>0</v>
      </c>
      <c r="BE56" s="293">
        <f>SUM(Tabel511[[#This Row],[Goals Verdediger]]+Tabel511[[#This Row],[Goals DefG]])</f>
        <v>4</v>
      </c>
      <c r="BF56" s="293">
        <f>IF(Tabel511[[#This Row],[Aantal games Alg]]=0,0,Tabel511[[#This Row],[Goals DefA]]/Tabel511[[#This Row],[Aantal games Alg]])</f>
        <v>4</v>
      </c>
      <c r="BG56" s="293">
        <f>SUM(Tabel511[[#This Row],[Goals Aanvaller]]+Tabel511[[#This Row],[Goals OffG]])</f>
        <v>5</v>
      </c>
      <c r="BH56" s="293">
        <f>IF(Tabel511[[#This Row],[Aantal games Alg]]=0,0,Tabel511[[#This Row],[Goals OffA]]/Tabel511[[#This Row],[Aantal games Alg]])</f>
        <v>5</v>
      </c>
      <c r="BI56" s="214">
        <f>Tabel511[[#This Row],[Goals DefA]]+Tabel511[[#This Row],[Goals OffA]]</f>
        <v>9</v>
      </c>
      <c r="BJ56" s="214">
        <f>IF(Tabel511[[#This Row],[Aantal games Alg]]=0,0,Tabel511[[#This Row],[Goals Alg]]/Tabel511[[#This Row],[Aantal games Alg]])</f>
        <v>9</v>
      </c>
      <c r="BK56" s="148">
        <f ca="1">SUMIF(Tabel152[Team Rood],Tabel511[[#This Row],[Team]],Tabel152[ET])</f>
        <v>2.2916668967809528E-5</v>
      </c>
      <c r="BL56" s="150">
        <f>SUMIF(Tabel152[Team Groen],Tabel511[[#This Row],[Team]],Tabel152[ET])</f>
        <v>0</v>
      </c>
      <c r="BM56" s="153">
        <f ca="1">SUM(Tabel511[[#This Row],[ET Groen tot]],Tabel511[[#This Row],[ET Rood tot]])</f>
        <v>2.2916668967809528E-5</v>
      </c>
      <c r="BN56" s="155">
        <f ca="1">IF(Tabel511[[#This Row],[Aantal games Alg]]=0,0,Tabel511[[#This Row],[ET tot]]/Tabel511[[#This Row],[Aantal games Alg]])</f>
        <v>2.2916668967809528E-5</v>
      </c>
    </row>
    <row r="57" spans="1:66" x14ac:dyDescent="0.25">
      <c r="A57" s="215" t="str">
        <f ca="1">IF(Tabel152[[#This Row],[Rood Verdediging]]&lt;&gt;"",IF(A57="",NOW(),A57),"")</f>
        <v/>
      </c>
      <c r="B57" s="218" t="str">
        <f ca="1">IF(Tabel152[[#This Row],[Rood Verdediging]]&lt;&gt;"",IF(B57="",NOW(),B57),"")</f>
        <v/>
      </c>
      <c r="C57" s="216" t="str">
        <f ca="1">IF(Tabel152[[#This Row],[Score]]&lt;&gt;"",IF(C57="",NOW(),C57),"")</f>
        <v/>
      </c>
      <c r="D57" s="217" t="str">
        <f ca="1">IF(OR(Tabel152[[#This Row],[Starttijd]]="",Tabel152[[#This Row],[Eindtijd]]=""),"",Tabel152[[#This Row],[Eindtijd]]-Tabel152[[#This Row],[Starttijd]])</f>
        <v/>
      </c>
      <c r="E57" s="74">
        <v>56</v>
      </c>
      <c r="F57" s="205"/>
      <c r="G57" s="210"/>
      <c r="H57" s="205"/>
      <c r="I57" s="210"/>
      <c r="J57" s="206"/>
      <c r="K57" s="212"/>
      <c r="L57" s="206"/>
      <c r="M57" s="212"/>
      <c r="N57" s="79">
        <f>Tabel152[[#This Row],[Score]]+Tabel152[[#This Row],[Score2]]</f>
        <v>0</v>
      </c>
      <c r="O57" s="80">
        <f>Tabel152[[#This Row],[Score3]]+Tabel152[[#This Row],[Score4]]</f>
        <v>0</v>
      </c>
      <c r="P5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Row],[Score4]]&lt;&gt;""),IF(AND(N57&gt;O57,N57&gt;=11),"ROOD",IF(AND(O57&gt;=11,N57&lt;&gt;O57),"GROEN","")),"")</f>
        <v/>
      </c>
      <c r="Q57" s="84">
        <f t="shared" si="12"/>
        <v>0</v>
      </c>
      <c r="R57" s="85">
        <f t="shared" si="13"/>
        <v>0</v>
      </c>
      <c r="S57" s="293" t="str">
        <f>Tabel152[[#This Row],[Rood Verdediging]]&amp;Tabel152[[#This Row],[Rood Aanval]]</f>
        <v/>
      </c>
      <c r="T57" s="293" t="str">
        <f>Tabel152[[#This Row],[Groen Verdediging]]&amp;Tabel152[[#This Row],[Groen Aanval]]</f>
        <v/>
      </c>
      <c r="U57" s="293" t="str">
        <f>Tabel152[[#This Row],[Winnaar 1]]&amp;Tabel152[[#This Row],[Winnaar 2]]</f>
        <v>00</v>
      </c>
      <c r="V57" s="147" t="b">
        <f>IF(Tabel152[[#This Row],[Team Rood]]=Tabel152[[#This Row],[Winnaars]],Tabel152[[#This Row],[Team Rood]])</f>
        <v>0</v>
      </c>
      <c r="W57" s="147" t="b">
        <f>IF(Tabel152[[#This Row],[Team Groen]]=Tabel152[[#This Row],[Winnaars]],Tabel152[[#This Row],[Team Groen]])</f>
        <v>0</v>
      </c>
      <c r="X57" s="283"/>
      <c r="Y57" s="283"/>
      <c r="Z57" s="283"/>
      <c r="AA57" s="283"/>
      <c r="AL57" s="251" t="s">
        <v>164</v>
      </c>
      <c r="AM57" s="233" t="s">
        <v>170</v>
      </c>
      <c r="AN57" s="140" t="str">
        <f t="shared" si="6"/>
        <v>Karel*Nico*</v>
      </c>
      <c r="AO57" s="160">
        <f>IF(Tabel511[[#This Row],[Aantal Games Rood]]=0,0,(Tabel511[[#This Row],[Wins Rood]])/Tabel511[[#This Row],[Aantal Games Rood]])</f>
        <v>0</v>
      </c>
      <c r="AP57" s="159">
        <f>IF(Tabel511[[#This Row],[Aantal Games Groen]]=0,0,(Tabel511[[#This Row],[Wins Groen]])/Tabel511[[#This Row],[Aantal Games Groen]])</f>
        <v>0</v>
      </c>
      <c r="AQ57" s="156">
        <f>IF(Tabel511[[#This Row],[Aantal games Alg]]=0,0,(Tabel511[[#This Row],[Wins Alg]])/Tabel511[[#This Row],[Aantal games Alg]])</f>
        <v>0</v>
      </c>
      <c r="AR57" s="171">
        <f>COUNTIF(Tabel152[Winaar rood],Tabel511[[#This Row],[Team]])</f>
        <v>0</v>
      </c>
      <c r="AS57" s="169">
        <f>COUNTIF(Tabel152[Winnaar Groen],Tabel511[[#This Row],[Team]])</f>
        <v>0</v>
      </c>
      <c r="AT57" s="170">
        <f>COUNTIF(Tabel152[Winnaars],Tabel511[[#This Row],[Team]])</f>
        <v>0</v>
      </c>
      <c r="AU57" s="163">
        <f>Tabel511[[#This Row],[Aantal Games Rood]]-Tabel511[[#This Row],[Wins Rood]]</f>
        <v>0</v>
      </c>
      <c r="AV57" s="169">
        <f>Tabel511[[#This Row],[Aantal Games Groen]]-Tabel511[[#This Row],[Wins Groen]]</f>
        <v>0</v>
      </c>
      <c r="AW57" s="165">
        <f>Tabel511[[#This Row],[Aantal games Alg]]-Tabel511[[#This Row],[Wins Alg]]</f>
        <v>0</v>
      </c>
      <c r="AX57" s="171">
        <f>COUNTIF(Tabel152[Team Rood],Tabel511[[#This Row],[Team]])</f>
        <v>0</v>
      </c>
      <c r="AY57" s="169">
        <f>COUNTIF(Tabel152[Team Groen],Tabel511[[#This Row],[Team]])</f>
        <v>0</v>
      </c>
      <c r="AZ57" s="170">
        <f>Tabel511[[#This Row],[Aantal Games Rood]]+Tabel511[[#This Row],[Aantal Games Groen]]</f>
        <v>0</v>
      </c>
      <c r="BA57" s="171">
        <f>SUMIF(Tabel152[Team Rood],Tabel511[[#This Row],[Team]],Tabel152[Score])</f>
        <v>0</v>
      </c>
      <c r="BB57" s="171">
        <f>SUMIF(Tabel152[Team Rood],Tabel511[[#This Row],[Team]],Tabel152[Score2])</f>
        <v>0</v>
      </c>
      <c r="BC57" s="136">
        <f>SUMIF(Tabel152[Team Groen],Tabel511[[#This Row],[Team]],Tabel152[Score3])</f>
        <v>0</v>
      </c>
      <c r="BD57" s="169">
        <f>SUMIF(Tabel152[Team Groen],Tabel511[[#This Row],[Team]],Tabel152[Score4])</f>
        <v>0</v>
      </c>
      <c r="BE57" s="172">
        <f>SUM(Tabel511[[#This Row],[Goals Verdediger]]+Tabel511[[#This Row],[Goals DefG]])</f>
        <v>0</v>
      </c>
      <c r="BF57" s="170">
        <f>IF(Tabel511[[#This Row],[Aantal games Alg]]=0,0,Tabel511[[#This Row],[Goals DefA]]/Tabel511[[#This Row],[Aantal games Alg]])</f>
        <v>0</v>
      </c>
      <c r="BG57" s="172">
        <f>SUM(Tabel511[[#This Row],[Goals Aanvaller]]+Tabel511[[#This Row],[Goals OffG]])</f>
        <v>0</v>
      </c>
      <c r="BH57" s="170">
        <f>IF(Tabel511[[#This Row],[Aantal games Alg]]=0,0,Tabel511[[#This Row],[Goals OffA]]/Tabel511[[#This Row],[Aantal games Alg]])</f>
        <v>0</v>
      </c>
      <c r="BI57" s="170">
        <f>Tabel511[[#This Row],[Goals DefA]]+Tabel511[[#This Row],[Goals OffA]]</f>
        <v>0</v>
      </c>
      <c r="BJ57" s="170">
        <f>IF(Tabel511[[#This Row],[Aantal games Alg]]=0,0,Tabel511[[#This Row],[Goals Alg]]/Tabel511[[#This Row],[Aantal games Alg]])</f>
        <v>0</v>
      </c>
      <c r="BK57" s="148">
        <f>SUMIF(Tabel152[Team Rood],Tabel511[[#This Row],[Team]],Tabel152[ET])</f>
        <v>0</v>
      </c>
      <c r="BL57" s="150">
        <f>SUMIF(Tabel152[Team Groen],Tabel511[[#This Row],[Team]],Tabel152[ET])</f>
        <v>0</v>
      </c>
      <c r="BM57" s="153">
        <f>SUM(Tabel511[[#This Row],[ET Groen tot]],Tabel511[[#This Row],[ET Rood tot]])</f>
        <v>0</v>
      </c>
      <c r="BN57" s="155">
        <f>IF(Tabel511[[#This Row],[Aantal games Alg]]=0,0,Tabel511[[#This Row],[ET tot]]/Tabel511[[#This Row],[Aantal games Alg]])</f>
        <v>0</v>
      </c>
    </row>
    <row r="58" spans="1:66" x14ac:dyDescent="0.25">
      <c r="A58" s="215" t="str">
        <f ca="1">IF(Tabel152[[#This Row],[Rood Verdediging]]&lt;&gt;"",IF(A58="",NOW(),A58),"")</f>
        <v/>
      </c>
      <c r="B58" s="218" t="str">
        <f ca="1">IF(Tabel152[[#This Row],[Rood Verdediging]]&lt;&gt;"",IF(B58="",NOW(),B58),"")</f>
        <v/>
      </c>
      <c r="C58" s="216" t="str">
        <f ca="1">IF(Tabel152[[#This Row],[Score]]&lt;&gt;"",IF(C58="",NOW(),C58),"")</f>
        <v/>
      </c>
      <c r="D58" s="217" t="str">
        <f ca="1">IF(OR(Tabel152[[#This Row],[Starttijd]]="",Tabel152[[#This Row],[Eindtijd]]=""),"",Tabel152[[#This Row],[Eindtijd]]-Tabel152[[#This Row],[Starttijd]])</f>
        <v/>
      </c>
      <c r="E58" s="74">
        <v>57</v>
      </c>
      <c r="F58" s="205"/>
      <c r="G58" s="210"/>
      <c r="H58" s="205"/>
      <c r="I58" s="210"/>
      <c r="J58" s="206"/>
      <c r="K58" s="212"/>
      <c r="L58" s="206"/>
      <c r="M58" s="212"/>
      <c r="N58" s="79">
        <f>Tabel152[[#This Row],[Score]]+Tabel152[[#This Row],[Score2]]</f>
        <v>0</v>
      </c>
      <c r="O58" s="80">
        <f>Tabel152[[#This Row],[Score3]]+Tabel152[[#This Row],[Score4]]</f>
        <v>0</v>
      </c>
      <c r="P5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Row],[Score4]]&lt;&gt;""),IF(AND(N58&gt;O58,N58&gt;=11),"ROOD",IF(AND(O58&gt;=11,N58&lt;&gt;O58),"GROEN","")),"")</f>
        <v/>
      </c>
      <c r="Q58" s="84">
        <f t="shared" si="12"/>
        <v>0</v>
      </c>
      <c r="R58" s="85">
        <f t="shared" si="13"/>
        <v>0</v>
      </c>
      <c r="S58" s="293" t="str">
        <f>Tabel152[[#This Row],[Rood Verdediging]]&amp;Tabel152[[#This Row],[Rood Aanval]]</f>
        <v/>
      </c>
      <c r="T58" s="293" t="str">
        <f>Tabel152[[#This Row],[Groen Verdediging]]&amp;Tabel152[[#This Row],[Groen Aanval]]</f>
        <v/>
      </c>
      <c r="U58" s="293" t="str">
        <f>Tabel152[[#This Row],[Winnaar 1]]&amp;Tabel152[[#This Row],[Winnaar 2]]</f>
        <v>00</v>
      </c>
      <c r="V58" s="147" t="b">
        <f>IF(Tabel152[[#This Row],[Team Rood]]=Tabel152[[#This Row],[Winnaars]],Tabel152[[#This Row],[Team Rood]])</f>
        <v>0</v>
      </c>
      <c r="W58" s="147" t="b">
        <f>IF(Tabel152[[#This Row],[Team Groen]]=Tabel152[[#This Row],[Winnaars]],Tabel152[[#This Row],[Team Groen]])</f>
        <v>0</v>
      </c>
      <c r="X58" s="283"/>
      <c r="Y58" s="283"/>
      <c r="Z58" s="283"/>
      <c r="AA58" s="283"/>
      <c r="AL58" s="251" t="s">
        <v>164</v>
      </c>
      <c r="AM58" s="233" t="s">
        <v>169</v>
      </c>
      <c r="AN58" s="140" t="str">
        <f t="shared" si="6"/>
        <v>Karel*Stef*</v>
      </c>
      <c r="AO58" s="160">
        <f>IF(Tabel511[[#This Row],[Aantal Games Rood]]=0,0,(Tabel511[[#This Row],[Wins Rood]])/Tabel511[[#This Row],[Aantal Games Rood]])</f>
        <v>0</v>
      </c>
      <c r="AP58" s="159">
        <f>IF(Tabel511[[#This Row],[Aantal Games Groen]]=0,0,(Tabel511[[#This Row],[Wins Groen]])/Tabel511[[#This Row],[Aantal Games Groen]])</f>
        <v>0.5</v>
      </c>
      <c r="AQ58" s="156">
        <f>IF(Tabel511[[#This Row],[Aantal games Alg]]=0,0,(Tabel511[[#This Row],[Wins Alg]])/Tabel511[[#This Row],[Aantal games Alg]])</f>
        <v>0.5</v>
      </c>
      <c r="AR58" s="138">
        <f>COUNTIF(Tabel152[Winaar rood],Tabel511[[#This Row],[Team]])</f>
        <v>0</v>
      </c>
      <c r="AS58" s="134">
        <f>COUNTIF(Tabel152[Winnaar Groen],Tabel511[[#This Row],[Team]])</f>
        <v>1</v>
      </c>
      <c r="AT58" s="293">
        <f>COUNTIF(Tabel152[Winnaars],Tabel511[[#This Row],[Team]])</f>
        <v>1</v>
      </c>
      <c r="AU58" s="135">
        <f>Tabel511[[#This Row],[Aantal Games Rood]]-Tabel511[[#This Row],[Wins Rood]]</f>
        <v>0</v>
      </c>
      <c r="AV58" s="136">
        <f>Tabel511[[#This Row],[Aantal Games Groen]]-Tabel511[[#This Row],[Wins Groen]]</f>
        <v>1</v>
      </c>
      <c r="AW58" s="137">
        <f>Tabel511[[#This Row],[Aantal games Alg]]-Tabel511[[#This Row],[Wins Alg]]</f>
        <v>1</v>
      </c>
      <c r="AX58" s="138">
        <f>COUNTIF(Tabel152[Team Rood],Tabel511[[#This Row],[Team]])</f>
        <v>0</v>
      </c>
      <c r="AY58" s="136">
        <f>COUNTIF(Tabel152[Team Groen],Tabel511[[#This Row],[Team]])</f>
        <v>2</v>
      </c>
      <c r="AZ58" s="214">
        <f>Tabel511[[#This Row],[Aantal Games Rood]]+Tabel511[[#This Row],[Aantal Games Groen]]</f>
        <v>2</v>
      </c>
      <c r="BA58" s="138">
        <f>SUMIF(Tabel152[Team Rood],Tabel511[[#This Row],[Team]],Tabel152[Score])</f>
        <v>0</v>
      </c>
      <c r="BB58" s="138">
        <f>SUMIF(Tabel152[Team Rood],Tabel511[[#This Row],[Team]],Tabel152[Score2])</f>
        <v>0</v>
      </c>
      <c r="BC58" s="134">
        <f>SUMIF(Tabel152[Team Groen],Tabel511[[#This Row],[Team]],Tabel152[Score3])</f>
        <v>3</v>
      </c>
      <c r="BD58" s="136">
        <f>SUMIF(Tabel152[Team Groen],Tabel511[[#This Row],[Team]],Tabel152[Score4])</f>
        <v>18</v>
      </c>
      <c r="BE58" s="293">
        <f>SUM(Tabel511[[#This Row],[Goals Verdediger]]+Tabel511[[#This Row],[Goals DefG]])</f>
        <v>3</v>
      </c>
      <c r="BF58" s="293">
        <f>IF(Tabel511[[#This Row],[Aantal games Alg]]=0,0,Tabel511[[#This Row],[Goals DefA]]/Tabel511[[#This Row],[Aantal games Alg]])</f>
        <v>1.5</v>
      </c>
      <c r="BG58" s="293">
        <f>SUM(Tabel511[[#This Row],[Goals Aanvaller]]+Tabel511[[#This Row],[Goals OffG]])</f>
        <v>18</v>
      </c>
      <c r="BH58" s="293">
        <f>IF(Tabel511[[#This Row],[Aantal games Alg]]=0,0,Tabel511[[#This Row],[Goals OffA]]/Tabel511[[#This Row],[Aantal games Alg]])</f>
        <v>9</v>
      </c>
      <c r="BI58" s="214">
        <f>Tabel511[[#This Row],[Goals DefA]]+Tabel511[[#This Row],[Goals OffA]]</f>
        <v>21</v>
      </c>
      <c r="BJ58" s="214">
        <f>IF(Tabel511[[#This Row],[Aantal games Alg]]=0,0,Tabel511[[#This Row],[Goals Alg]]/Tabel511[[#This Row],[Aantal games Alg]])</f>
        <v>10.5</v>
      </c>
      <c r="BK58" s="148">
        <f>SUMIF(Tabel152[Team Rood],Tabel511[[#This Row],[Team]],Tabel152[ET])</f>
        <v>0</v>
      </c>
      <c r="BL58" s="150">
        <f ca="1">SUMIF(Tabel152[Team Groen],Tabel511[[#This Row],[Team]],Tabel152[ET])</f>
        <v>1.2106481881346554E-4</v>
      </c>
      <c r="BM58" s="153">
        <f ca="1">SUM(Tabel511[[#This Row],[ET Groen tot]],Tabel511[[#This Row],[ET Rood tot]])</f>
        <v>1.2106481881346554E-4</v>
      </c>
      <c r="BN58" s="155">
        <f ca="1">IF(Tabel511[[#This Row],[Aantal games Alg]]=0,0,Tabel511[[#This Row],[ET tot]]/Tabel511[[#This Row],[Aantal games Alg]])</f>
        <v>6.0532409406732768E-5</v>
      </c>
    </row>
    <row r="59" spans="1:66" x14ac:dyDescent="0.25">
      <c r="A59" s="215" t="str">
        <f ca="1">IF(Tabel152[[#This Row],[Rood Verdediging]]&lt;&gt;"",IF(A59="",NOW(),A59),"")</f>
        <v/>
      </c>
      <c r="B59" s="218" t="str">
        <f ca="1">IF(Tabel152[[#This Row],[Rood Verdediging]]&lt;&gt;"",IF(B59="",NOW(),B59),"")</f>
        <v/>
      </c>
      <c r="C59" s="216" t="str">
        <f ca="1">IF(Tabel152[[#This Row],[Score]]&lt;&gt;"",IF(C59="",NOW(),C59),"")</f>
        <v/>
      </c>
      <c r="D59" s="217" t="str">
        <f ca="1">IF(OR(Tabel152[[#This Row],[Starttijd]]="",Tabel152[[#This Row],[Eindtijd]]=""),"",Tabel152[[#This Row],[Eindtijd]]-Tabel152[[#This Row],[Starttijd]])</f>
        <v/>
      </c>
      <c r="E59" s="74">
        <v>58</v>
      </c>
      <c r="F59" s="205"/>
      <c r="G59" s="210"/>
      <c r="H59" s="205"/>
      <c r="I59" s="210"/>
      <c r="J59" s="206"/>
      <c r="K59" s="212"/>
      <c r="L59" s="206"/>
      <c r="M59" s="212"/>
      <c r="N59" s="79">
        <f>Tabel152[[#This Row],[Score]]+Tabel152[[#This Row],[Score2]]</f>
        <v>0</v>
      </c>
      <c r="O59" s="80">
        <f>Tabel152[[#This Row],[Score3]]+Tabel152[[#This Row],[Score4]]</f>
        <v>0</v>
      </c>
      <c r="P5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Row],[Score4]]&lt;&gt;""),IF(AND(N59&gt;O59,N59&gt;=11),"ROOD",IF(AND(O59&gt;=11,N59&lt;&gt;O59),"GROEN","")),"")</f>
        <v/>
      </c>
      <c r="Q59" s="84">
        <f t="shared" si="12"/>
        <v>0</v>
      </c>
      <c r="R59" s="85">
        <f t="shared" si="13"/>
        <v>0</v>
      </c>
      <c r="S59" s="293" t="str">
        <f>Tabel152[[#This Row],[Rood Verdediging]]&amp;Tabel152[[#This Row],[Rood Aanval]]</f>
        <v/>
      </c>
      <c r="T59" s="293" t="str">
        <f>Tabel152[[#This Row],[Groen Verdediging]]&amp;Tabel152[[#This Row],[Groen Aanval]]</f>
        <v/>
      </c>
      <c r="U59" s="293" t="str">
        <f>Tabel152[[#This Row],[Winnaar 1]]&amp;Tabel152[[#This Row],[Winnaar 2]]</f>
        <v>00</v>
      </c>
      <c r="V59" s="147" t="b">
        <f>IF(Tabel152[[#This Row],[Team Rood]]=Tabel152[[#This Row],[Winnaars]],Tabel152[[#This Row],[Team Rood]])</f>
        <v>0</v>
      </c>
      <c r="W59" s="147" t="b">
        <f>IF(Tabel152[[#This Row],[Team Groen]]=Tabel152[[#This Row],[Winnaars]],Tabel152[[#This Row],[Team Groen]])</f>
        <v>0</v>
      </c>
      <c r="X59" s="283"/>
      <c r="Y59" s="283"/>
      <c r="Z59" s="283"/>
      <c r="AA59" s="283"/>
      <c r="AL59" s="251" t="s">
        <v>164</v>
      </c>
      <c r="AM59" s="233" t="s">
        <v>166</v>
      </c>
      <c r="AN59" s="140" t="str">
        <f t="shared" si="6"/>
        <v>Karel*Stijn*</v>
      </c>
      <c r="AO59" s="160">
        <f>IF(Tabel511[[#This Row],[Aantal Games Rood]]=0,0,(Tabel511[[#This Row],[Wins Rood]])/Tabel511[[#This Row],[Aantal Games Rood]])</f>
        <v>0</v>
      </c>
      <c r="AP59" s="159">
        <f>IF(Tabel511[[#This Row],[Aantal Games Groen]]=0,0,(Tabel511[[#This Row],[Wins Groen]])/Tabel511[[#This Row],[Aantal Games Groen]])</f>
        <v>0</v>
      </c>
      <c r="AQ59" s="156">
        <f>IF(Tabel511[[#This Row],[Aantal games Alg]]=0,0,(Tabel511[[#This Row],[Wins Alg]])/Tabel511[[#This Row],[Aantal games Alg]])</f>
        <v>0</v>
      </c>
      <c r="AR59" s="133">
        <f>COUNTIF(Tabel152[Winaar rood],Tabel511[[#This Row],[Team]])</f>
        <v>0</v>
      </c>
      <c r="AS59" s="134">
        <f>COUNTIF(Tabel152[Winnaar Groen],Tabel511[[#This Row],[Team]])</f>
        <v>0</v>
      </c>
      <c r="AT59" s="293">
        <f>COUNTIF(Tabel152[Winnaars],Tabel511[[#This Row],[Team]])</f>
        <v>0</v>
      </c>
      <c r="AU59" s="135">
        <f>Tabel511[[#This Row],[Aantal Games Rood]]-Tabel511[[#This Row],[Wins Rood]]</f>
        <v>0</v>
      </c>
      <c r="AV59" s="136">
        <f>Tabel511[[#This Row],[Aantal Games Groen]]-Tabel511[[#This Row],[Wins Groen]]</f>
        <v>0</v>
      </c>
      <c r="AW59" s="137">
        <f>Tabel511[[#This Row],[Aantal games Alg]]-Tabel511[[#This Row],[Wins Alg]]</f>
        <v>0</v>
      </c>
      <c r="AX59" s="138">
        <f>COUNTIF(Tabel152[Team Rood],Tabel511[[#This Row],[Team]])</f>
        <v>0</v>
      </c>
      <c r="AY59" s="136">
        <f>COUNTIF(Tabel152[Team Groen],Tabel511[[#This Row],[Team]])</f>
        <v>0</v>
      </c>
      <c r="AZ59" s="214">
        <f>Tabel511[[#This Row],[Aantal Games Rood]]+Tabel511[[#This Row],[Aantal Games Groen]]</f>
        <v>0</v>
      </c>
      <c r="BA59" s="138">
        <f>SUMIF(Tabel152[Team Rood],Tabel511[[#This Row],[Team]],Tabel152[Score])</f>
        <v>0</v>
      </c>
      <c r="BB59" s="138">
        <f>SUMIF(Tabel152[Team Rood],Tabel511[[#This Row],[Team]],Tabel152[Score2])</f>
        <v>0</v>
      </c>
      <c r="BC59" s="134">
        <f>SUMIF(Tabel152[Team Groen],Tabel511[[#This Row],[Team]],Tabel152[Score3])</f>
        <v>0</v>
      </c>
      <c r="BD59" s="136">
        <f>SUMIF(Tabel152[Team Groen],Tabel511[[#This Row],[Team]],Tabel152[Score4])</f>
        <v>0</v>
      </c>
      <c r="BE59" s="293">
        <f>SUM(Tabel511[[#This Row],[Goals Verdediger]]+Tabel511[[#This Row],[Goals DefG]])</f>
        <v>0</v>
      </c>
      <c r="BF59" s="293">
        <f>IF(Tabel511[[#This Row],[Aantal games Alg]]=0,0,Tabel511[[#This Row],[Goals DefA]]/Tabel511[[#This Row],[Aantal games Alg]])</f>
        <v>0</v>
      </c>
      <c r="BG59" s="293">
        <f>SUM(Tabel511[[#This Row],[Goals Aanvaller]]+Tabel511[[#This Row],[Goals OffG]])</f>
        <v>0</v>
      </c>
      <c r="BH59" s="293">
        <f>IF(Tabel511[[#This Row],[Aantal games Alg]]=0,0,Tabel511[[#This Row],[Goals OffA]]/Tabel511[[#This Row],[Aantal games Alg]])</f>
        <v>0</v>
      </c>
      <c r="BI59" s="214">
        <f>Tabel511[[#This Row],[Goals DefA]]+Tabel511[[#This Row],[Goals OffA]]</f>
        <v>0</v>
      </c>
      <c r="BJ59" s="214">
        <f>IF(Tabel511[[#This Row],[Aantal games Alg]]=0,0,Tabel511[[#This Row],[Goals Alg]]/Tabel511[[#This Row],[Aantal games Alg]])</f>
        <v>0</v>
      </c>
      <c r="BK59" s="148">
        <f>SUMIF(Tabel152[Team Rood],Tabel511[[#This Row],[Team]],Tabel152[ET])</f>
        <v>0</v>
      </c>
      <c r="BL59" s="150">
        <f>SUMIF(Tabel152[Team Groen],Tabel511[[#This Row],[Team]],Tabel152[ET])</f>
        <v>0</v>
      </c>
      <c r="BM59" s="153">
        <f>SUM(Tabel511[[#This Row],[ET Groen tot]],Tabel511[[#This Row],[ET Rood tot]])</f>
        <v>0</v>
      </c>
      <c r="BN59" s="155">
        <f>IF(Tabel511[[#This Row],[Aantal games Alg]]=0,0,Tabel511[[#This Row],[ET tot]]/Tabel511[[#This Row],[Aantal games Alg]])</f>
        <v>0</v>
      </c>
    </row>
    <row r="60" spans="1:66" x14ac:dyDescent="0.25">
      <c r="A60" s="215" t="str">
        <f ca="1">IF(Tabel152[[#This Row],[Rood Verdediging]]&lt;&gt;"",IF(A60="",NOW(),A60),"")</f>
        <v/>
      </c>
      <c r="B60" s="218" t="str">
        <f ca="1">IF(Tabel152[[#This Row],[Rood Verdediging]]&lt;&gt;"",IF(B60="",NOW(),B60),"")</f>
        <v/>
      </c>
      <c r="C60" s="216" t="str">
        <f ca="1">IF(Tabel152[[#This Row],[Score]]&lt;&gt;"",IF(C60="",NOW(),C60),"")</f>
        <v/>
      </c>
      <c r="D60" s="217" t="str">
        <f ca="1">IF(OR(Tabel152[[#This Row],[Starttijd]]="",Tabel152[[#This Row],[Eindtijd]]=""),"",Tabel152[[#This Row],[Eindtijd]]-Tabel152[[#This Row],[Starttijd]])</f>
        <v/>
      </c>
      <c r="E60" s="74">
        <v>59</v>
      </c>
      <c r="F60" s="205"/>
      <c r="G60" s="210"/>
      <c r="H60" s="205"/>
      <c r="I60" s="210"/>
      <c r="J60" s="206"/>
      <c r="K60" s="212"/>
      <c r="L60" s="206"/>
      <c r="M60" s="212"/>
      <c r="N60" s="79">
        <f>Tabel152[[#This Row],[Score]]+Tabel152[[#This Row],[Score2]]</f>
        <v>0</v>
      </c>
      <c r="O60" s="80">
        <f>Tabel152[[#This Row],[Score3]]+Tabel152[[#This Row],[Score4]]</f>
        <v>0</v>
      </c>
      <c r="P6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Row],[Score4]]&lt;&gt;""),IF(AND(N60&gt;O60,N60&gt;=11),"ROOD",IF(AND(O60&gt;=11,N60&lt;&gt;O60),"GROEN","")),"")</f>
        <v/>
      </c>
      <c r="Q60" s="84">
        <f t="shared" si="12"/>
        <v>0</v>
      </c>
      <c r="R60" s="85">
        <f t="shared" si="13"/>
        <v>0</v>
      </c>
      <c r="S60" s="293" t="str">
        <f>Tabel152[[#This Row],[Rood Verdediging]]&amp;Tabel152[[#This Row],[Rood Aanval]]</f>
        <v/>
      </c>
      <c r="T60" s="293" t="str">
        <f>Tabel152[[#This Row],[Groen Verdediging]]&amp;Tabel152[[#This Row],[Groen Aanval]]</f>
        <v/>
      </c>
      <c r="U60" s="293" t="str">
        <f>Tabel152[[#This Row],[Winnaar 1]]&amp;Tabel152[[#This Row],[Winnaar 2]]</f>
        <v>00</v>
      </c>
      <c r="V60" s="147" t="b">
        <f>IF(Tabel152[[#This Row],[Team Rood]]=Tabel152[[#This Row],[Winnaars]],Tabel152[[#This Row],[Team Rood]])</f>
        <v>0</v>
      </c>
      <c r="W60" s="147" t="b">
        <f>IF(Tabel152[[#This Row],[Team Groen]]=Tabel152[[#This Row],[Winnaars]],Tabel152[[#This Row],[Team Groen]])</f>
        <v>0</v>
      </c>
      <c r="X60" s="283"/>
      <c r="Y60" s="283"/>
      <c r="Z60" s="283"/>
      <c r="AA60" s="283"/>
      <c r="AL60" s="251" t="s">
        <v>164</v>
      </c>
      <c r="AM60" s="233" t="s">
        <v>160</v>
      </c>
      <c r="AN60" s="140" t="str">
        <f t="shared" si="6"/>
        <v>Karel*Tiemen*</v>
      </c>
      <c r="AO60" s="160">
        <f>IF(Tabel511[[#This Row],[Aantal Games Rood]]=0,0,(Tabel511[[#This Row],[Wins Rood]])/Tabel511[[#This Row],[Aantal Games Rood]])</f>
        <v>0</v>
      </c>
      <c r="AP60" s="159">
        <f>IF(Tabel511[[#This Row],[Aantal Games Groen]]=0,0,(Tabel511[[#This Row],[Wins Groen]])/Tabel511[[#This Row],[Aantal Games Groen]])</f>
        <v>0</v>
      </c>
      <c r="AQ60" s="156">
        <f>IF(Tabel511[[#This Row],[Aantal games Alg]]=0,0,(Tabel511[[#This Row],[Wins Alg]])/Tabel511[[#This Row],[Aantal games Alg]])</f>
        <v>0</v>
      </c>
      <c r="AR60" s="133">
        <f>COUNTIF(Tabel152[Winaar rood],Tabel511[[#This Row],[Team]])</f>
        <v>0</v>
      </c>
      <c r="AS60" s="134">
        <f>COUNTIF(Tabel152[Winnaar Groen],Tabel511[[#This Row],[Team]])</f>
        <v>0</v>
      </c>
      <c r="AT60" s="293">
        <f>COUNTIF(Tabel152[Winnaars],Tabel511[[#This Row],[Team]])</f>
        <v>0</v>
      </c>
      <c r="AU60" s="135">
        <f>Tabel511[[#This Row],[Aantal Games Rood]]-Tabel511[[#This Row],[Wins Rood]]</f>
        <v>0</v>
      </c>
      <c r="AV60" s="136">
        <f>Tabel511[[#This Row],[Aantal Games Groen]]-Tabel511[[#This Row],[Wins Groen]]</f>
        <v>0</v>
      </c>
      <c r="AW60" s="137">
        <f>Tabel511[[#This Row],[Aantal games Alg]]-Tabel511[[#This Row],[Wins Alg]]</f>
        <v>0</v>
      </c>
      <c r="AX60" s="138">
        <f>COUNTIF(Tabel152[Team Rood],Tabel511[[#This Row],[Team]])</f>
        <v>0</v>
      </c>
      <c r="AY60" s="136">
        <f>COUNTIF(Tabel152[Team Groen],Tabel511[[#This Row],[Team]])</f>
        <v>0</v>
      </c>
      <c r="AZ60" s="214">
        <f>Tabel511[[#This Row],[Aantal Games Rood]]+Tabel511[[#This Row],[Aantal Games Groen]]</f>
        <v>0</v>
      </c>
      <c r="BA60" s="138">
        <f>SUMIF(Tabel152[Team Rood],Tabel511[[#This Row],[Team]],Tabel152[Score])</f>
        <v>0</v>
      </c>
      <c r="BB60" s="138">
        <f>SUMIF(Tabel152[Team Rood],Tabel511[[#This Row],[Team]],Tabel152[Score2])</f>
        <v>0</v>
      </c>
      <c r="BC60" s="134">
        <f>SUMIF(Tabel152[Team Groen],Tabel511[[#This Row],[Team]],Tabel152[Score3])</f>
        <v>0</v>
      </c>
      <c r="BD60" s="136">
        <f>SUMIF(Tabel152[Team Groen],Tabel511[[#This Row],[Team]],Tabel152[Score4])</f>
        <v>0</v>
      </c>
      <c r="BE60" s="293">
        <f>SUM(Tabel511[[#This Row],[Goals Verdediger]]+Tabel511[[#This Row],[Goals DefG]])</f>
        <v>0</v>
      </c>
      <c r="BF60" s="293">
        <f>IF(Tabel511[[#This Row],[Aantal games Alg]]=0,0,Tabel511[[#This Row],[Goals DefA]]/Tabel511[[#This Row],[Aantal games Alg]])</f>
        <v>0</v>
      </c>
      <c r="BG60" s="293">
        <f>SUM(Tabel511[[#This Row],[Goals Aanvaller]]+Tabel511[[#This Row],[Goals OffG]])</f>
        <v>0</v>
      </c>
      <c r="BH60" s="293">
        <f>IF(Tabel511[[#This Row],[Aantal games Alg]]=0,0,Tabel511[[#This Row],[Goals OffA]]/Tabel511[[#This Row],[Aantal games Alg]])</f>
        <v>0</v>
      </c>
      <c r="BI60" s="214">
        <f>Tabel511[[#This Row],[Goals DefA]]+Tabel511[[#This Row],[Goals OffA]]</f>
        <v>0</v>
      </c>
      <c r="BJ60" s="214">
        <f>IF(Tabel511[[#This Row],[Aantal games Alg]]=0,0,Tabel511[[#This Row],[Goals Alg]]/Tabel511[[#This Row],[Aantal games Alg]])</f>
        <v>0</v>
      </c>
      <c r="BK60" s="148">
        <f>SUMIF(Tabel152[Team Rood],Tabel511[[#This Row],[Team]],Tabel152[ET])</f>
        <v>0</v>
      </c>
      <c r="BL60" s="150">
        <f>SUMIF(Tabel152[Team Groen],Tabel511[[#This Row],[Team]],Tabel152[ET])</f>
        <v>0</v>
      </c>
      <c r="BM60" s="153">
        <f>SUM(Tabel511[[#This Row],[ET Groen tot]],Tabel511[[#This Row],[ET Rood tot]])</f>
        <v>0</v>
      </c>
      <c r="BN60" s="155">
        <f>IF(Tabel511[[#This Row],[Aantal games Alg]]=0,0,Tabel511[[#This Row],[ET tot]]/Tabel511[[#This Row],[Aantal games Alg]])</f>
        <v>0</v>
      </c>
    </row>
    <row r="61" spans="1:66" x14ac:dyDescent="0.25">
      <c r="A61" s="215" t="str">
        <f ca="1">IF(Tabel152[[#This Row],[Rood Verdediging]]&lt;&gt;"",IF(A61="",NOW(),A61),"")</f>
        <v/>
      </c>
      <c r="B61" s="218" t="str">
        <f ca="1">IF(Tabel152[[#This Row],[Rood Verdediging]]&lt;&gt;"",IF(B61="",NOW(),B61),"")</f>
        <v/>
      </c>
      <c r="C61" s="216" t="str">
        <f ca="1">IF(Tabel152[[#This Row],[Score]]&lt;&gt;"",IF(C61="",NOW(),C61),"")</f>
        <v/>
      </c>
      <c r="D61" s="217" t="str">
        <f ca="1">IF(OR(Tabel152[[#This Row],[Starttijd]]="",Tabel152[[#This Row],[Eindtijd]]=""),"",Tabel152[[#This Row],[Eindtijd]]-Tabel152[[#This Row],[Starttijd]])</f>
        <v/>
      </c>
      <c r="E61" s="74">
        <v>60</v>
      </c>
      <c r="F61" s="205"/>
      <c r="G61" s="210"/>
      <c r="H61" s="205"/>
      <c r="I61" s="210"/>
      <c r="J61" s="206"/>
      <c r="K61" s="212"/>
      <c r="L61" s="206"/>
      <c r="M61" s="212"/>
      <c r="N61" s="79">
        <f>Tabel152[[#This Row],[Score]]+Tabel152[[#This Row],[Score2]]</f>
        <v>0</v>
      </c>
      <c r="O61" s="80">
        <f>Tabel152[[#This Row],[Score3]]+Tabel152[[#This Row],[Score4]]</f>
        <v>0</v>
      </c>
      <c r="P6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Row],[Score4]]&lt;&gt;""),IF(AND(N61&gt;O61,N61&gt;=11),"ROOD",IF(AND(O61&gt;=11,N61&lt;&gt;O61),"GROEN","")),"")</f>
        <v/>
      </c>
      <c r="Q61" s="84">
        <f t="shared" si="12"/>
        <v>0</v>
      </c>
      <c r="R61" s="85">
        <f t="shared" si="13"/>
        <v>0</v>
      </c>
      <c r="S61" s="293" t="str">
        <f>Tabel152[[#This Row],[Rood Verdediging]]&amp;Tabel152[[#This Row],[Rood Aanval]]</f>
        <v/>
      </c>
      <c r="T61" s="293" t="str">
        <f>Tabel152[[#This Row],[Groen Verdediging]]&amp;Tabel152[[#This Row],[Groen Aanval]]</f>
        <v/>
      </c>
      <c r="U61" s="293" t="str">
        <f>Tabel152[[#This Row],[Winnaar 1]]&amp;Tabel152[[#This Row],[Winnaar 2]]</f>
        <v>00</v>
      </c>
      <c r="V61" s="147" t="b">
        <f>IF(Tabel152[[#This Row],[Team Rood]]=Tabel152[[#This Row],[Winnaars]],Tabel152[[#This Row],[Team Rood]])</f>
        <v>0</v>
      </c>
      <c r="W61" s="147" t="b">
        <f>IF(Tabel152[[#This Row],[Team Groen]]=Tabel152[[#This Row],[Winnaars]],Tabel152[[#This Row],[Team Groen]])</f>
        <v>0</v>
      </c>
      <c r="X61" s="283"/>
      <c r="Y61" s="283"/>
      <c r="Z61" s="283"/>
      <c r="AA61" s="283"/>
      <c r="AL61" s="251" t="s">
        <v>164</v>
      </c>
      <c r="AM61" s="233" t="s">
        <v>157</v>
      </c>
      <c r="AN61" s="140" t="str">
        <f t="shared" si="6"/>
        <v>Karel*Tobi*</v>
      </c>
      <c r="AO61" s="160">
        <f>IF(Tabel511[[#This Row],[Aantal Games Rood]]=0,0,(Tabel511[[#This Row],[Wins Rood]])/Tabel511[[#This Row],[Aantal Games Rood]])</f>
        <v>0</v>
      </c>
      <c r="AP61" s="159">
        <f>IF(Tabel511[[#This Row],[Aantal Games Groen]]=0,0,(Tabel511[[#This Row],[Wins Groen]])/Tabel511[[#This Row],[Aantal Games Groen]])</f>
        <v>0</v>
      </c>
      <c r="AQ61" s="156">
        <f>IF(Tabel511[[#This Row],[Aantal games Alg]]=0,0,(Tabel511[[#This Row],[Wins Alg]])/Tabel511[[#This Row],[Aantal games Alg]])</f>
        <v>0</v>
      </c>
      <c r="AR61" s="133">
        <f>COUNTIF(Tabel152[Winaar rood],Tabel511[[#This Row],[Team]])</f>
        <v>0</v>
      </c>
      <c r="AS61" s="134">
        <f>COUNTIF(Tabel152[Winnaar Groen],Tabel511[[#This Row],[Team]])</f>
        <v>0</v>
      </c>
      <c r="AT61" s="293">
        <f>COUNTIF(Tabel152[Winnaars],Tabel511[[#This Row],[Team]])</f>
        <v>0</v>
      </c>
      <c r="AU61" s="135">
        <f>Tabel511[[#This Row],[Aantal Games Rood]]-Tabel511[[#This Row],[Wins Rood]]</f>
        <v>0</v>
      </c>
      <c r="AV61" s="136">
        <f>Tabel511[[#This Row],[Aantal Games Groen]]-Tabel511[[#This Row],[Wins Groen]]</f>
        <v>0</v>
      </c>
      <c r="AW61" s="137">
        <f>Tabel511[[#This Row],[Aantal games Alg]]-Tabel511[[#This Row],[Wins Alg]]</f>
        <v>0</v>
      </c>
      <c r="AX61" s="138">
        <f>COUNTIF(Tabel152[Team Rood],Tabel511[[#This Row],[Team]])</f>
        <v>0</v>
      </c>
      <c r="AY61" s="136">
        <f>COUNTIF(Tabel152[Team Groen],Tabel511[[#This Row],[Team]])</f>
        <v>0</v>
      </c>
      <c r="AZ61" s="214">
        <f>Tabel511[[#This Row],[Aantal Games Rood]]+Tabel511[[#This Row],[Aantal Games Groen]]</f>
        <v>0</v>
      </c>
      <c r="BA61" s="138">
        <f>SUMIF(Tabel152[Team Rood],Tabel511[[#This Row],[Team]],Tabel152[Score])</f>
        <v>0</v>
      </c>
      <c r="BB61" s="138">
        <f>SUMIF(Tabel152[Team Rood],Tabel511[[#This Row],[Team]],Tabel152[Score2])</f>
        <v>0</v>
      </c>
      <c r="BC61" s="134">
        <f>SUMIF(Tabel152[Team Groen],Tabel511[[#This Row],[Team]],Tabel152[Score3])</f>
        <v>0</v>
      </c>
      <c r="BD61" s="136">
        <f>SUMIF(Tabel152[Team Groen],Tabel511[[#This Row],[Team]],Tabel152[Score4])</f>
        <v>0</v>
      </c>
      <c r="BE61" s="293">
        <f>SUM(Tabel511[[#This Row],[Goals Verdediger]]+Tabel511[[#This Row],[Goals DefG]])</f>
        <v>0</v>
      </c>
      <c r="BF61" s="293">
        <f>IF(Tabel511[[#This Row],[Aantal games Alg]]=0,0,Tabel511[[#This Row],[Goals DefA]]/Tabel511[[#This Row],[Aantal games Alg]])</f>
        <v>0</v>
      </c>
      <c r="BG61" s="293">
        <f>SUM(Tabel511[[#This Row],[Goals Aanvaller]]+Tabel511[[#This Row],[Goals OffG]])</f>
        <v>0</v>
      </c>
      <c r="BH61" s="293">
        <f>IF(Tabel511[[#This Row],[Aantal games Alg]]=0,0,Tabel511[[#This Row],[Goals OffA]]/Tabel511[[#This Row],[Aantal games Alg]])</f>
        <v>0</v>
      </c>
      <c r="BI61" s="214">
        <f>Tabel511[[#This Row],[Goals DefA]]+Tabel511[[#This Row],[Goals OffA]]</f>
        <v>0</v>
      </c>
      <c r="BJ61" s="214">
        <f>IF(Tabel511[[#This Row],[Aantal games Alg]]=0,0,Tabel511[[#This Row],[Goals Alg]]/Tabel511[[#This Row],[Aantal games Alg]])</f>
        <v>0</v>
      </c>
      <c r="BK61" s="148">
        <f>SUMIF(Tabel152[Team Rood],Tabel511[[#This Row],[Team]],Tabel152[ET])</f>
        <v>0</v>
      </c>
      <c r="BL61" s="150">
        <f>SUMIF(Tabel152[Team Groen],Tabel511[[#This Row],[Team]],Tabel152[ET])</f>
        <v>0</v>
      </c>
      <c r="BM61" s="153">
        <f>SUM(Tabel511[[#This Row],[ET Groen tot]],Tabel511[[#This Row],[ET Rood tot]])</f>
        <v>0</v>
      </c>
      <c r="BN61" s="155">
        <f>IF(Tabel511[[#This Row],[Aantal games Alg]]=0,0,Tabel511[[#This Row],[ET tot]]/Tabel511[[#This Row],[Aantal games Alg]])</f>
        <v>0</v>
      </c>
    </row>
    <row r="62" spans="1:66" x14ac:dyDescent="0.25">
      <c r="A62" s="215" t="str">
        <f ca="1">IF(Tabel152[[#This Row],[Rood Verdediging]]&lt;&gt;"",IF(A62="",NOW(),A62),"")</f>
        <v/>
      </c>
      <c r="B62" s="218" t="str">
        <f ca="1">IF(Tabel152[[#This Row],[Rood Verdediging]]&lt;&gt;"",IF(B62="",NOW(),B62),"")</f>
        <v/>
      </c>
      <c r="C62" s="216" t="str">
        <f ca="1">IF(Tabel152[[#This Row],[Score]]&lt;&gt;"",IF(C62="",NOW(),C62),"")</f>
        <v/>
      </c>
      <c r="D62" s="217" t="str">
        <f ca="1">IF(OR(Tabel152[[#This Row],[Starttijd]]="",Tabel152[[#This Row],[Eindtijd]]=""),"",Tabel152[[#This Row],[Eindtijd]]-Tabel152[[#This Row],[Starttijd]])</f>
        <v/>
      </c>
      <c r="E62" s="74">
        <v>61</v>
      </c>
      <c r="F62" s="205"/>
      <c r="G62" s="210"/>
      <c r="H62" s="205"/>
      <c r="I62" s="210"/>
      <c r="J62" s="206"/>
      <c r="K62" s="212"/>
      <c r="L62" s="206"/>
      <c r="M62" s="212"/>
      <c r="N62" s="79">
        <f>Tabel152[[#This Row],[Score]]+Tabel152[[#This Row],[Score2]]</f>
        <v>0</v>
      </c>
      <c r="O62" s="80">
        <f>Tabel152[[#This Row],[Score3]]+Tabel152[[#This Row],[Score4]]</f>
        <v>0</v>
      </c>
      <c r="P6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Row],[Score4]]&lt;&gt;""),IF(AND(N62&gt;O62,N62&gt;=11),"ROOD",IF(AND(O62&gt;=11,N62&lt;&gt;O62),"GROEN","")),"")</f>
        <v/>
      </c>
      <c r="Q62" s="84">
        <f t="shared" si="12"/>
        <v>0</v>
      </c>
      <c r="R62" s="85">
        <f t="shared" si="13"/>
        <v>0</v>
      </c>
      <c r="S62" s="293" t="str">
        <f>Tabel152[[#This Row],[Rood Verdediging]]&amp;Tabel152[[#This Row],[Rood Aanval]]</f>
        <v/>
      </c>
      <c r="T62" s="293" t="str">
        <f>Tabel152[[#This Row],[Groen Verdediging]]&amp;Tabel152[[#This Row],[Groen Aanval]]</f>
        <v/>
      </c>
      <c r="U62" s="293" t="str">
        <f>Tabel152[[#This Row],[Winnaar 1]]&amp;Tabel152[[#This Row],[Winnaar 2]]</f>
        <v>00</v>
      </c>
      <c r="V62" s="147" t="b">
        <f>IF(Tabel152[[#This Row],[Team Rood]]=Tabel152[[#This Row],[Winnaars]],Tabel152[[#This Row],[Team Rood]])</f>
        <v>0</v>
      </c>
      <c r="W62" s="147" t="b">
        <f>IF(Tabel152[[#This Row],[Team Groen]]=Tabel152[[#This Row],[Winnaars]],Tabel152[[#This Row],[Team Groen]])</f>
        <v>0</v>
      </c>
      <c r="X62" s="283"/>
      <c r="Y62" s="283"/>
      <c r="Z62" s="283"/>
      <c r="AA62" s="283"/>
      <c r="AL62" s="251" t="s">
        <v>67</v>
      </c>
      <c r="AM62" s="233" t="s">
        <v>158</v>
      </c>
      <c r="AN62" s="140" t="str">
        <f t="shared" si="6"/>
        <v>LawrenceArno*</v>
      </c>
      <c r="AO62" s="160">
        <f>IF(Tabel511[[#This Row],[Aantal Games Rood]]=0,0,(Tabel511[[#This Row],[Wins Rood]])/Tabel511[[#This Row],[Aantal Games Rood]])</f>
        <v>0</v>
      </c>
      <c r="AP62" s="159">
        <f>IF(Tabel511[[#This Row],[Aantal Games Groen]]=0,0,(Tabel511[[#This Row],[Wins Groen]])/Tabel511[[#This Row],[Aantal Games Groen]])</f>
        <v>0</v>
      </c>
      <c r="AQ62" s="156">
        <f>IF(Tabel511[[#This Row],[Aantal games Alg]]=0,0,(Tabel511[[#This Row],[Wins Alg]])/Tabel511[[#This Row],[Aantal games Alg]])</f>
        <v>0</v>
      </c>
      <c r="AR62" s="138">
        <f>COUNTIF(Tabel152[Winaar rood],Tabel511[[#This Row],[Team]])</f>
        <v>0</v>
      </c>
      <c r="AS62" s="134">
        <f>COUNTIF(Tabel152[Winnaar Groen],Tabel511[[#This Row],[Team]])</f>
        <v>0</v>
      </c>
      <c r="AT62" s="293">
        <f>COUNTIF(Tabel152[Winnaars],Tabel511[[#This Row],[Team]])</f>
        <v>0</v>
      </c>
      <c r="AU62" s="135">
        <f>Tabel511[[#This Row],[Aantal Games Rood]]-Tabel511[[#This Row],[Wins Rood]]</f>
        <v>0</v>
      </c>
      <c r="AV62" s="136">
        <f>Tabel511[[#This Row],[Aantal Games Groen]]-Tabel511[[#This Row],[Wins Groen]]</f>
        <v>0</v>
      </c>
      <c r="AW62" s="137">
        <f>Tabel511[[#This Row],[Aantal games Alg]]-Tabel511[[#This Row],[Wins Alg]]</f>
        <v>0</v>
      </c>
      <c r="AX62" s="138">
        <f>COUNTIF(Tabel152[Team Rood],Tabel511[[#This Row],[Team]])</f>
        <v>0</v>
      </c>
      <c r="AY62" s="136">
        <f>COUNTIF(Tabel152[Team Groen],Tabel511[[#This Row],[Team]])</f>
        <v>0</v>
      </c>
      <c r="AZ62" s="214">
        <f>Tabel511[[#This Row],[Aantal Games Rood]]+Tabel511[[#This Row],[Aantal Games Groen]]</f>
        <v>0</v>
      </c>
      <c r="BA62" s="138">
        <f>SUMIF(Tabel152[Team Rood],Tabel511[[#This Row],[Team]],Tabel152[Score])</f>
        <v>0</v>
      </c>
      <c r="BB62" s="138">
        <f>SUMIF(Tabel152[Team Rood],Tabel511[[#This Row],[Team]],Tabel152[Score2])</f>
        <v>0</v>
      </c>
      <c r="BC62" s="134">
        <f>SUMIF(Tabel152[Team Groen],Tabel511[[#This Row],[Team]],Tabel152[Score3])</f>
        <v>0</v>
      </c>
      <c r="BD62" s="136">
        <f>SUMIF(Tabel152[Team Groen],Tabel511[[#This Row],[Team]],Tabel152[Score4])</f>
        <v>0</v>
      </c>
      <c r="BE62" s="293">
        <f>SUM(Tabel511[[#This Row],[Goals Verdediger]]+Tabel511[[#This Row],[Goals DefG]])</f>
        <v>0</v>
      </c>
      <c r="BF62" s="293">
        <f>IF(Tabel511[[#This Row],[Aantal games Alg]]=0,0,Tabel511[[#This Row],[Goals DefA]]/Tabel511[[#This Row],[Aantal games Alg]])</f>
        <v>0</v>
      </c>
      <c r="BG62" s="293">
        <f>SUM(Tabel511[[#This Row],[Goals Aanvaller]]+Tabel511[[#This Row],[Goals OffG]])</f>
        <v>0</v>
      </c>
      <c r="BH62" s="293">
        <f>IF(Tabel511[[#This Row],[Aantal games Alg]]=0,0,Tabel511[[#This Row],[Goals OffA]]/Tabel511[[#This Row],[Aantal games Alg]])</f>
        <v>0</v>
      </c>
      <c r="BI62" s="214">
        <f>Tabel511[[#This Row],[Goals DefA]]+Tabel511[[#This Row],[Goals OffA]]</f>
        <v>0</v>
      </c>
      <c r="BJ62" s="214">
        <f>IF(Tabel511[[#This Row],[Aantal games Alg]]=0,0,Tabel511[[#This Row],[Goals Alg]]/Tabel511[[#This Row],[Aantal games Alg]])</f>
        <v>0</v>
      </c>
      <c r="BK62" s="148">
        <f>SUMIF(Tabel152[Team Rood],Tabel511[[#This Row],[Team]],Tabel152[ET])</f>
        <v>0</v>
      </c>
      <c r="BL62" s="150">
        <f>SUMIF(Tabel152[Team Groen],Tabel511[[#This Row],[Team]],Tabel152[ET])</f>
        <v>0</v>
      </c>
      <c r="BM62" s="153">
        <f>SUM(Tabel511[[#This Row],[ET Groen tot]],Tabel511[[#This Row],[ET Rood tot]])</f>
        <v>0</v>
      </c>
      <c r="BN62" s="155">
        <f>IF(Tabel511[[#This Row],[Aantal games Alg]]=0,0,Tabel511[[#This Row],[ET tot]]/Tabel511[[#This Row],[Aantal games Alg]])</f>
        <v>0</v>
      </c>
    </row>
    <row r="63" spans="1:66" ht="13.9" customHeight="1" x14ac:dyDescent="0.25">
      <c r="A63" s="215" t="str">
        <f ca="1">IF(Tabel152[[#This Row],[Rood Verdediging]]&lt;&gt;"",IF(A63="",NOW(),A63),"")</f>
        <v/>
      </c>
      <c r="B63" s="218" t="str">
        <f ca="1">IF(Tabel152[[#This Row],[Rood Verdediging]]&lt;&gt;"",IF(B63="",NOW(),B63),"")</f>
        <v/>
      </c>
      <c r="C63" s="216" t="str">
        <f ca="1">IF(Tabel152[[#This Row],[Score]]&lt;&gt;"",IF(C63="",NOW(),C63),"")</f>
        <v/>
      </c>
      <c r="D63" s="217" t="str">
        <f ca="1">IF(OR(Tabel152[[#This Row],[Starttijd]]="",Tabel152[[#This Row],[Eindtijd]]=""),"",Tabel152[[#This Row],[Eindtijd]]-Tabel152[[#This Row],[Starttijd]])</f>
        <v/>
      </c>
      <c r="E63" s="74">
        <v>62</v>
      </c>
      <c r="F63" s="205"/>
      <c r="G63" s="210"/>
      <c r="H63" s="205"/>
      <c r="I63" s="210"/>
      <c r="J63" s="206"/>
      <c r="K63" s="212"/>
      <c r="L63" s="206"/>
      <c r="M63" s="212"/>
      <c r="N63" s="79">
        <f>Tabel152[[#This Row],[Score]]+Tabel152[[#This Row],[Score2]]</f>
        <v>0</v>
      </c>
      <c r="O63" s="80">
        <f>Tabel152[[#This Row],[Score3]]+Tabel152[[#This Row],[Score4]]</f>
        <v>0</v>
      </c>
      <c r="P6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Row],[Score4]]&lt;&gt;""),IF(AND(N63&gt;O63,N63&gt;=11),"ROOD",IF(AND(O63&gt;=11,N63&lt;&gt;O63),"GROEN","")),"")</f>
        <v/>
      </c>
      <c r="Q63" s="84">
        <f t="shared" si="12"/>
        <v>0</v>
      </c>
      <c r="R63" s="85">
        <f t="shared" si="13"/>
        <v>0</v>
      </c>
      <c r="S63" s="293" t="str">
        <f>Tabel152[[#This Row],[Rood Verdediging]]&amp;Tabel152[[#This Row],[Rood Aanval]]</f>
        <v/>
      </c>
      <c r="T63" s="293" t="str">
        <f>Tabel152[[#This Row],[Groen Verdediging]]&amp;Tabel152[[#This Row],[Groen Aanval]]</f>
        <v/>
      </c>
      <c r="U63" s="293" t="str">
        <f>Tabel152[[#This Row],[Winnaar 1]]&amp;Tabel152[[#This Row],[Winnaar 2]]</f>
        <v>00</v>
      </c>
      <c r="V63" s="147" t="b">
        <f>IF(Tabel152[[#This Row],[Team Rood]]=Tabel152[[#This Row],[Winnaars]],Tabel152[[#This Row],[Team Rood]])</f>
        <v>0</v>
      </c>
      <c r="W63" s="147" t="b">
        <f>IF(Tabel152[[#This Row],[Team Groen]]=Tabel152[[#This Row],[Winnaars]],Tabel152[[#This Row],[Team Groen]])</f>
        <v>0</v>
      </c>
      <c r="X63" s="283"/>
      <c r="Y63" s="283"/>
      <c r="Z63" s="283"/>
      <c r="AA63" s="283"/>
      <c r="AL63" s="251" t="s">
        <v>67</v>
      </c>
      <c r="AM63" s="233" t="s">
        <v>163</v>
      </c>
      <c r="AN63" s="140" t="str">
        <f t="shared" si="6"/>
        <v>LawrenceBert*</v>
      </c>
      <c r="AO63" s="160">
        <f>IF(Tabel511[[#This Row],[Aantal Games Rood]]=0,0,(Tabel511[[#This Row],[Wins Rood]])/Tabel511[[#This Row],[Aantal Games Rood]])</f>
        <v>0</v>
      </c>
      <c r="AP63" s="159">
        <f>IF(Tabel511[[#This Row],[Aantal Games Groen]]=0,0,(Tabel511[[#This Row],[Wins Groen]])/Tabel511[[#This Row],[Aantal Games Groen]])</f>
        <v>0</v>
      </c>
      <c r="AQ63" s="156">
        <f>IF(Tabel511[[#This Row],[Aantal games Alg]]=0,0,(Tabel511[[#This Row],[Wins Alg]])/Tabel511[[#This Row],[Aantal games Alg]])</f>
        <v>0</v>
      </c>
      <c r="AR63" s="133">
        <f>COUNTIF(Tabel152[Winaar rood],Tabel511[[#This Row],[Team]])</f>
        <v>0</v>
      </c>
      <c r="AS63" s="134">
        <f>COUNTIF(Tabel152[Winnaar Groen],Tabel511[[#This Row],[Team]])</f>
        <v>0</v>
      </c>
      <c r="AT63" s="293">
        <f>COUNTIF(Tabel152[Winnaars],Tabel511[[#This Row],[Team]])</f>
        <v>0</v>
      </c>
      <c r="AU63" s="135">
        <f>Tabel511[[#This Row],[Aantal Games Rood]]-Tabel511[[#This Row],[Wins Rood]]</f>
        <v>0</v>
      </c>
      <c r="AV63" s="136">
        <f>Tabel511[[#This Row],[Aantal Games Groen]]-Tabel511[[#This Row],[Wins Groen]]</f>
        <v>0</v>
      </c>
      <c r="AW63" s="137">
        <f>Tabel511[[#This Row],[Aantal games Alg]]-Tabel511[[#This Row],[Wins Alg]]</f>
        <v>0</v>
      </c>
      <c r="AX63" s="138">
        <f>COUNTIF(Tabel152[Team Rood],Tabel511[[#This Row],[Team]])</f>
        <v>0</v>
      </c>
      <c r="AY63" s="136">
        <f>COUNTIF(Tabel152[Team Groen],Tabel511[[#This Row],[Team]])</f>
        <v>0</v>
      </c>
      <c r="AZ63" s="214">
        <f>Tabel511[[#This Row],[Aantal Games Rood]]+Tabel511[[#This Row],[Aantal Games Groen]]</f>
        <v>0</v>
      </c>
      <c r="BA63" s="138">
        <f>SUMIF(Tabel152[Team Rood],Tabel511[[#This Row],[Team]],Tabel152[Score])</f>
        <v>0</v>
      </c>
      <c r="BB63" s="138">
        <f>SUMIF(Tabel152[Team Rood],Tabel511[[#This Row],[Team]],Tabel152[Score2])</f>
        <v>0</v>
      </c>
      <c r="BC63" s="134">
        <f>SUMIF(Tabel152[Team Groen],Tabel511[[#This Row],[Team]],Tabel152[Score3])</f>
        <v>0</v>
      </c>
      <c r="BD63" s="136">
        <f>SUMIF(Tabel152[Team Groen],Tabel511[[#This Row],[Team]],Tabel152[Score4])</f>
        <v>0</v>
      </c>
      <c r="BE63" s="293">
        <f>SUM(Tabel511[[#This Row],[Goals Verdediger]]+Tabel511[[#This Row],[Goals DefG]])</f>
        <v>0</v>
      </c>
      <c r="BF63" s="293">
        <f>IF(Tabel511[[#This Row],[Aantal games Alg]]=0,0,Tabel511[[#This Row],[Goals DefA]]/Tabel511[[#This Row],[Aantal games Alg]])</f>
        <v>0</v>
      </c>
      <c r="BG63" s="293">
        <f>SUM(Tabel511[[#This Row],[Goals Aanvaller]]+Tabel511[[#This Row],[Goals OffG]])</f>
        <v>0</v>
      </c>
      <c r="BH63" s="293">
        <f>IF(Tabel511[[#This Row],[Aantal games Alg]]=0,0,Tabel511[[#This Row],[Goals OffA]]/Tabel511[[#This Row],[Aantal games Alg]])</f>
        <v>0</v>
      </c>
      <c r="BI63" s="214">
        <f>Tabel511[[#This Row],[Goals DefA]]+Tabel511[[#This Row],[Goals OffA]]</f>
        <v>0</v>
      </c>
      <c r="BJ63" s="214">
        <f>IF(Tabel511[[#This Row],[Aantal games Alg]]=0,0,Tabel511[[#This Row],[Goals Alg]]/Tabel511[[#This Row],[Aantal games Alg]])</f>
        <v>0</v>
      </c>
      <c r="BK63" s="148">
        <f>SUMIF(Tabel152[Team Rood],Tabel511[[#This Row],[Team]],Tabel152[ET])</f>
        <v>0</v>
      </c>
      <c r="BL63" s="150">
        <f>SUMIF(Tabel152[Team Groen],Tabel511[[#This Row],[Team]],Tabel152[ET])</f>
        <v>0</v>
      </c>
      <c r="BM63" s="153">
        <f>SUM(Tabel511[[#This Row],[ET Groen tot]],Tabel511[[#This Row],[ET Rood tot]])</f>
        <v>0</v>
      </c>
      <c r="BN63" s="155">
        <f>IF(Tabel511[[#This Row],[Aantal games Alg]]=0,0,Tabel511[[#This Row],[ET tot]]/Tabel511[[#This Row],[Aantal games Alg]])</f>
        <v>0</v>
      </c>
    </row>
    <row r="64" spans="1:66" x14ac:dyDescent="0.25">
      <c r="A64" s="215" t="str">
        <f ca="1">IF(Tabel152[[#This Row],[Rood Verdediging]]&lt;&gt;"",IF(A64="",NOW(),A64),"")</f>
        <v/>
      </c>
      <c r="B64" s="218" t="str">
        <f ca="1">IF(Tabel152[[#This Row],[Rood Verdediging]]&lt;&gt;"",IF(B64="",NOW(),B64),"")</f>
        <v/>
      </c>
      <c r="C64" s="216" t="str">
        <f ca="1">IF(Tabel152[[#This Row],[Score]]&lt;&gt;"",IF(C64="",NOW(),C64),"")</f>
        <v/>
      </c>
      <c r="D64" s="217" t="str">
        <f ca="1">IF(OR(Tabel152[[#This Row],[Starttijd]]="",Tabel152[[#This Row],[Eindtijd]]=""),"",Tabel152[[#This Row],[Eindtijd]]-Tabel152[[#This Row],[Starttijd]])</f>
        <v/>
      </c>
      <c r="E64" s="74">
        <v>63</v>
      </c>
      <c r="F64" s="205"/>
      <c r="G64" s="210"/>
      <c r="H64" s="205"/>
      <c r="I64" s="210"/>
      <c r="J64" s="206"/>
      <c r="K64" s="212"/>
      <c r="L64" s="206"/>
      <c r="M64" s="212"/>
      <c r="N64" s="79">
        <f>Tabel152[[#This Row],[Score]]+Tabel152[[#This Row],[Score2]]</f>
        <v>0</v>
      </c>
      <c r="O64" s="80">
        <f>Tabel152[[#This Row],[Score3]]+Tabel152[[#This Row],[Score4]]</f>
        <v>0</v>
      </c>
      <c r="P6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Row],[Score4]]&lt;&gt;""),IF(AND(N64&gt;O64,N64&gt;=11),"ROOD",IF(AND(O64&gt;=11,N64&lt;&gt;O64),"GROEN","")),"")</f>
        <v/>
      </c>
      <c r="Q64" s="84">
        <f t="shared" si="12"/>
        <v>0</v>
      </c>
      <c r="R64" s="85">
        <f t="shared" si="13"/>
        <v>0</v>
      </c>
      <c r="S64" s="293" t="str">
        <f>Tabel152[[#This Row],[Rood Verdediging]]&amp;Tabel152[[#This Row],[Rood Aanval]]</f>
        <v/>
      </c>
      <c r="T64" s="293" t="str">
        <f>Tabel152[[#This Row],[Groen Verdediging]]&amp;Tabel152[[#This Row],[Groen Aanval]]</f>
        <v/>
      </c>
      <c r="U64" s="293" t="str">
        <f>Tabel152[[#This Row],[Winnaar 1]]&amp;Tabel152[[#This Row],[Winnaar 2]]</f>
        <v>00</v>
      </c>
      <c r="V64" s="147" t="b">
        <f>IF(Tabel152[[#This Row],[Team Rood]]=Tabel152[[#This Row],[Winnaars]],Tabel152[[#This Row],[Team Rood]])</f>
        <v>0</v>
      </c>
      <c r="W64" s="147" t="b">
        <f>IF(Tabel152[[#This Row],[Team Groen]]=Tabel152[[#This Row],[Winnaars]],Tabel152[[#This Row],[Team Groen]])</f>
        <v>0</v>
      </c>
      <c r="X64" s="283"/>
      <c r="Y64" s="283"/>
      <c r="Z64" s="283"/>
      <c r="AA64" s="283"/>
      <c r="AL64" s="251" t="s">
        <v>67</v>
      </c>
      <c r="AM64" s="233" t="s">
        <v>168</v>
      </c>
      <c r="AN64" s="140" t="str">
        <f t="shared" si="6"/>
        <v>LawrenceCoghe*</v>
      </c>
      <c r="AO64" s="160">
        <f>IF(Tabel511[[#This Row],[Aantal Games Rood]]=0,0,(Tabel511[[#This Row],[Wins Rood]])/Tabel511[[#This Row],[Aantal Games Rood]])</f>
        <v>0</v>
      </c>
      <c r="AP64" s="159">
        <f>IF(Tabel511[[#This Row],[Aantal Games Groen]]=0,0,(Tabel511[[#This Row],[Wins Groen]])/Tabel511[[#This Row],[Aantal Games Groen]])</f>
        <v>0</v>
      </c>
      <c r="AQ64" s="156">
        <f>IF(Tabel511[[#This Row],[Aantal games Alg]]=0,0,(Tabel511[[#This Row],[Wins Alg]])/Tabel511[[#This Row],[Aantal games Alg]])</f>
        <v>0</v>
      </c>
      <c r="AR64" s="133">
        <f>COUNTIF(Tabel152[Winaar rood],Tabel511[[#This Row],[Team]])</f>
        <v>0</v>
      </c>
      <c r="AS64" s="134">
        <f>COUNTIF(Tabel152[Winnaar Groen],Tabel511[[#This Row],[Team]])</f>
        <v>0</v>
      </c>
      <c r="AT64" s="293">
        <f>COUNTIF(Tabel152[Winnaars],Tabel511[[#This Row],[Team]])</f>
        <v>0</v>
      </c>
      <c r="AU64" s="135">
        <f>Tabel511[[#This Row],[Aantal Games Rood]]-Tabel511[[#This Row],[Wins Rood]]</f>
        <v>0</v>
      </c>
      <c r="AV64" s="136">
        <f>Tabel511[[#This Row],[Aantal Games Groen]]-Tabel511[[#This Row],[Wins Groen]]</f>
        <v>0</v>
      </c>
      <c r="AW64" s="137">
        <f>Tabel511[[#This Row],[Aantal games Alg]]-Tabel511[[#This Row],[Wins Alg]]</f>
        <v>0</v>
      </c>
      <c r="AX64" s="138">
        <f>COUNTIF(Tabel152[Team Rood],Tabel511[[#This Row],[Team]])</f>
        <v>0</v>
      </c>
      <c r="AY64" s="136">
        <f>COUNTIF(Tabel152[Team Groen],Tabel511[[#This Row],[Team]])</f>
        <v>0</v>
      </c>
      <c r="AZ64" s="214">
        <f>Tabel511[[#This Row],[Aantal Games Rood]]+Tabel511[[#This Row],[Aantal Games Groen]]</f>
        <v>0</v>
      </c>
      <c r="BA64" s="138">
        <f>SUMIF(Tabel152[Team Rood],Tabel511[[#This Row],[Team]],Tabel152[Score])</f>
        <v>0</v>
      </c>
      <c r="BB64" s="138">
        <f>SUMIF(Tabel152[Team Rood],Tabel511[[#This Row],[Team]],Tabel152[Score2])</f>
        <v>0</v>
      </c>
      <c r="BC64" s="134">
        <f>SUMIF(Tabel152[Team Groen],Tabel511[[#This Row],[Team]],Tabel152[Score3])</f>
        <v>0</v>
      </c>
      <c r="BD64" s="136">
        <f>SUMIF(Tabel152[Team Groen],Tabel511[[#This Row],[Team]],Tabel152[Score4])</f>
        <v>0</v>
      </c>
      <c r="BE64" s="293">
        <f>SUM(Tabel511[[#This Row],[Goals Verdediger]]+Tabel511[[#This Row],[Goals DefG]])</f>
        <v>0</v>
      </c>
      <c r="BF64" s="293">
        <f>IF(Tabel511[[#This Row],[Aantal games Alg]]=0,0,Tabel511[[#This Row],[Goals DefA]]/Tabel511[[#This Row],[Aantal games Alg]])</f>
        <v>0</v>
      </c>
      <c r="BG64" s="293">
        <f>SUM(Tabel511[[#This Row],[Goals Aanvaller]]+Tabel511[[#This Row],[Goals OffG]])</f>
        <v>0</v>
      </c>
      <c r="BH64" s="293">
        <f>IF(Tabel511[[#This Row],[Aantal games Alg]]=0,0,Tabel511[[#This Row],[Goals OffA]]/Tabel511[[#This Row],[Aantal games Alg]])</f>
        <v>0</v>
      </c>
      <c r="BI64" s="214">
        <f>Tabel511[[#This Row],[Goals DefA]]+Tabel511[[#This Row],[Goals OffA]]</f>
        <v>0</v>
      </c>
      <c r="BJ64" s="214">
        <f>IF(Tabel511[[#This Row],[Aantal games Alg]]=0,0,Tabel511[[#This Row],[Goals Alg]]/Tabel511[[#This Row],[Aantal games Alg]])</f>
        <v>0</v>
      </c>
      <c r="BK64" s="148">
        <f>SUMIF(Tabel152[Team Rood],Tabel511[[#This Row],[Team]],Tabel152[ET])</f>
        <v>0</v>
      </c>
      <c r="BL64" s="150">
        <f>SUMIF(Tabel152[Team Groen],Tabel511[[#This Row],[Team]],Tabel152[ET])</f>
        <v>0</v>
      </c>
      <c r="BM64" s="153">
        <f>SUM(Tabel511[[#This Row],[ET Groen tot]],Tabel511[[#This Row],[ET Rood tot]])</f>
        <v>0</v>
      </c>
      <c r="BN64" s="155">
        <f>IF(Tabel511[[#This Row],[Aantal games Alg]]=0,0,Tabel511[[#This Row],[ET tot]]/Tabel511[[#This Row],[Aantal games Alg]])</f>
        <v>0</v>
      </c>
    </row>
    <row r="65" spans="1:66" x14ac:dyDescent="0.25">
      <c r="A65" s="215" t="str">
        <f ca="1">IF(Tabel152[[#This Row],[Rood Verdediging]]&lt;&gt;"",IF(A65="",NOW(),A65),"")</f>
        <v/>
      </c>
      <c r="B65" s="218" t="str">
        <f ca="1">IF(Tabel152[[#This Row],[Rood Verdediging]]&lt;&gt;"",IF(B65="",NOW(),B65),"")</f>
        <v/>
      </c>
      <c r="C65" s="216" t="str">
        <f ca="1">IF(Tabel152[[#This Row],[Score]]&lt;&gt;"",IF(C65="",NOW(),C65),"")</f>
        <v/>
      </c>
      <c r="D65" s="217" t="str">
        <f ca="1">IF(OR(Tabel152[[#This Row],[Starttijd]]="",Tabel152[[#This Row],[Eindtijd]]=""),"",Tabel152[[#This Row],[Eindtijd]]-Tabel152[[#This Row],[Starttijd]])</f>
        <v/>
      </c>
      <c r="E65" s="74">
        <v>64</v>
      </c>
      <c r="F65" s="205"/>
      <c r="G65" s="210"/>
      <c r="H65" s="205"/>
      <c r="I65" s="210"/>
      <c r="J65" s="206"/>
      <c r="K65" s="212"/>
      <c r="L65" s="206"/>
      <c r="M65" s="212"/>
      <c r="N65" s="79">
        <f>Tabel152[[#This Row],[Score]]+Tabel152[[#This Row],[Score2]]</f>
        <v>0</v>
      </c>
      <c r="O65" s="80">
        <f>Tabel152[[#This Row],[Score3]]+Tabel152[[#This Row],[Score4]]</f>
        <v>0</v>
      </c>
      <c r="P6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Row],[Score4]]&lt;&gt;""),IF(AND(N65&gt;O65,N65&gt;=11),"ROOD",IF(AND(O65&gt;=11,N65&lt;&gt;O65),"GROEN","")),"")</f>
        <v/>
      </c>
      <c r="Q65" s="84">
        <f t="shared" si="12"/>
        <v>0</v>
      </c>
      <c r="R65" s="85">
        <f t="shared" si="13"/>
        <v>0</v>
      </c>
      <c r="S65" s="293" t="str">
        <f>Tabel152[[#This Row],[Rood Verdediging]]&amp;Tabel152[[#This Row],[Rood Aanval]]</f>
        <v/>
      </c>
      <c r="T65" s="293" t="str">
        <f>Tabel152[[#This Row],[Groen Verdediging]]&amp;Tabel152[[#This Row],[Groen Aanval]]</f>
        <v/>
      </c>
      <c r="U65" s="293" t="str">
        <f>Tabel152[[#This Row],[Winnaar 1]]&amp;Tabel152[[#This Row],[Winnaar 2]]</f>
        <v>00</v>
      </c>
      <c r="V65" s="147" t="b">
        <f>IF(Tabel152[[#This Row],[Team Rood]]=Tabel152[[#This Row],[Winnaars]],Tabel152[[#This Row],[Team Rood]])</f>
        <v>0</v>
      </c>
      <c r="W65" s="147" t="b">
        <f>IF(Tabel152[[#This Row],[Team Groen]]=Tabel152[[#This Row],[Winnaars]],Tabel152[[#This Row],[Team Groen]])</f>
        <v>0</v>
      </c>
      <c r="X65" s="283"/>
      <c r="Y65" s="283"/>
      <c r="Z65" s="283"/>
      <c r="AA65" s="283"/>
      <c r="AL65" s="251" t="s">
        <v>67</v>
      </c>
      <c r="AM65" s="233" t="s">
        <v>159</v>
      </c>
      <c r="AN65" s="140" t="str">
        <f t="shared" si="6"/>
        <v>LawrenceJonas*</v>
      </c>
      <c r="AO65" s="160">
        <f>IF(Tabel511[[#This Row],[Aantal Games Rood]]=0,0,(Tabel511[[#This Row],[Wins Rood]])/Tabel511[[#This Row],[Aantal Games Rood]])</f>
        <v>0</v>
      </c>
      <c r="AP65" s="159">
        <f>IF(Tabel511[[#This Row],[Aantal Games Groen]]=0,0,(Tabel511[[#This Row],[Wins Groen]])/Tabel511[[#This Row],[Aantal Games Groen]])</f>
        <v>0</v>
      </c>
      <c r="AQ65" s="156">
        <f>IF(Tabel511[[#This Row],[Aantal games Alg]]=0,0,(Tabel511[[#This Row],[Wins Alg]])/Tabel511[[#This Row],[Aantal games Alg]])</f>
        <v>0</v>
      </c>
      <c r="AR65" s="133">
        <f>COUNTIF(Tabel152[Winaar rood],Tabel511[[#This Row],[Team]])</f>
        <v>0</v>
      </c>
      <c r="AS65" s="134">
        <f>COUNTIF(Tabel152[Winnaar Groen],Tabel511[[#This Row],[Team]])</f>
        <v>0</v>
      </c>
      <c r="AT65" s="293">
        <f>COUNTIF(Tabel152[Winnaars],Tabel511[[#This Row],[Team]])</f>
        <v>0</v>
      </c>
      <c r="AU65" s="135">
        <f>Tabel511[[#This Row],[Aantal Games Rood]]-Tabel511[[#This Row],[Wins Rood]]</f>
        <v>0</v>
      </c>
      <c r="AV65" s="136">
        <f>Tabel511[[#This Row],[Aantal Games Groen]]-Tabel511[[#This Row],[Wins Groen]]</f>
        <v>0</v>
      </c>
      <c r="AW65" s="137">
        <f>Tabel511[[#This Row],[Aantal games Alg]]-Tabel511[[#This Row],[Wins Alg]]</f>
        <v>0</v>
      </c>
      <c r="AX65" s="138">
        <f>COUNTIF(Tabel152[Team Rood],Tabel511[[#This Row],[Team]])</f>
        <v>0</v>
      </c>
      <c r="AY65" s="136">
        <f>COUNTIF(Tabel152[Team Groen],Tabel511[[#This Row],[Team]])</f>
        <v>0</v>
      </c>
      <c r="AZ65" s="214">
        <f>Tabel511[[#This Row],[Aantal Games Rood]]+Tabel511[[#This Row],[Aantal Games Groen]]</f>
        <v>0</v>
      </c>
      <c r="BA65" s="138">
        <f>SUMIF(Tabel152[Team Rood],Tabel511[[#This Row],[Team]],Tabel152[Score])</f>
        <v>0</v>
      </c>
      <c r="BB65" s="138">
        <f>SUMIF(Tabel152[Team Rood],Tabel511[[#This Row],[Team]],Tabel152[Score2])</f>
        <v>0</v>
      </c>
      <c r="BC65" s="134">
        <f>SUMIF(Tabel152[Team Groen],Tabel511[[#This Row],[Team]],Tabel152[Score3])</f>
        <v>0</v>
      </c>
      <c r="BD65" s="136">
        <f>SUMIF(Tabel152[Team Groen],Tabel511[[#This Row],[Team]],Tabel152[Score4])</f>
        <v>0</v>
      </c>
      <c r="BE65" s="293">
        <f>SUM(Tabel511[[#This Row],[Goals Verdediger]]+Tabel511[[#This Row],[Goals DefG]])</f>
        <v>0</v>
      </c>
      <c r="BF65" s="293">
        <f>IF(Tabel511[[#This Row],[Aantal games Alg]]=0,0,Tabel511[[#This Row],[Goals DefA]]/Tabel511[[#This Row],[Aantal games Alg]])</f>
        <v>0</v>
      </c>
      <c r="BG65" s="293">
        <f>SUM(Tabel511[[#This Row],[Goals Aanvaller]]+Tabel511[[#This Row],[Goals OffG]])</f>
        <v>0</v>
      </c>
      <c r="BH65" s="293">
        <f>IF(Tabel511[[#This Row],[Aantal games Alg]]=0,0,Tabel511[[#This Row],[Goals OffA]]/Tabel511[[#This Row],[Aantal games Alg]])</f>
        <v>0</v>
      </c>
      <c r="BI65" s="214">
        <f>Tabel511[[#This Row],[Goals DefA]]+Tabel511[[#This Row],[Goals OffA]]</f>
        <v>0</v>
      </c>
      <c r="BJ65" s="214">
        <f>IF(Tabel511[[#This Row],[Aantal games Alg]]=0,0,Tabel511[[#This Row],[Goals Alg]]/Tabel511[[#This Row],[Aantal games Alg]])</f>
        <v>0</v>
      </c>
      <c r="BK65" s="148">
        <f>SUMIF(Tabel152[Team Rood],Tabel511[[#This Row],[Team]],Tabel152[ET])</f>
        <v>0</v>
      </c>
      <c r="BL65" s="150">
        <f>SUMIF(Tabel152[Team Groen],Tabel511[[#This Row],[Team]],Tabel152[ET])</f>
        <v>0</v>
      </c>
      <c r="BM65" s="153">
        <f>SUM(Tabel511[[#This Row],[ET Groen tot]],Tabel511[[#This Row],[ET Rood tot]])</f>
        <v>0</v>
      </c>
      <c r="BN65" s="155">
        <f>IF(Tabel511[[#This Row],[Aantal games Alg]]=0,0,Tabel511[[#This Row],[ET tot]]/Tabel511[[#This Row],[Aantal games Alg]])</f>
        <v>0</v>
      </c>
    </row>
    <row r="66" spans="1:66" x14ac:dyDescent="0.25">
      <c r="A66" s="215" t="str">
        <f ca="1">IF(Tabel152[[#This Row],[Rood Verdediging]]&lt;&gt;"",IF(A66="",NOW(),A66),"")</f>
        <v/>
      </c>
      <c r="B66" s="218" t="str">
        <f ca="1">IF(Tabel152[[#This Row],[Rood Verdediging]]&lt;&gt;"",IF(B66="",NOW(),B66),"")</f>
        <v/>
      </c>
      <c r="C66" s="216" t="str">
        <f ca="1">IF(Tabel152[[#This Row],[Score]]&lt;&gt;"",IF(C66="",NOW(),C66),"")</f>
        <v/>
      </c>
      <c r="D66" s="217" t="str">
        <f ca="1">IF(OR(Tabel152[[#This Row],[Starttijd]]="",Tabel152[[#This Row],[Eindtijd]]=""),"",Tabel152[[#This Row],[Eindtijd]]-Tabel152[[#This Row],[Starttijd]])</f>
        <v/>
      </c>
      <c r="E66" s="74">
        <v>65</v>
      </c>
      <c r="F66" s="205"/>
      <c r="G66" s="210"/>
      <c r="H66" s="205"/>
      <c r="I66" s="210"/>
      <c r="J66" s="206"/>
      <c r="K66" s="212"/>
      <c r="L66" s="206"/>
      <c r="M66" s="212"/>
      <c r="N66" s="79">
        <f>Tabel152[[#This Row],[Score]]+Tabel152[[#This Row],[Score2]]</f>
        <v>0</v>
      </c>
      <c r="O66" s="80">
        <f>Tabel152[[#This Row],[Score3]]+Tabel152[[#This Row],[Score4]]</f>
        <v>0</v>
      </c>
      <c r="P6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Row],[Score4]]&lt;&gt;""),IF(AND(N66&gt;O66,N66&gt;=11),"ROOD",IF(AND(O66&gt;=11,N66&lt;&gt;O66),"GROEN","")),"")</f>
        <v/>
      </c>
      <c r="Q66" s="84">
        <f t="shared" si="12"/>
        <v>0</v>
      </c>
      <c r="R66" s="85">
        <f t="shared" si="13"/>
        <v>0</v>
      </c>
      <c r="S66" s="293" t="str">
        <f>Tabel152[[#This Row],[Rood Verdediging]]&amp;Tabel152[[#This Row],[Rood Aanval]]</f>
        <v/>
      </c>
      <c r="T66" s="293" t="str">
        <f>Tabel152[[#This Row],[Groen Verdediging]]&amp;Tabel152[[#This Row],[Groen Aanval]]</f>
        <v/>
      </c>
      <c r="U66" s="293" t="str">
        <f>Tabel152[[#This Row],[Winnaar 1]]&amp;Tabel152[[#This Row],[Winnaar 2]]</f>
        <v>00</v>
      </c>
      <c r="V66" s="147" t="b">
        <f>IF(Tabel152[[#This Row],[Team Rood]]=Tabel152[[#This Row],[Winnaars]],Tabel152[[#This Row],[Team Rood]])</f>
        <v>0</v>
      </c>
      <c r="W66" s="147" t="b">
        <f>IF(Tabel152[[#This Row],[Team Groen]]=Tabel152[[#This Row],[Winnaars]],Tabel152[[#This Row],[Team Groen]])</f>
        <v>0</v>
      </c>
      <c r="X66" s="283"/>
      <c r="Y66" s="283"/>
      <c r="Z66" s="283"/>
      <c r="AA66" s="283"/>
      <c r="AL66" s="251" t="s">
        <v>67</v>
      </c>
      <c r="AM66" s="233" t="s">
        <v>164</v>
      </c>
      <c r="AN66" s="140" t="str">
        <f t="shared" ref="AN66:AN129" si="14">AL66&amp;AM66</f>
        <v>LawrenceKarel*</v>
      </c>
      <c r="AO66" s="160">
        <f>IF(Tabel511[[#This Row],[Aantal Games Rood]]=0,0,(Tabel511[[#This Row],[Wins Rood]])/Tabel511[[#This Row],[Aantal Games Rood]])</f>
        <v>0</v>
      </c>
      <c r="AP66" s="159">
        <f>IF(Tabel511[[#This Row],[Aantal Games Groen]]=0,0,(Tabel511[[#This Row],[Wins Groen]])/Tabel511[[#This Row],[Aantal Games Groen]])</f>
        <v>0</v>
      </c>
      <c r="AQ66" s="156">
        <f>IF(Tabel511[[#This Row],[Aantal games Alg]]=0,0,(Tabel511[[#This Row],[Wins Alg]])/Tabel511[[#This Row],[Aantal games Alg]])</f>
        <v>0</v>
      </c>
      <c r="AR66" s="138">
        <f>COUNTIF(Tabel152[Winaar rood],Tabel511[[#This Row],[Team]])</f>
        <v>0</v>
      </c>
      <c r="AS66" s="134">
        <f>COUNTIF(Tabel152[Winnaar Groen],Tabel511[[#This Row],[Team]])</f>
        <v>0</v>
      </c>
      <c r="AT66" s="293">
        <f>COUNTIF(Tabel152[Winnaars],Tabel511[[#This Row],[Team]])</f>
        <v>0</v>
      </c>
      <c r="AU66" s="135">
        <f>Tabel511[[#This Row],[Aantal Games Rood]]-Tabel511[[#This Row],[Wins Rood]]</f>
        <v>0</v>
      </c>
      <c r="AV66" s="136">
        <f>Tabel511[[#This Row],[Aantal Games Groen]]-Tabel511[[#This Row],[Wins Groen]]</f>
        <v>0</v>
      </c>
      <c r="AW66" s="137">
        <f>Tabel511[[#This Row],[Aantal games Alg]]-Tabel511[[#This Row],[Wins Alg]]</f>
        <v>0</v>
      </c>
      <c r="AX66" s="138">
        <f>COUNTIF(Tabel152[Team Rood],Tabel511[[#This Row],[Team]])</f>
        <v>0</v>
      </c>
      <c r="AY66" s="136">
        <f>COUNTIF(Tabel152[Team Groen],Tabel511[[#This Row],[Team]])</f>
        <v>0</v>
      </c>
      <c r="AZ66" s="214">
        <f>Tabel511[[#This Row],[Aantal Games Rood]]+Tabel511[[#This Row],[Aantal Games Groen]]</f>
        <v>0</v>
      </c>
      <c r="BA66" s="138">
        <f>SUMIF(Tabel152[Team Rood],Tabel511[[#This Row],[Team]],Tabel152[Score])</f>
        <v>0</v>
      </c>
      <c r="BB66" s="138">
        <f>SUMIF(Tabel152[Team Rood],Tabel511[[#This Row],[Team]],Tabel152[Score2])</f>
        <v>0</v>
      </c>
      <c r="BC66" s="134">
        <f>SUMIF(Tabel152[Team Groen],Tabel511[[#This Row],[Team]],Tabel152[Score3])</f>
        <v>0</v>
      </c>
      <c r="BD66" s="136">
        <f>SUMIF(Tabel152[Team Groen],Tabel511[[#This Row],[Team]],Tabel152[Score4])</f>
        <v>0</v>
      </c>
      <c r="BE66" s="293">
        <f>SUM(Tabel511[[#This Row],[Goals Verdediger]]+Tabel511[[#This Row],[Goals DefG]])</f>
        <v>0</v>
      </c>
      <c r="BF66" s="293">
        <f>IF(Tabel511[[#This Row],[Aantal games Alg]]=0,0,Tabel511[[#This Row],[Goals DefA]]/Tabel511[[#This Row],[Aantal games Alg]])</f>
        <v>0</v>
      </c>
      <c r="BG66" s="293">
        <f>SUM(Tabel511[[#This Row],[Goals Aanvaller]]+Tabel511[[#This Row],[Goals OffG]])</f>
        <v>0</v>
      </c>
      <c r="BH66" s="293">
        <f>IF(Tabel511[[#This Row],[Aantal games Alg]]=0,0,Tabel511[[#This Row],[Goals OffA]]/Tabel511[[#This Row],[Aantal games Alg]])</f>
        <v>0</v>
      </c>
      <c r="BI66" s="214">
        <f>Tabel511[[#This Row],[Goals DefA]]+Tabel511[[#This Row],[Goals OffA]]</f>
        <v>0</v>
      </c>
      <c r="BJ66" s="214">
        <f>IF(Tabel511[[#This Row],[Aantal games Alg]]=0,0,Tabel511[[#This Row],[Goals Alg]]/Tabel511[[#This Row],[Aantal games Alg]])</f>
        <v>0</v>
      </c>
      <c r="BK66" s="148">
        <f>SUMIF(Tabel152[Team Rood],Tabel511[[#This Row],[Team]],Tabel152[ET])</f>
        <v>0</v>
      </c>
      <c r="BL66" s="150">
        <f>SUMIF(Tabel152[Team Groen],Tabel511[[#This Row],[Team]],Tabel152[ET])</f>
        <v>0</v>
      </c>
      <c r="BM66" s="153">
        <f>SUM(Tabel511[[#This Row],[ET Groen tot]],Tabel511[[#This Row],[ET Rood tot]])</f>
        <v>0</v>
      </c>
      <c r="BN66" s="155">
        <f>IF(Tabel511[[#This Row],[Aantal games Alg]]=0,0,Tabel511[[#This Row],[ET tot]]/Tabel511[[#This Row],[Aantal games Alg]])</f>
        <v>0</v>
      </c>
    </row>
    <row r="67" spans="1:66" x14ac:dyDescent="0.25">
      <c r="A67" s="215" t="str">
        <f ca="1">IF(Tabel152[[#This Row],[Rood Verdediging]]&lt;&gt;"",IF(A67="",NOW(),A67),"")</f>
        <v/>
      </c>
      <c r="B67" s="218" t="str">
        <f ca="1">IF(Tabel152[[#This Row],[Rood Verdediging]]&lt;&gt;"",IF(B67="",NOW(),B67),"")</f>
        <v/>
      </c>
      <c r="C67" s="216" t="str">
        <f ca="1">IF(Tabel152[[#This Row],[Score]]&lt;&gt;"",IF(C67="",NOW(),C67),"")</f>
        <v/>
      </c>
      <c r="D67" s="217" t="str">
        <f ca="1">IF(OR(Tabel152[[#This Row],[Starttijd]]="",Tabel152[[#This Row],[Eindtijd]]=""),"",Tabel152[[#This Row],[Eindtijd]]-Tabel152[[#This Row],[Starttijd]])</f>
        <v/>
      </c>
      <c r="E67" s="74">
        <v>66</v>
      </c>
      <c r="F67" s="205"/>
      <c r="G67" s="210"/>
      <c r="H67" s="205"/>
      <c r="I67" s="210"/>
      <c r="J67" s="206"/>
      <c r="K67" s="212"/>
      <c r="L67" s="206"/>
      <c r="M67" s="212"/>
      <c r="N67" s="79">
        <f>Tabel152[[#This Row],[Score]]+Tabel152[[#This Row],[Score2]]</f>
        <v>0</v>
      </c>
      <c r="O67" s="80">
        <f>Tabel152[[#This Row],[Score3]]+Tabel152[[#This Row],[Score4]]</f>
        <v>0</v>
      </c>
      <c r="P6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Row],[Score4]]&lt;&gt;""),IF(AND(N67&gt;O67,N67&gt;=11),"ROOD",IF(AND(O67&gt;=11,N67&lt;&gt;O67),"GROEN","")),"")</f>
        <v/>
      </c>
      <c r="Q67" s="84">
        <f t="shared" si="12"/>
        <v>0</v>
      </c>
      <c r="R67" s="85">
        <f t="shared" si="13"/>
        <v>0</v>
      </c>
      <c r="S67" s="293" t="str">
        <f>Tabel152[[#This Row],[Rood Verdediging]]&amp;Tabel152[[#This Row],[Rood Aanval]]</f>
        <v/>
      </c>
      <c r="T67" s="293" t="str">
        <f>Tabel152[[#This Row],[Groen Verdediging]]&amp;Tabel152[[#This Row],[Groen Aanval]]</f>
        <v/>
      </c>
      <c r="U67" s="293" t="str">
        <f>Tabel152[[#This Row],[Winnaar 1]]&amp;Tabel152[[#This Row],[Winnaar 2]]</f>
        <v>00</v>
      </c>
      <c r="V67" s="147" t="b">
        <f>IF(Tabel152[[#This Row],[Team Rood]]=Tabel152[[#This Row],[Winnaars]],Tabel152[[#This Row],[Team Rood]])</f>
        <v>0</v>
      </c>
      <c r="W67" s="147" t="b">
        <f>IF(Tabel152[[#This Row],[Team Groen]]=Tabel152[[#This Row],[Winnaars]],Tabel152[[#This Row],[Team Groen]])</f>
        <v>0</v>
      </c>
      <c r="X67" s="283"/>
      <c r="Y67" s="283"/>
      <c r="Z67" s="283"/>
      <c r="AA67" s="283"/>
      <c r="AL67" s="251" t="s">
        <v>67</v>
      </c>
      <c r="AM67" s="233" t="s">
        <v>161</v>
      </c>
      <c r="AN67" s="140" t="str">
        <f t="shared" si="14"/>
        <v>LawrenceLouis*</v>
      </c>
      <c r="AO67" s="160">
        <f>IF(Tabel511[[#This Row],[Aantal Games Rood]]=0,0,(Tabel511[[#This Row],[Wins Rood]])/Tabel511[[#This Row],[Aantal Games Rood]])</f>
        <v>0</v>
      </c>
      <c r="AP67" s="159">
        <f>IF(Tabel511[[#This Row],[Aantal Games Groen]]=0,0,(Tabel511[[#This Row],[Wins Groen]])/Tabel511[[#This Row],[Aantal Games Groen]])</f>
        <v>0</v>
      </c>
      <c r="AQ67" s="156">
        <f>IF(Tabel511[[#This Row],[Aantal games Alg]]=0,0,(Tabel511[[#This Row],[Wins Alg]])/Tabel511[[#This Row],[Aantal games Alg]])</f>
        <v>0</v>
      </c>
      <c r="AR67" s="133">
        <f>COUNTIF(Tabel152[Winaar rood],Tabel511[[#This Row],[Team]])</f>
        <v>0</v>
      </c>
      <c r="AS67" s="134">
        <f>COUNTIF(Tabel152[Winnaar Groen],Tabel511[[#This Row],[Team]])</f>
        <v>0</v>
      </c>
      <c r="AT67" s="293">
        <f>COUNTIF(Tabel152[Winnaars],Tabel511[[#This Row],[Team]])</f>
        <v>0</v>
      </c>
      <c r="AU67" s="135">
        <f>Tabel511[[#This Row],[Aantal Games Rood]]-Tabel511[[#This Row],[Wins Rood]]</f>
        <v>0</v>
      </c>
      <c r="AV67" s="136">
        <f>Tabel511[[#This Row],[Aantal Games Groen]]-Tabel511[[#This Row],[Wins Groen]]</f>
        <v>0</v>
      </c>
      <c r="AW67" s="137">
        <f>Tabel511[[#This Row],[Aantal games Alg]]-Tabel511[[#This Row],[Wins Alg]]</f>
        <v>0</v>
      </c>
      <c r="AX67" s="138">
        <f>COUNTIF(Tabel152[Team Rood],Tabel511[[#This Row],[Team]])</f>
        <v>0</v>
      </c>
      <c r="AY67" s="136">
        <f>COUNTIF(Tabel152[Team Groen],Tabel511[[#This Row],[Team]])</f>
        <v>0</v>
      </c>
      <c r="AZ67" s="214">
        <f>Tabel511[[#This Row],[Aantal Games Rood]]+Tabel511[[#This Row],[Aantal Games Groen]]</f>
        <v>0</v>
      </c>
      <c r="BA67" s="138">
        <f>SUMIF(Tabel152[Team Rood],Tabel511[[#This Row],[Team]],Tabel152[Score])</f>
        <v>0</v>
      </c>
      <c r="BB67" s="138">
        <f>SUMIF(Tabel152[Team Rood],Tabel511[[#This Row],[Team]],Tabel152[Score2])</f>
        <v>0</v>
      </c>
      <c r="BC67" s="134">
        <f>SUMIF(Tabel152[Team Groen],Tabel511[[#This Row],[Team]],Tabel152[Score3])</f>
        <v>0</v>
      </c>
      <c r="BD67" s="136">
        <f>SUMIF(Tabel152[Team Groen],Tabel511[[#This Row],[Team]],Tabel152[Score4])</f>
        <v>0</v>
      </c>
      <c r="BE67" s="293">
        <f>SUM(Tabel511[[#This Row],[Goals Verdediger]]+Tabel511[[#This Row],[Goals DefG]])</f>
        <v>0</v>
      </c>
      <c r="BF67" s="293">
        <f>IF(Tabel511[[#This Row],[Aantal games Alg]]=0,0,Tabel511[[#This Row],[Goals DefA]]/Tabel511[[#This Row],[Aantal games Alg]])</f>
        <v>0</v>
      </c>
      <c r="BG67" s="293">
        <f>SUM(Tabel511[[#This Row],[Goals Aanvaller]]+Tabel511[[#This Row],[Goals OffG]])</f>
        <v>0</v>
      </c>
      <c r="BH67" s="293">
        <f>IF(Tabel511[[#This Row],[Aantal games Alg]]=0,0,Tabel511[[#This Row],[Goals OffA]]/Tabel511[[#This Row],[Aantal games Alg]])</f>
        <v>0</v>
      </c>
      <c r="BI67" s="214">
        <f>Tabel511[[#This Row],[Goals DefA]]+Tabel511[[#This Row],[Goals OffA]]</f>
        <v>0</v>
      </c>
      <c r="BJ67" s="214">
        <f>IF(Tabel511[[#This Row],[Aantal games Alg]]=0,0,Tabel511[[#This Row],[Goals Alg]]/Tabel511[[#This Row],[Aantal games Alg]])</f>
        <v>0</v>
      </c>
      <c r="BK67" s="148">
        <f>SUMIF(Tabel152[Team Rood],Tabel511[[#This Row],[Team]],Tabel152[ET])</f>
        <v>0</v>
      </c>
      <c r="BL67" s="150">
        <f>SUMIF(Tabel152[Team Groen],Tabel511[[#This Row],[Team]],Tabel152[ET])</f>
        <v>0</v>
      </c>
      <c r="BM67" s="153">
        <f>SUM(Tabel511[[#This Row],[ET Groen tot]],Tabel511[[#This Row],[ET Rood tot]])</f>
        <v>0</v>
      </c>
      <c r="BN67" s="155">
        <f>IF(Tabel511[[#This Row],[Aantal games Alg]]=0,0,Tabel511[[#This Row],[ET tot]]/Tabel511[[#This Row],[Aantal games Alg]])</f>
        <v>0</v>
      </c>
    </row>
    <row r="68" spans="1:66" x14ac:dyDescent="0.25">
      <c r="A68" s="215" t="str">
        <f ca="1">IF(Tabel152[[#This Row],[Rood Verdediging]]&lt;&gt;"",IF(A68="",NOW(),A68),"")</f>
        <v/>
      </c>
      <c r="B68" s="218" t="str">
        <f ca="1">IF(Tabel152[[#This Row],[Rood Verdediging]]&lt;&gt;"",IF(B68="",NOW(),B68),"")</f>
        <v/>
      </c>
      <c r="C68" s="216" t="str">
        <f ca="1">IF(Tabel152[[#This Row],[Score]]&lt;&gt;"",IF(C68="",NOW(),C68),"")</f>
        <v/>
      </c>
      <c r="D68" s="217" t="str">
        <f ca="1">IF(OR(Tabel152[[#This Row],[Starttijd]]="",Tabel152[[#This Row],[Eindtijd]]=""),"",Tabel152[[#This Row],[Eindtijd]]-Tabel152[[#This Row],[Starttijd]])</f>
        <v/>
      </c>
      <c r="E68" s="74">
        <v>67</v>
      </c>
      <c r="F68" s="205"/>
      <c r="G68" s="210"/>
      <c r="H68" s="205"/>
      <c r="I68" s="210"/>
      <c r="J68" s="206"/>
      <c r="K68" s="212"/>
      <c r="L68" s="206"/>
      <c r="M68" s="212"/>
      <c r="N68" s="79">
        <f>Tabel152[[#This Row],[Score]]+Tabel152[[#This Row],[Score2]]</f>
        <v>0</v>
      </c>
      <c r="O68" s="80">
        <f>Tabel152[[#This Row],[Score3]]+Tabel152[[#This Row],[Score4]]</f>
        <v>0</v>
      </c>
      <c r="P6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Row],[Score4]]&lt;&gt;""),IF(AND(N68&gt;O68,N68&gt;=11),"ROOD",IF(AND(O68&gt;=11,N68&lt;&gt;O68),"GROEN","")),"")</f>
        <v/>
      </c>
      <c r="Q68" s="84">
        <f t="shared" si="12"/>
        <v>0</v>
      </c>
      <c r="R68" s="85">
        <f t="shared" si="13"/>
        <v>0</v>
      </c>
      <c r="S68" s="293" t="str">
        <f>Tabel152[[#This Row],[Rood Verdediging]]&amp;Tabel152[[#This Row],[Rood Aanval]]</f>
        <v/>
      </c>
      <c r="T68" s="293" t="str">
        <f>Tabel152[[#This Row],[Groen Verdediging]]&amp;Tabel152[[#This Row],[Groen Aanval]]</f>
        <v/>
      </c>
      <c r="U68" s="293" t="str">
        <f>Tabel152[[#This Row],[Winnaar 1]]&amp;Tabel152[[#This Row],[Winnaar 2]]</f>
        <v>00</v>
      </c>
      <c r="V68" s="147" t="b">
        <f>IF(Tabel152[[#This Row],[Team Rood]]=Tabel152[[#This Row],[Winnaars]],Tabel152[[#This Row],[Team Rood]])</f>
        <v>0</v>
      </c>
      <c r="W68" s="147" t="b">
        <f>IF(Tabel152[[#This Row],[Team Groen]]=Tabel152[[#This Row],[Winnaars]],Tabel152[[#This Row],[Team Groen]])</f>
        <v>0</v>
      </c>
      <c r="X68" s="283"/>
      <c r="Y68" s="283"/>
      <c r="Z68" s="283"/>
      <c r="AA68" s="283"/>
      <c r="AL68" s="251" t="s">
        <v>67</v>
      </c>
      <c r="AM68" s="233" t="s">
        <v>162</v>
      </c>
      <c r="AN68" s="140" t="str">
        <f t="shared" si="14"/>
        <v>LawrenceMatthijs*</v>
      </c>
      <c r="AO68" s="160">
        <f>IF(Tabel511[[#This Row],[Aantal Games Rood]]=0,0,(Tabel511[[#This Row],[Wins Rood]])/Tabel511[[#This Row],[Aantal Games Rood]])</f>
        <v>0</v>
      </c>
      <c r="AP68" s="159">
        <f>IF(Tabel511[[#This Row],[Aantal Games Groen]]=0,0,(Tabel511[[#This Row],[Wins Groen]])/Tabel511[[#This Row],[Aantal Games Groen]])</f>
        <v>0</v>
      </c>
      <c r="AQ68" s="156">
        <f>IF(Tabel511[[#This Row],[Aantal games Alg]]=0,0,(Tabel511[[#This Row],[Wins Alg]])/Tabel511[[#This Row],[Aantal games Alg]])</f>
        <v>0</v>
      </c>
      <c r="AR68" s="133">
        <f>COUNTIF(Tabel152[Winaar rood],Tabel511[[#This Row],[Team]])</f>
        <v>0</v>
      </c>
      <c r="AS68" s="134">
        <f>COUNTIF(Tabel152[Winnaar Groen],Tabel511[[#This Row],[Team]])</f>
        <v>0</v>
      </c>
      <c r="AT68" s="293">
        <f>COUNTIF(Tabel152[Winnaars],Tabel511[[#This Row],[Team]])</f>
        <v>0</v>
      </c>
      <c r="AU68" s="135">
        <f>Tabel511[[#This Row],[Aantal Games Rood]]-Tabel511[[#This Row],[Wins Rood]]</f>
        <v>0</v>
      </c>
      <c r="AV68" s="136">
        <f>Tabel511[[#This Row],[Aantal Games Groen]]-Tabel511[[#This Row],[Wins Groen]]</f>
        <v>0</v>
      </c>
      <c r="AW68" s="137">
        <f>Tabel511[[#This Row],[Aantal games Alg]]-Tabel511[[#This Row],[Wins Alg]]</f>
        <v>0</v>
      </c>
      <c r="AX68" s="138">
        <f>COUNTIF(Tabel152[Team Rood],Tabel511[[#This Row],[Team]])</f>
        <v>0</v>
      </c>
      <c r="AY68" s="136">
        <f>COUNTIF(Tabel152[Team Groen],Tabel511[[#This Row],[Team]])</f>
        <v>0</v>
      </c>
      <c r="AZ68" s="214">
        <f>Tabel511[[#This Row],[Aantal Games Rood]]+Tabel511[[#This Row],[Aantal Games Groen]]</f>
        <v>0</v>
      </c>
      <c r="BA68" s="138">
        <f>SUMIF(Tabel152[Team Rood],Tabel511[[#This Row],[Team]],Tabel152[Score])</f>
        <v>0</v>
      </c>
      <c r="BB68" s="138">
        <f>SUMIF(Tabel152[Team Rood],Tabel511[[#This Row],[Team]],Tabel152[Score2])</f>
        <v>0</v>
      </c>
      <c r="BC68" s="134">
        <f>SUMIF(Tabel152[Team Groen],Tabel511[[#This Row],[Team]],Tabel152[Score3])</f>
        <v>0</v>
      </c>
      <c r="BD68" s="136">
        <f>SUMIF(Tabel152[Team Groen],Tabel511[[#This Row],[Team]],Tabel152[Score4])</f>
        <v>0</v>
      </c>
      <c r="BE68" s="293">
        <f>SUM(Tabel511[[#This Row],[Goals Verdediger]]+Tabel511[[#This Row],[Goals DefG]])</f>
        <v>0</v>
      </c>
      <c r="BF68" s="293">
        <f>IF(Tabel511[[#This Row],[Aantal games Alg]]=0,0,Tabel511[[#This Row],[Goals DefA]]/Tabel511[[#This Row],[Aantal games Alg]])</f>
        <v>0</v>
      </c>
      <c r="BG68" s="293">
        <f>SUM(Tabel511[[#This Row],[Goals Aanvaller]]+Tabel511[[#This Row],[Goals OffG]])</f>
        <v>0</v>
      </c>
      <c r="BH68" s="293">
        <f>IF(Tabel511[[#This Row],[Aantal games Alg]]=0,0,Tabel511[[#This Row],[Goals OffA]]/Tabel511[[#This Row],[Aantal games Alg]])</f>
        <v>0</v>
      </c>
      <c r="BI68" s="214">
        <f>Tabel511[[#This Row],[Goals DefA]]+Tabel511[[#This Row],[Goals OffA]]</f>
        <v>0</v>
      </c>
      <c r="BJ68" s="214">
        <f>IF(Tabel511[[#This Row],[Aantal games Alg]]=0,0,Tabel511[[#This Row],[Goals Alg]]/Tabel511[[#This Row],[Aantal games Alg]])</f>
        <v>0</v>
      </c>
      <c r="BK68" s="148">
        <f>SUMIF(Tabel152[Team Rood],Tabel511[[#This Row],[Team]],Tabel152[ET])</f>
        <v>0</v>
      </c>
      <c r="BL68" s="150">
        <f>SUMIF(Tabel152[Team Groen],Tabel511[[#This Row],[Team]],Tabel152[ET])</f>
        <v>0</v>
      </c>
      <c r="BM68" s="153">
        <f>SUM(Tabel511[[#This Row],[ET Groen tot]],Tabel511[[#This Row],[ET Rood tot]])</f>
        <v>0</v>
      </c>
      <c r="BN68" s="155">
        <f>IF(Tabel511[[#This Row],[Aantal games Alg]]=0,0,Tabel511[[#This Row],[ET tot]]/Tabel511[[#This Row],[Aantal games Alg]])</f>
        <v>0</v>
      </c>
    </row>
    <row r="69" spans="1:66" x14ac:dyDescent="0.25">
      <c r="A69" s="215" t="str">
        <f ca="1">IF(Tabel152[[#This Row],[Rood Verdediging]]&lt;&gt;"",IF(A69="",NOW(),A69),"")</f>
        <v/>
      </c>
      <c r="B69" s="218" t="str">
        <f ca="1">IF(Tabel152[[#This Row],[Rood Verdediging]]&lt;&gt;"",IF(B69="",NOW(),B69),"")</f>
        <v/>
      </c>
      <c r="C69" s="216" t="str">
        <f ca="1">IF(Tabel152[[#This Row],[Score]]&lt;&gt;"",IF(C69="",NOW(),C69),"")</f>
        <v/>
      </c>
      <c r="D69" s="217" t="str">
        <f ca="1">IF(OR(Tabel152[[#This Row],[Starttijd]]="",Tabel152[[#This Row],[Eindtijd]]=""),"",Tabel152[[#This Row],[Eindtijd]]-Tabel152[[#This Row],[Starttijd]])</f>
        <v/>
      </c>
      <c r="E69" s="74">
        <v>68</v>
      </c>
      <c r="F69" s="205"/>
      <c r="G69" s="210"/>
      <c r="H69" s="205"/>
      <c r="I69" s="210"/>
      <c r="J69" s="206"/>
      <c r="K69" s="212"/>
      <c r="L69" s="206"/>
      <c r="M69" s="212"/>
      <c r="N69" s="79">
        <f>Tabel152[[#This Row],[Score]]+Tabel152[[#This Row],[Score2]]</f>
        <v>0</v>
      </c>
      <c r="O69" s="80">
        <f>Tabel152[[#This Row],[Score3]]+Tabel152[[#This Row],[Score4]]</f>
        <v>0</v>
      </c>
      <c r="P6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Row],[Score4]]&lt;&gt;""),IF(AND(N69&gt;O69,N69&gt;=11),"ROOD",IF(AND(O69&gt;=11,N69&lt;&gt;O69),"GROEN","")),"")</f>
        <v/>
      </c>
      <c r="Q69" s="84">
        <f t="shared" ref="Q69:Q132" si="15">IF(N69&gt;O69,F69,IF(N69="","",J69))</f>
        <v>0</v>
      </c>
      <c r="R69" s="85">
        <f t="shared" ref="R69:R132" si="16">IF(N69&gt;O69,H69,IF(N69="","",L69))</f>
        <v>0</v>
      </c>
      <c r="S69" s="293" t="str">
        <f>Tabel152[[#This Row],[Rood Verdediging]]&amp;Tabel152[[#This Row],[Rood Aanval]]</f>
        <v/>
      </c>
      <c r="T69" s="293" t="str">
        <f>Tabel152[[#This Row],[Groen Verdediging]]&amp;Tabel152[[#This Row],[Groen Aanval]]</f>
        <v/>
      </c>
      <c r="U69" s="293" t="str">
        <f>Tabel152[[#This Row],[Winnaar 1]]&amp;Tabel152[[#This Row],[Winnaar 2]]</f>
        <v>00</v>
      </c>
      <c r="V69" s="147" t="b">
        <f>IF(Tabel152[[#This Row],[Team Rood]]=Tabel152[[#This Row],[Winnaars]],Tabel152[[#This Row],[Team Rood]])</f>
        <v>0</v>
      </c>
      <c r="W69" s="147" t="b">
        <f>IF(Tabel152[[#This Row],[Team Groen]]=Tabel152[[#This Row],[Winnaars]],Tabel152[[#This Row],[Team Groen]])</f>
        <v>0</v>
      </c>
      <c r="X69" s="283"/>
      <c r="Y69" s="283"/>
      <c r="Z69" s="283"/>
      <c r="AA69" s="283"/>
      <c r="AL69" s="251" t="s">
        <v>67</v>
      </c>
      <c r="AM69" s="233" t="s">
        <v>170</v>
      </c>
      <c r="AN69" s="140" t="str">
        <f t="shared" si="14"/>
        <v>LawrenceNico*</v>
      </c>
      <c r="AO69" s="160">
        <f>IF(Tabel511[[#This Row],[Aantal Games Rood]]=0,0,(Tabel511[[#This Row],[Wins Rood]])/Tabel511[[#This Row],[Aantal Games Rood]])</f>
        <v>0</v>
      </c>
      <c r="AP69" s="159">
        <f>IF(Tabel511[[#This Row],[Aantal Games Groen]]=0,0,(Tabel511[[#This Row],[Wins Groen]])/Tabel511[[#This Row],[Aantal Games Groen]])</f>
        <v>0</v>
      </c>
      <c r="AQ69" s="156">
        <f>IF(Tabel511[[#This Row],[Aantal games Alg]]=0,0,(Tabel511[[#This Row],[Wins Alg]])/Tabel511[[#This Row],[Aantal games Alg]])</f>
        <v>0</v>
      </c>
      <c r="AR69" s="171">
        <f>COUNTIF(Tabel152[Winaar rood],Tabel511[[#This Row],[Team]])</f>
        <v>0</v>
      </c>
      <c r="AS69" s="169">
        <f>COUNTIF(Tabel152[Winnaar Groen],Tabel511[[#This Row],[Team]])</f>
        <v>0</v>
      </c>
      <c r="AT69" s="170">
        <f>COUNTIF(Tabel152[Winnaars],Tabel511[[#This Row],[Team]])</f>
        <v>0</v>
      </c>
      <c r="AU69" s="163">
        <f>Tabel511[[#This Row],[Aantal Games Rood]]-Tabel511[[#This Row],[Wins Rood]]</f>
        <v>0</v>
      </c>
      <c r="AV69" s="169">
        <f>Tabel511[[#This Row],[Aantal Games Groen]]-Tabel511[[#This Row],[Wins Groen]]</f>
        <v>0</v>
      </c>
      <c r="AW69" s="165">
        <f>Tabel511[[#This Row],[Aantal games Alg]]-Tabel511[[#This Row],[Wins Alg]]</f>
        <v>0</v>
      </c>
      <c r="AX69" s="171">
        <f>COUNTIF(Tabel152[Team Rood],Tabel511[[#This Row],[Team]])</f>
        <v>0</v>
      </c>
      <c r="AY69" s="169">
        <f>COUNTIF(Tabel152[Team Groen],Tabel511[[#This Row],[Team]])</f>
        <v>0</v>
      </c>
      <c r="AZ69" s="170">
        <f>Tabel511[[#This Row],[Aantal Games Rood]]+Tabel511[[#This Row],[Aantal Games Groen]]</f>
        <v>0</v>
      </c>
      <c r="BA69" s="171">
        <f>SUMIF(Tabel152[Team Rood],Tabel511[[#This Row],[Team]],Tabel152[Score])</f>
        <v>0</v>
      </c>
      <c r="BB69" s="171">
        <f>SUMIF(Tabel152[Team Rood],Tabel511[[#This Row],[Team]],Tabel152[Score2])</f>
        <v>0</v>
      </c>
      <c r="BC69" s="136">
        <f>SUMIF(Tabel152[Team Groen],Tabel511[[#This Row],[Team]],Tabel152[Score3])</f>
        <v>0</v>
      </c>
      <c r="BD69" s="169">
        <f>SUMIF(Tabel152[Team Groen],Tabel511[[#This Row],[Team]],Tabel152[Score4])</f>
        <v>0</v>
      </c>
      <c r="BE69" s="172">
        <f>SUM(Tabel511[[#This Row],[Goals Verdediger]]+Tabel511[[#This Row],[Goals DefG]])</f>
        <v>0</v>
      </c>
      <c r="BF69" s="170">
        <f>IF(Tabel511[[#This Row],[Aantal games Alg]]=0,0,Tabel511[[#This Row],[Goals DefA]]/Tabel511[[#This Row],[Aantal games Alg]])</f>
        <v>0</v>
      </c>
      <c r="BG69" s="172">
        <f>SUM(Tabel511[[#This Row],[Goals Aanvaller]]+Tabel511[[#This Row],[Goals OffG]])</f>
        <v>0</v>
      </c>
      <c r="BH69" s="170">
        <f>IF(Tabel511[[#This Row],[Aantal games Alg]]=0,0,Tabel511[[#This Row],[Goals OffA]]/Tabel511[[#This Row],[Aantal games Alg]])</f>
        <v>0</v>
      </c>
      <c r="BI69" s="170">
        <f>Tabel511[[#This Row],[Goals DefA]]+Tabel511[[#This Row],[Goals OffA]]</f>
        <v>0</v>
      </c>
      <c r="BJ69" s="170">
        <f>IF(Tabel511[[#This Row],[Aantal games Alg]]=0,0,Tabel511[[#This Row],[Goals Alg]]/Tabel511[[#This Row],[Aantal games Alg]])</f>
        <v>0</v>
      </c>
      <c r="BK69" s="148">
        <f>SUMIF(Tabel152[Team Rood],Tabel511[[#This Row],[Team]],Tabel152[ET])</f>
        <v>0</v>
      </c>
      <c r="BL69" s="150">
        <f>SUMIF(Tabel152[Team Groen],Tabel511[[#This Row],[Team]],Tabel152[ET])</f>
        <v>0</v>
      </c>
      <c r="BM69" s="153">
        <f>SUM(Tabel511[[#This Row],[ET Groen tot]],Tabel511[[#This Row],[ET Rood tot]])</f>
        <v>0</v>
      </c>
      <c r="BN69" s="155">
        <f>IF(Tabel511[[#This Row],[Aantal games Alg]]=0,0,Tabel511[[#This Row],[ET tot]]/Tabel511[[#This Row],[Aantal games Alg]])</f>
        <v>0</v>
      </c>
    </row>
    <row r="70" spans="1:66" x14ac:dyDescent="0.25">
      <c r="A70" s="215" t="str">
        <f ca="1">IF(Tabel152[[#This Row],[Rood Verdediging]]&lt;&gt;"",IF(A70="",NOW(),A70),"")</f>
        <v/>
      </c>
      <c r="B70" s="218" t="str">
        <f ca="1">IF(Tabel152[[#This Row],[Rood Verdediging]]&lt;&gt;"",IF(B70="",NOW(),B70),"")</f>
        <v/>
      </c>
      <c r="C70" s="216" t="str">
        <f ca="1">IF(Tabel152[[#This Row],[Score]]&lt;&gt;"",IF(C70="",NOW(),C70),"")</f>
        <v/>
      </c>
      <c r="D70" s="217" t="str">
        <f ca="1">IF(OR(Tabel152[[#This Row],[Starttijd]]="",Tabel152[[#This Row],[Eindtijd]]=""),"",Tabel152[[#This Row],[Eindtijd]]-Tabel152[[#This Row],[Starttijd]])</f>
        <v/>
      </c>
      <c r="E70" s="74">
        <v>69</v>
      </c>
      <c r="F70" s="205"/>
      <c r="G70" s="210"/>
      <c r="H70" s="205"/>
      <c r="I70" s="210"/>
      <c r="J70" s="206"/>
      <c r="K70" s="212"/>
      <c r="L70" s="206"/>
      <c r="M70" s="212"/>
      <c r="N70" s="79">
        <f>Tabel152[[#This Row],[Score]]+Tabel152[[#This Row],[Score2]]</f>
        <v>0</v>
      </c>
      <c r="O70" s="80">
        <f>Tabel152[[#This Row],[Score3]]+Tabel152[[#This Row],[Score4]]</f>
        <v>0</v>
      </c>
      <c r="P7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Row],[Score4]]&lt;&gt;""),IF(AND(N70&gt;O70,N70&gt;=11),"ROOD",IF(AND(O70&gt;=11,N70&lt;&gt;O70),"GROEN","")),"")</f>
        <v/>
      </c>
      <c r="Q70" s="84">
        <f t="shared" si="15"/>
        <v>0</v>
      </c>
      <c r="R70" s="85">
        <f t="shared" si="16"/>
        <v>0</v>
      </c>
      <c r="S70" s="293" t="str">
        <f>Tabel152[[#This Row],[Rood Verdediging]]&amp;Tabel152[[#This Row],[Rood Aanval]]</f>
        <v/>
      </c>
      <c r="T70" s="293" t="str">
        <f>Tabel152[[#This Row],[Groen Verdediging]]&amp;Tabel152[[#This Row],[Groen Aanval]]</f>
        <v/>
      </c>
      <c r="U70" s="293" t="str">
        <f>Tabel152[[#This Row],[Winnaar 1]]&amp;Tabel152[[#This Row],[Winnaar 2]]</f>
        <v>00</v>
      </c>
      <c r="V70" s="147" t="b">
        <f>IF(Tabel152[[#This Row],[Team Rood]]=Tabel152[[#This Row],[Winnaars]],Tabel152[[#This Row],[Team Rood]])</f>
        <v>0</v>
      </c>
      <c r="W70" s="147" t="b">
        <f>IF(Tabel152[[#This Row],[Team Groen]]=Tabel152[[#This Row],[Winnaars]],Tabel152[[#This Row],[Team Groen]])</f>
        <v>0</v>
      </c>
      <c r="X70" s="283"/>
      <c r="Y70" s="283"/>
      <c r="Z70" s="283"/>
      <c r="AA70" s="283"/>
      <c r="AL70" s="251" t="s">
        <v>67</v>
      </c>
      <c r="AM70" s="233" t="s">
        <v>169</v>
      </c>
      <c r="AN70" s="140" t="str">
        <f t="shared" si="14"/>
        <v>LawrenceStef*</v>
      </c>
      <c r="AO70" s="160">
        <f>IF(Tabel511[[#This Row],[Aantal Games Rood]]=0,0,(Tabel511[[#This Row],[Wins Rood]])/Tabel511[[#This Row],[Aantal Games Rood]])</f>
        <v>0</v>
      </c>
      <c r="AP70" s="159">
        <f>IF(Tabel511[[#This Row],[Aantal Games Groen]]=0,0,(Tabel511[[#This Row],[Wins Groen]])/Tabel511[[#This Row],[Aantal Games Groen]])</f>
        <v>0</v>
      </c>
      <c r="AQ70" s="156">
        <f>IF(Tabel511[[#This Row],[Aantal games Alg]]=0,0,(Tabel511[[#This Row],[Wins Alg]])/Tabel511[[#This Row],[Aantal games Alg]])</f>
        <v>0</v>
      </c>
      <c r="AR70" s="133">
        <f>COUNTIF(Tabel152[Winaar rood],Tabel511[[#This Row],[Team]])</f>
        <v>0</v>
      </c>
      <c r="AS70" s="134">
        <f>COUNTIF(Tabel152[Winnaar Groen],Tabel511[[#This Row],[Team]])</f>
        <v>0</v>
      </c>
      <c r="AT70" s="293">
        <f>COUNTIF(Tabel152[Winnaars],Tabel511[[#This Row],[Team]])</f>
        <v>0</v>
      </c>
      <c r="AU70" s="135">
        <f>Tabel511[[#This Row],[Aantal Games Rood]]-Tabel511[[#This Row],[Wins Rood]]</f>
        <v>0</v>
      </c>
      <c r="AV70" s="136">
        <f>Tabel511[[#This Row],[Aantal Games Groen]]-Tabel511[[#This Row],[Wins Groen]]</f>
        <v>0</v>
      </c>
      <c r="AW70" s="137">
        <f>Tabel511[[#This Row],[Aantal games Alg]]-Tabel511[[#This Row],[Wins Alg]]</f>
        <v>0</v>
      </c>
      <c r="AX70" s="138">
        <f>COUNTIF(Tabel152[Team Rood],Tabel511[[#This Row],[Team]])</f>
        <v>0</v>
      </c>
      <c r="AY70" s="136">
        <f>COUNTIF(Tabel152[Team Groen],Tabel511[[#This Row],[Team]])</f>
        <v>0</v>
      </c>
      <c r="AZ70" s="214">
        <f>Tabel511[[#This Row],[Aantal Games Rood]]+Tabel511[[#This Row],[Aantal Games Groen]]</f>
        <v>0</v>
      </c>
      <c r="BA70" s="138">
        <f>SUMIF(Tabel152[Team Rood],Tabel511[[#This Row],[Team]],Tabel152[Score])</f>
        <v>0</v>
      </c>
      <c r="BB70" s="138">
        <f>SUMIF(Tabel152[Team Rood],Tabel511[[#This Row],[Team]],Tabel152[Score2])</f>
        <v>0</v>
      </c>
      <c r="BC70" s="134">
        <f>SUMIF(Tabel152[Team Groen],Tabel511[[#This Row],[Team]],Tabel152[Score3])</f>
        <v>0</v>
      </c>
      <c r="BD70" s="136">
        <f>SUMIF(Tabel152[Team Groen],Tabel511[[#This Row],[Team]],Tabel152[Score4])</f>
        <v>0</v>
      </c>
      <c r="BE70" s="293">
        <f>SUM(Tabel511[[#This Row],[Goals Verdediger]]+Tabel511[[#This Row],[Goals DefG]])</f>
        <v>0</v>
      </c>
      <c r="BF70" s="293">
        <f>IF(Tabel511[[#This Row],[Aantal games Alg]]=0,0,Tabel511[[#This Row],[Goals DefA]]/Tabel511[[#This Row],[Aantal games Alg]])</f>
        <v>0</v>
      </c>
      <c r="BG70" s="293">
        <f>SUM(Tabel511[[#This Row],[Goals Aanvaller]]+Tabel511[[#This Row],[Goals OffG]])</f>
        <v>0</v>
      </c>
      <c r="BH70" s="293">
        <f>IF(Tabel511[[#This Row],[Aantal games Alg]]=0,0,Tabel511[[#This Row],[Goals OffA]]/Tabel511[[#This Row],[Aantal games Alg]])</f>
        <v>0</v>
      </c>
      <c r="BI70" s="214">
        <f>Tabel511[[#This Row],[Goals DefA]]+Tabel511[[#This Row],[Goals OffA]]</f>
        <v>0</v>
      </c>
      <c r="BJ70" s="214">
        <f>IF(Tabel511[[#This Row],[Aantal games Alg]]=0,0,Tabel511[[#This Row],[Goals Alg]]/Tabel511[[#This Row],[Aantal games Alg]])</f>
        <v>0</v>
      </c>
      <c r="BK70" s="148">
        <f>SUMIF(Tabel152[Team Rood],Tabel511[[#This Row],[Team]],Tabel152[ET])</f>
        <v>0</v>
      </c>
      <c r="BL70" s="150">
        <f>SUMIF(Tabel152[Team Groen],Tabel511[[#This Row],[Team]],Tabel152[ET])</f>
        <v>0</v>
      </c>
      <c r="BM70" s="153">
        <f>SUM(Tabel511[[#This Row],[ET Groen tot]],Tabel511[[#This Row],[ET Rood tot]])</f>
        <v>0</v>
      </c>
      <c r="BN70" s="155">
        <f>IF(Tabel511[[#This Row],[Aantal games Alg]]=0,0,Tabel511[[#This Row],[ET tot]]/Tabel511[[#This Row],[Aantal games Alg]])</f>
        <v>0</v>
      </c>
    </row>
    <row r="71" spans="1:66" x14ac:dyDescent="0.25">
      <c r="A71" s="215" t="str">
        <f ca="1">IF(Tabel152[[#This Row],[Rood Verdediging]]&lt;&gt;"",IF(A71="",NOW(),A71),"")</f>
        <v/>
      </c>
      <c r="B71" s="218" t="str">
        <f ca="1">IF(Tabel152[[#This Row],[Rood Verdediging]]&lt;&gt;"",IF(B71="",NOW(),B71),"")</f>
        <v/>
      </c>
      <c r="C71" s="216" t="str">
        <f ca="1">IF(Tabel152[[#This Row],[Score]]&lt;&gt;"",IF(C71="",NOW(),C71),"")</f>
        <v/>
      </c>
      <c r="D71" s="217" t="str">
        <f ca="1">IF(OR(Tabel152[[#This Row],[Starttijd]]="",Tabel152[[#This Row],[Eindtijd]]=""),"",Tabel152[[#This Row],[Eindtijd]]-Tabel152[[#This Row],[Starttijd]])</f>
        <v/>
      </c>
      <c r="E71" s="74">
        <v>70</v>
      </c>
      <c r="F71" s="205"/>
      <c r="G71" s="210"/>
      <c r="H71" s="205"/>
      <c r="I71" s="210"/>
      <c r="J71" s="206"/>
      <c r="K71" s="212"/>
      <c r="L71" s="206"/>
      <c r="M71" s="212"/>
      <c r="N71" s="79">
        <f>Tabel152[[#This Row],[Score]]+Tabel152[[#This Row],[Score2]]</f>
        <v>0</v>
      </c>
      <c r="O71" s="80">
        <f>Tabel152[[#This Row],[Score3]]+Tabel152[[#This Row],[Score4]]</f>
        <v>0</v>
      </c>
      <c r="P7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Row],[Score4]]&lt;&gt;""),IF(AND(N71&gt;O71,N71&gt;=11),"ROOD",IF(AND(O71&gt;=11,N71&lt;&gt;O71),"GROEN","")),"")</f>
        <v/>
      </c>
      <c r="Q71" s="84">
        <f t="shared" si="15"/>
        <v>0</v>
      </c>
      <c r="R71" s="85">
        <f t="shared" si="16"/>
        <v>0</v>
      </c>
      <c r="S71" s="293" t="str">
        <f>Tabel152[[#This Row],[Rood Verdediging]]&amp;Tabel152[[#This Row],[Rood Aanval]]</f>
        <v/>
      </c>
      <c r="T71" s="293" t="str">
        <f>Tabel152[[#This Row],[Groen Verdediging]]&amp;Tabel152[[#This Row],[Groen Aanval]]</f>
        <v/>
      </c>
      <c r="U71" s="293" t="str">
        <f>Tabel152[[#This Row],[Winnaar 1]]&amp;Tabel152[[#This Row],[Winnaar 2]]</f>
        <v>00</v>
      </c>
      <c r="V71" s="147" t="b">
        <f>IF(Tabel152[[#This Row],[Team Rood]]=Tabel152[[#This Row],[Winnaars]],Tabel152[[#This Row],[Team Rood]])</f>
        <v>0</v>
      </c>
      <c r="W71" s="147" t="b">
        <f>IF(Tabel152[[#This Row],[Team Groen]]=Tabel152[[#This Row],[Winnaars]],Tabel152[[#This Row],[Team Groen]])</f>
        <v>0</v>
      </c>
      <c r="X71" s="283"/>
      <c r="Y71" s="283"/>
      <c r="Z71" s="283"/>
      <c r="AA71" s="283"/>
      <c r="AL71" s="251" t="s">
        <v>67</v>
      </c>
      <c r="AM71" s="233" t="s">
        <v>166</v>
      </c>
      <c r="AN71" s="140" t="str">
        <f t="shared" si="14"/>
        <v>LawrenceStijn*</v>
      </c>
      <c r="AO71" s="160">
        <f>IF(Tabel511[[#This Row],[Aantal Games Rood]]=0,0,(Tabel511[[#This Row],[Wins Rood]])/Tabel511[[#This Row],[Aantal Games Rood]])</f>
        <v>0</v>
      </c>
      <c r="AP71" s="159">
        <f>IF(Tabel511[[#This Row],[Aantal Games Groen]]=0,0,(Tabel511[[#This Row],[Wins Groen]])/Tabel511[[#This Row],[Aantal Games Groen]])</f>
        <v>0</v>
      </c>
      <c r="AQ71" s="156">
        <f>IF(Tabel511[[#This Row],[Aantal games Alg]]=0,0,(Tabel511[[#This Row],[Wins Alg]])/Tabel511[[#This Row],[Aantal games Alg]])</f>
        <v>0</v>
      </c>
      <c r="AR71" s="138">
        <f>COUNTIF(Tabel152[Winaar rood],Tabel511[[#This Row],[Team]])</f>
        <v>0</v>
      </c>
      <c r="AS71" s="134">
        <f>COUNTIF(Tabel152[Winnaar Groen],Tabel511[[#This Row],[Team]])</f>
        <v>0</v>
      </c>
      <c r="AT71" s="293">
        <f>COUNTIF(Tabel152[Winnaars],Tabel511[[#This Row],[Team]])</f>
        <v>0</v>
      </c>
      <c r="AU71" s="135">
        <f>Tabel511[[#This Row],[Aantal Games Rood]]-Tabel511[[#This Row],[Wins Rood]]</f>
        <v>0</v>
      </c>
      <c r="AV71" s="136">
        <f>Tabel511[[#This Row],[Aantal Games Groen]]-Tabel511[[#This Row],[Wins Groen]]</f>
        <v>0</v>
      </c>
      <c r="AW71" s="137">
        <f>Tabel511[[#This Row],[Aantal games Alg]]-Tabel511[[#This Row],[Wins Alg]]</f>
        <v>0</v>
      </c>
      <c r="AX71" s="138">
        <f>COUNTIF(Tabel152[Team Rood],Tabel511[[#This Row],[Team]])</f>
        <v>0</v>
      </c>
      <c r="AY71" s="136">
        <f>COUNTIF(Tabel152[Team Groen],Tabel511[[#This Row],[Team]])</f>
        <v>0</v>
      </c>
      <c r="AZ71" s="214">
        <f>Tabel511[[#This Row],[Aantal Games Rood]]+Tabel511[[#This Row],[Aantal Games Groen]]</f>
        <v>0</v>
      </c>
      <c r="BA71" s="138">
        <f>SUMIF(Tabel152[Team Rood],Tabel511[[#This Row],[Team]],Tabel152[Score])</f>
        <v>0</v>
      </c>
      <c r="BB71" s="138">
        <f>SUMIF(Tabel152[Team Rood],Tabel511[[#This Row],[Team]],Tabel152[Score2])</f>
        <v>0</v>
      </c>
      <c r="BC71" s="134">
        <f>SUMIF(Tabel152[Team Groen],Tabel511[[#This Row],[Team]],Tabel152[Score3])</f>
        <v>0</v>
      </c>
      <c r="BD71" s="136">
        <f>SUMIF(Tabel152[Team Groen],Tabel511[[#This Row],[Team]],Tabel152[Score4])</f>
        <v>0</v>
      </c>
      <c r="BE71" s="293">
        <f>SUM(Tabel511[[#This Row],[Goals Verdediger]]+Tabel511[[#This Row],[Goals DefG]])</f>
        <v>0</v>
      </c>
      <c r="BF71" s="293">
        <f>IF(Tabel511[[#This Row],[Aantal games Alg]]=0,0,Tabel511[[#This Row],[Goals DefA]]/Tabel511[[#This Row],[Aantal games Alg]])</f>
        <v>0</v>
      </c>
      <c r="BG71" s="293">
        <f>SUM(Tabel511[[#This Row],[Goals Aanvaller]]+Tabel511[[#This Row],[Goals OffG]])</f>
        <v>0</v>
      </c>
      <c r="BH71" s="293">
        <f>IF(Tabel511[[#This Row],[Aantal games Alg]]=0,0,Tabel511[[#This Row],[Goals OffA]]/Tabel511[[#This Row],[Aantal games Alg]])</f>
        <v>0</v>
      </c>
      <c r="BI71" s="214">
        <f>Tabel511[[#This Row],[Goals DefA]]+Tabel511[[#This Row],[Goals OffA]]</f>
        <v>0</v>
      </c>
      <c r="BJ71" s="214">
        <f>IF(Tabel511[[#This Row],[Aantal games Alg]]=0,0,Tabel511[[#This Row],[Goals Alg]]/Tabel511[[#This Row],[Aantal games Alg]])</f>
        <v>0</v>
      </c>
      <c r="BK71" s="148">
        <f>SUMIF(Tabel152[Team Rood],Tabel511[[#This Row],[Team]],Tabel152[ET])</f>
        <v>0</v>
      </c>
      <c r="BL71" s="150">
        <f>SUMIF(Tabel152[Team Groen],Tabel511[[#This Row],[Team]],Tabel152[ET])</f>
        <v>0</v>
      </c>
      <c r="BM71" s="153">
        <f>SUM(Tabel511[[#This Row],[ET Groen tot]],Tabel511[[#This Row],[ET Rood tot]])</f>
        <v>0</v>
      </c>
      <c r="BN71" s="155">
        <f>IF(Tabel511[[#This Row],[Aantal games Alg]]=0,0,Tabel511[[#This Row],[ET tot]]/Tabel511[[#This Row],[Aantal games Alg]])</f>
        <v>0</v>
      </c>
    </row>
    <row r="72" spans="1:66" x14ac:dyDescent="0.25">
      <c r="A72" s="215" t="str">
        <f ca="1">IF(Tabel152[[#This Row],[Rood Verdediging]]&lt;&gt;"",IF(A72="",NOW(),A72),"")</f>
        <v/>
      </c>
      <c r="B72" s="218" t="str">
        <f ca="1">IF(Tabel152[[#This Row],[Rood Verdediging]]&lt;&gt;"",IF(B72="",NOW(),B72),"")</f>
        <v/>
      </c>
      <c r="C72" s="216" t="str">
        <f ca="1">IF(Tabel152[[#This Row],[Score]]&lt;&gt;"",IF(C72="",NOW(),C72),"")</f>
        <v/>
      </c>
      <c r="D72" s="217" t="str">
        <f ca="1">IF(OR(Tabel152[[#This Row],[Starttijd]]="",Tabel152[[#This Row],[Eindtijd]]=""),"",Tabel152[[#This Row],[Eindtijd]]-Tabel152[[#This Row],[Starttijd]])</f>
        <v/>
      </c>
      <c r="E72" s="74">
        <v>71</v>
      </c>
      <c r="F72" s="205"/>
      <c r="G72" s="210"/>
      <c r="H72" s="205"/>
      <c r="I72" s="210"/>
      <c r="J72" s="206"/>
      <c r="K72" s="212"/>
      <c r="L72" s="206"/>
      <c r="M72" s="212"/>
      <c r="N72" s="79">
        <f>Tabel152[[#This Row],[Score]]+Tabel152[[#This Row],[Score2]]</f>
        <v>0</v>
      </c>
      <c r="O72" s="80">
        <f>Tabel152[[#This Row],[Score3]]+Tabel152[[#This Row],[Score4]]</f>
        <v>0</v>
      </c>
      <c r="P7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Row],[Score4]]&lt;&gt;""),IF(AND(N72&gt;O72,N72&gt;=11),"ROOD",IF(AND(O72&gt;=11,N72&lt;&gt;O72),"GROEN","")),"")</f>
        <v/>
      </c>
      <c r="Q72" s="84">
        <f t="shared" si="15"/>
        <v>0</v>
      </c>
      <c r="R72" s="85">
        <f t="shared" si="16"/>
        <v>0</v>
      </c>
      <c r="S72" s="293" t="str">
        <f>Tabel152[[#This Row],[Rood Verdediging]]&amp;Tabel152[[#This Row],[Rood Aanval]]</f>
        <v/>
      </c>
      <c r="T72" s="293" t="str">
        <f>Tabel152[[#This Row],[Groen Verdediging]]&amp;Tabel152[[#This Row],[Groen Aanval]]</f>
        <v/>
      </c>
      <c r="U72" s="293" t="str">
        <f>Tabel152[[#This Row],[Winnaar 1]]&amp;Tabel152[[#This Row],[Winnaar 2]]</f>
        <v>00</v>
      </c>
      <c r="V72" s="147" t="b">
        <f>IF(Tabel152[[#This Row],[Team Rood]]=Tabel152[[#This Row],[Winnaars]],Tabel152[[#This Row],[Team Rood]])</f>
        <v>0</v>
      </c>
      <c r="W72" s="147" t="b">
        <f>IF(Tabel152[[#This Row],[Team Groen]]=Tabel152[[#This Row],[Winnaars]],Tabel152[[#This Row],[Team Groen]])</f>
        <v>0</v>
      </c>
      <c r="X72" s="283"/>
      <c r="Y72" s="283"/>
      <c r="Z72" s="283"/>
      <c r="AA72" s="283"/>
      <c r="AL72" s="251" t="s">
        <v>67</v>
      </c>
      <c r="AM72" s="233" t="s">
        <v>160</v>
      </c>
      <c r="AN72" s="140" t="str">
        <f t="shared" si="14"/>
        <v>LawrenceTiemen*</v>
      </c>
      <c r="AO72" s="160">
        <f>IF(Tabel511[[#This Row],[Aantal Games Rood]]=0,0,(Tabel511[[#This Row],[Wins Rood]])/Tabel511[[#This Row],[Aantal Games Rood]])</f>
        <v>0</v>
      </c>
      <c r="AP72" s="159">
        <f>IF(Tabel511[[#This Row],[Aantal Games Groen]]=0,0,(Tabel511[[#This Row],[Wins Groen]])/Tabel511[[#This Row],[Aantal Games Groen]])</f>
        <v>0</v>
      </c>
      <c r="AQ72" s="156">
        <f>IF(Tabel511[[#This Row],[Aantal games Alg]]=0,0,(Tabel511[[#This Row],[Wins Alg]])/Tabel511[[#This Row],[Aantal games Alg]])</f>
        <v>0</v>
      </c>
      <c r="AR72" s="133">
        <f>COUNTIF(Tabel152[Winaar rood],Tabel511[[#This Row],[Team]])</f>
        <v>0</v>
      </c>
      <c r="AS72" s="134">
        <f>COUNTIF(Tabel152[Winnaar Groen],Tabel511[[#This Row],[Team]])</f>
        <v>0</v>
      </c>
      <c r="AT72" s="293">
        <f>COUNTIF(Tabel152[Winnaars],Tabel511[[#This Row],[Team]])</f>
        <v>0</v>
      </c>
      <c r="AU72" s="135">
        <f>Tabel511[[#This Row],[Aantal Games Rood]]-Tabel511[[#This Row],[Wins Rood]]</f>
        <v>0</v>
      </c>
      <c r="AV72" s="136">
        <f>Tabel511[[#This Row],[Aantal Games Groen]]-Tabel511[[#This Row],[Wins Groen]]</f>
        <v>0</v>
      </c>
      <c r="AW72" s="137">
        <f>Tabel511[[#This Row],[Aantal games Alg]]-Tabel511[[#This Row],[Wins Alg]]</f>
        <v>0</v>
      </c>
      <c r="AX72" s="138">
        <f>COUNTIF(Tabel152[Team Rood],Tabel511[[#This Row],[Team]])</f>
        <v>0</v>
      </c>
      <c r="AY72" s="136">
        <f>COUNTIF(Tabel152[Team Groen],Tabel511[[#This Row],[Team]])</f>
        <v>0</v>
      </c>
      <c r="AZ72" s="214">
        <f>Tabel511[[#This Row],[Aantal Games Rood]]+Tabel511[[#This Row],[Aantal Games Groen]]</f>
        <v>0</v>
      </c>
      <c r="BA72" s="138">
        <f>SUMIF(Tabel152[Team Rood],Tabel511[[#This Row],[Team]],Tabel152[Score])</f>
        <v>0</v>
      </c>
      <c r="BB72" s="138">
        <f>SUMIF(Tabel152[Team Rood],Tabel511[[#This Row],[Team]],Tabel152[Score2])</f>
        <v>0</v>
      </c>
      <c r="BC72" s="134">
        <f>SUMIF(Tabel152[Team Groen],Tabel511[[#This Row],[Team]],Tabel152[Score3])</f>
        <v>0</v>
      </c>
      <c r="BD72" s="136">
        <f>SUMIF(Tabel152[Team Groen],Tabel511[[#This Row],[Team]],Tabel152[Score4])</f>
        <v>0</v>
      </c>
      <c r="BE72" s="293">
        <f>SUM(Tabel511[[#This Row],[Goals Verdediger]]+Tabel511[[#This Row],[Goals DefG]])</f>
        <v>0</v>
      </c>
      <c r="BF72" s="293">
        <f>IF(Tabel511[[#This Row],[Aantal games Alg]]=0,0,Tabel511[[#This Row],[Goals DefA]]/Tabel511[[#This Row],[Aantal games Alg]])</f>
        <v>0</v>
      </c>
      <c r="BG72" s="293">
        <f>SUM(Tabel511[[#This Row],[Goals Aanvaller]]+Tabel511[[#This Row],[Goals OffG]])</f>
        <v>0</v>
      </c>
      <c r="BH72" s="293">
        <f>IF(Tabel511[[#This Row],[Aantal games Alg]]=0,0,Tabel511[[#This Row],[Goals OffA]]/Tabel511[[#This Row],[Aantal games Alg]])</f>
        <v>0</v>
      </c>
      <c r="BI72" s="214">
        <f>Tabel511[[#This Row],[Goals DefA]]+Tabel511[[#This Row],[Goals OffA]]</f>
        <v>0</v>
      </c>
      <c r="BJ72" s="214">
        <f>IF(Tabel511[[#This Row],[Aantal games Alg]]=0,0,Tabel511[[#This Row],[Goals Alg]]/Tabel511[[#This Row],[Aantal games Alg]])</f>
        <v>0</v>
      </c>
      <c r="BK72" s="148">
        <f>SUMIF(Tabel152[Team Rood],Tabel511[[#This Row],[Team]],Tabel152[ET])</f>
        <v>0</v>
      </c>
      <c r="BL72" s="150">
        <f>SUMIF(Tabel152[Team Groen],Tabel511[[#This Row],[Team]],Tabel152[ET])</f>
        <v>0</v>
      </c>
      <c r="BM72" s="153">
        <f>SUM(Tabel511[[#This Row],[ET Groen tot]],Tabel511[[#This Row],[ET Rood tot]])</f>
        <v>0</v>
      </c>
      <c r="BN72" s="155">
        <f>IF(Tabel511[[#This Row],[Aantal games Alg]]=0,0,Tabel511[[#This Row],[ET tot]]/Tabel511[[#This Row],[Aantal games Alg]])</f>
        <v>0</v>
      </c>
    </row>
    <row r="73" spans="1:66" x14ac:dyDescent="0.25">
      <c r="A73" s="215" t="str">
        <f ca="1">IF(Tabel152[[#This Row],[Rood Verdediging]]&lt;&gt;"",IF(A73="",NOW(),A73),"")</f>
        <v/>
      </c>
      <c r="B73" s="218" t="str">
        <f ca="1">IF(Tabel152[[#This Row],[Rood Verdediging]]&lt;&gt;"",IF(B73="",NOW(),B73),"")</f>
        <v/>
      </c>
      <c r="C73" s="216" t="str">
        <f ca="1">IF(Tabel152[[#This Row],[Score]]&lt;&gt;"",IF(C73="",NOW(),C73),"")</f>
        <v/>
      </c>
      <c r="D73" s="217" t="str">
        <f ca="1">IF(OR(Tabel152[[#This Row],[Starttijd]]="",Tabel152[[#This Row],[Eindtijd]]=""),"",Tabel152[[#This Row],[Eindtijd]]-Tabel152[[#This Row],[Starttijd]])</f>
        <v/>
      </c>
      <c r="E73" s="74">
        <v>72</v>
      </c>
      <c r="F73" s="205"/>
      <c r="G73" s="210"/>
      <c r="H73" s="205"/>
      <c r="I73" s="210"/>
      <c r="J73" s="206"/>
      <c r="K73" s="212"/>
      <c r="L73" s="206"/>
      <c r="M73" s="212"/>
      <c r="N73" s="79">
        <f>Tabel152[[#This Row],[Score]]+Tabel152[[#This Row],[Score2]]</f>
        <v>0</v>
      </c>
      <c r="O73" s="80">
        <f>Tabel152[[#This Row],[Score3]]+Tabel152[[#This Row],[Score4]]</f>
        <v>0</v>
      </c>
      <c r="P7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Row],[Score4]]&lt;&gt;""),IF(AND(N73&gt;O73,N73&gt;=11),"ROOD",IF(AND(O73&gt;=11,N73&lt;&gt;O73),"GROEN","")),"")</f>
        <v/>
      </c>
      <c r="Q73" s="84">
        <f t="shared" si="15"/>
        <v>0</v>
      </c>
      <c r="R73" s="85">
        <f t="shared" si="16"/>
        <v>0</v>
      </c>
      <c r="S73" s="293" t="str">
        <f>Tabel152[[#This Row],[Rood Verdediging]]&amp;Tabel152[[#This Row],[Rood Aanval]]</f>
        <v/>
      </c>
      <c r="T73" s="293" t="str">
        <f>Tabel152[[#This Row],[Groen Verdediging]]&amp;Tabel152[[#This Row],[Groen Aanval]]</f>
        <v/>
      </c>
      <c r="U73" s="293" t="str">
        <f>Tabel152[[#This Row],[Winnaar 1]]&amp;Tabel152[[#This Row],[Winnaar 2]]</f>
        <v>00</v>
      </c>
      <c r="V73" s="147" t="b">
        <f>IF(Tabel152[[#This Row],[Team Rood]]=Tabel152[[#This Row],[Winnaars]],Tabel152[[#This Row],[Team Rood]])</f>
        <v>0</v>
      </c>
      <c r="W73" s="147" t="b">
        <f>IF(Tabel152[[#This Row],[Team Groen]]=Tabel152[[#This Row],[Winnaars]],Tabel152[[#This Row],[Team Groen]])</f>
        <v>0</v>
      </c>
      <c r="X73" s="283"/>
      <c r="Y73" s="283"/>
      <c r="Z73" s="283"/>
      <c r="AA73" s="283"/>
      <c r="AL73" s="251" t="s">
        <v>67</v>
      </c>
      <c r="AM73" s="233" t="s">
        <v>157</v>
      </c>
      <c r="AN73" s="140" t="str">
        <f t="shared" si="14"/>
        <v>LawrenceTobi*</v>
      </c>
      <c r="AO73" s="160">
        <f>IF(Tabel511[[#This Row],[Aantal Games Rood]]=0,0,(Tabel511[[#This Row],[Wins Rood]])/Tabel511[[#This Row],[Aantal Games Rood]])</f>
        <v>0</v>
      </c>
      <c r="AP73" s="159">
        <f>IF(Tabel511[[#This Row],[Aantal Games Groen]]=0,0,(Tabel511[[#This Row],[Wins Groen]])/Tabel511[[#This Row],[Aantal Games Groen]])</f>
        <v>0</v>
      </c>
      <c r="AQ73" s="156">
        <f>IF(Tabel511[[#This Row],[Aantal games Alg]]=0,0,(Tabel511[[#This Row],[Wins Alg]])/Tabel511[[#This Row],[Aantal games Alg]])</f>
        <v>0</v>
      </c>
      <c r="AR73" s="133">
        <f>COUNTIF(Tabel152[Winaar rood],Tabel511[[#This Row],[Team]])</f>
        <v>0</v>
      </c>
      <c r="AS73" s="134">
        <f>COUNTIF(Tabel152[Winnaar Groen],Tabel511[[#This Row],[Team]])</f>
        <v>0</v>
      </c>
      <c r="AT73" s="293">
        <f>COUNTIF(Tabel152[Winnaars],Tabel511[[#This Row],[Team]])</f>
        <v>0</v>
      </c>
      <c r="AU73" s="135">
        <f>Tabel511[[#This Row],[Aantal Games Rood]]-Tabel511[[#This Row],[Wins Rood]]</f>
        <v>0</v>
      </c>
      <c r="AV73" s="136">
        <f>Tabel511[[#This Row],[Aantal Games Groen]]-Tabel511[[#This Row],[Wins Groen]]</f>
        <v>0</v>
      </c>
      <c r="AW73" s="137">
        <f>Tabel511[[#This Row],[Aantal games Alg]]-Tabel511[[#This Row],[Wins Alg]]</f>
        <v>0</v>
      </c>
      <c r="AX73" s="138">
        <f>COUNTIF(Tabel152[Team Rood],Tabel511[[#This Row],[Team]])</f>
        <v>0</v>
      </c>
      <c r="AY73" s="136">
        <f>COUNTIF(Tabel152[Team Groen],Tabel511[[#This Row],[Team]])</f>
        <v>0</v>
      </c>
      <c r="AZ73" s="214">
        <f>Tabel511[[#This Row],[Aantal Games Rood]]+Tabel511[[#This Row],[Aantal Games Groen]]</f>
        <v>0</v>
      </c>
      <c r="BA73" s="138">
        <f>SUMIF(Tabel152[Team Rood],Tabel511[[#This Row],[Team]],Tabel152[Score])</f>
        <v>0</v>
      </c>
      <c r="BB73" s="138">
        <f>SUMIF(Tabel152[Team Rood],Tabel511[[#This Row],[Team]],Tabel152[Score2])</f>
        <v>0</v>
      </c>
      <c r="BC73" s="134">
        <f>SUMIF(Tabel152[Team Groen],Tabel511[[#This Row],[Team]],Tabel152[Score3])</f>
        <v>0</v>
      </c>
      <c r="BD73" s="136">
        <f>SUMIF(Tabel152[Team Groen],Tabel511[[#This Row],[Team]],Tabel152[Score4])</f>
        <v>0</v>
      </c>
      <c r="BE73" s="293">
        <f>SUM(Tabel511[[#This Row],[Goals Verdediger]]+Tabel511[[#This Row],[Goals DefG]])</f>
        <v>0</v>
      </c>
      <c r="BF73" s="293">
        <f>IF(Tabel511[[#This Row],[Aantal games Alg]]=0,0,Tabel511[[#This Row],[Goals DefA]]/Tabel511[[#This Row],[Aantal games Alg]])</f>
        <v>0</v>
      </c>
      <c r="BG73" s="293">
        <f>SUM(Tabel511[[#This Row],[Goals Aanvaller]]+Tabel511[[#This Row],[Goals OffG]])</f>
        <v>0</v>
      </c>
      <c r="BH73" s="293">
        <f>IF(Tabel511[[#This Row],[Aantal games Alg]]=0,0,Tabel511[[#This Row],[Goals OffA]]/Tabel511[[#This Row],[Aantal games Alg]])</f>
        <v>0</v>
      </c>
      <c r="BI73" s="214">
        <f>Tabel511[[#This Row],[Goals DefA]]+Tabel511[[#This Row],[Goals OffA]]</f>
        <v>0</v>
      </c>
      <c r="BJ73" s="214">
        <f>IF(Tabel511[[#This Row],[Aantal games Alg]]=0,0,Tabel511[[#This Row],[Goals Alg]]/Tabel511[[#This Row],[Aantal games Alg]])</f>
        <v>0</v>
      </c>
      <c r="BK73" s="148">
        <f>SUMIF(Tabel152[Team Rood],Tabel511[[#This Row],[Team]],Tabel152[ET])</f>
        <v>0</v>
      </c>
      <c r="BL73" s="150">
        <f>SUMIF(Tabel152[Team Groen],Tabel511[[#This Row],[Team]],Tabel152[ET])</f>
        <v>0</v>
      </c>
      <c r="BM73" s="153">
        <f>SUM(Tabel511[[#This Row],[ET Groen tot]],Tabel511[[#This Row],[ET Rood tot]])</f>
        <v>0</v>
      </c>
      <c r="BN73" s="155">
        <f>IF(Tabel511[[#This Row],[Aantal games Alg]]=0,0,Tabel511[[#This Row],[ET tot]]/Tabel511[[#This Row],[Aantal games Alg]])</f>
        <v>0</v>
      </c>
    </row>
    <row r="74" spans="1:66" x14ac:dyDescent="0.25">
      <c r="A74" s="215" t="str">
        <f ca="1">IF(Tabel152[[#This Row],[Rood Verdediging]]&lt;&gt;"",IF(A74="",NOW(),A74),"")</f>
        <v/>
      </c>
      <c r="B74" s="218" t="str">
        <f ca="1">IF(Tabel152[[#This Row],[Rood Verdediging]]&lt;&gt;"",IF(B74="",NOW(),B74),"")</f>
        <v/>
      </c>
      <c r="C74" s="216" t="str">
        <f ca="1">IF(Tabel152[[#This Row],[Score]]&lt;&gt;"",IF(C74="",NOW(),C74),"")</f>
        <v/>
      </c>
      <c r="D74" s="217" t="str">
        <f ca="1">IF(OR(Tabel152[[#This Row],[Starttijd]]="",Tabel152[[#This Row],[Eindtijd]]=""),"",Tabel152[[#This Row],[Eindtijd]]-Tabel152[[#This Row],[Starttijd]])</f>
        <v/>
      </c>
      <c r="E74" s="74">
        <v>73</v>
      </c>
      <c r="F74" s="205"/>
      <c r="G74" s="210"/>
      <c r="H74" s="205"/>
      <c r="I74" s="210"/>
      <c r="J74" s="206"/>
      <c r="K74" s="212"/>
      <c r="L74" s="206"/>
      <c r="M74" s="212"/>
      <c r="N74" s="79">
        <f>Tabel152[[#This Row],[Score]]+Tabel152[[#This Row],[Score2]]</f>
        <v>0</v>
      </c>
      <c r="O74" s="80">
        <f>Tabel152[[#This Row],[Score3]]+Tabel152[[#This Row],[Score4]]</f>
        <v>0</v>
      </c>
      <c r="P7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Row],[Score4]]&lt;&gt;""),IF(AND(N74&gt;O74,N74&gt;=11),"ROOD",IF(AND(O74&gt;=11,N74&lt;&gt;O74),"GROEN","")),"")</f>
        <v/>
      </c>
      <c r="Q74" s="84">
        <f t="shared" si="15"/>
        <v>0</v>
      </c>
      <c r="R74" s="85">
        <f t="shared" si="16"/>
        <v>0</v>
      </c>
      <c r="S74" s="293" t="str">
        <f>Tabel152[[#This Row],[Rood Verdediging]]&amp;Tabel152[[#This Row],[Rood Aanval]]</f>
        <v/>
      </c>
      <c r="T74" s="293" t="str">
        <f>Tabel152[[#This Row],[Groen Verdediging]]&amp;Tabel152[[#This Row],[Groen Aanval]]</f>
        <v/>
      </c>
      <c r="U74" s="293" t="str">
        <f>Tabel152[[#This Row],[Winnaar 1]]&amp;Tabel152[[#This Row],[Winnaar 2]]</f>
        <v>00</v>
      </c>
      <c r="V74" s="147" t="b">
        <f>IF(Tabel152[[#This Row],[Team Rood]]=Tabel152[[#This Row],[Winnaars]],Tabel152[[#This Row],[Team Rood]])</f>
        <v>0</v>
      </c>
      <c r="W74" s="147" t="b">
        <f>IF(Tabel152[[#This Row],[Team Groen]]=Tabel152[[#This Row],[Winnaars]],Tabel152[[#This Row],[Team Groen]])</f>
        <v>0</v>
      </c>
      <c r="X74" s="283"/>
      <c r="Y74" s="283"/>
      <c r="Z74" s="283"/>
      <c r="AA74" s="283"/>
      <c r="AL74" s="251" t="s">
        <v>161</v>
      </c>
      <c r="AM74" s="233" t="s">
        <v>158</v>
      </c>
      <c r="AN74" s="140" t="str">
        <f t="shared" si="14"/>
        <v>Louis*Arno*</v>
      </c>
      <c r="AO74" s="160">
        <f>IF(Tabel511[[#This Row],[Aantal Games Rood]]=0,0,(Tabel511[[#This Row],[Wins Rood]])/Tabel511[[#This Row],[Aantal Games Rood]])</f>
        <v>0</v>
      </c>
      <c r="AP74" s="159">
        <f>IF(Tabel511[[#This Row],[Aantal Games Groen]]=0,0,(Tabel511[[#This Row],[Wins Groen]])/Tabel511[[#This Row],[Aantal Games Groen]])</f>
        <v>0</v>
      </c>
      <c r="AQ74" s="156">
        <f>IF(Tabel511[[#This Row],[Aantal games Alg]]=0,0,(Tabel511[[#This Row],[Wins Alg]])/Tabel511[[#This Row],[Aantal games Alg]])</f>
        <v>0</v>
      </c>
      <c r="AR74" s="138">
        <f>COUNTIF(Tabel152[Winaar rood],Tabel511[[#This Row],[Team]])</f>
        <v>0</v>
      </c>
      <c r="AS74" s="134">
        <f>COUNTIF(Tabel152[Winnaar Groen],Tabel511[[#This Row],[Team]])</f>
        <v>0</v>
      </c>
      <c r="AT74" s="293">
        <f>COUNTIF(Tabel152[Winnaars],Tabel511[[#This Row],[Team]])</f>
        <v>0</v>
      </c>
      <c r="AU74" s="135">
        <f>Tabel511[[#This Row],[Aantal Games Rood]]-Tabel511[[#This Row],[Wins Rood]]</f>
        <v>0</v>
      </c>
      <c r="AV74" s="136">
        <f>Tabel511[[#This Row],[Aantal Games Groen]]-Tabel511[[#This Row],[Wins Groen]]</f>
        <v>0</v>
      </c>
      <c r="AW74" s="137">
        <f>Tabel511[[#This Row],[Aantal games Alg]]-Tabel511[[#This Row],[Wins Alg]]</f>
        <v>0</v>
      </c>
      <c r="AX74" s="138">
        <f>COUNTIF(Tabel152[Team Rood],Tabel511[[#This Row],[Team]])</f>
        <v>0</v>
      </c>
      <c r="AY74" s="136">
        <f>COUNTIF(Tabel152[Team Groen],Tabel511[[#This Row],[Team]])</f>
        <v>0</v>
      </c>
      <c r="AZ74" s="214">
        <f>Tabel511[[#This Row],[Aantal Games Rood]]+Tabel511[[#This Row],[Aantal Games Groen]]</f>
        <v>0</v>
      </c>
      <c r="BA74" s="138">
        <f>SUMIF(Tabel152[Team Rood],Tabel511[[#This Row],[Team]],Tabel152[Score])</f>
        <v>0</v>
      </c>
      <c r="BB74" s="138">
        <f>SUMIF(Tabel152[Team Rood],Tabel511[[#This Row],[Team]],Tabel152[Score2])</f>
        <v>0</v>
      </c>
      <c r="BC74" s="134">
        <f>SUMIF(Tabel152[Team Groen],Tabel511[[#This Row],[Team]],Tabel152[Score3])</f>
        <v>0</v>
      </c>
      <c r="BD74" s="136">
        <f>SUMIF(Tabel152[Team Groen],Tabel511[[#This Row],[Team]],Tabel152[Score4])</f>
        <v>0</v>
      </c>
      <c r="BE74" s="293">
        <f>SUM(Tabel511[[#This Row],[Goals Verdediger]]+Tabel511[[#This Row],[Goals DefG]])</f>
        <v>0</v>
      </c>
      <c r="BF74" s="293">
        <f>IF(Tabel511[[#This Row],[Aantal games Alg]]=0,0,Tabel511[[#This Row],[Goals DefA]]/Tabel511[[#This Row],[Aantal games Alg]])</f>
        <v>0</v>
      </c>
      <c r="BG74" s="293">
        <f>SUM(Tabel511[[#This Row],[Goals Aanvaller]]+Tabel511[[#This Row],[Goals OffG]])</f>
        <v>0</v>
      </c>
      <c r="BH74" s="293">
        <f>IF(Tabel511[[#This Row],[Aantal games Alg]]=0,0,Tabel511[[#This Row],[Goals OffA]]/Tabel511[[#This Row],[Aantal games Alg]])</f>
        <v>0</v>
      </c>
      <c r="BI74" s="214">
        <f>Tabel511[[#This Row],[Goals DefA]]+Tabel511[[#This Row],[Goals OffA]]</f>
        <v>0</v>
      </c>
      <c r="BJ74" s="214">
        <f>IF(Tabel511[[#This Row],[Aantal games Alg]]=0,0,Tabel511[[#This Row],[Goals Alg]]/Tabel511[[#This Row],[Aantal games Alg]])</f>
        <v>0</v>
      </c>
      <c r="BK74" s="148">
        <f>SUMIF(Tabel152[Team Rood],Tabel511[[#This Row],[Team]],Tabel152[ET])</f>
        <v>0</v>
      </c>
      <c r="BL74" s="150">
        <f>SUMIF(Tabel152[Team Groen],Tabel511[[#This Row],[Team]],Tabel152[ET])</f>
        <v>0</v>
      </c>
      <c r="BM74" s="153">
        <f>SUM(Tabel511[[#This Row],[ET Groen tot]],Tabel511[[#This Row],[ET Rood tot]])</f>
        <v>0</v>
      </c>
      <c r="BN74" s="155">
        <f>IF(Tabel511[[#This Row],[Aantal games Alg]]=0,0,Tabel511[[#This Row],[ET tot]]/Tabel511[[#This Row],[Aantal games Alg]])</f>
        <v>0</v>
      </c>
    </row>
    <row r="75" spans="1:66" x14ac:dyDescent="0.25">
      <c r="A75" s="215" t="str">
        <f ca="1">IF(Tabel152[[#This Row],[Rood Verdediging]]&lt;&gt;"",IF(A75="",NOW(),A75),"")</f>
        <v/>
      </c>
      <c r="B75" s="218" t="str">
        <f ca="1">IF(Tabel152[[#This Row],[Rood Verdediging]]&lt;&gt;"",IF(B75="",NOW(),B75),"")</f>
        <v/>
      </c>
      <c r="C75" s="216" t="str">
        <f ca="1">IF(Tabel152[[#This Row],[Score]]&lt;&gt;"",IF(C75="",NOW(),C75),"")</f>
        <v/>
      </c>
      <c r="D75" s="217" t="str">
        <f ca="1">IF(OR(Tabel152[[#This Row],[Starttijd]]="",Tabel152[[#This Row],[Eindtijd]]=""),"",Tabel152[[#This Row],[Eindtijd]]-Tabel152[[#This Row],[Starttijd]])</f>
        <v/>
      </c>
      <c r="E75" s="74">
        <v>74</v>
      </c>
      <c r="F75" s="205"/>
      <c r="G75" s="210"/>
      <c r="H75" s="205"/>
      <c r="I75" s="210"/>
      <c r="J75" s="206"/>
      <c r="K75" s="212"/>
      <c r="L75" s="206"/>
      <c r="M75" s="212"/>
      <c r="N75" s="79">
        <f>Tabel152[[#This Row],[Score]]+Tabel152[[#This Row],[Score2]]</f>
        <v>0</v>
      </c>
      <c r="O75" s="80">
        <f>Tabel152[[#This Row],[Score3]]+Tabel152[[#This Row],[Score4]]</f>
        <v>0</v>
      </c>
      <c r="P7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Row],[Score4]]&lt;&gt;""),IF(AND(N75&gt;O75,N75&gt;=11),"ROOD",IF(AND(O75&gt;=11,N75&lt;&gt;O75),"GROEN","")),"")</f>
        <v/>
      </c>
      <c r="Q75" s="84">
        <f t="shared" si="15"/>
        <v>0</v>
      </c>
      <c r="R75" s="85">
        <f t="shared" si="16"/>
        <v>0</v>
      </c>
      <c r="S75" s="293" t="str">
        <f>Tabel152[[#This Row],[Rood Verdediging]]&amp;Tabel152[[#This Row],[Rood Aanval]]</f>
        <v/>
      </c>
      <c r="T75" s="293" t="str">
        <f>Tabel152[[#This Row],[Groen Verdediging]]&amp;Tabel152[[#This Row],[Groen Aanval]]</f>
        <v/>
      </c>
      <c r="U75" s="293" t="str">
        <f>Tabel152[[#This Row],[Winnaar 1]]&amp;Tabel152[[#This Row],[Winnaar 2]]</f>
        <v>00</v>
      </c>
      <c r="V75" s="147" t="b">
        <f>IF(Tabel152[[#This Row],[Team Rood]]=Tabel152[[#This Row],[Winnaars]],Tabel152[[#This Row],[Team Rood]])</f>
        <v>0</v>
      </c>
      <c r="W75" s="147" t="b">
        <f>IF(Tabel152[[#This Row],[Team Groen]]=Tabel152[[#This Row],[Winnaars]],Tabel152[[#This Row],[Team Groen]])</f>
        <v>0</v>
      </c>
      <c r="X75" s="283"/>
      <c r="Y75" s="283"/>
      <c r="Z75" s="283"/>
      <c r="AA75" s="283"/>
      <c r="AL75" s="251" t="s">
        <v>161</v>
      </c>
      <c r="AM75" s="233" t="s">
        <v>163</v>
      </c>
      <c r="AN75" s="140" t="str">
        <f t="shared" si="14"/>
        <v>Louis*Bert*</v>
      </c>
      <c r="AO75" s="160">
        <f>IF(Tabel511[[#This Row],[Aantal Games Rood]]=0,0,(Tabel511[[#This Row],[Wins Rood]])/Tabel511[[#This Row],[Aantal Games Rood]])</f>
        <v>1</v>
      </c>
      <c r="AP75" s="159">
        <f>IF(Tabel511[[#This Row],[Aantal Games Groen]]=0,0,(Tabel511[[#This Row],[Wins Groen]])/Tabel511[[#This Row],[Aantal Games Groen]])</f>
        <v>0</v>
      </c>
      <c r="AQ75" s="156">
        <f>IF(Tabel511[[#This Row],[Aantal games Alg]]=0,0,(Tabel511[[#This Row],[Wins Alg]])/Tabel511[[#This Row],[Aantal games Alg]])</f>
        <v>0.5</v>
      </c>
      <c r="AR75" s="133">
        <f>COUNTIF(Tabel152[Winaar rood],Tabel511[[#This Row],[Team]])</f>
        <v>1</v>
      </c>
      <c r="AS75" s="134">
        <f>COUNTIF(Tabel152[Winnaar Groen],Tabel511[[#This Row],[Team]])</f>
        <v>0</v>
      </c>
      <c r="AT75" s="293">
        <f>COUNTIF(Tabel152[Winnaars],Tabel511[[#This Row],[Team]])</f>
        <v>1</v>
      </c>
      <c r="AU75" s="135">
        <f>Tabel511[[#This Row],[Aantal Games Rood]]-Tabel511[[#This Row],[Wins Rood]]</f>
        <v>0</v>
      </c>
      <c r="AV75" s="136">
        <f>Tabel511[[#This Row],[Aantal Games Groen]]-Tabel511[[#This Row],[Wins Groen]]</f>
        <v>1</v>
      </c>
      <c r="AW75" s="137">
        <f>Tabel511[[#This Row],[Aantal games Alg]]-Tabel511[[#This Row],[Wins Alg]]</f>
        <v>1</v>
      </c>
      <c r="AX75" s="138">
        <f>COUNTIF(Tabel152[Team Rood],Tabel511[[#This Row],[Team]])</f>
        <v>1</v>
      </c>
      <c r="AY75" s="136">
        <f>COUNTIF(Tabel152[Team Groen],Tabel511[[#This Row],[Team]])</f>
        <v>1</v>
      </c>
      <c r="AZ75" s="214">
        <f>Tabel511[[#This Row],[Aantal Games Rood]]+Tabel511[[#This Row],[Aantal Games Groen]]</f>
        <v>2</v>
      </c>
      <c r="BA75" s="138">
        <f>SUMIF(Tabel152[Team Rood],Tabel511[[#This Row],[Team]],Tabel152[Score])</f>
        <v>4</v>
      </c>
      <c r="BB75" s="138">
        <f>SUMIF(Tabel152[Team Rood],Tabel511[[#This Row],[Team]],Tabel152[Score2])</f>
        <v>7</v>
      </c>
      <c r="BC75" s="134">
        <f>SUMIF(Tabel152[Team Groen],Tabel511[[#This Row],[Team]],Tabel152[Score3])</f>
        <v>5</v>
      </c>
      <c r="BD75" s="136">
        <f>SUMIF(Tabel152[Team Groen],Tabel511[[#This Row],[Team]],Tabel152[Score4])</f>
        <v>6</v>
      </c>
      <c r="BE75" s="293">
        <f>SUM(Tabel511[[#This Row],[Goals Verdediger]]+Tabel511[[#This Row],[Goals DefG]])</f>
        <v>9</v>
      </c>
      <c r="BF75" s="293">
        <f>IF(Tabel511[[#This Row],[Aantal games Alg]]=0,0,Tabel511[[#This Row],[Goals DefA]]/Tabel511[[#This Row],[Aantal games Alg]])</f>
        <v>4.5</v>
      </c>
      <c r="BG75" s="293">
        <f>SUM(Tabel511[[#This Row],[Goals Aanvaller]]+Tabel511[[#This Row],[Goals OffG]])</f>
        <v>13</v>
      </c>
      <c r="BH75" s="293">
        <f>IF(Tabel511[[#This Row],[Aantal games Alg]]=0,0,Tabel511[[#This Row],[Goals OffA]]/Tabel511[[#This Row],[Aantal games Alg]])</f>
        <v>6.5</v>
      </c>
      <c r="BI75" s="214">
        <f>Tabel511[[#This Row],[Goals DefA]]+Tabel511[[#This Row],[Goals OffA]]</f>
        <v>22</v>
      </c>
      <c r="BJ75" s="214">
        <f>IF(Tabel511[[#This Row],[Aantal games Alg]]=0,0,Tabel511[[#This Row],[Goals Alg]]/Tabel511[[#This Row],[Aantal games Alg]])</f>
        <v>11</v>
      </c>
      <c r="BK75" s="148">
        <f ca="1">SUMIF(Tabel152[Team Rood],Tabel511[[#This Row],[Team]],Tabel152[ET])</f>
        <v>1.6087964468169957E-5</v>
      </c>
      <c r="BL75" s="150">
        <f ca="1">SUMIF(Tabel152[Team Groen],Tabel511[[#This Row],[Team]],Tabel152[ET])</f>
        <v>2.6388886908534914E-5</v>
      </c>
      <c r="BM75" s="153">
        <f ca="1">SUM(Tabel511[[#This Row],[ET Groen tot]],Tabel511[[#This Row],[ET Rood tot]])</f>
        <v>4.2476851376704872E-5</v>
      </c>
      <c r="BN75" s="155">
        <f ca="1">IF(Tabel511[[#This Row],[Aantal games Alg]]=0,0,Tabel511[[#This Row],[ET tot]]/Tabel511[[#This Row],[Aantal games Alg]])</f>
        <v>2.1238425688352436E-5</v>
      </c>
    </row>
    <row r="76" spans="1:66" x14ac:dyDescent="0.25">
      <c r="A76" s="215" t="str">
        <f ca="1">IF(Tabel152[[#This Row],[Rood Verdediging]]&lt;&gt;"",IF(A76="",NOW(),A76),"")</f>
        <v/>
      </c>
      <c r="B76" s="218" t="str">
        <f ca="1">IF(Tabel152[[#This Row],[Rood Verdediging]]&lt;&gt;"",IF(B76="",NOW(),B76),"")</f>
        <v/>
      </c>
      <c r="C76" s="216" t="str">
        <f ca="1">IF(Tabel152[[#This Row],[Score]]&lt;&gt;"",IF(C76="",NOW(),C76),"")</f>
        <v/>
      </c>
      <c r="D76" s="217" t="str">
        <f ca="1">IF(OR(Tabel152[[#This Row],[Starttijd]]="",Tabel152[[#This Row],[Eindtijd]]=""),"",Tabel152[[#This Row],[Eindtijd]]-Tabel152[[#This Row],[Starttijd]])</f>
        <v/>
      </c>
      <c r="E76" s="74">
        <v>75</v>
      </c>
      <c r="F76" s="205"/>
      <c r="G76" s="210"/>
      <c r="H76" s="205"/>
      <c r="I76" s="210"/>
      <c r="J76" s="206"/>
      <c r="K76" s="212"/>
      <c r="L76" s="206"/>
      <c r="M76" s="212"/>
      <c r="N76" s="79">
        <f>Tabel152[[#This Row],[Score]]+Tabel152[[#This Row],[Score2]]</f>
        <v>0</v>
      </c>
      <c r="O76" s="80">
        <f>Tabel152[[#This Row],[Score3]]+Tabel152[[#This Row],[Score4]]</f>
        <v>0</v>
      </c>
      <c r="P7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Row],[Score4]]&lt;&gt;""),IF(AND(N76&gt;O76,N76&gt;=11),"ROOD",IF(AND(O76&gt;=11,N76&lt;&gt;O76),"GROEN","")),"")</f>
        <v/>
      </c>
      <c r="Q76" s="84">
        <f t="shared" si="15"/>
        <v>0</v>
      </c>
      <c r="R76" s="85">
        <f t="shared" si="16"/>
        <v>0</v>
      </c>
      <c r="S76" s="293" t="str">
        <f>Tabel152[[#This Row],[Rood Verdediging]]&amp;Tabel152[[#This Row],[Rood Aanval]]</f>
        <v/>
      </c>
      <c r="T76" s="293" t="str">
        <f>Tabel152[[#This Row],[Groen Verdediging]]&amp;Tabel152[[#This Row],[Groen Aanval]]</f>
        <v/>
      </c>
      <c r="U76" s="293" t="str">
        <f>Tabel152[[#This Row],[Winnaar 1]]&amp;Tabel152[[#This Row],[Winnaar 2]]</f>
        <v>00</v>
      </c>
      <c r="V76" s="147" t="b">
        <f>IF(Tabel152[[#This Row],[Team Rood]]=Tabel152[[#This Row],[Winnaars]],Tabel152[[#This Row],[Team Rood]])</f>
        <v>0</v>
      </c>
      <c r="W76" s="147" t="b">
        <f>IF(Tabel152[[#This Row],[Team Groen]]=Tabel152[[#This Row],[Winnaars]],Tabel152[[#This Row],[Team Groen]])</f>
        <v>0</v>
      </c>
      <c r="X76" s="283"/>
      <c r="Y76" s="283"/>
      <c r="Z76" s="283"/>
      <c r="AA76" s="283"/>
      <c r="AL76" s="251" t="s">
        <v>161</v>
      </c>
      <c r="AM76" s="233" t="s">
        <v>168</v>
      </c>
      <c r="AN76" s="140" t="str">
        <f t="shared" si="14"/>
        <v>Louis*Coghe*</v>
      </c>
      <c r="AO76" s="160">
        <f>IF(Tabel511[[#This Row],[Aantal Games Rood]]=0,0,(Tabel511[[#This Row],[Wins Rood]])/Tabel511[[#This Row],[Aantal Games Rood]])</f>
        <v>0</v>
      </c>
      <c r="AP76" s="159">
        <f>IF(Tabel511[[#This Row],[Aantal Games Groen]]=0,0,(Tabel511[[#This Row],[Wins Groen]])/Tabel511[[#This Row],[Aantal Games Groen]])</f>
        <v>0</v>
      </c>
      <c r="AQ76" s="156">
        <f>IF(Tabel511[[#This Row],[Aantal games Alg]]=0,0,(Tabel511[[#This Row],[Wins Alg]])/Tabel511[[#This Row],[Aantal games Alg]])</f>
        <v>0</v>
      </c>
      <c r="AR76" s="138">
        <f>COUNTIF(Tabel152[Winaar rood],Tabel511[[#This Row],[Team]])</f>
        <v>0</v>
      </c>
      <c r="AS76" s="134">
        <f>COUNTIF(Tabel152[Winnaar Groen],Tabel511[[#This Row],[Team]])</f>
        <v>0</v>
      </c>
      <c r="AT76" s="293">
        <f>COUNTIF(Tabel152[Winnaars],Tabel511[[#This Row],[Team]])</f>
        <v>0</v>
      </c>
      <c r="AU76" s="135">
        <f>Tabel511[[#This Row],[Aantal Games Rood]]-Tabel511[[#This Row],[Wins Rood]]</f>
        <v>0</v>
      </c>
      <c r="AV76" s="136">
        <f>Tabel511[[#This Row],[Aantal Games Groen]]-Tabel511[[#This Row],[Wins Groen]]</f>
        <v>0</v>
      </c>
      <c r="AW76" s="137">
        <f>Tabel511[[#This Row],[Aantal games Alg]]-Tabel511[[#This Row],[Wins Alg]]</f>
        <v>0</v>
      </c>
      <c r="AX76" s="138">
        <f>COUNTIF(Tabel152[Team Rood],Tabel511[[#This Row],[Team]])</f>
        <v>0</v>
      </c>
      <c r="AY76" s="136">
        <f>COUNTIF(Tabel152[Team Groen],Tabel511[[#This Row],[Team]])</f>
        <v>0</v>
      </c>
      <c r="AZ76" s="214">
        <f>Tabel511[[#This Row],[Aantal Games Rood]]+Tabel511[[#This Row],[Aantal Games Groen]]</f>
        <v>0</v>
      </c>
      <c r="BA76" s="138">
        <f>SUMIF(Tabel152[Team Rood],Tabel511[[#This Row],[Team]],Tabel152[Score])</f>
        <v>0</v>
      </c>
      <c r="BB76" s="138">
        <f>SUMIF(Tabel152[Team Rood],Tabel511[[#This Row],[Team]],Tabel152[Score2])</f>
        <v>0</v>
      </c>
      <c r="BC76" s="134">
        <f>SUMIF(Tabel152[Team Groen],Tabel511[[#This Row],[Team]],Tabel152[Score3])</f>
        <v>0</v>
      </c>
      <c r="BD76" s="136">
        <f>SUMIF(Tabel152[Team Groen],Tabel511[[#This Row],[Team]],Tabel152[Score4])</f>
        <v>0</v>
      </c>
      <c r="BE76" s="293">
        <f>SUM(Tabel511[[#This Row],[Goals Verdediger]]+Tabel511[[#This Row],[Goals DefG]])</f>
        <v>0</v>
      </c>
      <c r="BF76" s="293">
        <f>IF(Tabel511[[#This Row],[Aantal games Alg]]=0,0,Tabel511[[#This Row],[Goals DefA]]/Tabel511[[#This Row],[Aantal games Alg]])</f>
        <v>0</v>
      </c>
      <c r="BG76" s="293">
        <f>SUM(Tabel511[[#This Row],[Goals Aanvaller]]+Tabel511[[#This Row],[Goals OffG]])</f>
        <v>0</v>
      </c>
      <c r="BH76" s="293">
        <f>IF(Tabel511[[#This Row],[Aantal games Alg]]=0,0,Tabel511[[#This Row],[Goals OffA]]/Tabel511[[#This Row],[Aantal games Alg]])</f>
        <v>0</v>
      </c>
      <c r="BI76" s="214">
        <f>Tabel511[[#This Row],[Goals DefA]]+Tabel511[[#This Row],[Goals OffA]]</f>
        <v>0</v>
      </c>
      <c r="BJ76" s="214">
        <f>IF(Tabel511[[#This Row],[Aantal games Alg]]=0,0,Tabel511[[#This Row],[Goals Alg]]/Tabel511[[#This Row],[Aantal games Alg]])</f>
        <v>0</v>
      </c>
      <c r="BK76" s="148">
        <f>SUMIF(Tabel152[Team Rood],Tabel511[[#This Row],[Team]],Tabel152[ET])</f>
        <v>0</v>
      </c>
      <c r="BL76" s="150">
        <f>SUMIF(Tabel152[Team Groen],Tabel511[[#This Row],[Team]],Tabel152[ET])</f>
        <v>0</v>
      </c>
      <c r="BM76" s="153">
        <f>SUM(Tabel511[[#This Row],[ET Groen tot]],Tabel511[[#This Row],[ET Rood tot]])</f>
        <v>0</v>
      </c>
      <c r="BN76" s="155">
        <f>IF(Tabel511[[#This Row],[Aantal games Alg]]=0,0,Tabel511[[#This Row],[ET tot]]/Tabel511[[#This Row],[Aantal games Alg]])</f>
        <v>0</v>
      </c>
    </row>
    <row r="77" spans="1:66" x14ac:dyDescent="0.25">
      <c r="A77" s="215" t="str">
        <f ca="1">IF(Tabel152[[#This Row],[Rood Verdediging]]&lt;&gt;"",IF(A77="",NOW(),A77),"")</f>
        <v/>
      </c>
      <c r="B77" s="218" t="str">
        <f ca="1">IF(Tabel152[[#This Row],[Rood Verdediging]]&lt;&gt;"",IF(B77="",NOW(),B77),"")</f>
        <v/>
      </c>
      <c r="C77" s="216" t="str">
        <f ca="1">IF(Tabel152[[#This Row],[Score]]&lt;&gt;"",IF(C77="",NOW(),C77),"")</f>
        <v/>
      </c>
      <c r="D77" s="217" t="str">
        <f ca="1">IF(OR(Tabel152[[#This Row],[Starttijd]]="",Tabel152[[#This Row],[Eindtijd]]=""),"",Tabel152[[#This Row],[Eindtijd]]-Tabel152[[#This Row],[Starttijd]])</f>
        <v/>
      </c>
      <c r="E77" s="74">
        <v>76</v>
      </c>
      <c r="F77" s="205"/>
      <c r="G77" s="210"/>
      <c r="H77" s="205"/>
      <c r="I77" s="210"/>
      <c r="J77" s="206"/>
      <c r="K77" s="212"/>
      <c r="L77" s="206"/>
      <c r="M77" s="212"/>
      <c r="N77" s="79">
        <f>Tabel152[[#This Row],[Score]]+Tabel152[[#This Row],[Score2]]</f>
        <v>0</v>
      </c>
      <c r="O77" s="80">
        <f>Tabel152[[#This Row],[Score3]]+Tabel152[[#This Row],[Score4]]</f>
        <v>0</v>
      </c>
      <c r="P7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Row],[Score4]]&lt;&gt;""),IF(AND(N77&gt;O77,N77&gt;=11),"ROOD",IF(AND(O77&gt;=11,N77&lt;&gt;O77),"GROEN","")),"")</f>
        <v/>
      </c>
      <c r="Q77" s="84">
        <f t="shared" si="15"/>
        <v>0</v>
      </c>
      <c r="R77" s="85">
        <f t="shared" si="16"/>
        <v>0</v>
      </c>
      <c r="S77" s="293" t="str">
        <f>Tabel152[[#This Row],[Rood Verdediging]]&amp;Tabel152[[#This Row],[Rood Aanval]]</f>
        <v/>
      </c>
      <c r="T77" s="293" t="str">
        <f>Tabel152[[#This Row],[Groen Verdediging]]&amp;Tabel152[[#This Row],[Groen Aanval]]</f>
        <v/>
      </c>
      <c r="U77" s="293" t="str">
        <f>Tabel152[[#This Row],[Winnaar 1]]&amp;Tabel152[[#This Row],[Winnaar 2]]</f>
        <v>00</v>
      </c>
      <c r="V77" s="147" t="b">
        <f>IF(Tabel152[[#This Row],[Team Rood]]=Tabel152[[#This Row],[Winnaars]],Tabel152[[#This Row],[Team Rood]])</f>
        <v>0</v>
      </c>
      <c r="W77" s="147" t="b">
        <f>IF(Tabel152[[#This Row],[Team Groen]]=Tabel152[[#This Row],[Winnaars]],Tabel152[[#This Row],[Team Groen]])</f>
        <v>0</v>
      </c>
      <c r="X77" s="283"/>
      <c r="Y77" s="283"/>
      <c r="Z77" s="283"/>
      <c r="AA77" s="283"/>
      <c r="AL77" s="251" t="s">
        <v>161</v>
      </c>
      <c r="AM77" s="233" t="s">
        <v>159</v>
      </c>
      <c r="AN77" s="140" t="str">
        <f t="shared" si="14"/>
        <v>Louis*Jonas*</v>
      </c>
      <c r="AO77" s="160">
        <f>IF(Tabel511[[#This Row],[Aantal Games Rood]]=0,0,(Tabel511[[#This Row],[Wins Rood]])/Tabel511[[#This Row],[Aantal Games Rood]])</f>
        <v>0</v>
      </c>
      <c r="AP77" s="159">
        <f>IF(Tabel511[[#This Row],[Aantal Games Groen]]=0,0,(Tabel511[[#This Row],[Wins Groen]])/Tabel511[[#This Row],[Aantal Games Groen]])</f>
        <v>0</v>
      </c>
      <c r="AQ77" s="156">
        <f>IF(Tabel511[[#This Row],[Aantal games Alg]]=0,0,(Tabel511[[#This Row],[Wins Alg]])/Tabel511[[#This Row],[Aantal games Alg]])</f>
        <v>0</v>
      </c>
      <c r="AR77" s="138">
        <f>COUNTIF(Tabel152[Winaar rood],Tabel511[[#This Row],[Team]])</f>
        <v>0</v>
      </c>
      <c r="AS77" s="134">
        <f>COUNTIF(Tabel152[Winnaar Groen],Tabel511[[#This Row],[Team]])</f>
        <v>0</v>
      </c>
      <c r="AT77" s="293">
        <f>COUNTIF(Tabel152[Winnaars],Tabel511[[#This Row],[Team]])</f>
        <v>0</v>
      </c>
      <c r="AU77" s="135">
        <f>Tabel511[[#This Row],[Aantal Games Rood]]-Tabel511[[#This Row],[Wins Rood]]</f>
        <v>0</v>
      </c>
      <c r="AV77" s="136">
        <f>Tabel511[[#This Row],[Aantal Games Groen]]-Tabel511[[#This Row],[Wins Groen]]</f>
        <v>2</v>
      </c>
      <c r="AW77" s="137">
        <f>Tabel511[[#This Row],[Aantal games Alg]]-Tabel511[[#This Row],[Wins Alg]]</f>
        <v>2</v>
      </c>
      <c r="AX77" s="138">
        <f>COUNTIF(Tabel152[Team Rood],Tabel511[[#This Row],[Team]])</f>
        <v>0</v>
      </c>
      <c r="AY77" s="136">
        <f>COUNTIF(Tabel152[Team Groen],Tabel511[[#This Row],[Team]])</f>
        <v>2</v>
      </c>
      <c r="AZ77" s="214">
        <f>Tabel511[[#This Row],[Aantal Games Rood]]+Tabel511[[#This Row],[Aantal Games Groen]]</f>
        <v>2</v>
      </c>
      <c r="BA77" s="138">
        <f>SUMIF(Tabel152[Team Rood],Tabel511[[#This Row],[Team]],Tabel152[Score])</f>
        <v>0</v>
      </c>
      <c r="BB77" s="138">
        <f>SUMIF(Tabel152[Team Rood],Tabel511[[#This Row],[Team]],Tabel152[Score2])</f>
        <v>0</v>
      </c>
      <c r="BC77" s="134">
        <f>SUMIF(Tabel152[Team Groen],Tabel511[[#This Row],[Team]],Tabel152[Score3])</f>
        <v>7</v>
      </c>
      <c r="BD77" s="136">
        <f>SUMIF(Tabel152[Team Groen],Tabel511[[#This Row],[Team]],Tabel152[Score4])</f>
        <v>6</v>
      </c>
      <c r="BE77" s="293">
        <f>SUM(Tabel511[[#This Row],[Goals Verdediger]]+Tabel511[[#This Row],[Goals DefG]])</f>
        <v>7</v>
      </c>
      <c r="BF77" s="293">
        <f>IF(Tabel511[[#This Row],[Aantal games Alg]]=0,0,Tabel511[[#This Row],[Goals DefA]]/Tabel511[[#This Row],[Aantal games Alg]])</f>
        <v>3.5</v>
      </c>
      <c r="BG77" s="293">
        <f>SUM(Tabel511[[#This Row],[Goals Aanvaller]]+Tabel511[[#This Row],[Goals OffG]])</f>
        <v>6</v>
      </c>
      <c r="BH77" s="293">
        <f>IF(Tabel511[[#This Row],[Aantal games Alg]]=0,0,Tabel511[[#This Row],[Goals OffA]]/Tabel511[[#This Row],[Aantal games Alg]])</f>
        <v>3</v>
      </c>
      <c r="BI77" s="214">
        <f>Tabel511[[#This Row],[Goals DefA]]+Tabel511[[#This Row],[Goals OffA]]</f>
        <v>13</v>
      </c>
      <c r="BJ77" s="214">
        <f>IF(Tabel511[[#This Row],[Aantal games Alg]]=0,0,Tabel511[[#This Row],[Goals Alg]]/Tabel511[[#This Row],[Aantal games Alg]])</f>
        <v>6.5</v>
      </c>
      <c r="BK77" s="148">
        <f>SUMIF(Tabel152[Team Rood],Tabel511[[#This Row],[Team]],Tabel152[ET])</f>
        <v>0</v>
      </c>
      <c r="BL77" s="150">
        <f ca="1">SUMIF(Tabel152[Team Groen],Tabel511[[#This Row],[Team]],Tabel152[ET])</f>
        <v>8.1275462944176979E-3</v>
      </c>
      <c r="BM77" s="153">
        <f ca="1">SUM(Tabel511[[#This Row],[ET Groen tot]],Tabel511[[#This Row],[ET Rood tot]])</f>
        <v>8.1275462944176979E-3</v>
      </c>
      <c r="BN77" s="155">
        <f ca="1">IF(Tabel511[[#This Row],[Aantal games Alg]]=0,0,Tabel511[[#This Row],[ET tot]]/Tabel511[[#This Row],[Aantal games Alg]])</f>
        <v>4.063773147208849E-3</v>
      </c>
    </row>
    <row r="78" spans="1:66" x14ac:dyDescent="0.25">
      <c r="A78" s="215" t="str">
        <f ca="1">IF(Tabel152[[#This Row],[Rood Verdediging]]&lt;&gt;"",IF(A78="",NOW(),A78),"")</f>
        <v/>
      </c>
      <c r="B78" s="218" t="str">
        <f ca="1">IF(Tabel152[[#This Row],[Rood Verdediging]]&lt;&gt;"",IF(B78="",NOW(),B78),"")</f>
        <v/>
      </c>
      <c r="C78" s="216" t="str">
        <f ca="1">IF(Tabel152[[#This Row],[Score]]&lt;&gt;"",IF(C78="",NOW(),C78),"")</f>
        <v/>
      </c>
      <c r="D78" s="217" t="str">
        <f ca="1">IF(OR(Tabel152[[#This Row],[Starttijd]]="",Tabel152[[#This Row],[Eindtijd]]=""),"",Tabel152[[#This Row],[Eindtijd]]-Tabel152[[#This Row],[Starttijd]])</f>
        <v/>
      </c>
      <c r="E78" s="74">
        <v>77</v>
      </c>
      <c r="F78" s="205"/>
      <c r="G78" s="210"/>
      <c r="H78" s="205"/>
      <c r="I78" s="210"/>
      <c r="J78" s="206"/>
      <c r="K78" s="212"/>
      <c r="L78" s="206"/>
      <c r="M78" s="212"/>
      <c r="N78" s="79">
        <f>Tabel152[[#This Row],[Score]]+Tabel152[[#This Row],[Score2]]</f>
        <v>0</v>
      </c>
      <c r="O78" s="80">
        <f>Tabel152[[#This Row],[Score3]]+Tabel152[[#This Row],[Score4]]</f>
        <v>0</v>
      </c>
      <c r="P7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Row],[Score4]]&lt;&gt;""),IF(AND(N78&gt;O78,N78&gt;=11),"ROOD",IF(AND(O78&gt;=11,N78&lt;&gt;O78),"GROEN","")),"")</f>
        <v/>
      </c>
      <c r="Q78" s="84">
        <f t="shared" si="15"/>
        <v>0</v>
      </c>
      <c r="R78" s="85">
        <f t="shared" si="16"/>
        <v>0</v>
      </c>
      <c r="S78" s="293" t="str">
        <f>Tabel152[[#This Row],[Rood Verdediging]]&amp;Tabel152[[#This Row],[Rood Aanval]]</f>
        <v/>
      </c>
      <c r="T78" s="293" t="str">
        <f>Tabel152[[#This Row],[Groen Verdediging]]&amp;Tabel152[[#This Row],[Groen Aanval]]</f>
        <v/>
      </c>
      <c r="U78" s="293" t="str">
        <f>Tabel152[[#This Row],[Winnaar 1]]&amp;Tabel152[[#This Row],[Winnaar 2]]</f>
        <v>00</v>
      </c>
      <c r="V78" s="147" t="b">
        <f>IF(Tabel152[[#This Row],[Team Rood]]=Tabel152[[#This Row],[Winnaars]],Tabel152[[#This Row],[Team Rood]])</f>
        <v>0</v>
      </c>
      <c r="W78" s="147" t="b">
        <f>IF(Tabel152[[#This Row],[Team Groen]]=Tabel152[[#This Row],[Winnaars]],Tabel152[[#This Row],[Team Groen]])</f>
        <v>0</v>
      </c>
      <c r="X78" s="283"/>
      <c r="Y78" s="283"/>
      <c r="Z78" s="283"/>
      <c r="AA78" s="283"/>
      <c r="AL78" s="251" t="s">
        <v>161</v>
      </c>
      <c r="AM78" s="233" t="s">
        <v>164</v>
      </c>
      <c r="AN78" s="140" t="str">
        <f t="shared" si="14"/>
        <v>Louis*Karel*</v>
      </c>
      <c r="AO78" s="160">
        <f>IF(Tabel511[[#This Row],[Aantal Games Rood]]=0,0,(Tabel511[[#This Row],[Wins Rood]])/Tabel511[[#This Row],[Aantal Games Rood]])</f>
        <v>1</v>
      </c>
      <c r="AP78" s="159">
        <f>IF(Tabel511[[#This Row],[Aantal Games Groen]]=0,0,(Tabel511[[#This Row],[Wins Groen]])/Tabel511[[#This Row],[Aantal Games Groen]])</f>
        <v>0</v>
      </c>
      <c r="AQ78" s="156">
        <f>IF(Tabel511[[#This Row],[Aantal games Alg]]=0,0,(Tabel511[[#This Row],[Wins Alg]])/Tabel511[[#This Row],[Aantal games Alg]])</f>
        <v>1</v>
      </c>
      <c r="AR78" s="138">
        <f>COUNTIF(Tabel152[Winaar rood],Tabel511[[#This Row],[Team]])</f>
        <v>1</v>
      </c>
      <c r="AS78" s="134">
        <f>COUNTIF(Tabel152[Winnaar Groen],Tabel511[[#This Row],[Team]])</f>
        <v>0</v>
      </c>
      <c r="AT78" s="293">
        <f>COUNTIF(Tabel152[Winnaars],Tabel511[[#This Row],[Team]])</f>
        <v>1</v>
      </c>
      <c r="AU78" s="135">
        <f>Tabel511[[#This Row],[Aantal Games Rood]]-Tabel511[[#This Row],[Wins Rood]]</f>
        <v>0</v>
      </c>
      <c r="AV78" s="136">
        <f>Tabel511[[#This Row],[Aantal Games Groen]]-Tabel511[[#This Row],[Wins Groen]]</f>
        <v>0</v>
      </c>
      <c r="AW78" s="137">
        <f>Tabel511[[#This Row],[Aantal games Alg]]-Tabel511[[#This Row],[Wins Alg]]</f>
        <v>0</v>
      </c>
      <c r="AX78" s="138">
        <f>COUNTIF(Tabel152[Team Rood],Tabel511[[#This Row],[Team]])</f>
        <v>1</v>
      </c>
      <c r="AY78" s="136">
        <f>COUNTIF(Tabel152[Team Groen],Tabel511[[#This Row],[Team]])</f>
        <v>0</v>
      </c>
      <c r="AZ78" s="214">
        <f>Tabel511[[#This Row],[Aantal Games Rood]]+Tabel511[[#This Row],[Aantal Games Groen]]</f>
        <v>1</v>
      </c>
      <c r="BA78" s="138">
        <f>SUMIF(Tabel152[Team Rood],Tabel511[[#This Row],[Team]],Tabel152[Score])</f>
        <v>4</v>
      </c>
      <c r="BB78" s="138">
        <f>SUMIF(Tabel152[Team Rood],Tabel511[[#This Row],[Team]],Tabel152[Score2])</f>
        <v>7</v>
      </c>
      <c r="BC78" s="134">
        <f>SUMIF(Tabel152[Team Groen],Tabel511[[#This Row],[Team]],Tabel152[Score3])</f>
        <v>0</v>
      </c>
      <c r="BD78" s="136">
        <f>SUMIF(Tabel152[Team Groen],Tabel511[[#This Row],[Team]],Tabel152[Score4])</f>
        <v>0</v>
      </c>
      <c r="BE78" s="293">
        <f>SUM(Tabel511[[#This Row],[Goals Verdediger]]+Tabel511[[#This Row],[Goals DefG]])</f>
        <v>4</v>
      </c>
      <c r="BF78" s="293">
        <f>IF(Tabel511[[#This Row],[Aantal games Alg]]=0,0,Tabel511[[#This Row],[Goals DefA]]/Tabel511[[#This Row],[Aantal games Alg]])</f>
        <v>4</v>
      </c>
      <c r="BG78" s="293">
        <f>SUM(Tabel511[[#This Row],[Goals Aanvaller]]+Tabel511[[#This Row],[Goals OffG]])</f>
        <v>7</v>
      </c>
      <c r="BH78" s="293">
        <f>IF(Tabel511[[#This Row],[Aantal games Alg]]=0,0,Tabel511[[#This Row],[Goals OffA]]/Tabel511[[#This Row],[Aantal games Alg]])</f>
        <v>7</v>
      </c>
      <c r="BI78" s="214">
        <f>Tabel511[[#This Row],[Goals DefA]]+Tabel511[[#This Row],[Goals OffA]]</f>
        <v>11</v>
      </c>
      <c r="BJ78" s="214">
        <f>IF(Tabel511[[#This Row],[Aantal games Alg]]=0,0,Tabel511[[#This Row],[Goals Alg]]/Tabel511[[#This Row],[Aantal games Alg]])</f>
        <v>11</v>
      </c>
      <c r="BK78" s="148">
        <f ca="1">SUMIF(Tabel152[Team Rood],Tabel511[[#This Row],[Team]],Tabel152[ET])</f>
        <v>1.8981481844093651E-5</v>
      </c>
      <c r="BL78" s="150">
        <f>SUMIF(Tabel152[Team Groen],Tabel511[[#This Row],[Team]],Tabel152[ET])</f>
        <v>0</v>
      </c>
      <c r="BM78" s="153">
        <f ca="1">SUM(Tabel511[[#This Row],[ET Groen tot]],Tabel511[[#This Row],[ET Rood tot]])</f>
        <v>1.8981481844093651E-5</v>
      </c>
      <c r="BN78" s="155">
        <f ca="1">IF(Tabel511[[#This Row],[Aantal games Alg]]=0,0,Tabel511[[#This Row],[ET tot]]/Tabel511[[#This Row],[Aantal games Alg]])</f>
        <v>1.8981481844093651E-5</v>
      </c>
    </row>
    <row r="79" spans="1:66" x14ac:dyDescent="0.25">
      <c r="A79" s="215" t="str">
        <f ca="1">IF(Tabel152[[#This Row],[Rood Verdediging]]&lt;&gt;"",IF(A79="",NOW(),A79),"")</f>
        <v/>
      </c>
      <c r="B79" s="218" t="str">
        <f ca="1">IF(Tabel152[[#This Row],[Rood Verdediging]]&lt;&gt;"",IF(B79="",NOW(),B79),"")</f>
        <v/>
      </c>
      <c r="C79" s="216" t="str">
        <f ca="1">IF(Tabel152[[#This Row],[Score]]&lt;&gt;"",IF(C79="",NOW(),C79),"")</f>
        <v/>
      </c>
      <c r="D79" s="217" t="str">
        <f ca="1">IF(OR(Tabel152[[#This Row],[Starttijd]]="",Tabel152[[#This Row],[Eindtijd]]=""),"",Tabel152[[#This Row],[Eindtijd]]-Tabel152[[#This Row],[Starttijd]])</f>
        <v/>
      </c>
      <c r="E79" s="74">
        <v>78</v>
      </c>
      <c r="F79" s="205"/>
      <c r="G79" s="210"/>
      <c r="H79" s="205"/>
      <c r="I79" s="210"/>
      <c r="J79" s="206"/>
      <c r="K79" s="212"/>
      <c r="L79" s="206"/>
      <c r="M79" s="212"/>
      <c r="N79" s="79">
        <f>Tabel152[[#This Row],[Score]]+Tabel152[[#This Row],[Score2]]</f>
        <v>0</v>
      </c>
      <c r="O79" s="80">
        <f>Tabel152[[#This Row],[Score3]]+Tabel152[[#This Row],[Score4]]</f>
        <v>0</v>
      </c>
      <c r="P7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Row],[Score4]]&lt;&gt;""),IF(AND(N79&gt;O79,N79&gt;=11),"ROOD",IF(AND(O79&gt;=11,N79&lt;&gt;O79),"GROEN","")),"")</f>
        <v/>
      </c>
      <c r="Q79" s="84">
        <f t="shared" si="15"/>
        <v>0</v>
      </c>
      <c r="R79" s="85">
        <f t="shared" si="16"/>
        <v>0</v>
      </c>
      <c r="S79" s="293" t="str">
        <f>Tabel152[[#This Row],[Rood Verdediging]]&amp;Tabel152[[#This Row],[Rood Aanval]]</f>
        <v/>
      </c>
      <c r="T79" s="293" t="str">
        <f>Tabel152[[#This Row],[Groen Verdediging]]&amp;Tabel152[[#This Row],[Groen Aanval]]</f>
        <v/>
      </c>
      <c r="U79" s="293" t="str">
        <f>Tabel152[[#This Row],[Winnaar 1]]&amp;Tabel152[[#This Row],[Winnaar 2]]</f>
        <v>00</v>
      </c>
      <c r="V79" s="147" t="b">
        <f>IF(Tabel152[[#This Row],[Team Rood]]=Tabel152[[#This Row],[Winnaars]],Tabel152[[#This Row],[Team Rood]])</f>
        <v>0</v>
      </c>
      <c r="W79" s="147" t="b">
        <f>IF(Tabel152[[#This Row],[Team Groen]]=Tabel152[[#This Row],[Winnaars]],Tabel152[[#This Row],[Team Groen]])</f>
        <v>0</v>
      </c>
      <c r="X79" s="283"/>
      <c r="Y79" s="283"/>
      <c r="Z79" s="283"/>
      <c r="AA79" s="283"/>
      <c r="AL79" s="251" t="s">
        <v>161</v>
      </c>
      <c r="AM79" s="233" t="s">
        <v>67</v>
      </c>
      <c r="AN79" s="140" t="str">
        <f t="shared" si="14"/>
        <v>Louis*Lawrence</v>
      </c>
      <c r="AO79" s="160">
        <f>IF(Tabel511[[#This Row],[Aantal Games Rood]]=0,0,(Tabel511[[#This Row],[Wins Rood]])/Tabel511[[#This Row],[Aantal Games Rood]])</f>
        <v>0</v>
      </c>
      <c r="AP79" s="159">
        <f>IF(Tabel511[[#This Row],[Aantal Games Groen]]=0,0,(Tabel511[[#This Row],[Wins Groen]])/Tabel511[[#This Row],[Aantal Games Groen]])</f>
        <v>0</v>
      </c>
      <c r="AQ79" s="156">
        <f>IF(Tabel511[[#This Row],[Aantal games Alg]]=0,0,(Tabel511[[#This Row],[Wins Alg]])/Tabel511[[#This Row],[Aantal games Alg]])</f>
        <v>0</v>
      </c>
      <c r="AR79" s="138">
        <f>COUNTIF(Tabel152[Winaar rood],Tabel511[[#This Row],[Team]])</f>
        <v>0</v>
      </c>
      <c r="AS79" s="134">
        <f>COUNTIF(Tabel152[Winnaar Groen],Tabel511[[#This Row],[Team]])</f>
        <v>0</v>
      </c>
      <c r="AT79" s="293">
        <f>COUNTIF(Tabel152[Winnaars],Tabel511[[#This Row],[Team]])</f>
        <v>0</v>
      </c>
      <c r="AU79" s="135">
        <f>Tabel511[[#This Row],[Aantal Games Rood]]-Tabel511[[#This Row],[Wins Rood]]</f>
        <v>0</v>
      </c>
      <c r="AV79" s="136">
        <f>Tabel511[[#This Row],[Aantal Games Groen]]-Tabel511[[#This Row],[Wins Groen]]</f>
        <v>0</v>
      </c>
      <c r="AW79" s="137">
        <f>Tabel511[[#This Row],[Aantal games Alg]]-Tabel511[[#This Row],[Wins Alg]]</f>
        <v>0</v>
      </c>
      <c r="AX79" s="138">
        <f>COUNTIF(Tabel152[Team Rood],Tabel511[[#This Row],[Team]])</f>
        <v>0</v>
      </c>
      <c r="AY79" s="136">
        <f>COUNTIF(Tabel152[Team Groen],Tabel511[[#This Row],[Team]])</f>
        <v>0</v>
      </c>
      <c r="AZ79" s="214">
        <f>Tabel511[[#This Row],[Aantal Games Rood]]+Tabel511[[#This Row],[Aantal Games Groen]]</f>
        <v>0</v>
      </c>
      <c r="BA79" s="138">
        <f>SUMIF(Tabel152[Team Rood],Tabel511[[#This Row],[Team]],Tabel152[Score])</f>
        <v>0</v>
      </c>
      <c r="BB79" s="138">
        <f>SUMIF(Tabel152[Team Rood],Tabel511[[#This Row],[Team]],Tabel152[Score2])</f>
        <v>0</v>
      </c>
      <c r="BC79" s="134">
        <f>SUMIF(Tabel152[Team Groen],Tabel511[[#This Row],[Team]],Tabel152[Score3])</f>
        <v>0</v>
      </c>
      <c r="BD79" s="136">
        <f>SUMIF(Tabel152[Team Groen],Tabel511[[#This Row],[Team]],Tabel152[Score4])</f>
        <v>0</v>
      </c>
      <c r="BE79" s="293">
        <f>SUM(Tabel511[[#This Row],[Goals Verdediger]]+Tabel511[[#This Row],[Goals DefG]])</f>
        <v>0</v>
      </c>
      <c r="BF79" s="293">
        <f>IF(Tabel511[[#This Row],[Aantal games Alg]]=0,0,Tabel511[[#This Row],[Goals DefA]]/Tabel511[[#This Row],[Aantal games Alg]])</f>
        <v>0</v>
      </c>
      <c r="BG79" s="293">
        <f>SUM(Tabel511[[#This Row],[Goals Aanvaller]]+Tabel511[[#This Row],[Goals OffG]])</f>
        <v>0</v>
      </c>
      <c r="BH79" s="293">
        <f>IF(Tabel511[[#This Row],[Aantal games Alg]]=0,0,Tabel511[[#This Row],[Goals OffA]]/Tabel511[[#This Row],[Aantal games Alg]])</f>
        <v>0</v>
      </c>
      <c r="BI79" s="214">
        <f>Tabel511[[#This Row],[Goals DefA]]+Tabel511[[#This Row],[Goals OffA]]</f>
        <v>0</v>
      </c>
      <c r="BJ79" s="214">
        <f>IF(Tabel511[[#This Row],[Aantal games Alg]]=0,0,Tabel511[[#This Row],[Goals Alg]]/Tabel511[[#This Row],[Aantal games Alg]])</f>
        <v>0</v>
      </c>
      <c r="BK79" s="148">
        <f>SUMIF(Tabel152[Team Rood],Tabel511[[#This Row],[Team]],Tabel152[ET])</f>
        <v>0</v>
      </c>
      <c r="BL79" s="150">
        <f>SUMIF(Tabel152[Team Groen],Tabel511[[#This Row],[Team]],Tabel152[ET])</f>
        <v>0</v>
      </c>
      <c r="BM79" s="153">
        <f>SUM(Tabel511[[#This Row],[ET Groen tot]],Tabel511[[#This Row],[ET Rood tot]])</f>
        <v>0</v>
      </c>
      <c r="BN79" s="155">
        <f>IF(Tabel511[[#This Row],[Aantal games Alg]]=0,0,Tabel511[[#This Row],[ET tot]]/Tabel511[[#This Row],[Aantal games Alg]])</f>
        <v>0</v>
      </c>
    </row>
    <row r="80" spans="1:66" x14ac:dyDescent="0.25">
      <c r="A80" s="215" t="str">
        <f ca="1">IF(Tabel152[[#This Row],[Rood Verdediging]]&lt;&gt;"",IF(A80="",NOW(),A80),"")</f>
        <v/>
      </c>
      <c r="B80" s="218" t="str">
        <f ca="1">IF(Tabel152[[#This Row],[Rood Verdediging]]&lt;&gt;"",IF(B80="",NOW(),B80),"")</f>
        <v/>
      </c>
      <c r="C80" s="216" t="str">
        <f ca="1">IF(Tabel152[[#This Row],[Score]]&lt;&gt;"",IF(C80="",NOW(),C80),"")</f>
        <v/>
      </c>
      <c r="D80" s="217" t="str">
        <f ca="1">IF(OR(Tabel152[[#This Row],[Starttijd]]="",Tabel152[[#This Row],[Eindtijd]]=""),"",Tabel152[[#This Row],[Eindtijd]]-Tabel152[[#This Row],[Starttijd]])</f>
        <v/>
      </c>
      <c r="E80" s="74">
        <v>79</v>
      </c>
      <c r="F80" s="205"/>
      <c r="G80" s="210"/>
      <c r="H80" s="205"/>
      <c r="I80" s="210"/>
      <c r="J80" s="206"/>
      <c r="K80" s="212"/>
      <c r="L80" s="206"/>
      <c r="M80" s="212"/>
      <c r="N80" s="79">
        <f>Tabel152[[#This Row],[Score]]+Tabel152[[#This Row],[Score2]]</f>
        <v>0</v>
      </c>
      <c r="O80" s="80">
        <f>Tabel152[[#This Row],[Score3]]+Tabel152[[#This Row],[Score4]]</f>
        <v>0</v>
      </c>
      <c r="P8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Row],[Score4]]&lt;&gt;""),IF(AND(N80&gt;O80,N80&gt;=11),"ROOD",IF(AND(O80&gt;=11,N80&lt;&gt;O80),"GROEN","")),"")</f>
        <v/>
      </c>
      <c r="Q80" s="84">
        <f t="shared" si="15"/>
        <v>0</v>
      </c>
      <c r="R80" s="85">
        <f t="shared" si="16"/>
        <v>0</v>
      </c>
      <c r="S80" s="293" t="str">
        <f>Tabel152[[#This Row],[Rood Verdediging]]&amp;Tabel152[[#This Row],[Rood Aanval]]</f>
        <v/>
      </c>
      <c r="T80" s="293" t="str">
        <f>Tabel152[[#This Row],[Groen Verdediging]]&amp;Tabel152[[#This Row],[Groen Aanval]]</f>
        <v/>
      </c>
      <c r="U80" s="293" t="str">
        <f>Tabel152[[#This Row],[Winnaar 1]]&amp;Tabel152[[#This Row],[Winnaar 2]]</f>
        <v>00</v>
      </c>
      <c r="V80" s="147" t="b">
        <f>IF(Tabel152[[#This Row],[Team Rood]]=Tabel152[[#This Row],[Winnaars]],Tabel152[[#This Row],[Team Rood]])</f>
        <v>0</v>
      </c>
      <c r="W80" s="147" t="b">
        <f>IF(Tabel152[[#This Row],[Team Groen]]=Tabel152[[#This Row],[Winnaars]],Tabel152[[#This Row],[Team Groen]])</f>
        <v>0</v>
      </c>
      <c r="X80" s="283"/>
      <c r="Y80" s="283"/>
      <c r="Z80" s="283"/>
      <c r="AA80" s="283"/>
      <c r="AL80" s="251" t="s">
        <v>161</v>
      </c>
      <c r="AM80" s="233" t="s">
        <v>162</v>
      </c>
      <c r="AN80" s="140" t="str">
        <f t="shared" si="14"/>
        <v>Louis*Matthijs*</v>
      </c>
      <c r="AO80" s="160">
        <f>IF(Tabel511[[#This Row],[Aantal Games Rood]]=0,0,(Tabel511[[#This Row],[Wins Rood]])/Tabel511[[#This Row],[Aantal Games Rood]])</f>
        <v>0</v>
      </c>
      <c r="AP80" s="159">
        <f>IF(Tabel511[[#This Row],[Aantal Games Groen]]=0,0,(Tabel511[[#This Row],[Wins Groen]])/Tabel511[[#This Row],[Aantal Games Groen]])</f>
        <v>0</v>
      </c>
      <c r="AQ80" s="156">
        <f>IF(Tabel511[[#This Row],[Aantal games Alg]]=0,0,(Tabel511[[#This Row],[Wins Alg]])/Tabel511[[#This Row],[Aantal games Alg]])</f>
        <v>0</v>
      </c>
      <c r="AR80" s="138">
        <f>COUNTIF(Tabel152[Winaar rood],Tabel511[[#This Row],[Team]])</f>
        <v>0</v>
      </c>
      <c r="AS80" s="134">
        <f>COUNTIF(Tabel152[Winnaar Groen],Tabel511[[#This Row],[Team]])</f>
        <v>0</v>
      </c>
      <c r="AT80" s="293">
        <f>COUNTIF(Tabel152[Winnaars],Tabel511[[#This Row],[Team]])</f>
        <v>0</v>
      </c>
      <c r="AU80" s="135">
        <f>Tabel511[[#This Row],[Aantal Games Rood]]-Tabel511[[#This Row],[Wins Rood]]</f>
        <v>0</v>
      </c>
      <c r="AV80" s="136">
        <f>Tabel511[[#This Row],[Aantal Games Groen]]-Tabel511[[#This Row],[Wins Groen]]</f>
        <v>0</v>
      </c>
      <c r="AW80" s="137">
        <f>Tabel511[[#This Row],[Aantal games Alg]]-Tabel511[[#This Row],[Wins Alg]]</f>
        <v>0</v>
      </c>
      <c r="AX80" s="138">
        <f>COUNTIF(Tabel152[Team Rood],Tabel511[[#This Row],[Team]])</f>
        <v>0</v>
      </c>
      <c r="AY80" s="136">
        <f>COUNTIF(Tabel152[Team Groen],Tabel511[[#This Row],[Team]])</f>
        <v>0</v>
      </c>
      <c r="AZ80" s="214">
        <f>Tabel511[[#This Row],[Aantal Games Rood]]+Tabel511[[#This Row],[Aantal Games Groen]]</f>
        <v>0</v>
      </c>
      <c r="BA80" s="138">
        <f>SUMIF(Tabel152[Team Rood],Tabel511[[#This Row],[Team]],Tabel152[Score])</f>
        <v>0</v>
      </c>
      <c r="BB80" s="138">
        <f>SUMIF(Tabel152[Team Rood],Tabel511[[#This Row],[Team]],Tabel152[Score2])</f>
        <v>0</v>
      </c>
      <c r="BC80" s="134">
        <f>SUMIF(Tabel152[Team Groen],Tabel511[[#This Row],[Team]],Tabel152[Score3])</f>
        <v>0</v>
      </c>
      <c r="BD80" s="136">
        <f>SUMIF(Tabel152[Team Groen],Tabel511[[#This Row],[Team]],Tabel152[Score4])</f>
        <v>0</v>
      </c>
      <c r="BE80" s="293">
        <f>SUM(Tabel511[[#This Row],[Goals Verdediger]]+Tabel511[[#This Row],[Goals DefG]])</f>
        <v>0</v>
      </c>
      <c r="BF80" s="293">
        <f>IF(Tabel511[[#This Row],[Aantal games Alg]]=0,0,Tabel511[[#This Row],[Goals DefA]]/Tabel511[[#This Row],[Aantal games Alg]])</f>
        <v>0</v>
      </c>
      <c r="BG80" s="293">
        <f>SUM(Tabel511[[#This Row],[Goals Aanvaller]]+Tabel511[[#This Row],[Goals OffG]])</f>
        <v>0</v>
      </c>
      <c r="BH80" s="293">
        <f>IF(Tabel511[[#This Row],[Aantal games Alg]]=0,0,Tabel511[[#This Row],[Goals OffA]]/Tabel511[[#This Row],[Aantal games Alg]])</f>
        <v>0</v>
      </c>
      <c r="BI80" s="214">
        <f>Tabel511[[#This Row],[Goals DefA]]+Tabel511[[#This Row],[Goals OffA]]</f>
        <v>0</v>
      </c>
      <c r="BJ80" s="214">
        <f>IF(Tabel511[[#This Row],[Aantal games Alg]]=0,0,Tabel511[[#This Row],[Goals Alg]]/Tabel511[[#This Row],[Aantal games Alg]])</f>
        <v>0</v>
      </c>
      <c r="BK80" s="148">
        <f>SUMIF(Tabel152[Team Rood],Tabel511[[#This Row],[Team]],Tabel152[ET])</f>
        <v>0</v>
      </c>
      <c r="BL80" s="150">
        <f>SUMIF(Tabel152[Team Groen],Tabel511[[#This Row],[Team]],Tabel152[ET])</f>
        <v>0</v>
      </c>
      <c r="BM80" s="153">
        <f>SUM(Tabel511[[#This Row],[ET Groen tot]],Tabel511[[#This Row],[ET Rood tot]])</f>
        <v>0</v>
      </c>
      <c r="BN80" s="155">
        <f>IF(Tabel511[[#This Row],[Aantal games Alg]]=0,0,Tabel511[[#This Row],[ET tot]]/Tabel511[[#This Row],[Aantal games Alg]])</f>
        <v>0</v>
      </c>
    </row>
    <row r="81" spans="1:66" x14ac:dyDescent="0.25">
      <c r="A81" s="215" t="str">
        <f ca="1">IF(Tabel152[[#This Row],[Rood Verdediging]]&lt;&gt;"",IF(A81="",NOW(),A81),"")</f>
        <v/>
      </c>
      <c r="B81" s="218" t="str">
        <f ca="1">IF(Tabel152[[#This Row],[Rood Verdediging]]&lt;&gt;"",IF(B81="",NOW(),B81),"")</f>
        <v/>
      </c>
      <c r="C81" s="216" t="str">
        <f ca="1">IF(Tabel152[[#This Row],[Score]]&lt;&gt;"",IF(C81="",NOW(),C81),"")</f>
        <v/>
      </c>
      <c r="D81" s="217" t="str">
        <f ca="1">IF(OR(Tabel152[[#This Row],[Starttijd]]="",Tabel152[[#This Row],[Eindtijd]]=""),"",Tabel152[[#This Row],[Eindtijd]]-Tabel152[[#This Row],[Starttijd]])</f>
        <v/>
      </c>
      <c r="E81" s="74">
        <v>80</v>
      </c>
      <c r="F81" s="205"/>
      <c r="G81" s="210"/>
      <c r="H81" s="205"/>
      <c r="I81" s="210"/>
      <c r="J81" s="206"/>
      <c r="K81" s="212"/>
      <c r="L81" s="206"/>
      <c r="M81" s="212"/>
      <c r="N81" s="79">
        <f>Tabel152[[#This Row],[Score]]+Tabel152[[#This Row],[Score2]]</f>
        <v>0</v>
      </c>
      <c r="O81" s="80">
        <f>Tabel152[[#This Row],[Score3]]+Tabel152[[#This Row],[Score4]]</f>
        <v>0</v>
      </c>
      <c r="P8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Row],[Score4]]&lt;&gt;""),IF(AND(N81&gt;O81,N81&gt;=11),"ROOD",IF(AND(O81&gt;=11,N81&lt;&gt;O81),"GROEN","")),"")</f>
        <v/>
      </c>
      <c r="Q81" s="84">
        <f t="shared" si="15"/>
        <v>0</v>
      </c>
      <c r="R81" s="85">
        <f t="shared" si="16"/>
        <v>0</v>
      </c>
      <c r="S81" s="293" t="str">
        <f>Tabel152[[#This Row],[Rood Verdediging]]&amp;Tabel152[[#This Row],[Rood Aanval]]</f>
        <v/>
      </c>
      <c r="T81" s="293" t="str">
        <f>Tabel152[[#This Row],[Groen Verdediging]]&amp;Tabel152[[#This Row],[Groen Aanval]]</f>
        <v/>
      </c>
      <c r="U81" s="293" t="str">
        <f>Tabel152[[#This Row],[Winnaar 1]]&amp;Tabel152[[#This Row],[Winnaar 2]]</f>
        <v>00</v>
      </c>
      <c r="V81" s="147" t="b">
        <f>IF(Tabel152[[#This Row],[Team Rood]]=Tabel152[[#This Row],[Winnaars]],Tabel152[[#This Row],[Team Rood]])</f>
        <v>0</v>
      </c>
      <c r="W81" s="147" t="b">
        <f>IF(Tabel152[[#This Row],[Team Groen]]=Tabel152[[#This Row],[Winnaars]],Tabel152[[#This Row],[Team Groen]])</f>
        <v>0</v>
      </c>
      <c r="X81" s="283"/>
      <c r="Y81" s="283"/>
      <c r="Z81" s="283"/>
      <c r="AA81" s="283"/>
      <c r="AL81" s="251" t="s">
        <v>161</v>
      </c>
      <c r="AM81" s="233" t="s">
        <v>170</v>
      </c>
      <c r="AN81" s="140" t="str">
        <f t="shared" si="14"/>
        <v>Louis*Nico*</v>
      </c>
      <c r="AO81" s="160">
        <f>IF(Tabel511[[#This Row],[Aantal Games Rood]]=0,0,(Tabel511[[#This Row],[Wins Rood]])/Tabel511[[#This Row],[Aantal Games Rood]])</f>
        <v>0</v>
      </c>
      <c r="AP81" s="159">
        <f>IF(Tabel511[[#This Row],[Aantal Games Groen]]=0,0,(Tabel511[[#This Row],[Wins Groen]])/Tabel511[[#This Row],[Aantal Games Groen]])</f>
        <v>0</v>
      </c>
      <c r="AQ81" s="156">
        <f>IF(Tabel511[[#This Row],[Aantal games Alg]]=0,0,(Tabel511[[#This Row],[Wins Alg]])/Tabel511[[#This Row],[Aantal games Alg]])</f>
        <v>0</v>
      </c>
      <c r="AR81" s="171">
        <f>COUNTIF(Tabel152[Winaar rood],Tabel511[[#This Row],[Team]])</f>
        <v>0</v>
      </c>
      <c r="AS81" s="169">
        <f>COUNTIF(Tabel152[Winnaar Groen],Tabel511[[#This Row],[Team]])</f>
        <v>0</v>
      </c>
      <c r="AT81" s="170">
        <f>COUNTIF(Tabel152[Winnaars],Tabel511[[#This Row],[Team]])</f>
        <v>0</v>
      </c>
      <c r="AU81" s="163">
        <f>Tabel511[[#This Row],[Aantal Games Rood]]-Tabel511[[#This Row],[Wins Rood]]</f>
        <v>0</v>
      </c>
      <c r="AV81" s="169">
        <f>Tabel511[[#This Row],[Aantal Games Groen]]-Tabel511[[#This Row],[Wins Groen]]</f>
        <v>0</v>
      </c>
      <c r="AW81" s="165">
        <f>Tabel511[[#This Row],[Aantal games Alg]]-Tabel511[[#This Row],[Wins Alg]]</f>
        <v>0</v>
      </c>
      <c r="AX81" s="171">
        <f>COUNTIF(Tabel152[Team Rood],Tabel511[[#This Row],[Team]])</f>
        <v>0</v>
      </c>
      <c r="AY81" s="169">
        <f>COUNTIF(Tabel152[Team Groen],Tabel511[[#This Row],[Team]])</f>
        <v>0</v>
      </c>
      <c r="AZ81" s="170">
        <f>Tabel511[[#This Row],[Aantal Games Rood]]+Tabel511[[#This Row],[Aantal Games Groen]]</f>
        <v>0</v>
      </c>
      <c r="BA81" s="171">
        <f>SUMIF(Tabel152[Team Rood],Tabel511[[#This Row],[Team]],Tabel152[Score])</f>
        <v>0</v>
      </c>
      <c r="BB81" s="171">
        <f>SUMIF(Tabel152[Team Rood],Tabel511[[#This Row],[Team]],Tabel152[Score2])</f>
        <v>0</v>
      </c>
      <c r="BC81" s="136">
        <f>SUMIF(Tabel152[Team Groen],Tabel511[[#This Row],[Team]],Tabel152[Score3])</f>
        <v>0</v>
      </c>
      <c r="BD81" s="169">
        <f>SUMIF(Tabel152[Team Groen],Tabel511[[#This Row],[Team]],Tabel152[Score4])</f>
        <v>0</v>
      </c>
      <c r="BE81" s="172">
        <f>SUM(Tabel511[[#This Row],[Goals Verdediger]]+Tabel511[[#This Row],[Goals DefG]])</f>
        <v>0</v>
      </c>
      <c r="BF81" s="170">
        <f>IF(Tabel511[[#This Row],[Aantal games Alg]]=0,0,Tabel511[[#This Row],[Goals DefA]]/Tabel511[[#This Row],[Aantal games Alg]])</f>
        <v>0</v>
      </c>
      <c r="BG81" s="172">
        <f>SUM(Tabel511[[#This Row],[Goals Aanvaller]]+Tabel511[[#This Row],[Goals OffG]])</f>
        <v>0</v>
      </c>
      <c r="BH81" s="170">
        <f>IF(Tabel511[[#This Row],[Aantal games Alg]]=0,0,Tabel511[[#This Row],[Goals OffA]]/Tabel511[[#This Row],[Aantal games Alg]])</f>
        <v>0</v>
      </c>
      <c r="BI81" s="170">
        <f>Tabel511[[#This Row],[Goals DefA]]+Tabel511[[#This Row],[Goals OffA]]</f>
        <v>0</v>
      </c>
      <c r="BJ81" s="170">
        <f>IF(Tabel511[[#This Row],[Aantal games Alg]]=0,0,Tabel511[[#This Row],[Goals Alg]]/Tabel511[[#This Row],[Aantal games Alg]])</f>
        <v>0</v>
      </c>
      <c r="BK81" s="148">
        <f>SUMIF(Tabel152[Team Rood],Tabel511[[#This Row],[Team]],Tabel152[ET])</f>
        <v>0</v>
      </c>
      <c r="BL81" s="150">
        <f>SUMIF(Tabel152[Team Groen],Tabel511[[#This Row],[Team]],Tabel152[ET])</f>
        <v>0</v>
      </c>
      <c r="BM81" s="153">
        <f>SUM(Tabel511[[#This Row],[ET Groen tot]],Tabel511[[#This Row],[ET Rood tot]])</f>
        <v>0</v>
      </c>
      <c r="BN81" s="155">
        <f>IF(Tabel511[[#This Row],[Aantal games Alg]]=0,0,Tabel511[[#This Row],[ET tot]]/Tabel511[[#This Row],[Aantal games Alg]])</f>
        <v>0</v>
      </c>
    </row>
    <row r="82" spans="1:66" x14ac:dyDescent="0.25">
      <c r="A82" s="215" t="str">
        <f ca="1">IF(Tabel152[[#This Row],[Rood Verdediging]]&lt;&gt;"",IF(A82="",NOW(),A82),"")</f>
        <v/>
      </c>
      <c r="B82" s="218" t="str">
        <f ca="1">IF(Tabel152[[#This Row],[Rood Verdediging]]&lt;&gt;"",IF(B82="",NOW(),B82),"")</f>
        <v/>
      </c>
      <c r="C82" s="216" t="str">
        <f ca="1">IF(Tabel152[[#This Row],[Score]]&lt;&gt;"",IF(C82="",NOW(),C82),"")</f>
        <v/>
      </c>
      <c r="D82" s="217" t="str">
        <f ca="1">IF(OR(Tabel152[[#This Row],[Starttijd]]="",Tabel152[[#This Row],[Eindtijd]]=""),"",Tabel152[[#This Row],[Eindtijd]]-Tabel152[[#This Row],[Starttijd]])</f>
        <v/>
      </c>
      <c r="E82" s="74">
        <v>81</v>
      </c>
      <c r="F82" s="205"/>
      <c r="G82" s="210"/>
      <c r="H82" s="205"/>
      <c r="I82" s="210"/>
      <c r="J82" s="206"/>
      <c r="K82" s="212"/>
      <c r="L82" s="206"/>
      <c r="M82" s="212"/>
      <c r="N82" s="79">
        <f>Tabel152[[#This Row],[Score]]+Tabel152[[#This Row],[Score2]]</f>
        <v>0</v>
      </c>
      <c r="O82" s="80">
        <f>Tabel152[[#This Row],[Score3]]+Tabel152[[#This Row],[Score4]]</f>
        <v>0</v>
      </c>
      <c r="P8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Row],[Score4]]&lt;&gt;""),IF(AND(N82&gt;O82,N82&gt;=11),"ROOD",IF(AND(O82&gt;=11,N82&lt;&gt;O82),"GROEN","")),"")</f>
        <v/>
      </c>
      <c r="Q82" s="84">
        <f t="shared" si="15"/>
        <v>0</v>
      </c>
      <c r="R82" s="85">
        <f t="shared" si="16"/>
        <v>0</v>
      </c>
      <c r="S82" s="293" t="str">
        <f>Tabel152[[#This Row],[Rood Verdediging]]&amp;Tabel152[[#This Row],[Rood Aanval]]</f>
        <v/>
      </c>
      <c r="T82" s="293" t="str">
        <f>Tabel152[[#This Row],[Groen Verdediging]]&amp;Tabel152[[#This Row],[Groen Aanval]]</f>
        <v/>
      </c>
      <c r="U82" s="293" t="str">
        <f>Tabel152[[#This Row],[Winnaar 1]]&amp;Tabel152[[#This Row],[Winnaar 2]]</f>
        <v>00</v>
      </c>
      <c r="V82" s="147" t="b">
        <f>IF(Tabel152[[#This Row],[Team Rood]]=Tabel152[[#This Row],[Winnaars]],Tabel152[[#This Row],[Team Rood]])</f>
        <v>0</v>
      </c>
      <c r="W82" s="147" t="b">
        <f>IF(Tabel152[[#This Row],[Team Groen]]=Tabel152[[#This Row],[Winnaars]],Tabel152[[#This Row],[Team Groen]])</f>
        <v>0</v>
      </c>
      <c r="X82" s="283"/>
      <c r="Y82" s="283"/>
      <c r="Z82" s="283"/>
      <c r="AA82" s="283"/>
      <c r="AL82" s="251" t="s">
        <v>161</v>
      </c>
      <c r="AM82" s="233" t="s">
        <v>169</v>
      </c>
      <c r="AN82" s="140" t="str">
        <f t="shared" si="14"/>
        <v>Louis*Stef*</v>
      </c>
      <c r="AO82" s="160">
        <f>IF(Tabel511[[#This Row],[Aantal Games Rood]]=0,0,(Tabel511[[#This Row],[Wins Rood]])/Tabel511[[#This Row],[Aantal Games Rood]])</f>
        <v>1</v>
      </c>
      <c r="AP82" s="159">
        <f>IF(Tabel511[[#This Row],[Aantal Games Groen]]=0,0,(Tabel511[[#This Row],[Wins Groen]])/Tabel511[[#This Row],[Aantal Games Groen]])</f>
        <v>1</v>
      </c>
      <c r="AQ82" s="156">
        <f>IF(Tabel511[[#This Row],[Aantal games Alg]]=0,0,(Tabel511[[#This Row],[Wins Alg]])/Tabel511[[#This Row],[Aantal games Alg]])</f>
        <v>1</v>
      </c>
      <c r="AR82" s="133">
        <f>COUNTIF(Tabel152[Winaar rood],Tabel511[[#This Row],[Team]])</f>
        <v>1</v>
      </c>
      <c r="AS82" s="134">
        <f>COUNTIF(Tabel152[Winnaar Groen],Tabel511[[#This Row],[Team]])</f>
        <v>1</v>
      </c>
      <c r="AT82" s="293">
        <f>COUNTIF(Tabel152[Winnaars],Tabel511[[#This Row],[Team]])</f>
        <v>2</v>
      </c>
      <c r="AU82" s="135">
        <f>Tabel511[[#This Row],[Aantal Games Rood]]-Tabel511[[#This Row],[Wins Rood]]</f>
        <v>0</v>
      </c>
      <c r="AV82" s="136">
        <f>Tabel511[[#This Row],[Aantal Games Groen]]-Tabel511[[#This Row],[Wins Groen]]</f>
        <v>0</v>
      </c>
      <c r="AW82" s="137">
        <f>Tabel511[[#This Row],[Aantal games Alg]]-Tabel511[[#This Row],[Wins Alg]]</f>
        <v>0</v>
      </c>
      <c r="AX82" s="138">
        <f>COUNTIF(Tabel152[Team Rood],Tabel511[[#This Row],[Team]])</f>
        <v>1</v>
      </c>
      <c r="AY82" s="136">
        <f>COUNTIF(Tabel152[Team Groen],Tabel511[[#This Row],[Team]])</f>
        <v>1</v>
      </c>
      <c r="AZ82" s="214">
        <f>Tabel511[[#This Row],[Aantal Games Rood]]+Tabel511[[#This Row],[Aantal Games Groen]]</f>
        <v>2</v>
      </c>
      <c r="BA82" s="138">
        <f>SUMIF(Tabel152[Team Rood],Tabel511[[#This Row],[Team]],Tabel152[Score])</f>
        <v>1</v>
      </c>
      <c r="BB82" s="138">
        <f>SUMIF(Tabel152[Team Rood],Tabel511[[#This Row],[Team]],Tabel152[Score2])</f>
        <v>12</v>
      </c>
      <c r="BC82" s="134">
        <f>SUMIF(Tabel152[Team Groen],Tabel511[[#This Row],[Team]],Tabel152[Score3])</f>
        <v>3</v>
      </c>
      <c r="BD82" s="136">
        <f>SUMIF(Tabel152[Team Groen],Tabel511[[#This Row],[Team]],Tabel152[Score4])</f>
        <v>8</v>
      </c>
      <c r="BE82" s="293">
        <f>SUM(Tabel511[[#This Row],[Goals Verdediger]]+Tabel511[[#This Row],[Goals DefG]])</f>
        <v>4</v>
      </c>
      <c r="BF82" s="293">
        <f>IF(Tabel511[[#This Row],[Aantal games Alg]]=0,0,Tabel511[[#This Row],[Goals DefA]]/Tabel511[[#This Row],[Aantal games Alg]])</f>
        <v>2</v>
      </c>
      <c r="BG82" s="293">
        <f>SUM(Tabel511[[#This Row],[Goals Aanvaller]]+Tabel511[[#This Row],[Goals OffG]])</f>
        <v>20</v>
      </c>
      <c r="BH82" s="293">
        <f>IF(Tabel511[[#This Row],[Aantal games Alg]]=0,0,Tabel511[[#This Row],[Goals OffA]]/Tabel511[[#This Row],[Aantal games Alg]])</f>
        <v>10</v>
      </c>
      <c r="BI82" s="214">
        <f>Tabel511[[#This Row],[Goals DefA]]+Tabel511[[#This Row],[Goals OffA]]</f>
        <v>24</v>
      </c>
      <c r="BJ82" s="214">
        <f>IF(Tabel511[[#This Row],[Aantal games Alg]]=0,0,Tabel511[[#This Row],[Goals Alg]]/Tabel511[[#This Row],[Aantal games Alg]])</f>
        <v>12</v>
      </c>
      <c r="BK82" s="148">
        <f ca="1">SUMIF(Tabel152[Team Rood],Tabel511[[#This Row],[Team]],Tabel152[ET])</f>
        <v>2.3611115466337651E-5</v>
      </c>
      <c r="BL82" s="150">
        <f ca="1">SUMIF(Tabel152[Team Groen],Tabel511[[#This Row],[Team]],Tabel152[ET])</f>
        <v>1.0682523148716427E-2</v>
      </c>
      <c r="BM82" s="153">
        <f ca="1">SUM(Tabel511[[#This Row],[ET Groen tot]],Tabel511[[#This Row],[ET Rood tot]])</f>
        <v>1.0706134264182765E-2</v>
      </c>
      <c r="BN82" s="155">
        <f ca="1">IF(Tabel511[[#This Row],[Aantal games Alg]]=0,0,Tabel511[[#This Row],[ET tot]]/Tabel511[[#This Row],[Aantal games Alg]])</f>
        <v>5.3530671320913825E-3</v>
      </c>
    </row>
    <row r="83" spans="1:66" x14ac:dyDescent="0.25">
      <c r="A83" s="215" t="str">
        <f ca="1">IF(Tabel152[[#This Row],[Rood Verdediging]]&lt;&gt;"",IF(A83="",NOW(),A83),"")</f>
        <v/>
      </c>
      <c r="B83" s="218" t="str">
        <f ca="1">IF(Tabel152[[#This Row],[Rood Verdediging]]&lt;&gt;"",IF(B83="",NOW(),B83),"")</f>
        <v/>
      </c>
      <c r="C83" s="216" t="str">
        <f ca="1">IF(Tabel152[[#This Row],[Score]]&lt;&gt;"",IF(C83="",NOW(),C83),"")</f>
        <v/>
      </c>
      <c r="D83" s="217" t="str">
        <f ca="1">IF(OR(Tabel152[[#This Row],[Starttijd]]="",Tabel152[[#This Row],[Eindtijd]]=""),"",Tabel152[[#This Row],[Eindtijd]]-Tabel152[[#This Row],[Starttijd]])</f>
        <v/>
      </c>
      <c r="E83" s="74">
        <v>82</v>
      </c>
      <c r="F83" s="205"/>
      <c r="G83" s="210"/>
      <c r="H83" s="205"/>
      <c r="I83" s="210"/>
      <c r="J83" s="206"/>
      <c r="K83" s="212"/>
      <c r="L83" s="206"/>
      <c r="M83" s="212"/>
      <c r="N83" s="79">
        <f>Tabel152[[#This Row],[Score]]+Tabel152[[#This Row],[Score2]]</f>
        <v>0</v>
      </c>
      <c r="O83" s="80">
        <f>Tabel152[[#This Row],[Score3]]+Tabel152[[#This Row],[Score4]]</f>
        <v>0</v>
      </c>
      <c r="P8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Row],[Score4]]&lt;&gt;""),IF(AND(N83&gt;O83,N83&gt;=11),"ROOD",IF(AND(O83&gt;=11,N83&lt;&gt;O83),"GROEN","")),"")</f>
        <v/>
      </c>
      <c r="Q83" s="84">
        <f t="shared" si="15"/>
        <v>0</v>
      </c>
      <c r="R83" s="85">
        <f t="shared" si="16"/>
        <v>0</v>
      </c>
      <c r="S83" s="293" t="str">
        <f>Tabel152[[#This Row],[Rood Verdediging]]&amp;Tabel152[[#This Row],[Rood Aanval]]</f>
        <v/>
      </c>
      <c r="T83" s="293" t="str">
        <f>Tabel152[[#This Row],[Groen Verdediging]]&amp;Tabel152[[#This Row],[Groen Aanval]]</f>
        <v/>
      </c>
      <c r="U83" s="293" t="str">
        <f>Tabel152[[#This Row],[Winnaar 1]]&amp;Tabel152[[#This Row],[Winnaar 2]]</f>
        <v>00</v>
      </c>
      <c r="V83" s="147" t="b">
        <f>IF(Tabel152[[#This Row],[Team Rood]]=Tabel152[[#This Row],[Winnaars]],Tabel152[[#This Row],[Team Rood]])</f>
        <v>0</v>
      </c>
      <c r="W83" s="147" t="b">
        <f>IF(Tabel152[[#This Row],[Team Groen]]=Tabel152[[#This Row],[Winnaars]],Tabel152[[#This Row],[Team Groen]])</f>
        <v>0</v>
      </c>
      <c r="X83" s="283"/>
      <c r="Y83" s="283"/>
      <c r="Z83" s="283"/>
      <c r="AA83" s="283"/>
      <c r="AL83" s="251" t="s">
        <v>161</v>
      </c>
      <c r="AM83" s="233" t="s">
        <v>166</v>
      </c>
      <c r="AN83" s="140" t="str">
        <f t="shared" si="14"/>
        <v>Louis*Stijn*</v>
      </c>
      <c r="AO83" s="160">
        <f>IF(Tabel511[[#This Row],[Aantal Games Rood]]=0,0,(Tabel511[[#This Row],[Wins Rood]])/Tabel511[[#This Row],[Aantal Games Rood]])</f>
        <v>0</v>
      </c>
      <c r="AP83" s="159">
        <f>IF(Tabel511[[#This Row],[Aantal Games Groen]]=0,0,(Tabel511[[#This Row],[Wins Groen]])/Tabel511[[#This Row],[Aantal Games Groen]])</f>
        <v>0</v>
      </c>
      <c r="AQ83" s="156">
        <f>IF(Tabel511[[#This Row],[Aantal games Alg]]=0,0,(Tabel511[[#This Row],[Wins Alg]])/Tabel511[[#This Row],[Aantal games Alg]])</f>
        <v>0</v>
      </c>
      <c r="AR83" s="133">
        <f>COUNTIF(Tabel152[Winaar rood],Tabel511[[#This Row],[Team]])</f>
        <v>0</v>
      </c>
      <c r="AS83" s="134">
        <f>COUNTIF(Tabel152[Winnaar Groen],Tabel511[[#This Row],[Team]])</f>
        <v>0</v>
      </c>
      <c r="AT83" s="293">
        <f>COUNTIF(Tabel152[Winnaars],Tabel511[[#This Row],[Team]])</f>
        <v>0</v>
      </c>
      <c r="AU83" s="135">
        <f>Tabel511[[#This Row],[Aantal Games Rood]]-Tabel511[[#This Row],[Wins Rood]]</f>
        <v>0</v>
      </c>
      <c r="AV83" s="136">
        <f>Tabel511[[#This Row],[Aantal Games Groen]]-Tabel511[[#This Row],[Wins Groen]]</f>
        <v>0</v>
      </c>
      <c r="AW83" s="137">
        <f>Tabel511[[#This Row],[Aantal games Alg]]-Tabel511[[#This Row],[Wins Alg]]</f>
        <v>0</v>
      </c>
      <c r="AX83" s="138">
        <f>COUNTIF(Tabel152[Team Rood],Tabel511[[#This Row],[Team]])</f>
        <v>0</v>
      </c>
      <c r="AY83" s="136">
        <f>COUNTIF(Tabel152[Team Groen],Tabel511[[#This Row],[Team]])</f>
        <v>0</v>
      </c>
      <c r="AZ83" s="214">
        <f>Tabel511[[#This Row],[Aantal Games Rood]]+Tabel511[[#This Row],[Aantal Games Groen]]</f>
        <v>0</v>
      </c>
      <c r="BA83" s="138">
        <f>SUMIF(Tabel152[Team Rood],Tabel511[[#This Row],[Team]],Tabel152[Score])</f>
        <v>0</v>
      </c>
      <c r="BB83" s="138">
        <f>SUMIF(Tabel152[Team Rood],Tabel511[[#This Row],[Team]],Tabel152[Score2])</f>
        <v>0</v>
      </c>
      <c r="BC83" s="134">
        <f>SUMIF(Tabel152[Team Groen],Tabel511[[#This Row],[Team]],Tabel152[Score3])</f>
        <v>0</v>
      </c>
      <c r="BD83" s="136">
        <f>SUMIF(Tabel152[Team Groen],Tabel511[[#This Row],[Team]],Tabel152[Score4])</f>
        <v>0</v>
      </c>
      <c r="BE83" s="293">
        <f>SUM(Tabel511[[#This Row],[Goals Verdediger]]+Tabel511[[#This Row],[Goals DefG]])</f>
        <v>0</v>
      </c>
      <c r="BF83" s="293">
        <f>IF(Tabel511[[#This Row],[Aantal games Alg]]=0,0,Tabel511[[#This Row],[Goals DefA]]/Tabel511[[#This Row],[Aantal games Alg]])</f>
        <v>0</v>
      </c>
      <c r="BG83" s="293">
        <f>SUM(Tabel511[[#This Row],[Goals Aanvaller]]+Tabel511[[#This Row],[Goals OffG]])</f>
        <v>0</v>
      </c>
      <c r="BH83" s="293">
        <f>IF(Tabel511[[#This Row],[Aantal games Alg]]=0,0,Tabel511[[#This Row],[Goals OffA]]/Tabel511[[#This Row],[Aantal games Alg]])</f>
        <v>0</v>
      </c>
      <c r="BI83" s="214">
        <f>Tabel511[[#This Row],[Goals DefA]]+Tabel511[[#This Row],[Goals OffA]]</f>
        <v>0</v>
      </c>
      <c r="BJ83" s="214">
        <f>IF(Tabel511[[#This Row],[Aantal games Alg]]=0,0,Tabel511[[#This Row],[Goals Alg]]/Tabel511[[#This Row],[Aantal games Alg]])</f>
        <v>0</v>
      </c>
      <c r="BK83" s="148">
        <f>SUMIF(Tabel152[Team Rood],Tabel511[[#This Row],[Team]],Tabel152[ET])</f>
        <v>0</v>
      </c>
      <c r="BL83" s="150">
        <f>SUMIF(Tabel152[Team Groen],Tabel511[[#This Row],[Team]],Tabel152[ET])</f>
        <v>0</v>
      </c>
      <c r="BM83" s="153">
        <f>SUM(Tabel511[[#This Row],[ET Groen tot]],Tabel511[[#This Row],[ET Rood tot]])</f>
        <v>0</v>
      </c>
      <c r="BN83" s="155">
        <f>IF(Tabel511[[#This Row],[Aantal games Alg]]=0,0,Tabel511[[#This Row],[ET tot]]/Tabel511[[#This Row],[Aantal games Alg]])</f>
        <v>0</v>
      </c>
    </row>
    <row r="84" spans="1:66" x14ac:dyDescent="0.25">
      <c r="A84" s="215" t="str">
        <f ca="1">IF(Tabel152[[#This Row],[Rood Verdediging]]&lt;&gt;"",IF(A84="",NOW(),A84),"")</f>
        <v/>
      </c>
      <c r="B84" s="218" t="str">
        <f ca="1">IF(Tabel152[[#This Row],[Rood Verdediging]]&lt;&gt;"",IF(B84="",NOW(),B84),"")</f>
        <v/>
      </c>
      <c r="C84" s="216" t="str">
        <f ca="1">IF(Tabel152[[#This Row],[Score]]&lt;&gt;"",IF(C84="",NOW(),C84),"")</f>
        <v/>
      </c>
      <c r="D84" s="217" t="str">
        <f ca="1">IF(OR(Tabel152[[#This Row],[Starttijd]]="",Tabel152[[#This Row],[Eindtijd]]=""),"",Tabel152[[#This Row],[Eindtijd]]-Tabel152[[#This Row],[Starttijd]])</f>
        <v/>
      </c>
      <c r="E84" s="74">
        <v>83</v>
      </c>
      <c r="F84" s="205"/>
      <c r="G84" s="210"/>
      <c r="H84" s="205"/>
      <c r="I84" s="210"/>
      <c r="J84" s="206"/>
      <c r="K84" s="212"/>
      <c r="L84" s="206"/>
      <c r="M84" s="212"/>
      <c r="N84" s="79">
        <f>Tabel152[[#This Row],[Score]]+Tabel152[[#This Row],[Score2]]</f>
        <v>0</v>
      </c>
      <c r="O84" s="80">
        <f>Tabel152[[#This Row],[Score3]]+Tabel152[[#This Row],[Score4]]</f>
        <v>0</v>
      </c>
      <c r="P8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Row],[Score4]]&lt;&gt;""),IF(AND(N84&gt;O84,N84&gt;=11),"ROOD",IF(AND(O84&gt;=11,N84&lt;&gt;O84),"GROEN","")),"")</f>
        <v/>
      </c>
      <c r="Q84" s="84">
        <f t="shared" si="15"/>
        <v>0</v>
      </c>
      <c r="R84" s="85">
        <f t="shared" si="16"/>
        <v>0</v>
      </c>
      <c r="S84" s="293" t="str">
        <f>Tabel152[[#This Row],[Rood Verdediging]]&amp;Tabel152[[#This Row],[Rood Aanval]]</f>
        <v/>
      </c>
      <c r="T84" s="293" t="str">
        <f>Tabel152[[#This Row],[Groen Verdediging]]&amp;Tabel152[[#This Row],[Groen Aanval]]</f>
        <v/>
      </c>
      <c r="U84" s="293" t="str">
        <f>Tabel152[[#This Row],[Winnaar 1]]&amp;Tabel152[[#This Row],[Winnaar 2]]</f>
        <v>00</v>
      </c>
      <c r="V84" s="147" t="b">
        <f>IF(Tabel152[[#This Row],[Team Rood]]=Tabel152[[#This Row],[Winnaars]],Tabel152[[#This Row],[Team Rood]])</f>
        <v>0</v>
      </c>
      <c r="W84" s="147" t="b">
        <f>IF(Tabel152[[#This Row],[Team Groen]]=Tabel152[[#This Row],[Winnaars]],Tabel152[[#This Row],[Team Groen]])</f>
        <v>0</v>
      </c>
      <c r="X84" s="283"/>
      <c r="Y84" s="283"/>
      <c r="Z84" s="283"/>
      <c r="AA84" s="283"/>
      <c r="AL84" s="251" t="s">
        <v>161</v>
      </c>
      <c r="AM84" s="233" t="s">
        <v>160</v>
      </c>
      <c r="AN84" s="140" t="str">
        <f t="shared" si="14"/>
        <v>Louis*Tiemen*</v>
      </c>
      <c r="AO84" s="160">
        <f>IF(Tabel511[[#This Row],[Aantal Games Rood]]=0,0,(Tabel511[[#This Row],[Wins Rood]])/Tabel511[[#This Row],[Aantal Games Rood]])</f>
        <v>1</v>
      </c>
      <c r="AP84" s="159">
        <f>IF(Tabel511[[#This Row],[Aantal Games Groen]]=0,0,(Tabel511[[#This Row],[Wins Groen]])/Tabel511[[#This Row],[Aantal Games Groen]])</f>
        <v>0</v>
      </c>
      <c r="AQ84" s="156">
        <f>IF(Tabel511[[#This Row],[Aantal games Alg]]=0,0,(Tabel511[[#This Row],[Wins Alg]])/Tabel511[[#This Row],[Aantal games Alg]])</f>
        <v>1</v>
      </c>
      <c r="AR84" s="133">
        <f>COUNTIF(Tabel152[Winaar rood],Tabel511[[#This Row],[Team]])</f>
        <v>1</v>
      </c>
      <c r="AS84" s="134">
        <f>COUNTIF(Tabel152[Winnaar Groen],Tabel511[[#This Row],[Team]])</f>
        <v>0</v>
      </c>
      <c r="AT84" s="293">
        <f>COUNTIF(Tabel152[Winnaars],Tabel511[[#This Row],[Team]])</f>
        <v>1</v>
      </c>
      <c r="AU84" s="135">
        <f>Tabel511[[#This Row],[Aantal Games Rood]]-Tabel511[[#This Row],[Wins Rood]]</f>
        <v>0</v>
      </c>
      <c r="AV84" s="136">
        <f>Tabel511[[#This Row],[Aantal Games Groen]]-Tabel511[[#This Row],[Wins Groen]]</f>
        <v>0</v>
      </c>
      <c r="AW84" s="137">
        <f>Tabel511[[#This Row],[Aantal games Alg]]-Tabel511[[#This Row],[Wins Alg]]</f>
        <v>0</v>
      </c>
      <c r="AX84" s="138">
        <f>COUNTIF(Tabel152[Team Rood],Tabel511[[#This Row],[Team]])</f>
        <v>1</v>
      </c>
      <c r="AY84" s="136">
        <f>COUNTIF(Tabel152[Team Groen],Tabel511[[#This Row],[Team]])</f>
        <v>0</v>
      </c>
      <c r="AZ84" s="214">
        <f>Tabel511[[#This Row],[Aantal Games Rood]]+Tabel511[[#This Row],[Aantal Games Groen]]</f>
        <v>1</v>
      </c>
      <c r="BA84" s="138">
        <f>SUMIF(Tabel152[Team Rood],Tabel511[[#This Row],[Team]],Tabel152[Score])</f>
        <v>4</v>
      </c>
      <c r="BB84" s="138">
        <f>SUMIF(Tabel152[Team Rood],Tabel511[[#This Row],[Team]],Tabel152[Score2])</f>
        <v>7</v>
      </c>
      <c r="BC84" s="134">
        <f>SUMIF(Tabel152[Team Groen],Tabel511[[#This Row],[Team]],Tabel152[Score3])</f>
        <v>0</v>
      </c>
      <c r="BD84" s="136">
        <f>SUMIF(Tabel152[Team Groen],Tabel511[[#This Row],[Team]],Tabel152[Score4])</f>
        <v>0</v>
      </c>
      <c r="BE84" s="293">
        <f>SUM(Tabel511[[#This Row],[Goals Verdediger]]+Tabel511[[#This Row],[Goals DefG]])</f>
        <v>4</v>
      </c>
      <c r="BF84" s="293">
        <f>IF(Tabel511[[#This Row],[Aantal games Alg]]=0,0,Tabel511[[#This Row],[Goals DefA]]/Tabel511[[#This Row],[Aantal games Alg]])</f>
        <v>4</v>
      </c>
      <c r="BG84" s="293">
        <f>SUM(Tabel511[[#This Row],[Goals Aanvaller]]+Tabel511[[#This Row],[Goals OffG]])</f>
        <v>7</v>
      </c>
      <c r="BH84" s="293">
        <f>IF(Tabel511[[#This Row],[Aantal games Alg]]=0,0,Tabel511[[#This Row],[Goals OffA]]/Tabel511[[#This Row],[Aantal games Alg]])</f>
        <v>7</v>
      </c>
      <c r="BI84" s="214">
        <f>Tabel511[[#This Row],[Goals DefA]]+Tabel511[[#This Row],[Goals OffA]]</f>
        <v>11</v>
      </c>
      <c r="BJ84" s="214">
        <f>IF(Tabel511[[#This Row],[Aantal games Alg]]=0,0,Tabel511[[#This Row],[Goals Alg]]/Tabel511[[#This Row],[Aantal games Alg]])</f>
        <v>11</v>
      </c>
      <c r="BK84" s="148">
        <f ca="1">SUMIF(Tabel152[Team Rood],Tabel511[[#This Row],[Team]],Tabel152[ET])</f>
        <v>8.7962966063059866E-5</v>
      </c>
      <c r="BL84" s="150">
        <f>SUMIF(Tabel152[Team Groen],Tabel511[[#This Row],[Team]],Tabel152[ET])</f>
        <v>0</v>
      </c>
      <c r="BM84" s="153">
        <f ca="1">SUM(Tabel511[[#This Row],[ET Groen tot]],Tabel511[[#This Row],[ET Rood tot]])</f>
        <v>8.7962966063059866E-5</v>
      </c>
      <c r="BN84" s="155">
        <f ca="1">IF(Tabel511[[#This Row],[Aantal games Alg]]=0,0,Tabel511[[#This Row],[ET tot]]/Tabel511[[#This Row],[Aantal games Alg]])</f>
        <v>8.7962966063059866E-5</v>
      </c>
    </row>
    <row r="85" spans="1:66" x14ac:dyDescent="0.25">
      <c r="A85" s="215" t="str">
        <f ca="1">IF(Tabel152[[#This Row],[Rood Verdediging]]&lt;&gt;"",IF(A85="",NOW(),A85),"")</f>
        <v/>
      </c>
      <c r="B85" s="218" t="str">
        <f ca="1">IF(Tabel152[[#This Row],[Rood Verdediging]]&lt;&gt;"",IF(B85="",NOW(),B85),"")</f>
        <v/>
      </c>
      <c r="C85" s="216" t="str">
        <f ca="1">IF(Tabel152[[#This Row],[Score]]&lt;&gt;"",IF(C85="",NOW(),C85),"")</f>
        <v/>
      </c>
      <c r="D85" s="217" t="str">
        <f ca="1">IF(OR(Tabel152[[#This Row],[Starttijd]]="",Tabel152[[#This Row],[Eindtijd]]=""),"",Tabel152[[#This Row],[Eindtijd]]-Tabel152[[#This Row],[Starttijd]])</f>
        <v/>
      </c>
      <c r="E85" s="74">
        <v>84</v>
      </c>
      <c r="F85" s="205"/>
      <c r="G85" s="210"/>
      <c r="H85" s="205"/>
      <c r="I85" s="210"/>
      <c r="J85" s="206"/>
      <c r="K85" s="212"/>
      <c r="L85" s="206"/>
      <c r="M85" s="212"/>
      <c r="N85" s="79">
        <f>Tabel152[[#This Row],[Score]]+Tabel152[[#This Row],[Score2]]</f>
        <v>0</v>
      </c>
      <c r="O85" s="80">
        <f>Tabel152[[#This Row],[Score3]]+Tabel152[[#This Row],[Score4]]</f>
        <v>0</v>
      </c>
      <c r="P8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Row],[Score4]]&lt;&gt;""),IF(AND(N85&gt;O85,N85&gt;=11),"ROOD",IF(AND(O85&gt;=11,N85&lt;&gt;O85),"GROEN","")),"")</f>
        <v/>
      </c>
      <c r="Q85" s="84">
        <f t="shared" si="15"/>
        <v>0</v>
      </c>
      <c r="R85" s="85">
        <f t="shared" si="16"/>
        <v>0</v>
      </c>
      <c r="S85" s="293" t="str">
        <f>Tabel152[[#This Row],[Rood Verdediging]]&amp;Tabel152[[#This Row],[Rood Aanval]]</f>
        <v/>
      </c>
      <c r="T85" s="293" t="str">
        <f>Tabel152[[#This Row],[Groen Verdediging]]&amp;Tabel152[[#This Row],[Groen Aanval]]</f>
        <v/>
      </c>
      <c r="U85" s="293" t="str">
        <f>Tabel152[[#This Row],[Winnaar 1]]&amp;Tabel152[[#This Row],[Winnaar 2]]</f>
        <v>00</v>
      </c>
      <c r="V85" s="147" t="b">
        <f>IF(Tabel152[[#This Row],[Team Rood]]=Tabel152[[#This Row],[Winnaars]],Tabel152[[#This Row],[Team Rood]])</f>
        <v>0</v>
      </c>
      <c r="W85" s="147" t="b">
        <f>IF(Tabel152[[#This Row],[Team Groen]]=Tabel152[[#This Row],[Winnaars]],Tabel152[[#This Row],[Team Groen]])</f>
        <v>0</v>
      </c>
      <c r="X85" s="283"/>
      <c r="Y85" s="283"/>
      <c r="Z85" s="283"/>
      <c r="AA85" s="283"/>
      <c r="AL85" s="251" t="s">
        <v>161</v>
      </c>
      <c r="AM85" s="233" t="s">
        <v>157</v>
      </c>
      <c r="AN85" s="140" t="str">
        <f t="shared" si="14"/>
        <v>Louis*Tobi*</v>
      </c>
      <c r="AO85" s="160">
        <f>IF(Tabel511[[#This Row],[Aantal Games Rood]]=0,0,(Tabel511[[#This Row],[Wins Rood]])/Tabel511[[#This Row],[Aantal Games Rood]])</f>
        <v>0</v>
      </c>
      <c r="AP85" s="159">
        <f>IF(Tabel511[[#This Row],[Aantal Games Groen]]=0,0,(Tabel511[[#This Row],[Wins Groen]])/Tabel511[[#This Row],[Aantal Games Groen]])</f>
        <v>0</v>
      </c>
      <c r="AQ85" s="156">
        <f>IF(Tabel511[[#This Row],[Aantal games Alg]]=0,0,(Tabel511[[#This Row],[Wins Alg]])/Tabel511[[#This Row],[Aantal games Alg]])</f>
        <v>0</v>
      </c>
      <c r="AR85" s="133">
        <f>COUNTIF(Tabel152[Winaar rood],Tabel511[[#This Row],[Team]])</f>
        <v>0</v>
      </c>
      <c r="AS85" s="134">
        <f>COUNTIF(Tabel152[Winnaar Groen],Tabel511[[#This Row],[Team]])</f>
        <v>0</v>
      </c>
      <c r="AT85" s="293">
        <f>COUNTIF(Tabel152[Winnaars],Tabel511[[#This Row],[Team]])</f>
        <v>0</v>
      </c>
      <c r="AU85" s="135">
        <f>Tabel511[[#This Row],[Aantal Games Rood]]-Tabel511[[#This Row],[Wins Rood]]</f>
        <v>0</v>
      </c>
      <c r="AV85" s="136">
        <f>Tabel511[[#This Row],[Aantal Games Groen]]-Tabel511[[#This Row],[Wins Groen]]</f>
        <v>0</v>
      </c>
      <c r="AW85" s="137">
        <f>Tabel511[[#This Row],[Aantal games Alg]]-Tabel511[[#This Row],[Wins Alg]]</f>
        <v>0</v>
      </c>
      <c r="AX85" s="138">
        <f>COUNTIF(Tabel152[Team Rood],Tabel511[[#This Row],[Team]])</f>
        <v>0</v>
      </c>
      <c r="AY85" s="136">
        <f>COUNTIF(Tabel152[Team Groen],Tabel511[[#This Row],[Team]])</f>
        <v>0</v>
      </c>
      <c r="AZ85" s="214">
        <f>Tabel511[[#This Row],[Aantal Games Rood]]+Tabel511[[#This Row],[Aantal Games Groen]]</f>
        <v>0</v>
      </c>
      <c r="BA85" s="138">
        <f>SUMIF(Tabel152[Team Rood],Tabel511[[#This Row],[Team]],Tabel152[Score])</f>
        <v>0</v>
      </c>
      <c r="BB85" s="138">
        <f>SUMIF(Tabel152[Team Rood],Tabel511[[#This Row],[Team]],Tabel152[Score2])</f>
        <v>0</v>
      </c>
      <c r="BC85" s="134">
        <f>SUMIF(Tabel152[Team Groen],Tabel511[[#This Row],[Team]],Tabel152[Score3])</f>
        <v>0</v>
      </c>
      <c r="BD85" s="136">
        <f>SUMIF(Tabel152[Team Groen],Tabel511[[#This Row],[Team]],Tabel152[Score4])</f>
        <v>0</v>
      </c>
      <c r="BE85" s="293">
        <f>SUM(Tabel511[[#This Row],[Goals Verdediger]]+Tabel511[[#This Row],[Goals DefG]])</f>
        <v>0</v>
      </c>
      <c r="BF85" s="293">
        <f>IF(Tabel511[[#This Row],[Aantal games Alg]]=0,0,Tabel511[[#This Row],[Goals DefA]]/Tabel511[[#This Row],[Aantal games Alg]])</f>
        <v>0</v>
      </c>
      <c r="BG85" s="293">
        <f>SUM(Tabel511[[#This Row],[Goals Aanvaller]]+Tabel511[[#This Row],[Goals OffG]])</f>
        <v>0</v>
      </c>
      <c r="BH85" s="293">
        <f>IF(Tabel511[[#This Row],[Aantal games Alg]]=0,0,Tabel511[[#This Row],[Goals OffA]]/Tabel511[[#This Row],[Aantal games Alg]])</f>
        <v>0</v>
      </c>
      <c r="BI85" s="214">
        <f>Tabel511[[#This Row],[Goals DefA]]+Tabel511[[#This Row],[Goals OffA]]</f>
        <v>0</v>
      </c>
      <c r="BJ85" s="214">
        <f>IF(Tabel511[[#This Row],[Aantal games Alg]]=0,0,Tabel511[[#This Row],[Goals Alg]]/Tabel511[[#This Row],[Aantal games Alg]])</f>
        <v>0</v>
      </c>
      <c r="BK85" s="148">
        <f>SUMIF(Tabel152[Team Rood],Tabel511[[#This Row],[Team]],Tabel152[ET])</f>
        <v>0</v>
      </c>
      <c r="BL85" s="150">
        <f>SUMIF(Tabel152[Team Groen],Tabel511[[#This Row],[Team]],Tabel152[ET])</f>
        <v>0</v>
      </c>
      <c r="BM85" s="153">
        <f>SUM(Tabel511[[#This Row],[ET Groen tot]],Tabel511[[#This Row],[ET Rood tot]])</f>
        <v>0</v>
      </c>
      <c r="BN85" s="155">
        <f>IF(Tabel511[[#This Row],[Aantal games Alg]]=0,0,Tabel511[[#This Row],[ET tot]]/Tabel511[[#This Row],[Aantal games Alg]])</f>
        <v>0</v>
      </c>
    </row>
    <row r="86" spans="1:66" x14ac:dyDescent="0.25">
      <c r="A86" s="215" t="str">
        <f ca="1">IF(Tabel152[[#This Row],[Rood Verdediging]]&lt;&gt;"",IF(A86="",NOW(),A86),"")</f>
        <v/>
      </c>
      <c r="B86" s="218" t="str">
        <f ca="1">IF(Tabel152[[#This Row],[Rood Verdediging]]&lt;&gt;"",IF(B86="",NOW(),B86),"")</f>
        <v/>
      </c>
      <c r="C86" s="216" t="str">
        <f ca="1">IF(Tabel152[[#This Row],[Score]]&lt;&gt;"",IF(C86="",NOW(),C86),"")</f>
        <v/>
      </c>
      <c r="D86" s="217" t="str">
        <f ca="1">IF(OR(Tabel152[[#This Row],[Starttijd]]="",Tabel152[[#This Row],[Eindtijd]]=""),"",Tabel152[[#This Row],[Eindtijd]]-Tabel152[[#This Row],[Starttijd]])</f>
        <v/>
      </c>
      <c r="E86" s="74">
        <v>85</v>
      </c>
      <c r="F86" s="205"/>
      <c r="G86" s="210"/>
      <c r="H86" s="205"/>
      <c r="I86" s="210"/>
      <c r="J86" s="206"/>
      <c r="K86" s="212"/>
      <c r="L86" s="206"/>
      <c r="M86" s="212"/>
      <c r="N86" s="79">
        <f>Tabel152[[#This Row],[Score]]+Tabel152[[#This Row],[Score2]]</f>
        <v>0</v>
      </c>
      <c r="O86" s="80">
        <f>Tabel152[[#This Row],[Score3]]+Tabel152[[#This Row],[Score4]]</f>
        <v>0</v>
      </c>
      <c r="P8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Row],[Score4]]&lt;&gt;""),IF(AND(N86&gt;O86,N86&gt;=11),"ROOD",IF(AND(O86&gt;=11,N86&lt;&gt;O86),"GROEN","")),"")</f>
        <v/>
      </c>
      <c r="Q86" s="84">
        <f t="shared" si="15"/>
        <v>0</v>
      </c>
      <c r="R86" s="85">
        <f t="shared" si="16"/>
        <v>0</v>
      </c>
      <c r="S86" s="293" t="str">
        <f>Tabel152[[#This Row],[Rood Verdediging]]&amp;Tabel152[[#This Row],[Rood Aanval]]</f>
        <v/>
      </c>
      <c r="T86" s="293" t="str">
        <f>Tabel152[[#This Row],[Groen Verdediging]]&amp;Tabel152[[#This Row],[Groen Aanval]]</f>
        <v/>
      </c>
      <c r="U86" s="293" t="str">
        <f>Tabel152[[#This Row],[Winnaar 1]]&amp;Tabel152[[#This Row],[Winnaar 2]]</f>
        <v>00</v>
      </c>
      <c r="V86" s="147" t="b">
        <f>IF(Tabel152[[#This Row],[Team Rood]]=Tabel152[[#This Row],[Winnaars]],Tabel152[[#This Row],[Team Rood]])</f>
        <v>0</v>
      </c>
      <c r="W86" s="147" t="b">
        <f>IF(Tabel152[[#This Row],[Team Groen]]=Tabel152[[#This Row],[Winnaars]],Tabel152[[#This Row],[Team Groen]])</f>
        <v>0</v>
      </c>
      <c r="X86" s="283"/>
      <c r="Y86" s="283"/>
      <c r="Z86" s="283"/>
      <c r="AA86" s="283"/>
      <c r="AL86" s="251" t="s">
        <v>162</v>
      </c>
      <c r="AM86" s="233" t="s">
        <v>158</v>
      </c>
      <c r="AN86" s="140" t="str">
        <f t="shared" si="14"/>
        <v>Matthijs*Arno*</v>
      </c>
      <c r="AO86" s="160">
        <f>IF(Tabel511[[#This Row],[Aantal Games Rood]]=0,0,(Tabel511[[#This Row],[Wins Rood]])/Tabel511[[#This Row],[Aantal Games Rood]])</f>
        <v>0</v>
      </c>
      <c r="AP86" s="159">
        <f>IF(Tabel511[[#This Row],[Aantal Games Groen]]=0,0,(Tabel511[[#This Row],[Wins Groen]])/Tabel511[[#This Row],[Aantal Games Groen]])</f>
        <v>0</v>
      </c>
      <c r="AQ86" s="156">
        <f>IF(Tabel511[[#This Row],[Aantal games Alg]]=0,0,(Tabel511[[#This Row],[Wins Alg]])/Tabel511[[#This Row],[Aantal games Alg]])</f>
        <v>0</v>
      </c>
      <c r="AR86" s="138">
        <f>COUNTIF(Tabel152[Winaar rood],Tabel511[[#This Row],[Team]])</f>
        <v>0</v>
      </c>
      <c r="AS86" s="134">
        <f>COUNTIF(Tabel152[Winnaar Groen],Tabel511[[#This Row],[Team]])</f>
        <v>0</v>
      </c>
      <c r="AT86" s="293">
        <f>COUNTIF(Tabel152[Winnaars],Tabel511[[#This Row],[Team]])</f>
        <v>0</v>
      </c>
      <c r="AU86" s="135">
        <f>Tabel511[[#This Row],[Aantal Games Rood]]-Tabel511[[#This Row],[Wins Rood]]</f>
        <v>0</v>
      </c>
      <c r="AV86" s="136">
        <f>Tabel511[[#This Row],[Aantal Games Groen]]-Tabel511[[#This Row],[Wins Groen]]</f>
        <v>0</v>
      </c>
      <c r="AW86" s="137">
        <f>Tabel511[[#This Row],[Aantal games Alg]]-Tabel511[[#This Row],[Wins Alg]]</f>
        <v>0</v>
      </c>
      <c r="AX86" s="138">
        <f>COUNTIF(Tabel152[Team Rood],Tabel511[[#This Row],[Team]])</f>
        <v>0</v>
      </c>
      <c r="AY86" s="136">
        <f>COUNTIF(Tabel152[Team Groen],Tabel511[[#This Row],[Team]])</f>
        <v>0</v>
      </c>
      <c r="AZ86" s="214">
        <f>Tabel511[[#This Row],[Aantal Games Rood]]+Tabel511[[#This Row],[Aantal Games Groen]]</f>
        <v>0</v>
      </c>
      <c r="BA86" s="138">
        <f>SUMIF(Tabel152[Team Rood],Tabel511[[#This Row],[Team]],Tabel152[Score])</f>
        <v>0</v>
      </c>
      <c r="BB86" s="138">
        <f>SUMIF(Tabel152[Team Rood],Tabel511[[#This Row],[Team]],Tabel152[Score2])</f>
        <v>0</v>
      </c>
      <c r="BC86" s="134">
        <f>SUMIF(Tabel152[Team Groen],Tabel511[[#This Row],[Team]],Tabel152[Score3])</f>
        <v>0</v>
      </c>
      <c r="BD86" s="136">
        <f>SUMIF(Tabel152[Team Groen],Tabel511[[#This Row],[Team]],Tabel152[Score4])</f>
        <v>0</v>
      </c>
      <c r="BE86" s="293">
        <f>SUM(Tabel511[[#This Row],[Goals Verdediger]]+Tabel511[[#This Row],[Goals DefG]])</f>
        <v>0</v>
      </c>
      <c r="BF86" s="293">
        <f>IF(Tabel511[[#This Row],[Aantal games Alg]]=0,0,Tabel511[[#This Row],[Goals DefA]]/Tabel511[[#This Row],[Aantal games Alg]])</f>
        <v>0</v>
      </c>
      <c r="BG86" s="293">
        <f>SUM(Tabel511[[#This Row],[Goals Aanvaller]]+Tabel511[[#This Row],[Goals OffG]])</f>
        <v>0</v>
      </c>
      <c r="BH86" s="293">
        <f>IF(Tabel511[[#This Row],[Aantal games Alg]]=0,0,Tabel511[[#This Row],[Goals OffA]]/Tabel511[[#This Row],[Aantal games Alg]])</f>
        <v>0</v>
      </c>
      <c r="BI86" s="214">
        <f>Tabel511[[#This Row],[Goals DefA]]+Tabel511[[#This Row],[Goals OffA]]</f>
        <v>0</v>
      </c>
      <c r="BJ86" s="214">
        <f>IF(Tabel511[[#This Row],[Aantal games Alg]]=0,0,Tabel511[[#This Row],[Goals Alg]]/Tabel511[[#This Row],[Aantal games Alg]])</f>
        <v>0</v>
      </c>
      <c r="BK86" s="148">
        <f>SUMIF(Tabel152[Team Rood],Tabel511[[#This Row],[Team]],Tabel152[ET])</f>
        <v>0</v>
      </c>
      <c r="BL86" s="150">
        <f>SUMIF(Tabel152[Team Groen],Tabel511[[#This Row],[Team]],Tabel152[ET])</f>
        <v>0</v>
      </c>
      <c r="BM86" s="153">
        <f>SUM(Tabel511[[#This Row],[ET Groen tot]],Tabel511[[#This Row],[ET Rood tot]])</f>
        <v>0</v>
      </c>
      <c r="BN86" s="155">
        <f>IF(Tabel511[[#This Row],[Aantal games Alg]]=0,0,Tabel511[[#This Row],[ET tot]]/Tabel511[[#This Row],[Aantal games Alg]])</f>
        <v>0</v>
      </c>
    </row>
    <row r="87" spans="1:66" x14ac:dyDescent="0.25">
      <c r="A87" s="215" t="str">
        <f ca="1">IF(Tabel152[[#This Row],[Rood Verdediging]]&lt;&gt;"",IF(A87="",NOW(),A87),"")</f>
        <v/>
      </c>
      <c r="B87" s="218" t="str">
        <f ca="1">IF(Tabel152[[#This Row],[Rood Verdediging]]&lt;&gt;"",IF(B87="",NOW(),B87),"")</f>
        <v/>
      </c>
      <c r="C87" s="216" t="str">
        <f ca="1">IF(Tabel152[[#This Row],[Score]]&lt;&gt;"",IF(C87="",NOW(),C87),"")</f>
        <v/>
      </c>
      <c r="D87" s="217" t="str">
        <f ca="1">IF(OR(Tabel152[[#This Row],[Starttijd]]="",Tabel152[[#This Row],[Eindtijd]]=""),"",Tabel152[[#This Row],[Eindtijd]]-Tabel152[[#This Row],[Starttijd]])</f>
        <v/>
      </c>
      <c r="E87" s="74">
        <v>86</v>
      </c>
      <c r="F87" s="205"/>
      <c r="G87" s="210"/>
      <c r="H87" s="205"/>
      <c r="I87" s="210"/>
      <c r="J87" s="206"/>
      <c r="K87" s="212"/>
      <c r="L87" s="206"/>
      <c r="M87" s="212"/>
      <c r="N87" s="79">
        <f>Tabel152[[#This Row],[Score]]+Tabel152[[#This Row],[Score2]]</f>
        <v>0</v>
      </c>
      <c r="O87" s="80">
        <f>Tabel152[[#This Row],[Score3]]+Tabel152[[#This Row],[Score4]]</f>
        <v>0</v>
      </c>
      <c r="P8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Row],[Score4]]&lt;&gt;""),IF(AND(N87&gt;O87,N87&gt;=11),"ROOD",IF(AND(O87&gt;=11,N87&lt;&gt;O87),"GROEN","")),"")</f>
        <v/>
      </c>
      <c r="Q87" s="84">
        <f t="shared" si="15"/>
        <v>0</v>
      </c>
      <c r="R87" s="85">
        <f t="shared" si="16"/>
        <v>0</v>
      </c>
      <c r="S87" s="293" t="str">
        <f>Tabel152[[#This Row],[Rood Verdediging]]&amp;Tabel152[[#This Row],[Rood Aanval]]</f>
        <v/>
      </c>
      <c r="T87" s="293" t="str">
        <f>Tabel152[[#This Row],[Groen Verdediging]]&amp;Tabel152[[#This Row],[Groen Aanval]]</f>
        <v/>
      </c>
      <c r="U87" s="293" t="str">
        <f>Tabel152[[#This Row],[Winnaar 1]]&amp;Tabel152[[#This Row],[Winnaar 2]]</f>
        <v>00</v>
      </c>
      <c r="V87" s="147" t="b">
        <f>IF(Tabel152[[#This Row],[Team Rood]]=Tabel152[[#This Row],[Winnaars]],Tabel152[[#This Row],[Team Rood]])</f>
        <v>0</v>
      </c>
      <c r="W87" s="147" t="b">
        <f>IF(Tabel152[[#This Row],[Team Groen]]=Tabel152[[#This Row],[Winnaars]],Tabel152[[#This Row],[Team Groen]])</f>
        <v>0</v>
      </c>
      <c r="X87" s="283"/>
      <c r="Y87" s="283"/>
      <c r="Z87" s="283"/>
      <c r="AA87" s="283"/>
      <c r="AL87" s="251" t="s">
        <v>162</v>
      </c>
      <c r="AM87" s="233" t="s">
        <v>163</v>
      </c>
      <c r="AN87" s="140" t="str">
        <f t="shared" si="14"/>
        <v>Matthijs*Bert*</v>
      </c>
      <c r="AO87" s="160">
        <f>IF(Tabel511[[#This Row],[Aantal Games Rood]]=0,0,(Tabel511[[#This Row],[Wins Rood]])/Tabel511[[#This Row],[Aantal Games Rood]])</f>
        <v>0</v>
      </c>
      <c r="AP87" s="159">
        <f>IF(Tabel511[[#This Row],[Aantal Games Groen]]=0,0,(Tabel511[[#This Row],[Wins Groen]])/Tabel511[[#This Row],[Aantal Games Groen]])</f>
        <v>0</v>
      </c>
      <c r="AQ87" s="156">
        <f>IF(Tabel511[[#This Row],[Aantal games Alg]]=0,0,(Tabel511[[#This Row],[Wins Alg]])/Tabel511[[#This Row],[Aantal games Alg]])</f>
        <v>0</v>
      </c>
      <c r="AR87" s="138">
        <f>COUNTIF(Tabel152[Winaar rood],Tabel511[[#This Row],[Team]])</f>
        <v>0</v>
      </c>
      <c r="AS87" s="134">
        <f>COUNTIF(Tabel152[Winnaar Groen],Tabel511[[#This Row],[Team]])</f>
        <v>0</v>
      </c>
      <c r="AT87" s="293">
        <f>COUNTIF(Tabel152[Winnaars],Tabel511[[#This Row],[Team]])</f>
        <v>0</v>
      </c>
      <c r="AU87" s="135">
        <f>Tabel511[[#This Row],[Aantal Games Rood]]-Tabel511[[#This Row],[Wins Rood]]</f>
        <v>1</v>
      </c>
      <c r="AV87" s="136">
        <f>Tabel511[[#This Row],[Aantal Games Groen]]-Tabel511[[#This Row],[Wins Groen]]</f>
        <v>0</v>
      </c>
      <c r="AW87" s="137">
        <f>Tabel511[[#This Row],[Aantal games Alg]]-Tabel511[[#This Row],[Wins Alg]]</f>
        <v>1</v>
      </c>
      <c r="AX87" s="138">
        <f>COUNTIF(Tabel152[Team Rood],Tabel511[[#This Row],[Team]])</f>
        <v>1</v>
      </c>
      <c r="AY87" s="136">
        <f>COUNTIF(Tabel152[Team Groen],Tabel511[[#This Row],[Team]])</f>
        <v>0</v>
      </c>
      <c r="AZ87" s="214">
        <f>Tabel511[[#This Row],[Aantal Games Rood]]+Tabel511[[#This Row],[Aantal Games Groen]]</f>
        <v>1</v>
      </c>
      <c r="BA87" s="138">
        <f>SUMIF(Tabel152[Team Rood],Tabel511[[#This Row],[Team]],Tabel152[Score])</f>
        <v>1</v>
      </c>
      <c r="BB87" s="138">
        <f>SUMIF(Tabel152[Team Rood],Tabel511[[#This Row],[Team]],Tabel152[Score2])</f>
        <v>10</v>
      </c>
      <c r="BC87" s="134">
        <f>SUMIF(Tabel152[Team Groen],Tabel511[[#This Row],[Team]],Tabel152[Score3])</f>
        <v>0</v>
      </c>
      <c r="BD87" s="136">
        <f>SUMIF(Tabel152[Team Groen],Tabel511[[#This Row],[Team]],Tabel152[Score4])</f>
        <v>0</v>
      </c>
      <c r="BE87" s="293">
        <f>SUM(Tabel511[[#This Row],[Goals Verdediger]]+Tabel511[[#This Row],[Goals DefG]])</f>
        <v>1</v>
      </c>
      <c r="BF87" s="293">
        <f>IF(Tabel511[[#This Row],[Aantal games Alg]]=0,0,Tabel511[[#This Row],[Goals DefA]]/Tabel511[[#This Row],[Aantal games Alg]])</f>
        <v>1</v>
      </c>
      <c r="BG87" s="293">
        <f>SUM(Tabel511[[#This Row],[Goals Aanvaller]]+Tabel511[[#This Row],[Goals OffG]])</f>
        <v>10</v>
      </c>
      <c r="BH87" s="293">
        <f>IF(Tabel511[[#This Row],[Aantal games Alg]]=0,0,Tabel511[[#This Row],[Goals OffA]]/Tabel511[[#This Row],[Aantal games Alg]])</f>
        <v>10</v>
      </c>
      <c r="BI87" s="214">
        <f>Tabel511[[#This Row],[Goals DefA]]+Tabel511[[#This Row],[Goals OffA]]</f>
        <v>11</v>
      </c>
      <c r="BJ87" s="214">
        <f>IF(Tabel511[[#This Row],[Aantal games Alg]]=0,0,Tabel511[[#This Row],[Goals Alg]]/Tabel511[[#This Row],[Aantal games Alg]])</f>
        <v>11</v>
      </c>
      <c r="BK87" s="148">
        <f ca="1">SUMIF(Tabel152[Team Rood],Tabel511[[#This Row],[Team]],Tabel152[ET])</f>
        <v>3.3101852750405669E-5</v>
      </c>
      <c r="BL87" s="150">
        <f>SUMIF(Tabel152[Team Groen],Tabel511[[#This Row],[Team]],Tabel152[ET])</f>
        <v>0</v>
      </c>
      <c r="BM87" s="153">
        <f ca="1">SUM(Tabel511[[#This Row],[ET Groen tot]],Tabel511[[#This Row],[ET Rood tot]])</f>
        <v>3.3101852750405669E-5</v>
      </c>
      <c r="BN87" s="155">
        <f ca="1">IF(Tabel511[[#This Row],[Aantal games Alg]]=0,0,Tabel511[[#This Row],[ET tot]]/Tabel511[[#This Row],[Aantal games Alg]])</f>
        <v>3.3101852750405669E-5</v>
      </c>
    </row>
    <row r="88" spans="1:66" x14ac:dyDescent="0.25">
      <c r="A88" s="215" t="str">
        <f ca="1">IF(Tabel152[[#This Row],[Rood Verdediging]]&lt;&gt;"",IF(A88="",NOW(),A88),"")</f>
        <v/>
      </c>
      <c r="B88" s="218" t="str">
        <f ca="1">IF(Tabel152[[#This Row],[Rood Verdediging]]&lt;&gt;"",IF(B88="",NOW(),B88),"")</f>
        <v/>
      </c>
      <c r="C88" s="216" t="str">
        <f ca="1">IF(Tabel152[[#This Row],[Score]]&lt;&gt;"",IF(C88="",NOW(),C88),"")</f>
        <v/>
      </c>
      <c r="D88" s="217" t="str">
        <f ca="1">IF(OR(Tabel152[[#This Row],[Starttijd]]="",Tabel152[[#This Row],[Eindtijd]]=""),"",Tabel152[[#This Row],[Eindtijd]]-Tabel152[[#This Row],[Starttijd]])</f>
        <v/>
      </c>
      <c r="E88" s="74">
        <v>87</v>
      </c>
      <c r="F88" s="205"/>
      <c r="G88" s="210"/>
      <c r="H88" s="205"/>
      <c r="I88" s="210"/>
      <c r="J88" s="206"/>
      <c r="K88" s="212"/>
      <c r="L88" s="206"/>
      <c r="M88" s="212"/>
      <c r="N88" s="79">
        <f>Tabel152[[#This Row],[Score]]+Tabel152[[#This Row],[Score2]]</f>
        <v>0</v>
      </c>
      <c r="O88" s="80">
        <f>Tabel152[[#This Row],[Score3]]+Tabel152[[#This Row],[Score4]]</f>
        <v>0</v>
      </c>
      <c r="P8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Row],[Score4]]&lt;&gt;""),IF(AND(N88&gt;O88,N88&gt;=11),"ROOD",IF(AND(O88&gt;=11,N88&lt;&gt;O88),"GROEN","")),"")</f>
        <v/>
      </c>
      <c r="Q88" s="84">
        <f t="shared" si="15"/>
        <v>0</v>
      </c>
      <c r="R88" s="85">
        <f t="shared" si="16"/>
        <v>0</v>
      </c>
      <c r="S88" s="293" t="str">
        <f>Tabel152[[#This Row],[Rood Verdediging]]&amp;Tabel152[[#This Row],[Rood Aanval]]</f>
        <v/>
      </c>
      <c r="T88" s="293" t="str">
        <f>Tabel152[[#This Row],[Groen Verdediging]]&amp;Tabel152[[#This Row],[Groen Aanval]]</f>
        <v/>
      </c>
      <c r="U88" s="293" t="str">
        <f>Tabel152[[#This Row],[Winnaar 1]]&amp;Tabel152[[#This Row],[Winnaar 2]]</f>
        <v>00</v>
      </c>
      <c r="V88" s="147" t="b">
        <f>IF(Tabel152[[#This Row],[Team Rood]]=Tabel152[[#This Row],[Winnaars]],Tabel152[[#This Row],[Team Rood]])</f>
        <v>0</v>
      </c>
      <c r="W88" s="147" t="b">
        <f>IF(Tabel152[[#This Row],[Team Groen]]=Tabel152[[#This Row],[Winnaars]],Tabel152[[#This Row],[Team Groen]])</f>
        <v>0</v>
      </c>
      <c r="X88" s="283"/>
      <c r="Y88" s="283"/>
      <c r="Z88" s="283"/>
      <c r="AA88" s="283"/>
      <c r="AL88" s="251" t="s">
        <v>162</v>
      </c>
      <c r="AM88" s="233" t="s">
        <v>168</v>
      </c>
      <c r="AN88" s="140" t="str">
        <f t="shared" si="14"/>
        <v>Matthijs*Coghe*</v>
      </c>
      <c r="AO88" s="160">
        <f>IF(Tabel511[[#This Row],[Aantal Games Rood]]=0,0,(Tabel511[[#This Row],[Wins Rood]])/Tabel511[[#This Row],[Aantal Games Rood]])</f>
        <v>0</v>
      </c>
      <c r="AP88" s="159">
        <f>IF(Tabel511[[#This Row],[Aantal Games Groen]]=0,0,(Tabel511[[#This Row],[Wins Groen]])/Tabel511[[#This Row],[Aantal Games Groen]])</f>
        <v>0</v>
      </c>
      <c r="AQ88" s="156">
        <f>IF(Tabel511[[#This Row],[Aantal games Alg]]=0,0,(Tabel511[[#This Row],[Wins Alg]])/Tabel511[[#This Row],[Aantal games Alg]])</f>
        <v>0</v>
      </c>
      <c r="AR88" s="138">
        <f>COUNTIF(Tabel152[Winaar rood],Tabel511[[#This Row],[Team]])</f>
        <v>0</v>
      </c>
      <c r="AS88" s="134">
        <f>COUNTIF(Tabel152[Winnaar Groen],Tabel511[[#This Row],[Team]])</f>
        <v>0</v>
      </c>
      <c r="AT88" s="293">
        <f>COUNTIF(Tabel152[Winnaars],Tabel511[[#This Row],[Team]])</f>
        <v>0</v>
      </c>
      <c r="AU88" s="135">
        <f>Tabel511[[#This Row],[Aantal Games Rood]]-Tabel511[[#This Row],[Wins Rood]]</f>
        <v>0</v>
      </c>
      <c r="AV88" s="136">
        <f>Tabel511[[#This Row],[Aantal Games Groen]]-Tabel511[[#This Row],[Wins Groen]]</f>
        <v>0</v>
      </c>
      <c r="AW88" s="137">
        <f>Tabel511[[#This Row],[Aantal games Alg]]-Tabel511[[#This Row],[Wins Alg]]</f>
        <v>0</v>
      </c>
      <c r="AX88" s="138">
        <f>COUNTIF(Tabel152[Team Rood],Tabel511[[#This Row],[Team]])</f>
        <v>0</v>
      </c>
      <c r="AY88" s="136">
        <f>COUNTIF(Tabel152[Team Groen],Tabel511[[#This Row],[Team]])</f>
        <v>0</v>
      </c>
      <c r="AZ88" s="214">
        <f>Tabel511[[#This Row],[Aantal Games Rood]]+Tabel511[[#This Row],[Aantal Games Groen]]</f>
        <v>0</v>
      </c>
      <c r="BA88" s="138">
        <f>SUMIF(Tabel152[Team Rood],Tabel511[[#This Row],[Team]],Tabel152[Score])</f>
        <v>0</v>
      </c>
      <c r="BB88" s="138">
        <f>SUMIF(Tabel152[Team Rood],Tabel511[[#This Row],[Team]],Tabel152[Score2])</f>
        <v>0</v>
      </c>
      <c r="BC88" s="134">
        <f>SUMIF(Tabel152[Team Groen],Tabel511[[#This Row],[Team]],Tabel152[Score3])</f>
        <v>0</v>
      </c>
      <c r="BD88" s="136">
        <f>SUMIF(Tabel152[Team Groen],Tabel511[[#This Row],[Team]],Tabel152[Score4])</f>
        <v>0</v>
      </c>
      <c r="BE88" s="293">
        <f>SUM(Tabel511[[#This Row],[Goals Verdediger]]+Tabel511[[#This Row],[Goals DefG]])</f>
        <v>0</v>
      </c>
      <c r="BF88" s="293">
        <f>IF(Tabel511[[#This Row],[Aantal games Alg]]=0,0,Tabel511[[#This Row],[Goals DefA]]/Tabel511[[#This Row],[Aantal games Alg]])</f>
        <v>0</v>
      </c>
      <c r="BG88" s="293">
        <f>SUM(Tabel511[[#This Row],[Goals Aanvaller]]+Tabel511[[#This Row],[Goals OffG]])</f>
        <v>0</v>
      </c>
      <c r="BH88" s="293">
        <f>IF(Tabel511[[#This Row],[Aantal games Alg]]=0,0,Tabel511[[#This Row],[Goals OffA]]/Tabel511[[#This Row],[Aantal games Alg]])</f>
        <v>0</v>
      </c>
      <c r="BI88" s="214">
        <f>Tabel511[[#This Row],[Goals DefA]]+Tabel511[[#This Row],[Goals OffA]]</f>
        <v>0</v>
      </c>
      <c r="BJ88" s="214">
        <f>IF(Tabel511[[#This Row],[Aantal games Alg]]=0,0,Tabel511[[#This Row],[Goals Alg]]/Tabel511[[#This Row],[Aantal games Alg]])</f>
        <v>0</v>
      </c>
      <c r="BK88" s="148">
        <f>SUMIF(Tabel152[Team Rood],Tabel511[[#This Row],[Team]],Tabel152[ET])</f>
        <v>0</v>
      </c>
      <c r="BL88" s="150">
        <f>SUMIF(Tabel152[Team Groen],Tabel511[[#This Row],[Team]],Tabel152[ET])</f>
        <v>0</v>
      </c>
      <c r="BM88" s="153">
        <f>SUM(Tabel511[[#This Row],[ET Groen tot]],Tabel511[[#This Row],[ET Rood tot]])</f>
        <v>0</v>
      </c>
      <c r="BN88" s="155">
        <f>IF(Tabel511[[#This Row],[Aantal games Alg]]=0,0,Tabel511[[#This Row],[ET tot]]/Tabel511[[#This Row],[Aantal games Alg]])</f>
        <v>0</v>
      </c>
    </row>
    <row r="89" spans="1:66" x14ac:dyDescent="0.25">
      <c r="A89" s="215" t="str">
        <f ca="1">IF(Tabel152[[#This Row],[Rood Verdediging]]&lt;&gt;"",IF(A89="",NOW(),A89),"")</f>
        <v/>
      </c>
      <c r="B89" s="218" t="str">
        <f ca="1">IF(Tabel152[[#This Row],[Rood Verdediging]]&lt;&gt;"",IF(B89="",NOW(),B89),"")</f>
        <v/>
      </c>
      <c r="C89" s="216" t="str">
        <f ca="1">IF(Tabel152[[#This Row],[Score]]&lt;&gt;"",IF(C89="",NOW(),C89),"")</f>
        <v/>
      </c>
      <c r="D89" s="217" t="str">
        <f ca="1">IF(OR(Tabel152[[#This Row],[Starttijd]]="",Tabel152[[#This Row],[Eindtijd]]=""),"",Tabel152[[#This Row],[Eindtijd]]-Tabel152[[#This Row],[Starttijd]])</f>
        <v/>
      </c>
      <c r="E89" s="74">
        <v>88</v>
      </c>
      <c r="F89" s="205"/>
      <c r="G89" s="210"/>
      <c r="H89" s="205"/>
      <c r="I89" s="210"/>
      <c r="J89" s="206"/>
      <c r="K89" s="212"/>
      <c r="L89" s="206"/>
      <c r="M89" s="212"/>
      <c r="N89" s="79">
        <f>Tabel152[[#This Row],[Score]]+Tabel152[[#This Row],[Score2]]</f>
        <v>0</v>
      </c>
      <c r="O89" s="80">
        <f>Tabel152[[#This Row],[Score3]]+Tabel152[[#This Row],[Score4]]</f>
        <v>0</v>
      </c>
      <c r="P8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Row],[Score4]]&lt;&gt;""),IF(AND(N89&gt;O89,N89&gt;=11),"ROOD",IF(AND(O89&gt;=11,N89&lt;&gt;O89),"GROEN","")),"")</f>
        <v/>
      </c>
      <c r="Q89" s="84">
        <f t="shared" si="15"/>
        <v>0</v>
      </c>
      <c r="R89" s="85">
        <f t="shared" si="16"/>
        <v>0</v>
      </c>
      <c r="S89" s="293" t="str">
        <f>Tabel152[[#This Row],[Rood Verdediging]]&amp;Tabel152[[#This Row],[Rood Aanval]]</f>
        <v/>
      </c>
      <c r="T89" s="293" t="str">
        <f>Tabel152[[#This Row],[Groen Verdediging]]&amp;Tabel152[[#This Row],[Groen Aanval]]</f>
        <v/>
      </c>
      <c r="U89" s="293" t="str">
        <f>Tabel152[[#This Row],[Winnaar 1]]&amp;Tabel152[[#This Row],[Winnaar 2]]</f>
        <v>00</v>
      </c>
      <c r="V89" s="147" t="b">
        <f>IF(Tabel152[[#This Row],[Team Rood]]=Tabel152[[#This Row],[Winnaars]],Tabel152[[#This Row],[Team Rood]])</f>
        <v>0</v>
      </c>
      <c r="W89" s="147" t="b">
        <f>IF(Tabel152[[#This Row],[Team Groen]]=Tabel152[[#This Row],[Winnaars]],Tabel152[[#This Row],[Team Groen]])</f>
        <v>0</v>
      </c>
      <c r="X89" s="283"/>
      <c r="Y89" s="283"/>
      <c r="Z89" s="283"/>
      <c r="AA89" s="283"/>
      <c r="AL89" s="251" t="s">
        <v>162</v>
      </c>
      <c r="AM89" s="233" t="s">
        <v>159</v>
      </c>
      <c r="AN89" s="140" t="str">
        <f t="shared" si="14"/>
        <v>Matthijs*Jonas*</v>
      </c>
      <c r="AO89" s="160">
        <f>IF(Tabel511[[#This Row],[Aantal Games Rood]]=0,0,(Tabel511[[#This Row],[Wins Rood]])/Tabel511[[#This Row],[Aantal Games Rood]])</f>
        <v>0</v>
      </c>
      <c r="AP89" s="159">
        <f>IF(Tabel511[[#This Row],[Aantal Games Groen]]=0,0,(Tabel511[[#This Row],[Wins Groen]])/Tabel511[[#This Row],[Aantal Games Groen]])</f>
        <v>0</v>
      </c>
      <c r="AQ89" s="156">
        <f>IF(Tabel511[[#This Row],[Aantal games Alg]]=0,0,(Tabel511[[#This Row],[Wins Alg]])/Tabel511[[#This Row],[Aantal games Alg]])</f>
        <v>0</v>
      </c>
      <c r="AR89" s="133">
        <f>COUNTIF(Tabel152[Winaar rood],Tabel511[[#This Row],[Team]])</f>
        <v>0</v>
      </c>
      <c r="AS89" s="134">
        <f>COUNTIF(Tabel152[Winnaar Groen],Tabel511[[#This Row],[Team]])</f>
        <v>0</v>
      </c>
      <c r="AT89" s="293">
        <f>COUNTIF(Tabel152[Winnaars],Tabel511[[#This Row],[Team]])</f>
        <v>0</v>
      </c>
      <c r="AU89" s="135">
        <f>Tabel511[[#This Row],[Aantal Games Rood]]-Tabel511[[#This Row],[Wins Rood]]</f>
        <v>2</v>
      </c>
      <c r="AV89" s="136">
        <f>Tabel511[[#This Row],[Aantal Games Groen]]-Tabel511[[#This Row],[Wins Groen]]</f>
        <v>0</v>
      </c>
      <c r="AW89" s="137">
        <f>Tabel511[[#This Row],[Aantal games Alg]]-Tabel511[[#This Row],[Wins Alg]]</f>
        <v>2</v>
      </c>
      <c r="AX89" s="138">
        <f>COUNTIF(Tabel152[Team Rood],Tabel511[[#This Row],[Team]])</f>
        <v>2</v>
      </c>
      <c r="AY89" s="136">
        <f>COUNTIF(Tabel152[Team Groen],Tabel511[[#This Row],[Team]])</f>
        <v>0</v>
      </c>
      <c r="AZ89" s="214">
        <f>Tabel511[[#This Row],[Aantal Games Rood]]+Tabel511[[#This Row],[Aantal Games Groen]]</f>
        <v>2</v>
      </c>
      <c r="BA89" s="138">
        <f>SUMIF(Tabel152[Team Rood],Tabel511[[#This Row],[Team]],Tabel152[Score])</f>
        <v>7</v>
      </c>
      <c r="BB89" s="138">
        <f>SUMIF(Tabel152[Team Rood],Tabel511[[#This Row],[Team]],Tabel152[Score2])</f>
        <v>9</v>
      </c>
      <c r="BC89" s="134">
        <f>SUMIF(Tabel152[Team Groen],Tabel511[[#This Row],[Team]],Tabel152[Score3])</f>
        <v>0</v>
      </c>
      <c r="BD89" s="136">
        <f>SUMIF(Tabel152[Team Groen],Tabel511[[#This Row],[Team]],Tabel152[Score4])</f>
        <v>0</v>
      </c>
      <c r="BE89" s="293">
        <f>SUM(Tabel511[[#This Row],[Goals Verdediger]]+Tabel511[[#This Row],[Goals DefG]])</f>
        <v>7</v>
      </c>
      <c r="BF89" s="293">
        <f>IF(Tabel511[[#This Row],[Aantal games Alg]]=0,0,Tabel511[[#This Row],[Goals DefA]]/Tabel511[[#This Row],[Aantal games Alg]])</f>
        <v>3.5</v>
      </c>
      <c r="BG89" s="293">
        <f>SUM(Tabel511[[#This Row],[Goals Aanvaller]]+Tabel511[[#This Row],[Goals OffG]])</f>
        <v>9</v>
      </c>
      <c r="BH89" s="293">
        <f>IF(Tabel511[[#This Row],[Aantal games Alg]]=0,0,Tabel511[[#This Row],[Goals OffA]]/Tabel511[[#This Row],[Aantal games Alg]])</f>
        <v>4.5</v>
      </c>
      <c r="BI89" s="214">
        <f>Tabel511[[#This Row],[Goals DefA]]+Tabel511[[#This Row],[Goals OffA]]</f>
        <v>16</v>
      </c>
      <c r="BJ89" s="214">
        <f>IF(Tabel511[[#This Row],[Aantal games Alg]]=0,0,Tabel511[[#This Row],[Goals Alg]]/Tabel511[[#This Row],[Aantal games Alg]])</f>
        <v>8</v>
      </c>
      <c r="BK89" s="148">
        <f ca="1">SUMIF(Tabel152[Team Rood],Tabel511[[#This Row],[Team]],Tabel152[ET])</f>
        <v>8.9052083349088207E-3</v>
      </c>
      <c r="BL89" s="150">
        <f>SUMIF(Tabel152[Team Groen],Tabel511[[#This Row],[Team]],Tabel152[ET])</f>
        <v>0</v>
      </c>
      <c r="BM89" s="153">
        <f ca="1">SUM(Tabel511[[#This Row],[ET Groen tot]],Tabel511[[#This Row],[ET Rood tot]])</f>
        <v>8.9052083349088207E-3</v>
      </c>
      <c r="BN89" s="155">
        <f ca="1">IF(Tabel511[[#This Row],[Aantal games Alg]]=0,0,Tabel511[[#This Row],[ET tot]]/Tabel511[[#This Row],[Aantal games Alg]])</f>
        <v>4.4526041674544103E-3</v>
      </c>
    </row>
    <row r="90" spans="1:66" x14ac:dyDescent="0.25">
      <c r="A90" s="215" t="str">
        <f ca="1">IF(Tabel152[[#This Row],[Rood Verdediging]]&lt;&gt;"",IF(A90="",NOW(),A90),"")</f>
        <v/>
      </c>
      <c r="B90" s="218" t="str">
        <f ca="1">IF(Tabel152[[#This Row],[Rood Verdediging]]&lt;&gt;"",IF(B90="",NOW(),B90),"")</f>
        <v/>
      </c>
      <c r="C90" s="216" t="str">
        <f ca="1">IF(Tabel152[[#This Row],[Score]]&lt;&gt;"",IF(C90="",NOW(),C90),"")</f>
        <v/>
      </c>
      <c r="D90" s="217" t="str">
        <f ca="1">IF(OR(Tabel152[[#This Row],[Starttijd]]="",Tabel152[[#This Row],[Eindtijd]]=""),"",Tabel152[[#This Row],[Eindtijd]]-Tabel152[[#This Row],[Starttijd]])</f>
        <v/>
      </c>
      <c r="E90" s="74">
        <v>89</v>
      </c>
      <c r="F90" s="205"/>
      <c r="G90" s="210"/>
      <c r="H90" s="205"/>
      <c r="I90" s="210"/>
      <c r="J90" s="206"/>
      <c r="K90" s="212"/>
      <c r="L90" s="206"/>
      <c r="M90" s="212"/>
      <c r="N90" s="79">
        <f>Tabel152[[#This Row],[Score]]+Tabel152[[#This Row],[Score2]]</f>
        <v>0</v>
      </c>
      <c r="O90" s="80">
        <f>Tabel152[[#This Row],[Score3]]+Tabel152[[#This Row],[Score4]]</f>
        <v>0</v>
      </c>
      <c r="P9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Row],[Score4]]&lt;&gt;""),IF(AND(N90&gt;O90,N90&gt;=11),"ROOD",IF(AND(O90&gt;=11,N90&lt;&gt;O90),"GROEN","")),"")</f>
        <v/>
      </c>
      <c r="Q90" s="84">
        <f t="shared" si="15"/>
        <v>0</v>
      </c>
      <c r="R90" s="85">
        <f t="shared" si="16"/>
        <v>0</v>
      </c>
      <c r="S90" s="293" t="str">
        <f>Tabel152[[#This Row],[Rood Verdediging]]&amp;Tabel152[[#This Row],[Rood Aanval]]</f>
        <v/>
      </c>
      <c r="T90" s="293" t="str">
        <f>Tabel152[[#This Row],[Groen Verdediging]]&amp;Tabel152[[#This Row],[Groen Aanval]]</f>
        <v/>
      </c>
      <c r="U90" s="293" t="str">
        <f>Tabel152[[#This Row],[Winnaar 1]]&amp;Tabel152[[#This Row],[Winnaar 2]]</f>
        <v>00</v>
      </c>
      <c r="V90" s="147" t="b">
        <f>IF(Tabel152[[#This Row],[Team Rood]]=Tabel152[[#This Row],[Winnaars]],Tabel152[[#This Row],[Team Rood]])</f>
        <v>0</v>
      </c>
      <c r="W90" s="147" t="b">
        <f>IF(Tabel152[[#This Row],[Team Groen]]=Tabel152[[#This Row],[Winnaars]],Tabel152[[#This Row],[Team Groen]])</f>
        <v>0</v>
      </c>
      <c r="X90" s="283"/>
      <c r="Y90" s="283"/>
      <c r="Z90" s="283"/>
      <c r="AA90" s="283"/>
      <c r="AL90" s="251" t="s">
        <v>162</v>
      </c>
      <c r="AM90" s="233" t="s">
        <v>164</v>
      </c>
      <c r="AN90" s="140" t="str">
        <f t="shared" si="14"/>
        <v>Matthijs*Karel*</v>
      </c>
      <c r="AO90" s="160">
        <f>IF(Tabel511[[#This Row],[Aantal Games Rood]]=0,0,(Tabel511[[#This Row],[Wins Rood]])/Tabel511[[#This Row],[Aantal Games Rood]])</f>
        <v>0.33333333333333331</v>
      </c>
      <c r="AP90" s="159">
        <f>IF(Tabel511[[#This Row],[Aantal Games Groen]]=0,0,(Tabel511[[#This Row],[Wins Groen]])/Tabel511[[#This Row],[Aantal Games Groen]])</f>
        <v>1</v>
      </c>
      <c r="AQ90" s="156">
        <f>IF(Tabel511[[#This Row],[Aantal games Alg]]=0,0,(Tabel511[[#This Row],[Wins Alg]])/Tabel511[[#This Row],[Aantal games Alg]])</f>
        <v>0.6</v>
      </c>
      <c r="AR90" s="133">
        <f>COUNTIF(Tabel152[Winaar rood],Tabel511[[#This Row],[Team]])</f>
        <v>1</v>
      </c>
      <c r="AS90" s="134">
        <f>COUNTIF(Tabel152[Winnaar Groen],Tabel511[[#This Row],[Team]])</f>
        <v>2</v>
      </c>
      <c r="AT90" s="293">
        <f>COUNTIF(Tabel152[Winnaars],Tabel511[[#This Row],[Team]])</f>
        <v>3</v>
      </c>
      <c r="AU90" s="135">
        <f>Tabel511[[#This Row],[Aantal Games Rood]]-Tabel511[[#This Row],[Wins Rood]]</f>
        <v>2</v>
      </c>
      <c r="AV90" s="136">
        <f>Tabel511[[#This Row],[Aantal Games Groen]]-Tabel511[[#This Row],[Wins Groen]]</f>
        <v>0</v>
      </c>
      <c r="AW90" s="137">
        <f>Tabel511[[#This Row],[Aantal games Alg]]-Tabel511[[#This Row],[Wins Alg]]</f>
        <v>2</v>
      </c>
      <c r="AX90" s="138">
        <f>COUNTIF(Tabel152[Team Rood],Tabel511[[#This Row],[Team]])</f>
        <v>3</v>
      </c>
      <c r="AY90" s="136">
        <f>COUNTIF(Tabel152[Team Groen],Tabel511[[#This Row],[Team]])</f>
        <v>2</v>
      </c>
      <c r="AZ90" s="214">
        <f>Tabel511[[#This Row],[Aantal Games Rood]]+Tabel511[[#This Row],[Aantal Games Groen]]</f>
        <v>5</v>
      </c>
      <c r="BA90" s="138">
        <f>SUMIF(Tabel152[Team Rood],Tabel511[[#This Row],[Team]],Tabel152[Score])</f>
        <v>7</v>
      </c>
      <c r="BB90" s="138">
        <f>SUMIF(Tabel152[Team Rood],Tabel511[[#This Row],[Team]],Tabel152[Score2])</f>
        <v>19</v>
      </c>
      <c r="BC90" s="134">
        <f>SUMIF(Tabel152[Team Groen],Tabel511[[#This Row],[Team]],Tabel152[Score3])</f>
        <v>4</v>
      </c>
      <c r="BD90" s="136">
        <f>SUMIF(Tabel152[Team Groen],Tabel511[[#This Row],[Team]],Tabel152[Score4])</f>
        <v>18</v>
      </c>
      <c r="BE90" s="293">
        <f>SUM(Tabel511[[#This Row],[Goals Verdediger]]+Tabel511[[#This Row],[Goals DefG]])</f>
        <v>11</v>
      </c>
      <c r="BF90" s="293">
        <f>IF(Tabel511[[#This Row],[Aantal games Alg]]=0,0,Tabel511[[#This Row],[Goals DefA]]/Tabel511[[#This Row],[Aantal games Alg]])</f>
        <v>2.2000000000000002</v>
      </c>
      <c r="BG90" s="293">
        <f>SUM(Tabel511[[#This Row],[Goals Aanvaller]]+Tabel511[[#This Row],[Goals OffG]])</f>
        <v>37</v>
      </c>
      <c r="BH90" s="293">
        <f>IF(Tabel511[[#This Row],[Aantal games Alg]]=0,0,Tabel511[[#This Row],[Goals OffA]]/Tabel511[[#This Row],[Aantal games Alg]])</f>
        <v>7.4</v>
      </c>
      <c r="BI90" s="214">
        <f>Tabel511[[#This Row],[Goals DefA]]+Tabel511[[#This Row],[Goals OffA]]</f>
        <v>48</v>
      </c>
      <c r="BJ90" s="214">
        <f>IF(Tabel511[[#This Row],[Aantal games Alg]]=0,0,Tabel511[[#This Row],[Goals Alg]]/Tabel511[[#This Row],[Aantal games Alg]])</f>
        <v>9.6</v>
      </c>
      <c r="BK90" s="148">
        <f ca="1">SUMIF(Tabel152[Team Rood],Tabel511[[#This Row],[Team]],Tabel152[ET])</f>
        <v>7.9708333287271671E-3</v>
      </c>
      <c r="BL90" s="150">
        <f ca="1">SUMIF(Tabel152[Team Groen],Tabel511[[#This Row],[Team]],Tabel152[ET])</f>
        <v>9.8598379627219401E-3</v>
      </c>
      <c r="BM90" s="153">
        <f ca="1">SUM(Tabel511[[#This Row],[ET Groen tot]],Tabel511[[#This Row],[ET Rood tot]])</f>
        <v>1.7830671291449107E-2</v>
      </c>
      <c r="BN90" s="155">
        <f ca="1">IF(Tabel511[[#This Row],[Aantal games Alg]]=0,0,Tabel511[[#This Row],[ET tot]]/Tabel511[[#This Row],[Aantal games Alg]])</f>
        <v>3.5661342582898213E-3</v>
      </c>
    </row>
    <row r="91" spans="1:66" x14ac:dyDescent="0.25">
      <c r="A91" s="215" t="str">
        <f ca="1">IF(Tabel152[[#This Row],[Rood Verdediging]]&lt;&gt;"",IF(A91="",NOW(),A91),"")</f>
        <v/>
      </c>
      <c r="B91" s="218" t="str">
        <f ca="1">IF(Tabel152[[#This Row],[Rood Verdediging]]&lt;&gt;"",IF(B91="",NOW(),B91),"")</f>
        <v/>
      </c>
      <c r="C91" s="216" t="str">
        <f ca="1">IF(Tabel152[[#This Row],[Score]]&lt;&gt;"",IF(C91="",NOW(),C91),"")</f>
        <v/>
      </c>
      <c r="D91" s="217" t="str">
        <f ca="1">IF(OR(Tabel152[[#This Row],[Starttijd]]="",Tabel152[[#This Row],[Eindtijd]]=""),"",Tabel152[[#This Row],[Eindtijd]]-Tabel152[[#This Row],[Starttijd]])</f>
        <v/>
      </c>
      <c r="E91" s="74">
        <v>90</v>
      </c>
      <c r="F91" s="205"/>
      <c r="G91" s="210"/>
      <c r="H91" s="205"/>
      <c r="I91" s="210"/>
      <c r="J91" s="206"/>
      <c r="K91" s="212"/>
      <c r="L91" s="206"/>
      <c r="M91" s="212"/>
      <c r="N91" s="79">
        <f>Tabel152[[#This Row],[Score]]+Tabel152[[#This Row],[Score2]]</f>
        <v>0</v>
      </c>
      <c r="O91" s="80">
        <f>Tabel152[[#This Row],[Score3]]+Tabel152[[#This Row],[Score4]]</f>
        <v>0</v>
      </c>
      <c r="P9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Row],[Score4]]&lt;&gt;""),IF(AND(N91&gt;O91,N91&gt;=11),"ROOD",IF(AND(O91&gt;=11,N91&lt;&gt;O91),"GROEN","")),"")</f>
        <v/>
      </c>
      <c r="Q91" s="84">
        <f t="shared" si="15"/>
        <v>0</v>
      </c>
      <c r="R91" s="85">
        <f t="shared" si="16"/>
        <v>0</v>
      </c>
      <c r="S91" s="293" t="str">
        <f>Tabel152[[#This Row],[Rood Verdediging]]&amp;Tabel152[[#This Row],[Rood Aanval]]</f>
        <v/>
      </c>
      <c r="T91" s="293" t="str">
        <f>Tabel152[[#This Row],[Groen Verdediging]]&amp;Tabel152[[#This Row],[Groen Aanval]]</f>
        <v/>
      </c>
      <c r="U91" s="293" t="str">
        <f>Tabel152[[#This Row],[Winnaar 1]]&amp;Tabel152[[#This Row],[Winnaar 2]]</f>
        <v>00</v>
      </c>
      <c r="V91" s="147" t="b">
        <f>IF(Tabel152[[#This Row],[Team Rood]]=Tabel152[[#This Row],[Winnaars]],Tabel152[[#This Row],[Team Rood]])</f>
        <v>0</v>
      </c>
      <c r="W91" s="147" t="b">
        <f>IF(Tabel152[[#This Row],[Team Groen]]=Tabel152[[#This Row],[Winnaars]],Tabel152[[#This Row],[Team Groen]])</f>
        <v>0</v>
      </c>
      <c r="X91" s="283"/>
      <c r="Y91" s="283"/>
      <c r="Z91" s="283"/>
      <c r="AA91" s="283"/>
      <c r="AL91" s="251" t="s">
        <v>162</v>
      </c>
      <c r="AM91" s="233" t="s">
        <v>67</v>
      </c>
      <c r="AN91" s="140" t="str">
        <f t="shared" si="14"/>
        <v>Matthijs*Lawrence</v>
      </c>
      <c r="AO91" s="160">
        <f>IF(Tabel511[[#This Row],[Aantal Games Rood]]=0,0,(Tabel511[[#This Row],[Wins Rood]])/Tabel511[[#This Row],[Aantal Games Rood]])</f>
        <v>0</v>
      </c>
      <c r="AP91" s="159">
        <f>IF(Tabel511[[#This Row],[Aantal Games Groen]]=0,0,(Tabel511[[#This Row],[Wins Groen]])/Tabel511[[#This Row],[Aantal Games Groen]])</f>
        <v>0</v>
      </c>
      <c r="AQ91" s="156">
        <f>IF(Tabel511[[#This Row],[Aantal games Alg]]=0,0,(Tabel511[[#This Row],[Wins Alg]])/Tabel511[[#This Row],[Aantal games Alg]])</f>
        <v>0</v>
      </c>
      <c r="AR91" s="138">
        <f>COUNTIF(Tabel152[Winaar rood],Tabel511[[#This Row],[Team]])</f>
        <v>0</v>
      </c>
      <c r="AS91" s="134">
        <f>COUNTIF(Tabel152[Winnaar Groen],Tabel511[[#This Row],[Team]])</f>
        <v>0</v>
      </c>
      <c r="AT91" s="293">
        <f>COUNTIF(Tabel152[Winnaars],Tabel511[[#This Row],[Team]])</f>
        <v>0</v>
      </c>
      <c r="AU91" s="135">
        <f>Tabel511[[#This Row],[Aantal Games Rood]]-Tabel511[[#This Row],[Wins Rood]]</f>
        <v>0</v>
      </c>
      <c r="AV91" s="136">
        <f>Tabel511[[#This Row],[Aantal Games Groen]]-Tabel511[[#This Row],[Wins Groen]]</f>
        <v>0</v>
      </c>
      <c r="AW91" s="137">
        <f>Tabel511[[#This Row],[Aantal games Alg]]-Tabel511[[#This Row],[Wins Alg]]</f>
        <v>0</v>
      </c>
      <c r="AX91" s="138">
        <f>COUNTIF(Tabel152[Team Rood],Tabel511[[#This Row],[Team]])</f>
        <v>0</v>
      </c>
      <c r="AY91" s="136">
        <f>COUNTIF(Tabel152[Team Groen],Tabel511[[#This Row],[Team]])</f>
        <v>0</v>
      </c>
      <c r="AZ91" s="214">
        <f>Tabel511[[#This Row],[Aantal Games Rood]]+Tabel511[[#This Row],[Aantal Games Groen]]</f>
        <v>0</v>
      </c>
      <c r="BA91" s="138">
        <f>SUMIF(Tabel152[Team Rood],Tabel511[[#This Row],[Team]],Tabel152[Score])</f>
        <v>0</v>
      </c>
      <c r="BB91" s="138">
        <f>SUMIF(Tabel152[Team Rood],Tabel511[[#This Row],[Team]],Tabel152[Score2])</f>
        <v>0</v>
      </c>
      <c r="BC91" s="134">
        <f>SUMIF(Tabel152[Team Groen],Tabel511[[#This Row],[Team]],Tabel152[Score3])</f>
        <v>0</v>
      </c>
      <c r="BD91" s="136">
        <f>SUMIF(Tabel152[Team Groen],Tabel511[[#This Row],[Team]],Tabel152[Score4])</f>
        <v>0</v>
      </c>
      <c r="BE91" s="293">
        <f>SUM(Tabel511[[#This Row],[Goals Verdediger]]+Tabel511[[#This Row],[Goals DefG]])</f>
        <v>0</v>
      </c>
      <c r="BF91" s="293">
        <f>IF(Tabel511[[#This Row],[Aantal games Alg]]=0,0,Tabel511[[#This Row],[Goals DefA]]/Tabel511[[#This Row],[Aantal games Alg]])</f>
        <v>0</v>
      </c>
      <c r="BG91" s="293">
        <f>SUM(Tabel511[[#This Row],[Goals Aanvaller]]+Tabel511[[#This Row],[Goals OffG]])</f>
        <v>0</v>
      </c>
      <c r="BH91" s="293">
        <f>IF(Tabel511[[#This Row],[Aantal games Alg]]=0,0,Tabel511[[#This Row],[Goals OffA]]/Tabel511[[#This Row],[Aantal games Alg]])</f>
        <v>0</v>
      </c>
      <c r="BI91" s="214">
        <f>Tabel511[[#This Row],[Goals DefA]]+Tabel511[[#This Row],[Goals OffA]]</f>
        <v>0</v>
      </c>
      <c r="BJ91" s="214">
        <f>IF(Tabel511[[#This Row],[Aantal games Alg]]=0,0,Tabel511[[#This Row],[Goals Alg]]/Tabel511[[#This Row],[Aantal games Alg]])</f>
        <v>0</v>
      </c>
      <c r="BK91" s="148">
        <f>SUMIF(Tabel152[Team Rood],Tabel511[[#This Row],[Team]],Tabel152[ET])</f>
        <v>0</v>
      </c>
      <c r="BL91" s="150">
        <f>SUMIF(Tabel152[Team Groen],Tabel511[[#This Row],[Team]],Tabel152[ET])</f>
        <v>0</v>
      </c>
      <c r="BM91" s="153">
        <f>SUM(Tabel511[[#This Row],[ET Groen tot]],Tabel511[[#This Row],[ET Rood tot]])</f>
        <v>0</v>
      </c>
      <c r="BN91" s="155">
        <f>IF(Tabel511[[#This Row],[Aantal games Alg]]=0,0,Tabel511[[#This Row],[ET tot]]/Tabel511[[#This Row],[Aantal games Alg]])</f>
        <v>0</v>
      </c>
    </row>
    <row r="92" spans="1:66" x14ac:dyDescent="0.25">
      <c r="A92" s="215" t="str">
        <f ca="1">IF(Tabel152[[#This Row],[Rood Verdediging]]&lt;&gt;"",IF(A92="",NOW(),A92),"")</f>
        <v/>
      </c>
      <c r="B92" s="218" t="str">
        <f ca="1">IF(Tabel152[[#This Row],[Rood Verdediging]]&lt;&gt;"",IF(B92="",NOW(),B92),"")</f>
        <v/>
      </c>
      <c r="C92" s="216" t="str">
        <f ca="1">IF(Tabel152[[#This Row],[Score]]&lt;&gt;"",IF(C92="",NOW(),C92),"")</f>
        <v/>
      </c>
      <c r="D92" s="217" t="str">
        <f ca="1">IF(OR(Tabel152[[#This Row],[Starttijd]]="",Tabel152[[#This Row],[Eindtijd]]=""),"",Tabel152[[#This Row],[Eindtijd]]-Tabel152[[#This Row],[Starttijd]])</f>
        <v/>
      </c>
      <c r="E92" s="74">
        <v>91</v>
      </c>
      <c r="F92" s="205"/>
      <c r="G92" s="210"/>
      <c r="H92" s="205"/>
      <c r="I92" s="210"/>
      <c r="J92" s="206"/>
      <c r="K92" s="212"/>
      <c r="L92" s="206"/>
      <c r="M92" s="212"/>
      <c r="N92" s="79">
        <f>Tabel152[[#This Row],[Score]]+Tabel152[[#This Row],[Score2]]</f>
        <v>0</v>
      </c>
      <c r="O92" s="80">
        <f>Tabel152[[#This Row],[Score3]]+Tabel152[[#This Row],[Score4]]</f>
        <v>0</v>
      </c>
      <c r="P9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Row],[Score4]]&lt;&gt;""),IF(AND(N92&gt;O92,N92&gt;=11),"ROOD",IF(AND(O92&gt;=11,N92&lt;&gt;O92),"GROEN","")),"")</f>
        <v/>
      </c>
      <c r="Q92" s="84">
        <f t="shared" si="15"/>
        <v>0</v>
      </c>
      <c r="R92" s="85">
        <f t="shared" si="16"/>
        <v>0</v>
      </c>
      <c r="S92" s="293" t="str">
        <f>Tabel152[[#This Row],[Rood Verdediging]]&amp;Tabel152[[#This Row],[Rood Aanval]]</f>
        <v/>
      </c>
      <c r="T92" s="293" t="str">
        <f>Tabel152[[#This Row],[Groen Verdediging]]&amp;Tabel152[[#This Row],[Groen Aanval]]</f>
        <v/>
      </c>
      <c r="U92" s="293" t="str">
        <f>Tabel152[[#This Row],[Winnaar 1]]&amp;Tabel152[[#This Row],[Winnaar 2]]</f>
        <v>00</v>
      </c>
      <c r="V92" s="147" t="b">
        <f>IF(Tabel152[[#This Row],[Team Rood]]=Tabel152[[#This Row],[Winnaars]],Tabel152[[#This Row],[Team Rood]])</f>
        <v>0</v>
      </c>
      <c r="W92" s="147" t="b">
        <f>IF(Tabel152[[#This Row],[Team Groen]]=Tabel152[[#This Row],[Winnaars]],Tabel152[[#This Row],[Team Groen]])</f>
        <v>0</v>
      </c>
      <c r="X92" s="283"/>
      <c r="Y92" s="283"/>
      <c r="Z92" s="283"/>
      <c r="AA92" s="283"/>
      <c r="AL92" s="251" t="s">
        <v>162</v>
      </c>
      <c r="AM92" s="233" t="s">
        <v>161</v>
      </c>
      <c r="AN92" s="140" t="str">
        <f t="shared" si="14"/>
        <v>Matthijs*Louis*</v>
      </c>
      <c r="AO92" s="160">
        <f>IF(Tabel511[[#This Row],[Aantal Games Rood]]=0,0,(Tabel511[[#This Row],[Wins Rood]])/Tabel511[[#This Row],[Aantal Games Rood]])</f>
        <v>0</v>
      </c>
      <c r="AP92" s="159">
        <f>IF(Tabel511[[#This Row],[Aantal Games Groen]]=0,0,(Tabel511[[#This Row],[Wins Groen]])/Tabel511[[#This Row],[Aantal Games Groen]])</f>
        <v>0</v>
      </c>
      <c r="AQ92" s="156">
        <f>IF(Tabel511[[#This Row],[Aantal games Alg]]=0,0,(Tabel511[[#This Row],[Wins Alg]])/Tabel511[[#This Row],[Aantal games Alg]])</f>
        <v>0</v>
      </c>
      <c r="AR92" s="138">
        <f>COUNTIF(Tabel152[Winaar rood],Tabel511[[#This Row],[Team]])</f>
        <v>0</v>
      </c>
      <c r="AS92" s="134">
        <f>COUNTIF(Tabel152[Winnaar Groen],Tabel511[[#This Row],[Team]])</f>
        <v>0</v>
      </c>
      <c r="AT92" s="293">
        <f>COUNTIF(Tabel152[Winnaars],Tabel511[[#This Row],[Team]])</f>
        <v>0</v>
      </c>
      <c r="AU92" s="135">
        <f>Tabel511[[#This Row],[Aantal Games Rood]]-Tabel511[[#This Row],[Wins Rood]]</f>
        <v>0</v>
      </c>
      <c r="AV92" s="136">
        <f>Tabel511[[#This Row],[Aantal Games Groen]]-Tabel511[[#This Row],[Wins Groen]]</f>
        <v>0</v>
      </c>
      <c r="AW92" s="137">
        <f>Tabel511[[#This Row],[Aantal games Alg]]-Tabel511[[#This Row],[Wins Alg]]</f>
        <v>0</v>
      </c>
      <c r="AX92" s="138">
        <f>COUNTIF(Tabel152[Team Rood],Tabel511[[#This Row],[Team]])</f>
        <v>0</v>
      </c>
      <c r="AY92" s="136">
        <f>COUNTIF(Tabel152[Team Groen],Tabel511[[#This Row],[Team]])</f>
        <v>0</v>
      </c>
      <c r="AZ92" s="214">
        <f>Tabel511[[#This Row],[Aantal Games Rood]]+Tabel511[[#This Row],[Aantal Games Groen]]</f>
        <v>0</v>
      </c>
      <c r="BA92" s="138">
        <f>SUMIF(Tabel152[Team Rood],Tabel511[[#This Row],[Team]],Tabel152[Score])</f>
        <v>0</v>
      </c>
      <c r="BB92" s="138">
        <f>SUMIF(Tabel152[Team Rood],Tabel511[[#This Row],[Team]],Tabel152[Score2])</f>
        <v>0</v>
      </c>
      <c r="BC92" s="134">
        <f>SUMIF(Tabel152[Team Groen],Tabel511[[#This Row],[Team]],Tabel152[Score3])</f>
        <v>0</v>
      </c>
      <c r="BD92" s="136">
        <f>SUMIF(Tabel152[Team Groen],Tabel511[[#This Row],[Team]],Tabel152[Score4])</f>
        <v>0</v>
      </c>
      <c r="BE92" s="293">
        <f>SUM(Tabel511[[#This Row],[Goals Verdediger]]+Tabel511[[#This Row],[Goals DefG]])</f>
        <v>0</v>
      </c>
      <c r="BF92" s="293">
        <f>IF(Tabel511[[#This Row],[Aantal games Alg]]=0,0,Tabel511[[#This Row],[Goals DefA]]/Tabel511[[#This Row],[Aantal games Alg]])</f>
        <v>0</v>
      </c>
      <c r="BG92" s="293">
        <f>SUM(Tabel511[[#This Row],[Goals Aanvaller]]+Tabel511[[#This Row],[Goals OffG]])</f>
        <v>0</v>
      </c>
      <c r="BH92" s="293">
        <f>IF(Tabel511[[#This Row],[Aantal games Alg]]=0,0,Tabel511[[#This Row],[Goals OffA]]/Tabel511[[#This Row],[Aantal games Alg]])</f>
        <v>0</v>
      </c>
      <c r="BI92" s="214">
        <f>Tabel511[[#This Row],[Goals DefA]]+Tabel511[[#This Row],[Goals OffA]]</f>
        <v>0</v>
      </c>
      <c r="BJ92" s="214">
        <f>IF(Tabel511[[#This Row],[Aantal games Alg]]=0,0,Tabel511[[#This Row],[Goals Alg]]/Tabel511[[#This Row],[Aantal games Alg]])</f>
        <v>0</v>
      </c>
      <c r="BK92" s="148">
        <f>SUMIF(Tabel152[Team Rood],Tabel511[[#This Row],[Team]],Tabel152[ET])</f>
        <v>0</v>
      </c>
      <c r="BL92" s="150">
        <f>SUMIF(Tabel152[Team Groen],Tabel511[[#This Row],[Team]],Tabel152[ET])</f>
        <v>0</v>
      </c>
      <c r="BM92" s="153">
        <f>SUM(Tabel511[[#This Row],[ET Groen tot]],Tabel511[[#This Row],[ET Rood tot]])</f>
        <v>0</v>
      </c>
      <c r="BN92" s="155">
        <f>IF(Tabel511[[#This Row],[Aantal games Alg]]=0,0,Tabel511[[#This Row],[ET tot]]/Tabel511[[#This Row],[Aantal games Alg]])</f>
        <v>0</v>
      </c>
    </row>
    <row r="93" spans="1:66" x14ac:dyDescent="0.25">
      <c r="A93" s="215" t="str">
        <f ca="1">IF(Tabel152[[#This Row],[Rood Verdediging]]&lt;&gt;"",IF(A93="",NOW(),A93),"")</f>
        <v/>
      </c>
      <c r="B93" s="218" t="str">
        <f ca="1">IF(Tabel152[[#This Row],[Rood Verdediging]]&lt;&gt;"",IF(B93="",NOW(),B93),"")</f>
        <v/>
      </c>
      <c r="C93" s="216" t="str">
        <f ca="1">IF(Tabel152[[#This Row],[Score]]&lt;&gt;"",IF(C93="",NOW(),C93),"")</f>
        <v/>
      </c>
      <c r="D93" s="217" t="str">
        <f ca="1">IF(OR(Tabel152[[#This Row],[Starttijd]]="",Tabel152[[#This Row],[Eindtijd]]=""),"",Tabel152[[#This Row],[Eindtijd]]-Tabel152[[#This Row],[Starttijd]])</f>
        <v/>
      </c>
      <c r="E93" s="74">
        <v>92</v>
      </c>
      <c r="F93" s="205"/>
      <c r="G93" s="210"/>
      <c r="H93" s="205"/>
      <c r="I93" s="210"/>
      <c r="J93" s="206"/>
      <c r="K93" s="212"/>
      <c r="L93" s="206"/>
      <c r="M93" s="212"/>
      <c r="N93" s="79">
        <f>Tabel152[[#This Row],[Score]]+Tabel152[[#This Row],[Score2]]</f>
        <v>0</v>
      </c>
      <c r="O93" s="80">
        <f>Tabel152[[#This Row],[Score3]]+Tabel152[[#This Row],[Score4]]</f>
        <v>0</v>
      </c>
      <c r="P9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Row],[Score4]]&lt;&gt;""),IF(AND(N93&gt;O93,N93&gt;=11),"ROOD",IF(AND(O93&gt;=11,N93&lt;&gt;O93),"GROEN","")),"")</f>
        <v/>
      </c>
      <c r="Q93" s="84">
        <f t="shared" si="15"/>
        <v>0</v>
      </c>
      <c r="R93" s="85">
        <f t="shared" si="16"/>
        <v>0</v>
      </c>
      <c r="S93" s="293" t="str">
        <f>Tabel152[[#This Row],[Rood Verdediging]]&amp;Tabel152[[#This Row],[Rood Aanval]]</f>
        <v/>
      </c>
      <c r="T93" s="293" t="str">
        <f>Tabel152[[#This Row],[Groen Verdediging]]&amp;Tabel152[[#This Row],[Groen Aanval]]</f>
        <v/>
      </c>
      <c r="U93" s="293" t="str">
        <f>Tabel152[[#This Row],[Winnaar 1]]&amp;Tabel152[[#This Row],[Winnaar 2]]</f>
        <v>00</v>
      </c>
      <c r="V93" s="147" t="b">
        <f>IF(Tabel152[[#This Row],[Team Rood]]=Tabel152[[#This Row],[Winnaars]],Tabel152[[#This Row],[Team Rood]])</f>
        <v>0</v>
      </c>
      <c r="W93" s="147" t="b">
        <f>IF(Tabel152[[#This Row],[Team Groen]]=Tabel152[[#This Row],[Winnaars]],Tabel152[[#This Row],[Team Groen]])</f>
        <v>0</v>
      </c>
      <c r="X93" s="283"/>
      <c r="Y93" s="283"/>
      <c r="Z93" s="283"/>
      <c r="AA93" s="283"/>
      <c r="AL93" s="251" t="s">
        <v>162</v>
      </c>
      <c r="AM93" s="233" t="s">
        <v>170</v>
      </c>
      <c r="AN93" s="140" t="str">
        <f t="shared" si="14"/>
        <v>Matthijs*Nico*</v>
      </c>
      <c r="AO93" s="160">
        <f>IF(Tabel511[[#This Row],[Aantal Games Rood]]=0,0,(Tabel511[[#This Row],[Wins Rood]])/Tabel511[[#This Row],[Aantal Games Rood]])</f>
        <v>0</v>
      </c>
      <c r="AP93" s="159">
        <f>IF(Tabel511[[#This Row],[Aantal Games Groen]]=0,0,(Tabel511[[#This Row],[Wins Groen]])/Tabel511[[#This Row],[Aantal Games Groen]])</f>
        <v>0</v>
      </c>
      <c r="AQ93" s="156">
        <f>IF(Tabel511[[#This Row],[Aantal games Alg]]=0,0,(Tabel511[[#This Row],[Wins Alg]])/Tabel511[[#This Row],[Aantal games Alg]])</f>
        <v>0</v>
      </c>
      <c r="AR93" s="171">
        <f>COUNTIF(Tabel152[Winaar rood],Tabel511[[#This Row],[Team]])</f>
        <v>0</v>
      </c>
      <c r="AS93" s="169">
        <f>COUNTIF(Tabel152[Winnaar Groen],Tabel511[[#This Row],[Team]])</f>
        <v>0</v>
      </c>
      <c r="AT93" s="170">
        <f>COUNTIF(Tabel152[Winnaars],Tabel511[[#This Row],[Team]])</f>
        <v>0</v>
      </c>
      <c r="AU93" s="163">
        <f>Tabel511[[#This Row],[Aantal Games Rood]]-Tabel511[[#This Row],[Wins Rood]]</f>
        <v>0</v>
      </c>
      <c r="AV93" s="169">
        <f>Tabel511[[#This Row],[Aantal Games Groen]]-Tabel511[[#This Row],[Wins Groen]]</f>
        <v>0</v>
      </c>
      <c r="AW93" s="165">
        <f>Tabel511[[#This Row],[Aantal games Alg]]-Tabel511[[#This Row],[Wins Alg]]</f>
        <v>0</v>
      </c>
      <c r="AX93" s="171">
        <f>COUNTIF(Tabel152[Team Rood],Tabel511[[#This Row],[Team]])</f>
        <v>0</v>
      </c>
      <c r="AY93" s="169">
        <f>COUNTIF(Tabel152[Team Groen],Tabel511[[#This Row],[Team]])</f>
        <v>0</v>
      </c>
      <c r="AZ93" s="170">
        <f>Tabel511[[#This Row],[Aantal Games Rood]]+Tabel511[[#This Row],[Aantal Games Groen]]</f>
        <v>0</v>
      </c>
      <c r="BA93" s="171">
        <f>SUMIF(Tabel152[Team Rood],Tabel511[[#This Row],[Team]],Tabel152[Score])</f>
        <v>0</v>
      </c>
      <c r="BB93" s="171">
        <f>SUMIF(Tabel152[Team Rood],Tabel511[[#This Row],[Team]],Tabel152[Score2])</f>
        <v>0</v>
      </c>
      <c r="BC93" s="136">
        <f>SUMIF(Tabel152[Team Groen],Tabel511[[#This Row],[Team]],Tabel152[Score3])</f>
        <v>0</v>
      </c>
      <c r="BD93" s="169">
        <f>SUMIF(Tabel152[Team Groen],Tabel511[[#This Row],[Team]],Tabel152[Score4])</f>
        <v>0</v>
      </c>
      <c r="BE93" s="172">
        <f>SUM(Tabel511[[#This Row],[Goals Verdediger]]+Tabel511[[#This Row],[Goals DefG]])</f>
        <v>0</v>
      </c>
      <c r="BF93" s="170">
        <f>IF(Tabel511[[#This Row],[Aantal games Alg]]=0,0,Tabel511[[#This Row],[Goals DefA]]/Tabel511[[#This Row],[Aantal games Alg]])</f>
        <v>0</v>
      </c>
      <c r="BG93" s="172">
        <f>SUM(Tabel511[[#This Row],[Goals Aanvaller]]+Tabel511[[#This Row],[Goals OffG]])</f>
        <v>0</v>
      </c>
      <c r="BH93" s="170">
        <f>IF(Tabel511[[#This Row],[Aantal games Alg]]=0,0,Tabel511[[#This Row],[Goals OffA]]/Tabel511[[#This Row],[Aantal games Alg]])</f>
        <v>0</v>
      </c>
      <c r="BI93" s="170">
        <f>Tabel511[[#This Row],[Goals DefA]]+Tabel511[[#This Row],[Goals OffA]]</f>
        <v>0</v>
      </c>
      <c r="BJ93" s="170">
        <f>IF(Tabel511[[#This Row],[Aantal games Alg]]=0,0,Tabel511[[#This Row],[Goals Alg]]/Tabel511[[#This Row],[Aantal games Alg]])</f>
        <v>0</v>
      </c>
      <c r="BK93" s="148">
        <f>SUMIF(Tabel152[Team Rood],Tabel511[[#This Row],[Team]],Tabel152[ET])</f>
        <v>0</v>
      </c>
      <c r="BL93" s="150">
        <f>SUMIF(Tabel152[Team Groen],Tabel511[[#This Row],[Team]],Tabel152[ET])</f>
        <v>0</v>
      </c>
      <c r="BM93" s="153">
        <f>SUM(Tabel511[[#This Row],[ET Groen tot]],Tabel511[[#This Row],[ET Rood tot]])</f>
        <v>0</v>
      </c>
      <c r="BN93" s="155">
        <f>IF(Tabel511[[#This Row],[Aantal games Alg]]=0,0,Tabel511[[#This Row],[ET tot]]/Tabel511[[#This Row],[Aantal games Alg]])</f>
        <v>0</v>
      </c>
    </row>
    <row r="94" spans="1:66" x14ac:dyDescent="0.25">
      <c r="A94" s="215" t="str">
        <f ca="1">IF(Tabel152[[#This Row],[Rood Verdediging]]&lt;&gt;"",IF(A94="",NOW(),A94),"")</f>
        <v/>
      </c>
      <c r="B94" s="218" t="str">
        <f ca="1">IF(Tabel152[[#This Row],[Rood Verdediging]]&lt;&gt;"",IF(B94="",NOW(),B94),"")</f>
        <v/>
      </c>
      <c r="C94" s="216" t="str">
        <f ca="1">IF(Tabel152[[#This Row],[Score]]&lt;&gt;"",IF(C94="",NOW(),C94),"")</f>
        <v/>
      </c>
      <c r="D94" s="217" t="str">
        <f ca="1">IF(OR(Tabel152[[#This Row],[Starttijd]]="",Tabel152[[#This Row],[Eindtijd]]=""),"",Tabel152[[#This Row],[Eindtijd]]-Tabel152[[#This Row],[Starttijd]])</f>
        <v/>
      </c>
      <c r="E94" s="74">
        <v>93</v>
      </c>
      <c r="F94" s="205"/>
      <c r="G94" s="210"/>
      <c r="H94" s="205"/>
      <c r="I94" s="210"/>
      <c r="J94" s="206"/>
      <c r="K94" s="212"/>
      <c r="L94" s="206"/>
      <c r="M94" s="212"/>
      <c r="N94" s="79">
        <f>Tabel152[[#This Row],[Score]]+Tabel152[[#This Row],[Score2]]</f>
        <v>0</v>
      </c>
      <c r="O94" s="80">
        <f>Tabel152[[#This Row],[Score3]]+Tabel152[[#This Row],[Score4]]</f>
        <v>0</v>
      </c>
      <c r="P9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Row],[Score4]]&lt;&gt;""),IF(AND(N94&gt;O94,N94&gt;=11),"ROOD",IF(AND(O94&gt;=11,N94&lt;&gt;O94),"GROEN","")),"")</f>
        <v/>
      </c>
      <c r="Q94" s="84">
        <f t="shared" si="15"/>
        <v>0</v>
      </c>
      <c r="R94" s="85">
        <f t="shared" si="16"/>
        <v>0</v>
      </c>
      <c r="S94" s="293" t="str">
        <f>Tabel152[[#This Row],[Rood Verdediging]]&amp;Tabel152[[#This Row],[Rood Aanval]]</f>
        <v/>
      </c>
      <c r="T94" s="293" t="str">
        <f>Tabel152[[#This Row],[Groen Verdediging]]&amp;Tabel152[[#This Row],[Groen Aanval]]</f>
        <v/>
      </c>
      <c r="U94" s="293" t="str">
        <f>Tabel152[[#This Row],[Winnaar 1]]&amp;Tabel152[[#This Row],[Winnaar 2]]</f>
        <v>00</v>
      </c>
      <c r="V94" s="147" t="b">
        <f>IF(Tabel152[[#This Row],[Team Rood]]=Tabel152[[#This Row],[Winnaars]],Tabel152[[#This Row],[Team Rood]])</f>
        <v>0</v>
      </c>
      <c r="W94" s="147" t="b">
        <f>IF(Tabel152[[#This Row],[Team Groen]]=Tabel152[[#This Row],[Winnaars]],Tabel152[[#This Row],[Team Groen]])</f>
        <v>0</v>
      </c>
      <c r="X94" s="283"/>
      <c r="Y94" s="283"/>
      <c r="Z94" s="283"/>
      <c r="AA94" s="283"/>
      <c r="AL94" s="251" t="s">
        <v>162</v>
      </c>
      <c r="AM94" s="233" t="s">
        <v>169</v>
      </c>
      <c r="AN94" s="140" t="str">
        <f t="shared" si="14"/>
        <v>Matthijs*Stef*</v>
      </c>
      <c r="AO94" s="160">
        <f>IF(Tabel511[[#This Row],[Aantal Games Rood]]=0,0,(Tabel511[[#This Row],[Wins Rood]])/Tabel511[[#This Row],[Aantal Games Rood]])</f>
        <v>1</v>
      </c>
      <c r="AP94" s="159">
        <f>IF(Tabel511[[#This Row],[Aantal Games Groen]]=0,0,(Tabel511[[#This Row],[Wins Groen]])/Tabel511[[#This Row],[Aantal Games Groen]])</f>
        <v>0</v>
      </c>
      <c r="AQ94" s="156">
        <f>IF(Tabel511[[#This Row],[Aantal games Alg]]=0,0,(Tabel511[[#This Row],[Wins Alg]])/Tabel511[[#This Row],[Aantal games Alg]])</f>
        <v>1</v>
      </c>
      <c r="AR94" s="138">
        <f>COUNTIF(Tabel152[Winaar rood],Tabel511[[#This Row],[Team]])</f>
        <v>1</v>
      </c>
      <c r="AS94" s="134">
        <f>COUNTIF(Tabel152[Winnaar Groen],Tabel511[[#This Row],[Team]])</f>
        <v>0</v>
      </c>
      <c r="AT94" s="293">
        <f>COUNTIF(Tabel152[Winnaars],Tabel511[[#This Row],[Team]])</f>
        <v>1</v>
      </c>
      <c r="AU94" s="135">
        <f>Tabel511[[#This Row],[Aantal Games Rood]]-Tabel511[[#This Row],[Wins Rood]]</f>
        <v>0</v>
      </c>
      <c r="AV94" s="136">
        <f>Tabel511[[#This Row],[Aantal Games Groen]]-Tabel511[[#This Row],[Wins Groen]]</f>
        <v>0</v>
      </c>
      <c r="AW94" s="137">
        <f>Tabel511[[#This Row],[Aantal games Alg]]-Tabel511[[#This Row],[Wins Alg]]</f>
        <v>0</v>
      </c>
      <c r="AX94" s="138">
        <f>COUNTIF(Tabel152[Team Rood],Tabel511[[#This Row],[Team]])</f>
        <v>1</v>
      </c>
      <c r="AY94" s="136">
        <f>COUNTIF(Tabel152[Team Groen],Tabel511[[#This Row],[Team]])</f>
        <v>0</v>
      </c>
      <c r="AZ94" s="214">
        <f>Tabel511[[#This Row],[Aantal Games Rood]]+Tabel511[[#This Row],[Aantal Games Groen]]</f>
        <v>1</v>
      </c>
      <c r="BA94" s="138">
        <f>SUMIF(Tabel152[Team Rood],Tabel511[[#This Row],[Team]],Tabel152[Score])</f>
        <v>2</v>
      </c>
      <c r="BB94" s="138">
        <f>SUMIF(Tabel152[Team Rood],Tabel511[[#This Row],[Team]],Tabel152[Score2])</f>
        <v>9</v>
      </c>
      <c r="BC94" s="134">
        <f>SUMIF(Tabel152[Team Groen],Tabel511[[#This Row],[Team]],Tabel152[Score3])</f>
        <v>0</v>
      </c>
      <c r="BD94" s="136">
        <f>SUMIF(Tabel152[Team Groen],Tabel511[[#This Row],[Team]],Tabel152[Score4])</f>
        <v>0</v>
      </c>
      <c r="BE94" s="293">
        <f>SUM(Tabel511[[#This Row],[Goals Verdediger]]+Tabel511[[#This Row],[Goals DefG]])</f>
        <v>2</v>
      </c>
      <c r="BF94" s="293">
        <f>IF(Tabel511[[#This Row],[Aantal games Alg]]=0,0,Tabel511[[#This Row],[Goals DefA]]/Tabel511[[#This Row],[Aantal games Alg]])</f>
        <v>2</v>
      </c>
      <c r="BG94" s="293">
        <f>SUM(Tabel511[[#This Row],[Goals Aanvaller]]+Tabel511[[#This Row],[Goals OffG]])</f>
        <v>9</v>
      </c>
      <c r="BH94" s="293">
        <f>IF(Tabel511[[#This Row],[Aantal games Alg]]=0,0,Tabel511[[#This Row],[Goals OffA]]/Tabel511[[#This Row],[Aantal games Alg]])</f>
        <v>9</v>
      </c>
      <c r="BI94" s="214">
        <f>Tabel511[[#This Row],[Goals DefA]]+Tabel511[[#This Row],[Goals OffA]]</f>
        <v>11</v>
      </c>
      <c r="BJ94" s="214">
        <f>IF(Tabel511[[#This Row],[Aantal games Alg]]=0,0,Tabel511[[#This Row],[Goals Alg]]/Tabel511[[#This Row],[Aantal games Alg]])</f>
        <v>11</v>
      </c>
      <c r="BK94" s="148">
        <f ca="1">SUMIF(Tabel152[Team Rood],Tabel511[[#This Row],[Team]],Tabel152[ET])</f>
        <v>2.1180552721489221E-5</v>
      </c>
      <c r="BL94" s="150">
        <f>SUMIF(Tabel152[Team Groen],Tabel511[[#This Row],[Team]],Tabel152[ET])</f>
        <v>0</v>
      </c>
      <c r="BM94" s="153">
        <f ca="1">SUM(Tabel511[[#This Row],[ET Groen tot]],Tabel511[[#This Row],[ET Rood tot]])</f>
        <v>2.1180552721489221E-5</v>
      </c>
      <c r="BN94" s="155">
        <f ca="1">IF(Tabel511[[#This Row],[Aantal games Alg]]=0,0,Tabel511[[#This Row],[ET tot]]/Tabel511[[#This Row],[Aantal games Alg]])</f>
        <v>2.1180552721489221E-5</v>
      </c>
    </row>
    <row r="95" spans="1:66" x14ac:dyDescent="0.25">
      <c r="A95" s="215" t="str">
        <f ca="1">IF(Tabel152[[#This Row],[Rood Verdediging]]&lt;&gt;"",IF(A95="",NOW(),A95),"")</f>
        <v/>
      </c>
      <c r="B95" s="218" t="str">
        <f ca="1">IF(Tabel152[[#This Row],[Rood Verdediging]]&lt;&gt;"",IF(B95="",NOW(),B95),"")</f>
        <v/>
      </c>
      <c r="C95" s="216" t="str">
        <f ca="1">IF(Tabel152[[#This Row],[Score]]&lt;&gt;"",IF(C95="",NOW(),C95),"")</f>
        <v/>
      </c>
      <c r="D95" s="217" t="str">
        <f ca="1">IF(OR(Tabel152[[#This Row],[Starttijd]]="",Tabel152[[#This Row],[Eindtijd]]=""),"",Tabel152[[#This Row],[Eindtijd]]-Tabel152[[#This Row],[Starttijd]])</f>
        <v/>
      </c>
      <c r="E95" s="74">
        <v>94</v>
      </c>
      <c r="F95" s="205"/>
      <c r="G95" s="210"/>
      <c r="H95" s="205"/>
      <c r="I95" s="210"/>
      <c r="J95" s="206"/>
      <c r="K95" s="212"/>
      <c r="L95" s="206"/>
      <c r="M95" s="212"/>
      <c r="N95" s="79">
        <f>Tabel152[[#This Row],[Score]]+Tabel152[[#This Row],[Score2]]</f>
        <v>0</v>
      </c>
      <c r="O95" s="80">
        <f>Tabel152[[#This Row],[Score3]]+Tabel152[[#This Row],[Score4]]</f>
        <v>0</v>
      </c>
      <c r="P9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Row],[Score4]]&lt;&gt;""),IF(AND(N95&gt;O95,N95&gt;=11),"ROOD",IF(AND(O95&gt;=11,N95&lt;&gt;O95),"GROEN","")),"")</f>
        <v/>
      </c>
      <c r="Q95" s="84">
        <f t="shared" si="15"/>
        <v>0</v>
      </c>
      <c r="R95" s="85">
        <f t="shared" si="16"/>
        <v>0</v>
      </c>
      <c r="S95" s="293" t="str">
        <f>Tabel152[[#This Row],[Rood Verdediging]]&amp;Tabel152[[#This Row],[Rood Aanval]]</f>
        <v/>
      </c>
      <c r="T95" s="293" t="str">
        <f>Tabel152[[#This Row],[Groen Verdediging]]&amp;Tabel152[[#This Row],[Groen Aanval]]</f>
        <v/>
      </c>
      <c r="U95" s="293" t="str">
        <f>Tabel152[[#This Row],[Winnaar 1]]&amp;Tabel152[[#This Row],[Winnaar 2]]</f>
        <v>00</v>
      </c>
      <c r="V95" s="147" t="b">
        <f>IF(Tabel152[[#This Row],[Team Rood]]=Tabel152[[#This Row],[Winnaars]],Tabel152[[#This Row],[Team Rood]])</f>
        <v>0</v>
      </c>
      <c r="W95" s="147" t="b">
        <f>IF(Tabel152[[#This Row],[Team Groen]]=Tabel152[[#This Row],[Winnaars]],Tabel152[[#This Row],[Team Groen]])</f>
        <v>0</v>
      </c>
      <c r="X95" s="283"/>
      <c r="Y95" s="283"/>
      <c r="Z95" s="283"/>
      <c r="AA95" s="283"/>
      <c r="AL95" s="251" t="s">
        <v>162</v>
      </c>
      <c r="AM95" s="233" t="s">
        <v>166</v>
      </c>
      <c r="AN95" s="140" t="str">
        <f t="shared" si="14"/>
        <v>Matthijs*Stijn*</v>
      </c>
      <c r="AO95" s="160">
        <f>IF(Tabel511[[#This Row],[Aantal Games Rood]]=0,0,(Tabel511[[#This Row],[Wins Rood]])/Tabel511[[#This Row],[Aantal Games Rood]])</f>
        <v>0</v>
      </c>
      <c r="AP95" s="159">
        <f>IF(Tabel511[[#This Row],[Aantal Games Groen]]=0,0,(Tabel511[[#This Row],[Wins Groen]])/Tabel511[[#This Row],[Aantal Games Groen]])</f>
        <v>0</v>
      </c>
      <c r="AQ95" s="156">
        <f>IF(Tabel511[[#This Row],[Aantal games Alg]]=0,0,(Tabel511[[#This Row],[Wins Alg]])/Tabel511[[#This Row],[Aantal games Alg]])</f>
        <v>0</v>
      </c>
      <c r="AR95" s="133">
        <f>COUNTIF(Tabel152[Winaar rood],Tabel511[[#This Row],[Team]])</f>
        <v>0</v>
      </c>
      <c r="AS95" s="134">
        <f>COUNTIF(Tabel152[Winnaar Groen],Tabel511[[#This Row],[Team]])</f>
        <v>0</v>
      </c>
      <c r="AT95" s="293">
        <f>COUNTIF(Tabel152[Winnaars],Tabel511[[#This Row],[Team]])</f>
        <v>0</v>
      </c>
      <c r="AU95" s="135">
        <f>Tabel511[[#This Row],[Aantal Games Rood]]-Tabel511[[#This Row],[Wins Rood]]</f>
        <v>0</v>
      </c>
      <c r="AV95" s="136">
        <f>Tabel511[[#This Row],[Aantal Games Groen]]-Tabel511[[#This Row],[Wins Groen]]</f>
        <v>0</v>
      </c>
      <c r="AW95" s="137">
        <f>Tabel511[[#This Row],[Aantal games Alg]]-Tabel511[[#This Row],[Wins Alg]]</f>
        <v>0</v>
      </c>
      <c r="AX95" s="138">
        <f>COUNTIF(Tabel152[Team Rood],Tabel511[[#This Row],[Team]])</f>
        <v>0</v>
      </c>
      <c r="AY95" s="136">
        <f>COUNTIF(Tabel152[Team Groen],Tabel511[[#This Row],[Team]])</f>
        <v>0</v>
      </c>
      <c r="AZ95" s="214">
        <f>Tabel511[[#This Row],[Aantal Games Rood]]+Tabel511[[#This Row],[Aantal Games Groen]]</f>
        <v>0</v>
      </c>
      <c r="BA95" s="138">
        <f>SUMIF(Tabel152[Team Rood],Tabel511[[#This Row],[Team]],Tabel152[Score])</f>
        <v>0</v>
      </c>
      <c r="BB95" s="138">
        <f>SUMIF(Tabel152[Team Rood],Tabel511[[#This Row],[Team]],Tabel152[Score2])</f>
        <v>0</v>
      </c>
      <c r="BC95" s="134">
        <f>SUMIF(Tabel152[Team Groen],Tabel511[[#This Row],[Team]],Tabel152[Score3])</f>
        <v>0</v>
      </c>
      <c r="BD95" s="136">
        <f>SUMIF(Tabel152[Team Groen],Tabel511[[#This Row],[Team]],Tabel152[Score4])</f>
        <v>0</v>
      </c>
      <c r="BE95" s="293">
        <f>SUM(Tabel511[[#This Row],[Goals Verdediger]]+Tabel511[[#This Row],[Goals DefG]])</f>
        <v>0</v>
      </c>
      <c r="BF95" s="293">
        <f>IF(Tabel511[[#This Row],[Aantal games Alg]]=0,0,Tabel511[[#This Row],[Goals DefA]]/Tabel511[[#This Row],[Aantal games Alg]])</f>
        <v>0</v>
      </c>
      <c r="BG95" s="293">
        <f>SUM(Tabel511[[#This Row],[Goals Aanvaller]]+Tabel511[[#This Row],[Goals OffG]])</f>
        <v>0</v>
      </c>
      <c r="BH95" s="293">
        <f>IF(Tabel511[[#This Row],[Aantal games Alg]]=0,0,Tabel511[[#This Row],[Goals OffA]]/Tabel511[[#This Row],[Aantal games Alg]])</f>
        <v>0</v>
      </c>
      <c r="BI95" s="214">
        <f>Tabel511[[#This Row],[Goals DefA]]+Tabel511[[#This Row],[Goals OffA]]</f>
        <v>0</v>
      </c>
      <c r="BJ95" s="214">
        <f>IF(Tabel511[[#This Row],[Aantal games Alg]]=0,0,Tabel511[[#This Row],[Goals Alg]]/Tabel511[[#This Row],[Aantal games Alg]])</f>
        <v>0</v>
      </c>
      <c r="BK95" s="148">
        <f>SUMIF(Tabel152[Team Rood],Tabel511[[#This Row],[Team]],Tabel152[ET])</f>
        <v>0</v>
      </c>
      <c r="BL95" s="150">
        <f>SUMIF(Tabel152[Team Groen],Tabel511[[#This Row],[Team]],Tabel152[ET])</f>
        <v>0</v>
      </c>
      <c r="BM95" s="153">
        <f>SUM(Tabel511[[#This Row],[ET Groen tot]],Tabel511[[#This Row],[ET Rood tot]])</f>
        <v>0</v>
      </c>
      <c r="BN95" s="155">
        <f>IF(Tabel511[[#This Row],[Aantal games Alg]]=0,0,Tabel511[[#This Row],[ET tot]]/Tabel511[[#This Row],[Aantal games Alg]])</f>
        <v>0</v>
      </c>
    </row>
    <row r="96" spans="1:66" x14ac:dyDescent="0.25">
      <c r="A96" s="215" t="str">
        <f ca="1">IF(Tabel152[[#This Row],[Rood Verdediging]]&lt;&gt;"",IF(A96="",NOW(),A96),"")</f>
        <v/>
      </c>
      <c r="B96" s="218" t="str">
        <f ca="1">IF(Tabel152[[#This Row],[Rood Verdediging]]&lt;&gt;"",IF(B96="",NOW(),B96),"")</f>
        <v/>
      </c>
      <c r="C96" s="216" t="str">
        <f ca="1">IF(Tabel152[[#This Row],[Score]]&lt;&gt;"",IF(C96="",NOW(),C96),"")</f>
        <v/>
      </c>
      <c r="D96" s="217" t="str">
        <f ca="1">IF(OR(Tabel152[[#This Row],[Starttijd]]="",Tabel152[[#This Row],[Eindtijd]]=""),"",Tabel152[[#This Row],[Eindtijd]]-Tabel152[[#This Row],[Starttijd]])</f>
        <v/>
      </c>
      <c r="E96" s="74">
        <v>95</v>
      </c>
      <c r="F96" s="205"/>
      <c r="G96" s="210"/>
      <c r="H96" s="205"/>
      <c r="I96" s="210"/>
      <c r="J96" s="206"/>
      <c r="K96" s="212"/>
      <c r="L96" s="206"/>
      <c r="M96" s="212"/>
      <c r="N96" s="79">
        <f>Tabel152[[#This Row],[Score]]+Tabel152[[#This Row],[Score2]]</f>
        <v>0</v>
      </c>
      <c r="O96" s="80">
        <f>Tabel152[[#This Row],[Score3]]+Tabel152[[#This Row],[Score4]]</f>
        <v>0</v>
      </c>
      <c r="P9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Row],[Score4]]&lt;&gt;""),IF(AND(N96&gt;O96,N96&gt;=11),"ROOD",IF(AND(O96&gt;=11,N96&lt;&gt;O96),"GROEN","")),"")</f>
        <v/>
      </c>
      <c r="Q96" s="84">
        <f t="shared" si="15"/>
        <v>0</v>
      </c>
      <c r="R96" s="85">
        <f t="shared" si="16"/>
        <v>0</v>
      </c>
      <c r="S96" s="293" t="str">
        <f>Tabel152[[#This Row],[Rood Verdediging]]&amp;Tabel152[[#This Row],[Rood Aanval]]</f>
        <v/>
      </c>
      <c r="T96" s="293" t="str">
        <f>Tabel152[[#This Row],[Groen Verdediging]]&amp;Tabel152[[#This Row],[Groen Aanval]]</f>
        <v/>
      </c>
      <c r="U96" s="293" t="str">
        <f>Tabel152[[#This Row],[Winnaar 1]]&amp;Tabel152[[#This Row],[Winnaar 2]]</f>
        <v>00</v>
      </c>
      <c r="V96" s="147" t="b">
        <f>IF(Tabel152[[#This Row],[Team Rood]]=Tabel152[[#This Row],[Winnaars]],Tabel152[[#This Row],[Team Rood]])</f>
        <v>0</v>
      </c>
      <c r="W96" s="147" t="b">
        <f>IF(Tabel152[[#This Row],[Team Groen]]=Tabel152[[#This Row],[Winnaars]],Tabel152[[#This Row],[Team Groen]])</f>
        <v>0</v>
      </c>
      <c r="X96" s="283"/>
      <c r="Y96" s="283"/>
      <c r="Z96" s="283"/>
      <c r="AA96" s="283"/>
      <c r="AL96" s="251" t="s">
        <v>162</v>
      </c>
      <c r="AM96" s="233" t="s">
        <v>160</v>
      </c>
      <c r="AN96" s="140" t="str">
        <f t="shared" si="14"/>
        <v>Matthijs*Tiemen*</v>
      </c>
      <c r="AO96" s="160">
        <f>IF(Tabel511[[#This Row],[Aantal Games Rood]]=0,0,(Tabel511[[#This Row],[Wins Rood]])/Tabel511[[#This Row],[Aantal Games Rood]])</f>
        <v>0</v>
      </c>
      <c r="AP96" s="159">
        <f>IF(Tabel511[[#This Row],[Aantal Games Groen]]=0,0,(Tabel511[[#This Row],[Wins Groen]])/Tabel511[[#This Row],[Aantal Games Groen]])</f>
        <v>0</v>
      </c>
      <c r="AQ96" s="156">
        <f>IF(Tabel511[[#This Row],[Aantal games Alg]]=0,0,(Tabel511[[#This Row],[Wins Alg]])/Tabel511[[#This Row],[Aantal games Alg]])</f>
        <v>0</v>
      </c>
      <c r="AR96" s="138">
        <f>COUNTIF(Tabel152[Winaar rood],Tabel511[[#This Row],[Team]])</f>
        <v>0</v>
      </c>
      <c r="AS96" s="134">
        <f>COUNTIF(Tabel152[Winnaar Groen],Tabel511[[#This Row],[Team]])</f>
        <v>0</v>
      </c>
      <c r="AT96" s="293">
        <f>COUNTIF(Tabel152[Winnaars],Tabel511[[#This Row],[Team]])</f>
        <v>0</v>
      </c>
      <c r="AU96" s="135">
        <f>Tabel511[[#This Row],[Aantal Games Rood]]-Tabel511[[#This Row],[Wins Rood]]</f>
        <v>1</v>
      </c>
      <c r="AV96" s="136">
        <f>Tabel511[[#This Row],[Aantal Games Groen]]-Tabel511[[#This Row],[Wins Groen]]</f>
        <v>0</v>
      </c>
      <c r="AW96" s="137">
        <f>Tabel511[[#This Row],[Aantal games Alg]]-Tabel511[[#This Row],[Wins Alg]]</f>
        <v>1</v>
      </c>
      <c r="AX96" s="138">
        <f>COUNTIF(Tabel152[Team Rood],Tabel511[[#This Row],[Team]])</f>
        <v>1</v>
      </c>
      <c r="AY96" s="136">
        <f>COUNTIF(Tabel152[Team Groen],Tabel511[[#This Row],[Team]])</f>
        <v>0</v>
      </c>
      <c r="AZ96" s="214">
        <f>Tabel511[[#This Row],[Aantal Games Rood]]+Tabel511[[#This Row],[Aantal Games Groen]]</f>
        <v>1</v>
      </c>
      <c r="BA96" s="138">
        <f>SUMIF(Tabel152[Team Rood],Tabel511[[#This Row],[Team]],Tabel152[Score])</f>
        <v>1</v>
      </c>
      <c r="BB96" s="138">
        <f>SUMIF(Tabel152[Team Rood],Tabel511[[#This Row],[Team]],Tabel152[Score2])</f>
        <v>8</v>
      </c>
      <c r="BC96" s="134">
        <f>SUMIF(Tabel152[Team Groen],Tabel511[[#This Row],[Team]],Tabel152[Score3])</f>
        <v>0</v>
      </c>
      <c r="BD96" s="136">
        <f>SUMIF(Tabel152[Team Groen],Tabel511[[#This Row],[Team]],Tabel152[Score4])</f>
        <v>0</v>
      </c>
      <c r="BE96" s="293">
        <f>SUM(Tabel511[[#This Row],[Goals Verdediger]]+Tabel511[[#This Row],[Goals DefG]])</f>
        <v>1</v>
      </c>
      <c r="BF96" s="293">
        <f>IF(Tabel511[[#This Row],[Aantal games Alg]]=0,0,Tabel511[[#This Row],[Goals DefA]]/Tabel511[[#This Row],[Aantal games Alg]])</f>
        <v>1</v>
      </c>
      <c r="BG96" s="293">
        <f>SUM(Tabel511[[#This Row],[Goals Aanvaller]]+Tabel511[[#This Row],[Goals OffG]])</f>
        <v>8</v>
      </c>
      <c r="BH96" s="293">
        <f>IF(Tabel511[[#This Row],[Aantal games Alg]]=0,0,Tabel511[[#This Row],[Goals OffA]]/Tabel511[[#This Row],[Aantal games Alg]])</f>
        <v>8</v>
      </c>
      <c r="BI96" s="214">
        <f>Tabel511[[#This Row],[Goals DefA]]+Tabel511[[#This Row],[Goals OffA]]</f>
        <v>9</v>
      </c>
      <c r="BJ96" s="214">
        <f>IF(Tabel511[[#This Row],[Aantal games Alg]]=0,0,Tabel511[[#This Row],[Goals Alg]]/Tabel511[[#This Row],[Aantal games Alg]])</f>
        <v>9</v>
      </c>
      <c r="BK96" s="148">
        <f ca="1">SUMIF(Tabel152[Team Rood],Tabel511[[#This Row],[Team]],Tabel152[ET])</f>
        <v>8.8310182036366314E-5</v>
      </c>
      <c r="BL96" s="150">
        <f>SUMIF(Tabel152[Team Groen],Tabel511[[#This Row],[Team]],Tabel152[ET])</f>
        <v>0</v>
      </c>
      <c r="BM96" s="153">
        <f ca="1">SUM(Tabel511[[#This Row],[ET Groen tot]],Tabel511[[#This Row],[ET Rood tot]])</f>
        <v>8.8310182036366314E-5</v>
      </c>
      <c r="BN96" s="155">
        <f ca="1">IF(Tabel511[[#This Row],[Aantal games Alg]]=0,0,Tabel511[[#This Row],[ET tot]]/Tabel511[[#This Row],[Aantal games Alg]])</f>
        <v>8.8310182036366314E-5</v>
      </c>
    </row>
    <row r="97" spans="1:66" x14ac:dyDescent="0.25">
      <c r="A97" s="215" t="str">
        <f ca="1">IF(Tabel152[[#This Row],[Rood Verdediging]]&lt;&gt;"",IF(A97="",NOW(),A97),"")</f>
        <v/>
      </c>
      <c r="B97" s="218" t="str">
        <f ca="1">IF(Tabel152[[#This Row],[Rood Verdediging]]&lt;&gt;"",IF(B97="",NOW(),B97),"")</f>
        <v/>
      </c>
      <c r="C97" s="216" t="str">
        <f ca="1">IF(Tabel152[[#This Row],[Score]]&lt;&gt;"",IF(C97="",NOW(),C97),"")</f>
        <v/>
      </c>
      <c r="D97" s="217" t="str">
        <f ca="1">IF(OR(Tabel152[[#This Row],[Starttijd]]="",Tabel152[[#This Row],[Eindtijd]]=""),"",Tabel152[[#This Row],[Eindtijd]]-Tabel152[[#This Row],[Starttijd]])</f>
        <v/>
      </c>
      <c r="E97" s="74">
        <v>96</v>
      </c>
      <c r="F97" s="205"/>
      <c r="G97" s="210"/>
      <c r="H97" s="205"/>
      <c r="I97" s="210"/>
      <c r="J97" s="206"/>
      <c r="K97" s="212"/>
      <c r="L97" s="206"/>
      <c r="M97" s="212"/>
      <c r="N97" s="79">
        <f>Tabel152[[#This Row],[Score]]+Tabel152[[#This Row],[Score2]]</f>
        <v>0</v>
      </c>
      <c r="O97" s="80">
        <f>Tabel152[[#This Row],[Score3]]+Tabel152[[#This Row],[Score4]]</f>
        <v>0</v>
      </c>
      <c r="P9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Row],[Score4]]&lt;&gt;""),IF(AND(N97&gt;O97,N97&gt;=11),"ROOD",IF(AND(O97&gt;=11,N97&lt;&gt;O97),"GROEN","")),"")</f>
        <v/>
      </c>
      <c r="Q97" s="84">
        <f t="shared" si="15"/>
        <v>0</v>
      </c>
      <c r="R97" s="85">
        <f t="shared" si="16"/>
        <v>0</v>
      </c>
      <c r="S97" s="293" t="str">
        <f>Tabel152[[#This Row],[Rood Verdediging]]&amp;Tabel152[[#This Row],[Rood Aanval]]</f>
        <v/>
      </c>
      <c r="T97" s="293" t="str">
        <f>Tabel152[[#This Row],[Groen Verdediging]]&amp;Tabel152[[#This Row],[Groen Aanval]]</f>
        <v/>
      </c>
      <c r="U97" s="293" t="str">
        <f>Tabel152[[#This Row],[Winnaar 1]]&amp;Tabel152[[#This Row],[Winnaar 2]]</f>
        <v>00</v>
      </c>
      <c r="V97" s="147" t="b">
        <f>IF(Tabel152[[#This Row],[Team Rood]]=Tabel152[[#This Row],[Winnaars]],Tabel152[[#This Row],[Team Rood]])</f>
        <v>0</v>
      </c>
      <c r="W97" s="147" t="b">
        <f>IF(Tabel152[[#This Row],[Team Groen]]=Tabel152[[#This Row],[Winnaars]],Tabel152[[#This Row],[Team Groen]])</f>
        <v>0</v>
      </c>
      <c r="X97" s="283"/>
      <c r="Y97" s="283"/>
      <c r="Z97" s="283"/>
      <c r="AA97" s="283"/>
      <c r="AL97" s="251" t="s">
        <v>162</v>
      </c>
      <c r="AM97" s="233" t="s">
        <v>157</v>
      </c>
      <c r="AN97" s="140" t="str">
        <f t="shared" si="14"/>
        <v>Matthijs*Tobi*</v>
      </c>
      <c r="AO97" s="160">
        <f>IF(Tabel511[[#This Row],[Aantal Games Rood]]=0,0,(Tabel511[[#This Row],[Wins Rood]])/Tabel511[[#This Row],[Aantal Games Rood]])</f>
        <v>0</v>
      </c>
      <c r="AP97" s="159">
        <f>IF(Tabel511[[#This Row],[Aantal Games Groen]]=0,0,(Tabel511[[#This Row],[Wins Groen]])/Tabel511[[#This Row],[Aantal Games Groen]])</f>
        <v>0</v>
      </c>
      <c r="AQ97" s="156">
        <f>IF(Tabel511[[#This Row],[Aantal games Alg]]=0,0,(Tabel511[[#This Row],[Wins Alg]])/Tabel511[[#This Row],[Aantal games Alg]])</f>
        <v>0</v>
      </c>
      <c r="AR97" s="133">
        <f>COUNTIF(Tabel152[Winaar rood],Tabel511[[#This Row],[Team]])</f>
        <v>0</v>
      </c>
      <c r="AS97" s="134">
        <f>COUNTIF(Tabel152[Winnaar Groen],Tabel511[[#This Row],[Team]])</f>
        <v>0</v>
      </c>
      <c r="AT97" s="293">
        <f>COUNTIF(Tabel152[Winnaars],Tabel511[[#This Row],[Team]])</f>
        <v>0</v>
      </c>
      <c r="AU97" s="135">
        <f>Tabel511[[#This Row],[Aantal Games Rood]]-Tabel511[[#This Row],[Wins Rood]]</f>
        <v>0</v>
      </c>
      <c r="AV97" s="136">
        <f>Tabel511[[#This Row],[Aantal Games Groen]]-Tabel511[[#This Row],[Wins Groen]]</f>
        <v>0</v>
      </c>
      <c r="AW97" s="137">
        <f>Tabel511[[#This Row],[Aantal games Alg]]-Tabel511[[#This Row],[Wins Alg]]</f>
        <v>0</v>
      </c>
      <c r="AX97" s="138">
        <f>COUNTIF(Tabel152[Team Rood],Tabel511[[#This Row],[Team]])</f>
        <v>0</v>
      </c>
      <c r="AY97" s="136">
        <f>COUNTIF(Tabel152[Team Groen],Tabel511[[#This Row],[Team]])</f>
        <v>0</v>
      </c>
      <c r="AZ97" s="214">
        <f>Tabel511[[#This Row],[Aantal Games Rood]]+Tabel511[[#This Row],[Aantal Games Groen]]</f>
        <v>0</v>
      </c>
      <c r="BA97" s="138">
        <f>SUMIF(Tabel152[Team Rood],Tabel511[[#This Row],[Team]],Tabel152[Score])</f>
        <v>0</v>
      </c>
      <c r="BB97" s="138">
        <f>SUMIF(Tabel152[Team Rood],Tabel511[[#This Row],[Team]],Tabel152[Score2])</f>
        <v>0</v>
      </c>
      <c r="BC97" s="134">
        <f>SUMIF(Tabel152[Team Groen],Tabel511[[#This Row],[Team]],Tabel152[Score3])</f>
        <v>0</v>
      </c>
      <c r="BD97" s="136">
        <f>SUMIF(Tabel152[Team Groen],Tabel511[[#This Row],[Team]],Tabel152[Score4])</f>
        <v>0</v>
      </c>
      <c r="BE97" s="293">
        <f>SUM(Tabel511[[#This Row],[Goals Verdediger]]+Tabel511[[#This Row],[Goals DefG]])</f>
        <v>0</v>
      </c>
      <c r="BF97" s="293">
        <f>IF(Tabel511[[#This Row],[Aantal games Alg]]=0,0,Tabel511[[#This Row],[Goals DefA]]/Tabel511[[#This Row],[Aantal games Alg]])</f>
        <v>0</v>
      </c>
      <c r="BG97" s="293">
        <f>SUM(Tabel511[[#This Row],[Goals Aanvaller]]+Tabel511[[#This Row],[Goals OffG]])</f>
        <v>0</v>
      </c>
      <c r="BH97" s="293">
        <f>IF(Tabel511[[#This Row],[Aantal games Alg]]=0,0,Tabel511[[#This Row],[Goals OffA]]/Tabel511[[#This Row],[Aantal games Alg]])</f>
        <v>0</v>
      </c>
      <c r="BI97" s="214">
        <f>Tabel511[[#This Row],[Goals DefA]]+Tabel511[[#This Row],[Goals OffA]]</f>
        <v>0</v>
      </c>
      <c r="BJ97" s="214">
        <f>IF(Tabel511[[#This Row],[Aantal games Alg]]=0,0,Tabel511[[#This Row],[Goals Alg]]/Tabel511[[#This Row],[Aantal games Alg]])</f>
        <v>0</v>
      </c>
      <c r="BK97" s="148">
        <f>SUMIF(Tabel152[Team Rood],Tabel511[[#This Row],[Team]],Tabel152[ET])</f>
        <v>0</v>
      </c>
      <c r="BL97" s="150">
        <f>SUMIF(Tabel152[Team Groen],Tabel511[[#This Row],[Team]],Tabel152[ET])</f>
        <v>0</v>
      </c>
      <c r="BM97" s="153">
        <f>SUM(Tabel511[[#This Row],[ET Groen tot]],Tabel511[[#This Row],[ET Rood tot]])</f>
        <v>0</v>
      </c>
      <c r="BN97" s="155">
        <f>IF(Tabel511[[#This Row],[Aantal games Alg]]=0,0,Tabel511[[#This Row],[ET tot]]/Tabel511[[#This Row],[Aantal games Alg]])</f>
        <v>0</v>
      </c>
    </row>
    <row r="98" spans="1:66" x14ac:dyDescent="0.25">
      <c r="A98" s="215" t="str">
        <f ca="1">IF(Tabel152[[#This Row],[Rood Verdediging]]&lt;&gt;"",IF(A98="",NOW(),A98),"")</f>
        <v/>
      </c>
      <c r="B98" s="218" t="str">
        <f ca="1">IF(Tabel152[[#This Row],[Rood Verdediging]]&lt;&gt;"",IF(B98="",NOW(),B98),"")</f>
        <v/>
      </c>
      <c r="C98" s="216" t="str">
        <f ca="1">IF(Tabel152[[#This Row],[Score]]&lt;&gt;"",IF(C98="",NOW(),C98),"")</f>
        <v/>
      </c>
      <c r="D98" s="217" t="str">
        <f ca="1">IF(OR(Tabel152[[#This Row],[Starttijd]]="",Tabel152[[#This Row],[Eindtijd]]=""),"",Tabel152[[#This Row],[Eindtijd]]-Tabel152[[#This Row],[Starttijd]])</f>
        <v/>
      </c>
      <c r="E98" s="74">
        <v>97</v>
      </c>
      <c r="F98" s="205"/>
      <c r="G98" s="210"/>
      <c r="H98" s="205"/>
      <c r="I98" s="210"/>
      <c r="J98" s="206"/>
      <c r="K98" s="212"/>
      <c r="L98" s="206"/>
      <c r="M98" s="212"/>
      <c r="N98" s="79">
        <f>Tabel152[[#This Row],[Score]]+Tabel152[[#This Row],[Score2]]</f>
        <v>0</v>
      </c>
      <c r="O98" s="80">
        <f>Tabel152[[#This Row],[Score3]]+Tabel152[[#This Row],[Score4]]</f>
        <v>0</v>
      </c>
      <c r="P9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Row],[Score4]]&lt;&gt;""),IF(AND(N98&gt;O98,N98&gt;=11),"ROOD",IF(AND(O98&gt;=11,N98&lt;&gt;O98),"GROEN","")),"")</f>
        <v/>
      </c>
      <c r="Q98" s="84">
        <f t="shared" si="15"/>
        <v>0</v>
      </c>
      <c r="R98" s="85">
        <f t="shared" si="16"/>
        <v>0</v>
      </c>
      <c r="S98" s="293" t="str">
        <f>Tabel152[[#This Row],[Rood Verdediging]]&amp;Tabel152[[#This Row],[Rood Aanval]]</f>
        <v/>
      </c>
      <c r="T98" s="293" t="str">
        <f>Tabel152[[#This Row],[Groen Verdediging]]&amp;Tabel152[[#This Row],[Groen Aanval]]</f>
        <v/>
      </c>
      <c r="U98" s="293" t="str">
        <f>Tabel152[[#This Row],[Winnaar 1]]&amp;Tabel152[[#This Row],[Winnaar 2]]</f>
        <v>00</v>
      </c>
      <c r="V98" s="147" t="b">
        <f>IF(Tabel152[[#This Row],[Team Rood]]=Tabel152[[#This Row],[Winnaars]],Tabel152[[#This Row],[Team Rood]])</f>
        <v>0</v>
      </c>
      <c r="W98" s="147" t="b">
        <f>IF(Tabel152[[#This Row],[Team Groen]]=Tabel152[[#This Row],[Winnaars]],Tabel152[[#This Row],[Team Groen]])</f>
        <v>0</v>
      </c>
      <c r="X98" s="283"/>
      <c r="Y98" s="283"/>
      <c r="Z98" s="283"/>
      <c r="AA98" s="283"/>
      <c r="AL98" s="251" t="s">
        <v>170</v>
      </c>
      <c r="AM98" s="233" t="s">
        <v>158</v>
      </c>
      <c r="AN98" s="140" t="str">
        <f t="shared" si="14"/>
        <v>Nico*Arno*</v>
      </c>
      <c r="AO98" s="160">
        <f>IF(Tabel511[[#This Row],[Aantal Games Rood]]=0,0,(Tabel511[[#This Row],[Wins Rood]])/Tabel511[[#This Row],[Aantal Games Rood]])</f>
        <v>0</v>
      </c>
      <c r="AP98" s="162">
        <f>IF(Tabel511[[#This Row],[Aantal Games Groen]]=0,0,(Tabel511[[#This Row],[Wins Groen]])/Tabel511[[#This Row],[Aantal Games Groen]])</f>
        <v>0</v>
      </c>
      <c r="AQ98" s="156">
        <f>IF(Tabel511[[#This Row],[Aantal games Alg]]=0,0,(Tabel511[[#This Row],[Wins Alg]])/Tabel511[[#This Row],[Aantal games Alg]])</f>
        <v>0</v>
      </c>
      <c r="AR98" s="171">
        <f>COUNTIF(Tabel152[Winaar rood],Tabel511[[#This Row],[Team]])</f>
        <v>0</v>
      </c>
      <c r="AS98" s="164">
        <f>COUNTIF(Tabel152[Winnaar Groen],Tabel511[[#This Row],[Team]])</f>
        <v>0</v>
      </c>
      <c r="AT98" s="147">
        <f>COUNTIF(Tabel152[Winnaars],Tabel511[[#This Row],[Team]])</f>
        <v>0</v>
      </c>
      <c r="AU98" s="163">
        <f>Tabel511[[#This Row],[Aantal Games Rood]]-Tabel511[[#This Row],[Wins Rood]]</f>
        <v>0</v>
      </c>
      <c r="AV98" s="164">
        <f>Tabel511[[#This Row],[Aantal Games Groen]]-Tabel511[[#This Row],[Wins Groen]]</f>
        <v>0</v>
      </c>
      <c r="AW98" s="165">
        <f>Tabel511[[#This Row],[Aantal games Alg]]-Tabel511[[#This Row],[Wins Alg]]</f>
        <v>0</v>
      </c>
      <c r="AX98" s="166">
        <f>COUNTIF(Tabel152[Team Rood],Tabel511[[#This Row],[Team]])</f>
        <v>0</v>
      </c>
      <c r="AY98" s="164">
        <f>COUNTIF(Tabel152[Team Groen],Tabel511[[#This Row],[Team]])</f>
        <v>0</v>
      </c>
      <c r="AZ98" s="170">
        <f>Tabel511[[#This Row],[Aantal Games Rood]]+Tabel511[[#This Row],[Aantal Games Groen]]</f>
        <v>0</v>
      </c>
      <c r="BA98" s="166">
        <f>SUMIF(Tabel152[Team Rood],Tabel511[[#This Row],[Team]],Tabel152[Score])</f>
        <v>0</v>
      </c>
      <c r="BB98" s="166">
        <f>SUMIF(Tabel152[Team Rood],Tabel511[[#This Row],[Team]],Tabel152[Score2])</f>
        <v>0</v>
      </c>
      <c r="BC98" s="134">
        <f>SUMIF(Tabel152[Team Groen],Tabel511[[#This Row],[Team]],Tabel152[Score3])</f>
        <v>0</v>
      </c>
      <c r="BD98" s="164">
        <f>SUMIF(Tabel152[Team Groen],Tabel511[[#This Row],[Team]],Tabel152[Score4])</f>
        <v>0</v>
      </c>
      <c r="BE98" s="167">
        <f>SUM(Tabel511[[#This Row],[Goals Verdediger]]+Tabel511[[#This Row],[Goals DefG]])</f>
        <v>0</v>
      </c>
      <c r="BF98" s="147">
        <f>IF(Tabel511[[#This Row],[Aantal games Alg]]=0,0,Tabel511[[#This Row],[Goals DefA]]/Tabel511[[#This Row],[Aantal games Alg]])</f>
        <v>0</v>
      </c>
      <c r="BG98" s="167">
        <f>SUM(Tabel511[[#This Row],[Goals Aanvaller]]+Tabel511[[#This Row],[Goals OffG]])</f>
        <v>0</v>
      </c>
      <c r="BH98" s="147">
        <f>IF(Tabel511[[#This Row],[Aantal games Alg]]=0,0,Tabel511[[#This Row],[Goals OffA]]/Tabel511[[#This Row],[Aantal games Alg]])</f>
        <v>0</v>
      </c>
      <c r="BI98" s="147">
        <f>Tabel511[[#This Row],[Goals DefA]]+Tabel511[[#This Row],[Goals OffA]]</f>
        <v>0</v>
      </c>
      <c r="BJ98" s="147">
        <f>IF(Tabel511[[#This Row],[Aantal games Alg]]=0,0,Tabel511[[#This Row],[Goals Alg]]/Tabel511[[#This Row],[Aantal games Alg]])</f>
        <v>0</v>
      </c>
      <c r="BK98" s="148">
        <f>SUMIF(Tabel152[Team Rood],Tabel511[[#This Row],[Team]],Tabel152[ET])</f>
        <v>0</v>
      </c>
      <c r="BL98" s="168">
        <f>SUMIF(Tabel152[Team Groen],Tabel511[[#This Row],[Team]],Tabel152[ET])</f>
        <v>0</v>
      </c>
      <c r="BM98" s="221">
        <f>SUM(Tabel511[[#This Row],[ET Groen tot]],Tabel511[[#This Row],[ET Rood tot]])</f>
        <v>0</v>
      </c>
      <c r="BN98" s="155">
        <f>IF(Tabel511[[#This Row],[Aantal games Alg]]=0,0,Tabel511[[#This Row],[ET tot]]/Tabel511[[#This Row],[Aantal games Alg]])</f>
        <v>0</v>
      </c>
    </row>
    <row r="99" spans="1:66" x14ac:dyDescent="0.25">
      <c r="A99" s="215" t="str">
        <f ca="1">IF(Tabel152[[#This Row],[Rood Verdediging]]&lt;&gt;"",IF(A99="",NOW(),A99),"")</f>
        <v/>
      </c>
      <c r="B99" s="218" t="str">
        <f ca="1">IF(Tabel152[[#This Row],[Rood Verdediging]]&lt;&gt;"",IF(B99="",NOW(),B99),"")</f>
        <v/>
      </c>
      <c r="C99" s="216" t="str">
        <f ca="1">IF(Tabel152[[#This Row],[Score]]&lt;&gt;"",IF(C99="",NOW(),C99),"")</f>
        <v/>
      </c>
      <c r="D99" s="217" t="str">
        <f ca="1">IF(OR(Tabel152[[#This Row],[Starttijd]]="",Tabel152[[#This Row],[Eindtijd]]=""),"",Tabel152[[#This Row],[Eindtijd]]-Tabel152[[#This Row],[Starttijd]])</f>
        <v/>
      </c>
      <c r="E99" s="74">
        <v>98</v>
      </c>
      <c r="F99" s="205"/>
      <c r="G99" s="210"/>
      <c r="H99" s="205"/>
      <c r="I99" s="210"/>
      <c r="J99" s="206"/>
      <c r="K99" s="212"/>
      <c r="L99" s="206"/>
      <c r="M99" s="212"/>
      <c r="N99" s="79">
        <f>Tabel152[[#This Row],[Score]]+Tabel152[[#This Row],[Score2]]</f>
        <v>0</v>
      </c>
      <c r="O99" s="80">
        <f>Tabel152[[#This Row],[Score3]]+Tabel152[[#This Row],[Score4]]</f>
        <v>0</v>
      </c>
      <c r="P9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Row],[Score4]]&lt;&gt;""),IF(AND(N99&gt;O99,N99&gt;=11),"ROOD",IF(AND(O99&gt;=11,N99&lt;&gt;O99),"GROEN","")),"")</f>
        <v/>
      </c>
      <c r="Q99" s="84">
        <f t="shared" si="15"/>
        <v>0</v>
      </c>
      <c r="R99" s="85">
        <f t="shared" si="16"/>
        <v>0</v>
      </c>
      <c r="S99" s="293" t="str">
        <f>Tabel152[[#This Row],[Rood Verdediging]]&amp;Tabel152[[#This Row],[Rood Aanval]]</f>
        <v/>
      </c>
      <c r="T99" s="293" t="str">
        <f>Tabel152[[#This Row],[Groen Verdediging]]&amp;Tabel152[[#This Row],[Groen Aanval]]</f>
        <v/>
      </c>
      <c r="U99" s="293" t="str">
        <f>Tabel152[[#This Row],[Winnaar 1]]&amp;Tabel152[[#This Row],[Winnaar 2]]</f>
        <v>00</v>
      </c>
      <c r="V99" s="147" t="b">
        <f>IF(Tabel152[[#This Row],[Team Rood]]=Tabel152[[#This Row],[Winnaars]],Tabel152[[#This Row],[Team Rood]])</f>
        <v>0</v>
      </c>
      <c r="W99" s="147" t="b">
        <f>IF(Tabel152[[#This Row],[Team Groen]]=Tabel152[[#This Row],[Winnaars]],Tabel152[[#This Row],[Team Groen]])</f>
        <v>0</v>
      </c>
      <c r="X99" s="283"/>
      <c r="Y99" s="283"/>
      <c r="Z99" s="283"/>
      <c r="AA99" s="283"/>
      <c r="AL99" s="251" t="s">
        <v>170</v>
      </c>
      <c r="AM99" s="233" t="s">
        <v>163</v>
      </c>
      <c r="AN99" s="140" t="str">
        <f t="shared" si="14"/>
        <v>Nico*Bert*</v>
      </c>
      <c r="AO99" s="160">
        <f>IF(Tabel511[[#This Row],[Aantal Games Rood]]=0,0,(Tabel511[[#This Row],[Wins Rood]])/Tabel511[[#This Row],[Aantal Games Rood]])</f>
        <v>0</v>
      </c>
      <c r="AP99" s="162">
        <f>IF(Tabel511[[#This Row],[Aantal Games Groen]]=0,0,(Tabel511[[#This Row],[Wins Groen]])/Tabel511[[#This Row],[Aantal Games Groen]])</f>
        <v>0</v>
      </c>
      <c r="AQ99" s="156">
        <f>IF(Tabel511[[#This Row],[Aantal games Alg]]=0,0,(Tabel511[[#This Row],[Wins Alg]])/Tabel511[[#This Row],[Aantal games Alg]])</f>
        <v>0</v>
      </c>
      <c r="AR99" s="171">
        <f>COUNTIF(Tabel152[Winaar rood],Tabel511[[#This Row],[Team]])</f>
        <v>0</v>
      </c>
      <c r="AS99" s="164">
        <f>COUNTIF(Tabel152[Winnaar Groen],Tabel511[[#This Row],[Team]])</f>
        <v>0</v>
      </c>
      <c r="AT99" s="147">
        <f>COUNTIF(Tabel152[Winnaars],Tabel511[[#This Row],[Team]])</f>
        <v>0</v>
      </c>
      <c r="AU99" s="163">
        <f>Tabel511[[#This Row],[Aantal Games Rood]]-Tabel511[[#This Row],[Wins Rood]]</f>
        <v>0</v>
      </c>
      <c r="AV99" s="164">
        <f>Tabel511[[#This Row],[Aantal Games Groen]]-Tabel511[[#This Row],[Wins Groen]]</f>
        <v>0</v>
      </c>
      <c r="AW99" s="165">
        <f>Tabel511[[#This Row],[Aantal games Alg]]-Tabel511[[#This Row],[Wins Alg]]</f>
        <v>0</v>
      </c>
      <c r="AX99" s="166">
        <f>COUNTIF(Tabel152[Team Rood],Tabel511[[#This Row],[Team]])</f>
        <v>0</v>
      </c>
      <c r="AY99" s="164">
        <f>COUNTIF(Tabel152[Team Groen],Tabel511[[#This Row],[Team]])</f>
        <v>0</v>
      </c>
      <c r="AZ99" s="170">
        <f>Tabel511[[#This Row],[Aantal Games Rood]]+Tabel511[[#This Row],[Aantal Games Groen]]</f>
        <v>0</v>
      </c>
      <c r="BA99" s="166">
        <f>SUMIF(Tabel152[Team Rood],Tabel511[[#This Row],[Team]],Tabel152[Score])</f>
        <v>0</v>
      </c>
      <c r="BB99" s="166">
        <f>SUMIF(Tabel152[Team Rood],Tabel511[[#This Row],[Team]],Tabel152[Score2])</f>
        <v>0</v>
      </c>
      <c r="BC99" s="134">
        <f>SUMIF(Tabel152[Team Groen],Tabel511[[#This Row],[Team]],Tabel152[Score3])</f>
        <v>0</v>
      </c>
      <c r="BD99" s="164">
        <f>SUMIF(Tabel152[Team Groen],Tabel511[[#This Row],[Team]],Tabel152[Score4])</f>
        <v>0</v>
      </c>
      <c r="BE99" s="167">
        <f>SUM(Tabel511[[#This Row],[Goals Verdediger]]+Tabel511[[#This Row],[Goals DefG]])</f>
        <v>0</v>
      </c>
      <c r="BF99" s="147">
        <f>IF(Tabel511[[#This Row],[Aantal games Alg]]=0,0,Tabel511[[#This Row],[Goals DefA]]/Tabel511[[#This Row],[Aantal games Alg]])</f>
        <v>0</v>
      </c>
      <c r="BG99" s="167">
        <f>SUM(Tabel511[[#This Row],[Goals Aanvaller]]+Tabel511[[#This Row],[Goals OffG]])</f>
        <v>0</v>
      </c>
      <c r="BH99" s="147">
        <f>IF(Tabel511[[#This Row],[Aantal games Alg]]=0,0,Tabel511[[#This Row],[Goals OffA]]/Tabel511[[#This Row],[Aantal games Alg]])</f>
        <v>0</v>
      </c>
      <c r="BI99" s="147">
        <f>Tabel511[[#This Row],[Goals DefA]]+Tabel511[[#This Row],[Goals OffA]]</f>
        <v>0</v>
      </c>
      <c r="BJ99" s="147">
        <f>IF(Tabel511[[#This Row],[Aantal games Alg]]=0,0,Tabel511[[#This Row],[Goals Alg]]/Tabel511[[#This Row],[Aantal games Alg]])</f>
        <v>0</v>
      </c>
      <c r="BK99" s="148">
        <f>SUMIF(Tabel152[Team Rood],Tabel511[[#This Row],[Team]],Tabel152[ET])</f>
        <v>0</v>
      </c>
      <c r="BL99" s="168">
        <f>SUMIF(Tabel152[Team Groen],Tabel511[[#This Row],[Team]],Tabel152[ET])</f>
        <v>0</v>
      </c>
      <c r="BM99" s="221">
        <f>SUM(Tabel511[[#This Row],[ET Groen tot]],Tabel511[[#This Row],[ET Rood tot]])</f>
        <v>0</v>
      </c>
      <c r="BN99" s="155">
        <f>IF(Tabel511[[#This Row],[Aantal games Alg]]=0,0,Tabel511[[#This Row],[ET tot]]/Tabel511[[#This Row],[Aantal games Alg]])</f>
        <v>0</v>
      </c>
    </row>
    <row r="100" spans="1:66" x14ac:dyDescent="0.25">
      <c r="A100" s="215" t="str">
        <f ca="1">IF(Tabel152[[#This Row],[Rood Verdediging]]&lt;&gt;"",IF(A100="",NOW(),A100),"")</f>
        <v/>
      </c>
      <c r="B100" s="218" t="str">
        <f ca="1">IF(Tabel152[[#This Row],[Rood Verdediging]]&lt;&gt;"",IF(B100="",NOW(),B100),"")</f>
        <v/>
      </c>
      <c r="C100" s="216" t="str">
        <f ca="1">IF(Tabel152[[#This Row],[Score]]&lt;&gt;"",IF(C100="",NOW(),C100),"")</f>
        <v/>
      </c>
      <c r="D100" s="217" t="str">
        <f ca="1">IF(OR(Tabel152[[#This Row],[Starttijd]]="",Tabel152[[#This Row],[Eindtijd]]=""),"",Tabel152[[#This Row],[Eindtijd]]-Tabel152[[#This Row],[Starttijd]])</f>
        <v/>
      </c>
      <c r="E100" s="74">
        <v>99</v>
      </c>
      <c r="F100" s="205"/>
      <c r="G100" s="210"/>
      <c r="H100" s="205"/>
      <c r="I100" s="210"/>
      <c r="J100" s="206"/>
      <c r="K100" s="212"/>
      <c r="L100" s="206"/>
      <c r="M100" s="212"/>
      <c r="N100" s="79">
        <f>Tabel152[[#This Row],[Score]]+Tabel152[[#This Row],[Score2]]</f>
        <v>0</v>
      </c>
      <c r="O100" s="80">
        <f>Tabel152[[#This Row],[Score3]]+Tabel152[[#This Row],[Score4]]</f>
        <v>0</v>
      </c>
      <c r="P10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Row],[Score4]]&lt;&gt;""),IF(AND(N100&gt;O100,N100&gt;=11),"ROOD",IF(AND(O100&gt;=11,N100&lt;&gt;O100),"GROEN","")),"")</f>
        <v/>
      </c>
      <c r="Q100" s="84">
        <f t="shared" si="15"/>
        <v>0</v>
      </c>
      <c r="R100" s="85">
        <f t="shared" si="16"/>
        <v>0</v>
      </c>
      <c r="S100" s="293" t="str">
        <f>Tabel152[[#This Row],[Rood Verdediging]]&amp;Tabel152[[#This Row],[Rood Aanval]]</f>
        <v/>
      </c>
      <c r="T100" s="293" t="str">
        <f>Tabel152[[#This Row],[Groen Verdediging]]&amp;Tabel152[[#This Row],[Groen Aanval]]</f>
        <v/>
      </c>
      <c r="U100" s="293" t="str">
        <f>Tabel152[[#This Row],[Winnaar 1]]&amp;Tabel152[[#This Row],[Winnaar 2]]</f>
        <v>00</v>
      </c>
      <c r="V100" s="147" t="b">
        <f>IF(Tabel152[[#This Row],[Team Rood]]=Tabel152[[#This Row],[Winnaars]],Tabel152[[#This Row],[Team Rood]])</f>
        <v>0</v>
      </c>
      <c r="W100" s="147" t="b">
        <f>IF(Tabel152[[#This Row],[Team Groen]]=Tabel152[[#This Row],[Winnaars]],Tabel152[[#This Row],[Team Groen]])</f>
        <v>0</v>
      </c>
      <c r="X100" s="283"/>
      <c r="Y100" s="283"/>
      <c r="Z100" s="283"/>
      <c r="AA100" s="283"/>
      <c r="AL100" s="251" t="s">
        <v>170</v>
      </c>
      <c r="AM100" s="233" t="s">
        <v>168</v>
      </c>
      <c r="AN100" s="140" t="str">
        <f t="shared" si="14"/>
        <v>Nico*Coghe*</v>
      </c>
      <c r="AO100" s="160">
        <f>IF(Tabel511[[#This Row],[Aantal Games Rood]]=0,0,(Tabel511[[#This Row],[Wins Rood]])/Tabel511[[#This Row],[Aantal Games Rood]])</f>
        <v>0</v>
      </c>
      <c r="AP100" s="162">
        <f>IF(Tabel511[[#This Row],[Aantal Games Groen]]=0,0,(Tabel511[[#This Row],[Wins Groen]])/Tabel511[[#This Row],[Aantal Games Groen]])</f>
        <v>0</v>
      </c>
      <c r="AQ100" s="156">
        <f>IF(Tabel511[[#This Row],[Aantal games Alg]]=0,0,(Tabel511[[#This Row],[Wins Alg]])/Tabel511[[#This Row],[Aantal games Alg]])</f>
        <v>0</v>
      </c>
      <c r="AR100" s="171">
        <f>COUNTIF(Tabel152[Winaar rood],Tabel511[[#This Row],[Team]])</f>
        <v>0</v>
      </c>
      <c r="AS100" s="164">
        <f>COUNTIF(Tabel152[Winnaar Groen],Tabel511[[#This Row],[Team]])</f>
        <v>0</v>
      </c>
      <c r="AT100" s="147">
        <f>COUNTIF(Tabel152[Winnaars],Tabel511[[#This Row],[Team]])</f>
        <v>0</v>
      </c>
      <c r="AU100" s="163">
        <f>Tabel511[[#This Row],[Aantal Games Rood]]-Tabel511[[#This Row],[Wins Rood]]</f>
        <v>0</v>
      </c>
      <c r="AV100" s="164">
        <f>Tabel511[[#This Row],[Aantal Games Groen]]-Tabel511[[#This Row],[Wins Groen]]</f>
        <v>0</v>
      </c>
      <c r="AW100" s="165">
        <f>Tabel511[[#This Row],[Aantal games Alg]]-Tabel511[[#This Row],[Wins Alg]]</f>
        <v>0</v>
      </c>
      <c r="AX100" s="166">
        <f>COUNTIF(Tabel152[Team Rood],Tabel511[[#This Row],[Team]])</f>
        <v>0</v>
      </c>
      <c r="AY100" s="164">
        <f>COUNTIF(Tabel152[Team Groen],Tabel511[[#This Row],[Team]])</f>
        <v>0</v>
      </c>
      <c r="AZ100" s="170">
        <f>Tabel511[[#This Row],[Aantal Games Rood]]+Tabel511[[#This Row],[Aantal Games Groen]]</f>
        <v>0</v>
      </c>
      <c r="BA100" s="166">
        <f>SUMIF(Tabel152[Team Rood],Tabel511[[#This Row],[Team]],Tabel152[Score])</f>
        <v>0</v>
      </c>
      <c r="BB100" s="166">
        <f>SUMIF(Tabel152[Team Rood],Tabel511[[#This Row],[Team]],Tabel152[Score2])</f>
        <v>0</v>
      </c>
      <c r="BC100" s="134">
        <f>SUMIF(Tabel152[Team Groen],Tabel511[[#This Row],[Team]],Tabel152[Score3])</f>
        <v>0</v>
      </c>
      <c r="BD100" s="164">
        <f>SUMIF(Tabel152[Team Groen],Tabel511[[#This Row],[Team]],Tabel152[Score4])</f>
        <v>0</v>
      </c>
      <c r="BE100" s="167">
        <f>SUM(Tabel511[[#This Row],[Goals Verdediger]]+Tabel511[[#This Row],[Goals DefG]])</f>
        <v>0</v>
      </c>
      <c r="BF100" s="147">
        <f>IF(Tabel511[[#This Row],[Aantal games Alg]]=0,0,Tabel511[[#This Row],[Goals DefA]]/Tabel511[[#This Row],[Aantal games Alg]])</f>
        <v>0</v>
      </c>
      <c r="BG100" s="167">
        <f>SUM(Tabel511[[#This Row],[Goals Aanvaller]]+Tabel511[[#This Row],[Goals OffG]])</f>
        <v>0</v>
      </c>
      <c r="BH100" s="147">
        <f>IF(Tabel511[[#This Row],[Aantal games Alg]]=0,0,Tabel511[[#This Row],[Goals OffA]]/Tabel511[[#This Row],[Aantal games Alg]])</f>
        <v>0</v>
      </c>
      <c r="BI100" s="147">
        <f>Tabel511[[#This Row],[Goals DefA]]+Tabel511[[#This Row],[Goals OffA]]</f>
        <v>0</v>
      </c>
      <c r="BJ100" s="147">
        <f>IF(Tabel511[[#This Row],[Aantal games Alg]]=0,0,Tabel511[[#This Row],[Goals Alg]]/Tabel511[[#This Row],[Aantal games Alg]])</f>
        <v>0</v>
      </c>
      <c r="BK100" s="148">
        <f>SUMIF(Tabel152[Team Rood],Tabel511[[#This Row],[Team]],Tabel152[ET])</f>
        <v>0</v>
      </c>
      <c r="BL100" s="168">
        <f>SUMIF(Tabel152[Team Groen],Tabel511[[#This Row],[Team]],Tabel152[ET])</f>
        <v>0</v>
      </c>
      <c r="BM100" s="221">
        <f>SUM(Tabel511[[#This Row],[ET Groen tot]],Tabel511[[#This Row],[ET Rood tot]])</f>
        <v>0</v>
      </c>
      <c r="BN100" s="155">
        <f>IF(Tabel511[[#This Row],[Aantal games Alg]]=0,0,Tabel511[[#This Row],[ET tot]]/Tabel511[[#This Row],[Aantal games Alg]])</f>
        <v>0</v>
      </c>
    </row>
    <row r="101" spans="1:66" x14ac:dyDescent="0.25">
      <c r="A101" s="215" t="str">
        <f ca="1">IF(Tabel152[[#This Row],[Rood Verdediging]]&lt;&gt;"",IF(A101="",NOW(),A101),"")</f>
        <v/>
      </c>
      <c r="B101" s="218" t="str">
        <f ca="1">IF(Tabel152[[#This Row],[Rood Verdediging]]&lt;&gt;"",IF(B101="",NOW(),B101),"")</f>
        <v/>
      </c>
      <c r="C101" s="216" t="str">
        <f ca="1">IF(Tabel152[[#This Row],[Score]]&lt;&gt;"",IF(C101="",NOW(),C101),"")</f>
        <v/>
      </c>
      <c r="D101" s="217" t="str">
        <f ca="1">IF(OR(Tabel152[[#This Row],[Starttijd]]="",Tabel152[[#This Row],[Eindtijd]]=""),"",Tabel152[[#This Row],[Eindtijd]]-Tabel152[[#This Row],[Starttijd]])</f>
        <v/>
      </c>
      <c r="E101" s="74">
        <v>100</v>
      </c>
      <c r="F101" s="205"/>
      <c r="G101" s="210"/>
      <c r="H101" s="205"/>
      <c r="I101" s="210"/>
      <c r="J101" s="206"/>
      <c r="K101" s="212"/>
      <c r="L101" s="206"/>
      <c r="M101" s="212"/>
      <c r="N101" s="79">
        <f>Tabel152[[#This Row],[Score]]+Tabel152[[#This Row],[Score2]]</f>
        <v>0</v>
      </c>
      <c r="O101" s="80">
        <f>Tabel152[[#This Row],[Score3]]+Tabel152[[#This Row],[Score4]]</f>
        <v>0</v>
      </c>
      <c r="P10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Row],[Score4]]&lt;&gt;""),IF(AND(N101&gt;O101,N101&gt;=11),"ROOD",IF(AND(O101&gt;=11,N101&lt;&gt;O101),"GROEN","")),"")</f>
        <v/>
      </c>
      <c r="Q101" s="84">
        <f t="shared" si="15"/>
        <v>0</v>
      </c>
      <c r="R101" s="85">
        <f t="shared" si="16"/>
        <v>0</v>
      </c>
      <c r="S101" s="293" t="str">
        <f>Tabel152[[#This Row],[Rood Verdediging]]&amp;Tabel152[[#This Row],[Rood Aanval]]</f>
        <v/>
      </c>
      <c r="T101" s="293" t="str">
        <f>Tabel152[[#This Row],[Groen Verdediging]]&amp;Tabel152[[#This Row],[Groen Aanval]]</f>
        <v/>
      </c>
      <c r="U101" s="293" t="str">
        <f>Tabel152[[#This Row],[Winnaar 1]]&amp;Tabel152[[#This Row],[Winnaar 2]]</f>
        <v>00</v>
      </c>
      <c r="V101" s="147" t="b">
        <f>IF(Tabel152[[#This Row],[Team Rood]]=Tabel152[[#This Row],[Winnaars]],Tabel152[[#This Row],[Team Rood]])</f>
        <v>0</v>
      </c>
      <c r="W101" s="147" t="b">
        <f>IF(Tabel152[[#This Row],[Team Groen]]=Tabel152[[#This Row],[Winnaars]],Tabel152[[#This Row],[Team Groen]])</f>
        <v>0</v>
      </c>
      <c r="X101" s="283"/>
      <c r="Y101" s="283"/>
      <c r="Z101" s="283"/>
      <c r="AA101" s="283"/>
      <c r="AL101" s="251" t="s">
        <v>170</v>
      </c>
      <c r="AM101" s="233" t="s">
        <v>159</v>
      </c>
      <c r="AN101" s="140" t="str">
        <f t="shared" si="14"/>
        <v>Nico*Jonas*</v>
      </c>
      <c r="AO101" s="160">
        <f>IF(Tabel511[[#This Row],[Aantal Games Rood]]=0,0,(Tabel511[[#This Row],[Wins Rood]])/Tabel511[[#This Row],[Aantal Games Rood]])</f>
        <v>0</v>
      </c>
      <c r="AP101" s="162">
        <f>IF(Tabel511[[#This Row],[Aantal Games Groen]]=0,0,(Tabel511[[#This Row],[Wins Groen]])/Tabel511[[#This Row],[Aantal Games Groen]])</f>
        <v>0</v>
      </c>
      <c r="AQ101" s="156">
        <f>IF(Tabel511[[#This Row],[Aantal games Alg]]=0,0,(Tabel511[[#This Row],[Wins Alg]])/Tabel511[[#This Row],[Aantal games Alg]])</f>
        <v>0</v>
      </c>
      <c r="AR101" s="171">
        <f>COUNTIF(Tabel152[Winaar rood],Tabel511[[#This Row],[Team]])</f>
        <v>0</v>
      </c>
      <c r="AS101" s="164">
        <f>COUNTIF(Tabel152[Winnaar Groen],Tabel511[[#This Row],[Team]])</f>
        <v>0</v>
      </c>
      <c r="AT101" s="147">
        <f>COUNTIF(Tabel152[Winnaars],Tabel511[[#This Row],[Team]])</f>
        <v>0</v>
      </c>
      <c r="AU101" s="163">
        <f>Tabel511[[#This Row],[Aantal Games Rood]]-Tabel511[[#This Row],[Wins Rood]]</f>
        <v>0</v>
      </c>
      <c r="AV101" s="164">
        <f>Tabel511[[#This Row],[Aantal Games Groen]]-Tabel511[[#This Row],[Wins Groen]]</f>
        <v>0</v>
      </c>
      <c r="AW101" s="165">
        <f>Tabel511[[#This Row],[Aantal games Alg]]-Tabel511[[#This Row],[Wins Alg]]</f>
        <v>0</v>
      </c>
      <c r="AX101" s="166">
        <f>COUNTIF(Tabel152[Team Rood],Tabel511[[#This Row],[Team]])</f>
        <v>0</v>
      </c>
      <c r="AY101" s="164">
        <f>COUNTIF(Tabel152[Team Groen],Tabel511[[#This Row],[Team]])</f>
        <v>0</v>
      </c>
      <c r="AZ101" s="170">
        <f>Tabel511[[#This Row],[Aantal Games Rood]]+Tabel511[[#This Row],[Aantal Games Groen]]</f>
        <v>0</v>
      </c>
      <c r="BA101" s="166">
        <f>SUMIF(Tabel152[Team Rood],Tabel511[[#This Row],[Team]],Tabel152[Score])</f>
        <v>0</v>
      </c>
      <c r="BB101" s="166">
        <f>SUMIF(Tabel152[Team Rood],Tabel511[[#This Row],[Team]],Tabel152[Score2])</f>
        <v>0</v>
      </c>
      <c r="BC101" s="134">
        <f>SUMIF(Tabel152[Team Groen],Tabel511[[#This Row],[Team]],Tabel152[Score3])</f>
        <v>0</v>
      </c>
      <c r="BD101" s="164">
        <f>SUMIF(Tabel152[Team Groen],Tabel511[[#This Row],[Team]],Tabel152[Score4])</f>
        <v>0</v>
      </c>
      <c r="BE101" s="167">
        <f>SUM(Tabel511[[#This Row],[Goals Verdediger]]+Tabel511[[#This Row],[Goals DefG]])</f>
        <v>0</v>
      </c>
      <c r="BF101" s="147">
        <f>IF(Tabel511[[#This Row],[Aantal games Alg]]=0,0,Tabel511[[#This Row],[Goals DefA]]/Tabel511[[#This Row],[Aantal games Alg]])</f>
        <v>0</v>
      </c>
      <c r="BG101" s="167">
        <f>SUM(Tabel511[[#This Row],[Goals Aanvaller]]+Tabel511[[#This Row],[Goals OffG]])</f>
        <v>0</v>
      </c>
      <c r="BH101" s="147">
        <f>IF(Tabel511[[#This Row],[Aantal games Alg]]=0,0,Tabel511[[#This Row],[Goals OffA]]/Tabel511[[#This Row],[Aantal games Alg]])</f>
        <v>0</v>
      </c>
      <c r="BI101" s="147">
        <f>Tabel511[[#This Row],[Goals DefA]]+Tabel511[[#This Row],[Goals OffA]]</f>
        <v>0</v>
      </c>
      <c r="BJ101" s="147">
        <f>IF(Tabel511[[#This Row],[Aantal games Alg]]=0,0,Tabel511[[#This Row],[Goals Alg]]/Tabel511[[#This Row],[Aantal games Alg]])</f>
        <v>0</v>
      </c>
      <c r="BK101" s="148">
        <f>SUMIF(Tabel152[Team Rood],Tabel511[[#This Row],[Team]],Tabel152[ET])</f>
        <v>0</v>
      </c>
      <c r="BL101" s="168">
        <f>SUMIF(Tabel152[Team Groen],Tabel511[[#This Row],[Team]],Tabel152[ET])</f>
        <v>0</v>
      </c>
      <c r="BM101" s="221">
        <f>SUM(Tabel511[[#This Row],[ET Groen tot]],Tabel511[[#This Row],[ET Rood tot]])</f>
        <v>0</v>
      </c>
      <c r="BN101" s="155">
        <f>IF(Tabel511[[#This Row],[Aantal games Alg]]=0,0,Tabel511[[#This Row],[ET tot]]/Tabel511[[#This Row],[Aantal games Alg]])</f>
        <v>0</v>
      </c>
    </row>
    <row r="102" spans="1:66" x14ac:dyDescent="0.25">
      <c r="A102" s="215" t="str">
        <f ca="1">IF(Tabel152[[#This Row],[Rood Verdediging]]&lt;&gt;"",IF(A102="",NOW(),A102),"")</f>
        <v/>
      </c>
      <c r="B102" s="218" t="str">
        <f ca="1">IF(Tabel152[[#This Row],[Rood Verdediging]]&lt;&gt;"",IF(B102="",NOW(),B102),"")</f>
        <v/>
      </c>
      <c r="C102" s="216" t="str">
        <f ca="1">IF(Tabel152[[#This Row],[Score]]&lt;&gt;"",IF(C102="",NOW(),C102),"")</f>
        <v/>
      </c>
      <c r="D102" s="217" t="str">
        <f ca="1">IF(OR(Tabel152[[#This Row],[Starttijd]]="",Tabel152[[#This Row],[Eindtijd]]=""),"",Tabel152[[#This Row],[Eindtijd]]-Tabel152[[#This Row],[Starttijd]])</f>
        <v/>
      </c>
      <c r="E102" s="74">
        <v>101</v>
      </c>
      <c r="F102" s="205"/>
      <c r="G102" s="210"/>
      <c r="H102" s="205"/>
      <c r="I102" s="210"/>
      <c r="J102" s="206"/>
      <c r="K102" s="212"/>
      <c r="L102" s="206"/>
      <c r="M102" s="212"/>
      <c r="N102" s="79">
        <f>Tabel152[[#This Row],[Score]]+Tabel152[[#This Row],[Score2]]</f>
        <v>0</v>
      </c>
      <c r="O102" s="80">
        <f>Tabel152[[#This Row],[Score3]]+Tabel152[[#This Row],[Score4]]</f>
        <v>0</v>
      </c>
      <c r="P10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Row],[Score4]]&lt;&gt;""),IF(AND(N102&gt;O102,N102&gt;=11),"ROOD",IF(AND(O102&gt;=11,N102&lt;&gt;O102),"GROEN","")),"")</f>
        <v/>
      </c>
      <c r="Q102" s="84">
        <f t="shared" si="15"/>
        <v>0</v>
      </c>
      <c r="R102" s="85">
        <f t="shared" si="16"/>
        <v>0</v>
      </c>
      <c r="S102" s="293" t="str">
        <f>Tabel152[[#This Row],[Rood Verdediging]]&amp;Tabel152[[#This Row],[Rood Aanval]]</f>
        <v/>
      </c>
      <c r="T102" s="293" t="str">
        <f>Tabel152[[#This Row],[Groen Verdediging]]&amp;Tabel152[[#This Row],[Groen Aanval]]</f>
        <v/>
      </c>
      <c r="U102" s="293" t="str">
        <f>Tabel152[[#This Row],[Winnaar 1]]&amp;Tabel152[[#This Row],[Winnaar 2]]</f>
        <v>00</v>
      </c>
      <c r="V102" s="147" t="b">
        <f>IF(Tabel152[[#This Row],[Team Rood]]=Tabel152[[#This Row],[Winnaars]],Tabel152[[#This Row],[Team Rood]])</f>
        <v>0</v>
      </c>
      <c r="W102" s="147" t="b">
        <f>IF(Tabel152[[#This Row],[Team Groen]]=Tabel152[[#This Row],[Winnaars]],Tabel152[[#This Row],[Team Groen]])</f>
        <v>0</v>
      </c>
      <c r="X102" s="283"/>
      <c r="Y102" s="283"/>
      <c r="Z102" s="283"/>
      <c r="AA102" s="283"/>
      <c r="AL102" s="251" t="s">
        <v>170</v>
      </c>
      <c r="AM102" s="233" t="s">
        <v>164</v>
      </c>
      <c r="AN102" s="140" t="str">
        <f t="shared" si="14"/>
        <v>Nico*Karel*</v>
      </c>
      <c r="AO102" s="160">
        <f>IF(Tabel511[[#This Row],[Aantal Games Rood]]=0,0,(Tabel511[[#This Row],[Wins Rood]])/Tabel511[[#This Row],[Aantal Games Rood]])</f>
        <v>0</v>
      </c>
      <c r="AP102" s="162">
        <f>IF(Tabel511[[#This Row],[Aantal Games Groen]]=0,0,(Tabel511[[#This Row],[Wins Groen]])/Tabel511[[#This Row],[Aantal Games Groen]])</f>
        <v>0</v>
      </c>
      <c r="AQ102" s="156">
        <f>IF(Tabel511[[#This Row],[Aantal games Alg]]=0,0,(Tabel511[[#This Row],[Wins Alg]])/Tabel511[[#This Row],[Aantal games Alg]])</f>
        <v>0</v>
      </c>
      <c r="AR102" s="171">
        <f>COUNTIF(Tabel152[Winaar rood],Tabel511[[#This Row],[Team]])</f>
        <v>0</v>
      </c>
      <c r="AS102" s="164">
        <f>COUNTIF(Tabel152[Winnaar Groen],Tabel511[[#This Row],[Team]])</f>
        <v>0</v>
      </c>
      <c r="AT102" s="147">
        <f>COUNTIF(Tabel152[Winnaars],Tabel511[[#This Row],[Team]])</f>
        <v>0</v>
      </c>
      <c r="AU102" s="163">
        <f>Tabel511[[#This Row],[Aantal Games Rood]]-Tabel511[[#This Row],[Wins Rood]]</f>
        <v>0</v>
      </c>
      <c r="AV102" s="164">
        <f>Tabel511[[#This Row],[Aantal Games Groen]]-Tabel511[[#This Row],[Wins Groen]]</f>
        <v>0</v>
      </c>
      <c r="AW102" s="165">
        <f>Tabel511[[#This Row],[Aantal games Alg]]-Tabel511[[#This Row],[Wins Alg]]</f>
        <v>0</v>
      </c>
      <c r="AX102" s="166">
        <f>COUNTIF(Tabel152[Team Rood],Tabel511[[#This Row],[Team]])</f>
        <v>0</v>
      </c>
      <c r="AY102" s="164">
        <f>COUNTIF(Tabel152[Team Groen],Tabel511[[#This Row],[Team]])</f>
        <v>0</v>
      </c>
      <c r="AZ102" s="170">
        <f>Tabel511[[#This Row],[Aantal Games Rood]]+Tabel511[[#This Row],[Aantal Games Groen]]</f>
        <v>0</v>
      </c>
      <c r="BA102" s="166">
        <f>SUMIF(Tabel152[Team Rood],Tabel511[[#This Row],[Team]],Tabel152[Score])</f>
        <v>0</v>
      </c>
      <c r="BB102" s="166">
        <f>SUMIF(Tabel152[Team Rood],Tabel511[[#This Row],[Team]],Tabel152[Score2])</f>
        <v>0</v>
      </c>
      <c r="BC102" s="134">
        <f>SUMIF(Tabel152[Team Groen],Tabel511[[#This Row],[Team]],Tabel152[Score3])</f>
        <v>0</v>
      </c>
      <c r="BD102" s="164">
        <f>SUMIF(Tabel152[Team Groen],Tabel511[[#This Row],[Team]],Tabel152[Score4])</f>
        <v>0</v>
      </c>
      <c r="BE102" s="167">
        <f>SUM(Tabel511[[#This Row],[Goals Verdediger]]+Tabel511[[#This Row],[Goals DefG]])</f>
        <v>0</v>
      </c>
      <c r="BF102" s="147">
        <f>IF(Tabel511[[#This Row],[Aantal games Alg]]=0,0,Tabel511[[#This Row],[Goals DefA]]/Tabel511[[#This Row],[Aantal games Alg]])</f>
        <v>0</v>
      </c>
      <c r="BG102" s="167">
        <f>SUM(Tabel511[[#This Row],[Goals Aanvaller]]+Tabel511[[#This Row],[Goals OffG]])</f>
        <v>0</v>
      </c>
      <c r="BH102" s="147">
        <f>IF(Tabel511[[#This Row],[Aantal games Alg]]=0,0,Tabel511[[#This Row],[Goals OffA]]/Tabel511[[#This Row],[Aantal games Alg]])</f>
        <v>0</v>
      </c>
      <c r="BI102" s="147">
        <f>Tabel511[[#This Row],[Goals DefA]]+Tabel511[[#This Row],[Goals OffA]]</f>
        <v>0</v>
      </c>
      <c r="BJ102" s="147">
        <f>IF(Tabel511[[#This Row],[Aantal games Alg]]=0,0,Tabel511[[#This Row],[Goals Alg]]/Tabel511[[#This Row],[Aantal games Alg]])</f>
        <v>0</v>
      </c>
      <c r="BK102" s="148">
        <f>SUMIF(Tabel152[Team Rood],Tabel511[[#This Row],[Team]],Tabel152[ET])</f>
        <v>0</v>
      </c>
      <c r="BL102" s="168">
        <f>SUMIF(Tabel152[Team Groen],Tabel511[[#This Row],[Team]],Tabel152[ET])</f>
        <v>0</v>
      </c>
      <c r="BM102" s="221">
        <f>SUM(Tabel511[[#This Row],[ET Groen tot]],Tabel511[[#This Row],[ET Rood tot]])</f>
        <v>0</v>
      </c>
      <c r="BN102" s="155">
        <f>IF(Tabel511[[#This Row],[Aantal games Alg]]=0,0,Tabel511[[#This Row],[ET tot]]/Tabel511[[#This Row],[Aantal games Alg]])</f>
        <v>0</v>
      </c>
    </row>
    <row r="103" spans="1:66" x14ac:dyDescent="0.25">
      <c r="A103" s="215" t="str">
        <f ca="1">IF(Tabel152[[#This Row],[Rood Verdediging]]&lt;&gt;"",IF(A103="",NOW(),A103),"")</f>
        <v/>
      </c>
      <c r="B103" s="218" t="str">
        <f ca="1">IF(Tabel152[[#This Row],[Rood Verdediging]]&lt;&gt;"",IF(B103="",NOW(),B103),"")</f>
        <v/>
      </c>
      <c r="C103" s="216" t="str">
        <f ca="1">IF(Tabel152[[#This Row],[Score]]&lt;&gt;"",IF(C103="",NOW(),C103),"")</f>
        <v/>
      </c>
      <c r="D103" s="217" t="str">
        <f ca="1">IF(OR(Tabel152[[#This Row],[Starttijd]]="",Tabel152[[#This Row],[Eindtijd]]=""),"",Tabel152[[#This Row],[Eindtijd]]-Tabel152[[#This Row],[Starttijd]])</f>
        <v/>
      </c>
      <c r="E103" s="74">
        <v>102</v>
      </c>
      <c r="F103" s="205"/>
      <c r="G103" s="210"/>
      <c r="H103" s="205"/>
      <c r="I103" s="210"/>
      <c r="J103" s="206"/>
      <c r="K103" s="212"/>
      <c r="L103" s="206"/>
      <c r="M103" s="212"/>
      <c r="N103" s="79">
        <f>Tabel152[[#This Row],[Score]]+Tabel152[[#This Row],[Score2]]</f>
        <v>0</v>
      </c>
      <c r="O103" s="80">
        <f>Tabel152[[#This Row],[Score3]]+Tabel152[[#This Row],[Score4]]</f>
        <v>0</v>
      </c>
      <c r="P10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Row],[Score4]]&lt;&gt;""),IF(AND(N103&gt;O103,N103&gt;=11),"ROOD",IF(AND(O103&gt;=11,N103&lt;&gt;O103),"GROEN","")),"")</f>
        <v/>
      </c>
      <c r="Q103" s="84">
        <f t="shared" si="15"/>
        <v>0</v>
      </c>
      <c r="R103" s="85">
        <f t="shared" si="16"/>
        <v>0</v>
      </c>
      <c r="S103" s="293" t="str">
        <f>Tabel152[[#This Row],[Rood Verdediging]]&amp;Tabel152[[#This Row],[Rood Aanval]]</f>
        <v/>
      </c>
      <c r="T103" s="293" t="str">
        <f>Tabel152[[#This Row],[Groen Verdediging]]&amp;Tabel152[[#This Row],[Groen Aanval]]</f>
        <v/>
      </c>
      <c r="U103" s="293" t="str">
        <f>Tabel152[[#This Row],[Winnaar 1]]&amp;Tabel152[[#This Row],[Winnaar 2]]</f>
        <v>00</v>
      </c>
      <c r="V103" s="147" t="b">
        <f>IF(Tabel152[[#This Row],[Team Rood]]=Tabel152[[#This Row],[Winnaars]],Tabel152[[#This Row],[Team Rood]])</f>
        <v>0</v>
      </c>
      <c r="W103" s="147" t="b">
        <f>IF(Tabel152[[#This Row],[Team Groen]]=Tabel152[[#This Row],[Winnaars]],Tabel152[[#This Row],[Team Groen]])</f>
        <v>0</v>
      </c>
      <c r="X103" s="283"/>
      <c r="Y103" s="283"/>
      <c r="Z103" s="283"/>
      <c r="AA103" s="283"/>
      <c r="AL103" s="251" t="s">
        <v>170</v>
      </c>
      <c r="AM103" s="233" t="s">
        <v>67</v>
      </c>
      <c r="AN103" s="140" t="str">
        <f t="shared" si="14"/>
        <v>Nico*Lawrence</v>
      </c>
      <c r="AO103" s="160">
        <f>IF(Tabel511[[#This Row],[Aantal Games Rood]]=0,0,(Tabel511[[#This Row],[Wins Rood]])/Tabel511[[#This Row],[Aantal Games Rood]])</f>
        <v>0</v>
      </c>
      <c r="AP103" s="162">
        <f>IF(Tabel511[[#This Row],[Aantal Games Groen]]=0,0,(Tabel511[[#This Row],[Wins Groen]])/Tabel511[[#This Row],[Aantal Games Groen]])</f>
        <v>0</v>
      </c>
      <c r="AQ103" s="156">
        <f>IF(Tabel511[[#This Row],[Aantal games Alg]]=0,0,(Tabel511[[#This Row],[Wins Alg]])/Tabel511[[#This Row],[Aantal games Alg]])</f>
        <v>0</v>
      </c>
      <c r="AR103" s="171">
        <f>COUNTIF(Tabel152[Winaar rood],Tabel511[[#This Row],[Team]])</f>
        <v>0</v>
      </c>
      <c r="AS103" s="164">
        <f>COUNTIF(Tabel152[Winnaar Groen],Tabel511[[#This Row],[Team]])</f>
        <v>0</v>
      </c>
      <c r="AT103" s="147">
        <f>COUNTIF(Tabel152[Winnaars],Tabel511[[#This Row],[Team]])</f>
        <v>0</v>
      </c>
      <c r="AU103" s="163">
        <f>Tabel511[[#This Row],[Aantal Games Rood]]-Tabel511[[#This Row],[Wins Rood]]</f>
        <v>0</v>
      </c>
      <c r="AV103" s="164">
        <f>Tabel511[[#This Row],[Aantal Games Groen]]-Tabel511[[#This Row],[Wins Groen]]</f>
        <v>0</v>
      </c>
      <c r="AW103" s="165">
        <f>Tabel511[[#This Row],[Aantal games Alg]]-Tabel511[[#This Row],[Wins Alg]]</f>
        <v>0</v>
      </c>
      <c r="AX103" s="166">
        <f>COUNTIF(Tabel152[Team Rood],Tabel511[[#This Row],[Team]])</f>
        <v>0</v>
      </c>
      <c r="AY103" s="164">
        <f>COUNTIF(Tabel152[Team Groen],Tabel511[[#This Row],[Team]])</f>
        <v>0</v>
      </c>
      <c r="AZ103" s="170">
        <f>Tabel511[[#This Row],[Aantal Games Rood]]+Tabel511[[#This Row],[Aantal Games Groen]]</f>
        <v>0</v>
      </c>
      <c r="BA103" s="166">
        <f>SUMIF(Tabel152[Team Rood],Tabel511[[#This Row],[Team]],Tabel152[Score])</f>
        <v>0</v>
      </c>
      <c r="BB103" s="166">
        <f>SUMIF(Tabel152[Team Rood],Tabel511[[#This Row],[Team]],Tabel152[Score2])</f>
        <v>0</v>
      </c>
      <c r="BC103" s="134">
        <f>SUMIF(Tabel152[Team Groen],Tabel511[[#This Row],[Team]],Tabel152[Score3])</f>
        <v>0</v>
      </c>
      <c r="BD103" s="164">
        <f>SUMIF(Tabel152[Team Groen],Tabel511[[#This Row],[Team]],Tabel152[Score4])</f>
        <v>0</v>
      </c>
      <c r="BE103" s="167">
        <f>SUM(Tabel511[[#This Row],[Goals Verdediger]]+Tabel511[[#This Row],[Goals DefG]])</f>
        <v>0</v>
      </c>
      <c r="BF103" s="147">
        <f>IF(Tabel511[[#This Row],[Aantal games Alg]]=0,0,Tabel511[[#This Row],[Goals DefA]]/Tabel511[[#This Row],[Aantal games Alg]])</f>
        <v>0</v>
      </c>
      <c r="BG103" s="167">
        <f>SUM(Tabel511[[#This Row],[Goals Aanvaller]]+Tabel511[[#This Row],[Goals OffG]])</f>
        <v>0</v>
      </c>
      <c r="BH103" s="147">
        <f>IF(Tabel511[[#This Row],[Aantal games Alg]]=0,0,Tabel511[[#This Row],[Goals OffA]]/Tabel511[[#This Row],[Aantal games Alg]])</f>
        <v>0</v>
      </c>
      <c r="BI103" s="147">
        <f>Tabel511[[#This Row],[Goals DefA]]+Tabel511[[#This Row],[Goals OffA]]</f>
        <v>0</v>
      </c>
      <c r="BJ103" s="147">
        <f>IF(Tabel511[[#This Row],[Aantal games Alg]]=0,0,Tabel511[[#This Row],[Goals Alg]]/Tabel511[[#This Row],[Aantal games Alg]])</f>
        <v>0</v>
      </c>
      <c r="BK103" s="148">
        <f>SUMIF(Tabel152[Team Rood],Tabel511[[#This Row],[Team]],Tabel152[ET])</f>
        <v>0</v>
      </c>
      <c r="BL103" s="168">
        <f>SUMIF(Tabel152[Team Groen],Tabel511[[#This Row],[Team]],Tabel152[ET])</f>
        <v>0</v>
      </c>
      <c r="BM103" s="221">
        <f>SUM(Tabel511[[#This Row],[ET Groen tot]],Tabel511[[#This Row],[ET Rood tot]])</f>
        <v>0</v>
      </c>
      <c r="BN103" s="155">
        <f>IF(Tabel511[[#This Row],[Aantal games Alg]]=0,0,Tabel511[[#This Row],[ET tot]]/Tabel511[[#This Row],[Aantal games Alg]])</f>
        <v>0</v>
      </c>
    </row>
    <row r="104" spans="1:66" x14ac:dyDescent="0.25">
      <c r="A104" s="215" t="str">
        <f ca="1">IF(Tabel152[[#This Row],[Rood Verdediging]]&lt;&gt;"",IF(A104="",NOW(),A104),"")</f>
        <v/>
      </c>
      <c r="B104" s="218" t="str">
        <f ca="1">IF(Tabel152[[#This Row],[Rood Verdediging]]&lt;&gt;"",IF(B104="",NOW(),B104),"")</f>
        <v/>
      </c>
      <c r="C104" s="216" t="str">
        <f ca="1">IF(Tabel152[[#This Row],[Score]]&lt;&gt;"",IF(C104="",NOW(),C104),"")</f>
        <v/>
      </c>
      <c r="D104" s="217" t="str">
        <f ca="1">IF(OR(Tabel152[[#This Row],[Starttijd]]="",Tabel152[[#This Row],[Eindtijd]]=""),"",Tabel152[[#This Row],[Eindtijd]]-Tabel152[[#This Row],[Starttijd]])</f>
        <v/>
      </c>
      <c r="E104" s="74">
        <v>103</v>
      </c>
      <c r="F104" s="205"/>
      <c r="G104" s="210"/>
      <c r="H104" s="205"/>
      <c r="I104" s="210"/>
      <c r="J104" s="206"/>
      <c r="K104" s="212"/>
      <c r="L104" s="206"/>
      <c r="M104" s="212"/>
      <c r="N104" s="79">
        <f>Tabel152[[#This Row],[Score]]+Tabel152[[#This Row],[Score2]]</f>
        <v>0</v>
      </c>
      <c r="O104" s="80">
        <f>Tabel152[[#This Row],[Score3]]+Tabel152[[#This Row],[Score4]]</f>
        <v>0</v>
      </c>
      <c r="P10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Row],[Score4]]&lt;&gt;""),IF(AND(N104&gt;O104,N104&gt;=11),"ROOD",IF(AND(O104&gt;=11,N104&lt;&gt;O104),"GROEN","")),"")</f>
        <v/>
      </c>
      <c r="Q104" s="84">
        <f t="shared" si="15"/>
        <v>0</v>
      </c>
      <c r="R104" s="85">
        <f t="shared" si="16"/>
        <v>0</v>
      </c>
      <c r="S104" s="293" t="str">
        <f>Tabel152[[#This Row],[Rood Verdediging]]&amp;Tabel152[[#This Row],[Rood Aanval]]</f>
        <v/>
      </c>
      <c r="T104" s="293" t="str">
        <f>Tabel152[[#This Row],[Groen Verdediging]]&amp;Tabel152[[#This Row],[Groen Aanval]]</f>
        <v/>
      </c>
      <c r="U104" s="293" t="str">
        <f>Tabel152[[#This Row],[Winnaar 1]]&amp;Tabel152[[#This Row],[Winnaar 2]]</f>
        <v>00</v>
      </c>
      <c r="V104" s="147" t="b">
        <f>IF(Tabel152[[#This Row],[Team Rood]]=Tabel152[[#This Row],[Winnaars]],Tabel152[[#This Row],[Team Rood]])</f>
        <v>0</v>
      </c>
      <c r="W104" s="147" t="b">
        <f>IF(Tabel152[[#This Row],[Team Groen]]=Tabel152[[#This Row],[Winnaars]],Tabel152[[#This Row],[Team Groen]])</f>
        <v>0</v>
      </c>
      <c r="X104" s="283"/>
      <c r="Y104" s="283"/>
      <c r="Z104" s="283"/>
      <c r="AA104" s="283"/>
      <c r="AL104" s="251" t="s">
        <v>170</v>
      </c>
      <c r="AM104" s="233" t="s">
        <v>161</v>
      </c>
      <c r="AN104" s="140" t="str">
        <f t="shared" si="14"/>
        <v>Nico*Louis*</v>
      </c>
      <c r="AO104" s="160">
        <f>IF(Tabel511[[#This Row],[Aantal Games Rood]]=0,0,(Tabel511[[#This Row],[Wins Rood]])/Tabel511[[#This Row],[Aantal Games Rood]])</f>
        <v>0</v>
      </c>
      <c r="AP104" s="159">
        <f>IF(Tabel511[[#This Row],[Aantal Games Groen]]=0,0,(Tabel511[[#This Row],[Wins Groen]])/Tabel511[[#This Row],[Aantal Games Groen]])</f>
        <v>0</v>
      </c>
      <c r="AQ104" s="156">
        <f>IF(Tabel511[[#This Row],[Aantal games Alg]]=0,0,(Tabel511[[#This Row],[Wins Alg]])/Tabel511[[#This Row],[Aantal games Alg]])</f>
        <v>0</v>
      </c>
      <c r="AR104" s="171">
        <f>COUNTIF(Tabel152[Winaar rood],Tabel511[[#This Row],[Team]])</f>
        <v>0</v>
      </c>
      <c r="AS104" s="169">
        <f>COUNTIF(Tabel152[Winnaar Groen],Tabel511[[#This Row],[Team]])</f>
        <v>0</v>
      </c>
      <c r="AT104" s="170">
        <f>COUNTIF(Tabel152[Winnaars],Tabel511[[#This Row],[Team]])</f>
        <v>0</v>
      </c>
      <c r="AU104" s="163">
        <f>Tabel511[[#This Row],[Aantal Games Rood]]-Tabel511[[#This Row],[Wins Rood]]</f>
        <v>0</v>
      </c>
      <c r="AV104" s="169">
        <f>Tabel511[[#This Row],[Aantal Games Groen]]-Tabel511[[#This Row],[Wins Groen]]</f>
        <v>1</v>
      </c>
      <c r="AW104" s="165">
        <f>Tabel511[[#This Row],[Aantal games Alg]]-Tabel511[[#This Row],[Wins Alg]]</f>
        <v>1</v>
      </c>
      <c r="AX104" s="171">
        <f>COUNTIF(Tabel152[Team Rood],Tabel511[[#This Row],[Team]])</f>
        <v>0</v>
      </c>
      <c r="AY104" s="169">
        <f>COUNTIF(Tabel152[Team Groen],Tabel511[[#This Row],[Team]])</f>
        <v>1</v>
      </c>
      <c r="AZ104" s="170">
        <f>Tabel511[[#This Row],[Aantal Games Rood]]+Tabel511[[#This Row],[Aantal Games Groen]]</f>
        <v>1</v>
      </c>
      <c r="BA104" s="171">
        <f>SUMIF(Tabel152[Team Rood],Tabel511[[#This Row],[Team]],Tabel152[Score])</f>
        <v>0</v>
      </c>
      <c r="BB104" s="171">
        <f>SUMIF(Tabel152[Team Rood],Tabel511[[#This Row],[Team]],Tabel152[Score2])</f>
        <v>0</v>
      </c>
      <c r="BC104" s="136">
        <f>SUMIF(Tabel152[Team Groen],Tabel511[[#This Row],[Team]],Tabel152[Score3])</f>
        <v>2</v>
      </c>
      <c r="BD104" s="169">
        <f>SUMIF(Tabel152[Team Groen],Tabel511[[#This Row],[Team]],Tabel152[Score4])</f>
        <v>3</v>
      </c>
      <c r="BE104" s="172">
        <f>SUM(Tabel511[[#This Row],[Goals Verdediger]]+Tabel511[[#This Row],[Goals DefG]])</f>
        <v>2</v>
      </c>
      <c r="BF104" s="170">
        <f>IF(Tabel511[[#This Row],[Aantal games Alg]]=0,0,Tabel511[[#This Row],[Goals DefA]]/Tabel511[[#This Row],[Aantal games Alg]])</f>
        <v>2</v>
      </c>
      <c r="BG104" s="172">
        <f>SUM(Tabel511[[#This Row],[Goals Aanvaller]]+Tabel511[[#This Row],[Goals OffG]])</f>
        <v>3</v>
      </c>
      <c r="BH104" s="170">
        <f>IF(Tabel511[[#This Row],[Aantal games Alg]]=0,0,Tabel511[[#This Row],[Goals OffA]]/Tabel511[[#This Row],[Aantal games Alg]])</f>
        <v>3</v>
      </c>
      <c r="BI104" s="170">
        <f>Tabel511[[#This Row],[Goals DefA]]+Tabel511[[#This Row],[Goals OffA]]</f>
        <v>5</v>
      </c>
      <c r="BJ104" s="170">
        <f>IF(Tabel511[[#This Row],[Aantal games Alg]]=0,0,Tabel511[[#This Row],[Goals Alg]]/Tabel511[[#This Row],[Aantal games Alg]])</f>
        <v>5</v>
      </c>
      <c r="BK104" s="148">
        <f>SUMIF(Tabel152[Team Rood],Tabel511[[#This Row],[Team]],Tabel152[ET])</f>
        <v>0</v>
      </c>
      <c r="BL104" s="150">
        <f ca="1">SUMIF(Tabel152[Team Groen],Tabel511[[#This Row],[Team]],Tabel152[ET])</f>
        <v>2.2337961127050221E-5</v>
      </c>
      <c r="BM104" s="153">
        <f ca="1">SUM(Tabel511[[#This Row],[ET Groen tot]],Tabel511[[#This Row],[ET Rood tot]])</f>
        <v>2.2337961127050221E-5</v>
      </c>
      <c r="BN104" s="155">
        <f ca="1">IF(Tabel511[[#This Row],[Aantal games Alg]]=0,0,Tabel511[[#This Row],[ET tot]]/Tabel511[[#This Row],[Aantal games Alg]])</f>
        <v>2.2337961127050221E-5</v>
      </c>
    </row>
    <row r="105" spans="1:66" x14ac:dyDescent="0.25">
      <c r="A105" s="215" t="str">
        <f ca="1">IF(Tabel152[[#This Row],[Rood Verdediging]]&lt;&gt;"",IF(A105="",NOW(),A105),"")</f>
        <v/>
      </c>
      <c r="B105" s="218" t="str">
        <f ca="1">IF(Tabel152[[#This Row],[Rood Verdediging]]&lt;&gt;"",IF(B105="",NOW(),B105),"")</f>
        <v/>
      </c>
      <c r="C105" s="216" t="str">
        <f ca="1">IF(Tabel152[[#This Row],[Score]]&lt;&gt;"",IF(C105="",NOW(),C105),"")</f>
        <v/>
      </c>
      <c r="D105" s="217" t="str">
        <f ca="1">IF(OR(Tabel152[[#This Row],[Starttijd]]="",Tabel152[[#This Row],[Eindtijd]]=""),"",Tabel152[[#This Row],[Eindtijd]]-Tabel152[[#This Row],[Starttijd]])</f>
        <v/>
      </c>
      <c r="E105" s="74">
        <v>104</v>
      </c>
      <c r="F105" s="205"/>
      <c r="G105" s="210"/>
      <c r="H105" s="205"/>
      <c r="I105" s="210"/>
      <c r="J105" s="206"/>
      <c r="K105" s="212"/>
      <c r="L105" s="206"/>
      <c r="M105" s="212"/>
      <c r="N105" s="79">
        <f>Tabel152[[#This Row],[Score]]+Tabel152[[#This Row],[Score2]]</f>
        <v>0</v>
      </c>
      <c r="O105" s="80">
        <f>Tabel152[[#This Row],[Score3]]+Tabel152[[#This Row],[Score4]]</f>
        <v>0</v>
      </c>
      <c r="P10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Row],[Score4]]&lt;&gt;""),IF(AND(N105&gt;O105,N105&gt;=11),"ROOD",IF(AND(O105&gt;=11,N105&lt;&gt;O105),"GROEN","")),"")</f>
        <v/>
      </c>
      <c r="Q105" s="84">
        <f t="shared" si="15"/>
        <v>0</v>
      </c>
      <c r="R105" s="85">
        <f t="shared" si="16"/>
        <v>0</v>
      </c>
      <c r="S105" s="293" t="str">
        <f>Tabel152[[#This Row],[Rood Verdediging]]&amp;Tabel152[[#This Row],[Rood Aanval]]</f>
        <v/>
      </c>
      <c r="T105" s="293" t="str">
        <f>Tabel152[[#This Row],[Groen Verdediging]]&amp;Tabel152[[#This Row],[Groen Aanval]]</f>
        <v/>
      </c>
      <c r="U105" s="293" t="str">
        <f>Tabel152[[#This Row],[Winnaar 1]]&amp;Tabel152[[#This Row],[Winnaar 2]]</f>
        <v>00</v>
      </c>
      <c r="V105" s="147" t="b">
        <f>IF(Tabel152[[#This Row],[Team Rood]]=Tabel152[[#This Row],[Winnaars]],Tabel152[[#This Row],[Team Rood]])</f>
        <v>0</v>
      </c>
      <c r="W105" s="147" t="b">
        <f>IF(Tabel152[[#This Row],[Team Groen]]=Tabel152[[#This Row],[Winnaars]],Tabel152[[#This Row],[Team Groen]])</f>
        <v>0</v>
      </c>
      <c r="X105" s="283"/>
      <c r="Y105" s="283"/>
      <c r="Z105" s="283"/>
      <c r="AA105" s="283"/>
      <c r="AL105" s="251" t="s">
        <v>170</v>
      </c>
      <c r="AM105" s="233" t="s">
        <v>162</v>
      </c>
      <c r="AN105" s="140" t="str">
        <f t="shared" si="14"/>
        <v>Nico*Matthijs*</v>
      </c>
      <c r="AO105" s="160">
        <f>IF(Tabel511[[#This Row],[Aantal Games Rood]]=0,0,(Tabel511[[#This Row],[Wins Rood]])/Tabel511[[#This Row],[Aantal Games Rood]])</f>
        <v>0</v>
      </c>
      <c r="AP105" s="162">
        <f>IF(Tabel511[[#This Row],[Aantal Games Groen]]=0,0,(Tabel511[[#This Row],[Wins Groen]])/Tabel511[[#This Row],[Aantal Games Groen]])</f>
        <v>0</v>
      </c>
      <c r="AQ105" s="156">
        <f>IF(Tabel511[[#This Row],[Aantal games Alg]]=0,0,(Tabel511[[#This Row],[Wins Alg]])/Tabel511[[#This Row],[Aantal games Alg]])</f>
        <v>0</v>
      </c>
      <c r="AR105" s="171">
        <f>COUNTIF(Tabel152[Winaar rood],Tabel511[[#This Row],[Team]])</f>
        <v>0</v>
      </c>
      <c r="AS105" s="164">
        <f>COUNTIF(Tabel152[Winnaar Groen],Tabel511[[#This Row],[Team]])</f>
        <v>0</v>
      </c>
      <c r="AT105" s="147">
        <f>COUNTIF(Tabel152[Winnaars],Tabel511[[#This Row],[Team]])</f>
        <v>0</v>
      </c>
      <c r="AU105" s="163">
        <f>Tabel511[[#This Row],[Aantal Games Rood]]-Tabel511[[#This Row],[Wins Rood]]</f>
        <v>1</v>
      </c>
      <c r="AV105" s="164">
        <f>Tabel511[[#This Row],[Aantal Games Groen]]-Tabel511[[#This Row],[Wins Groen]]</f>
        <v>0</v>
      </c>
      <c r="AW105" s="165">
        <f>Tabel511[[#This Row],[Aantal games Alg]]-Tabel511[[#This Row],[Wins Alg]]</f>
        <v>1</v>
      </c>
      <c r="AX105" s="166">
        <f>COUNTIF(Tabel152[Team Rood],Tabel511[[#This Row],[Team]])</f>
        <v>1</v>
      </c>
      <c r="AY105" s="164">
        <f>COUNTIF(Tabel152[Team Groen],Tabel511[[#This Row],[Team]])</f>
        <v>0</v>
      </c>
      <c r="AZ105" s="170">
        <f>Tabel511[[#This Row],[Aantal Games Rood]]+Tabel511[[#This Row],[Aantal Games Groen]]</f>
        <v>1</v>
      </c>
      <c r="BA105" s="166">
        <f>SUMIF(Tabel152[Team Rood],Tabel511[[#This Row],[Team]],Tabel152[Score])</f>
        <v>2</v>
      </c>
      <c r="BB105" s="166">
        <f>SUMIF(Tabel152[Team Rood],Tabel511[[#This Row],[Team]],Tabel152[Score2])</f>
        <v>5</v>
      </c>
      <c r="BC105" s="134">
        <f>SUMIF(Tabel152[Team Groen],Tabel511[[#This Row],[Team]],Tabel152[Score3])</f>
        <v>0</v>
      </c>
      <c r="BD105" s="164">
        <f>SUMIF(Tabel152[Team Groen],Tabel511[[#This Row],[Team]],Tabel152[Score4])</f>
        <v>0</v>
      </c>
      <c r="BE105" s="167">
        <f>SUM(Tabel511[[#This Row],[Goals Verdediger]]+Tabel511[[#This Row],[Goals DefG]])</f>
        <v>2</v>
      </c>
      <c r="BF105" s="147">
        <f>IF(Tabel511[[#This Row],[Aantal games Alg]]=0,0,Tabel511[[#This Row],[Goals DefA]]/Tabel511[[#This Row],[Aantal games Alg]])</f>
        <v>2</v>
      </c>
      <c r="BG105" s="167">
        <f>SUM(Tabel511[[#This Row],[Goals Aanvaller]]+Tabel511[[#This Row],[Goals OffG]])</f>
        <v>5</v>
      </c>
      <c r="BH105" s="147">
        <f>IF(Tabel511[[#This Row],[Aantal games Alg]]=0,0,Tabel511[[#This Row],[Goals OffA]]/Tabel511[[#This Row],[Aantal games Alg]])</f>
        <v>5</v>
      </c>
      <c r="BI105" s="147">
        <f>Tabel511[[#This Row],[Goals DefA]]+Tabel511[[#This Row],[Goals OffA]]</f>
        <v>7</v>
      </c>
      <c r="BJ105" s="147">
        <f>IF(Tabel511[[#This Row],[Aantal games Alg]]=0,0,Tabel511[[#This Row],[Goals Alg]]/Tabel511[[#This Row],[Aantal games Alg]])</f>
        <v>7</v>
      </c>
      <c r="BK105" s="148">
        <f ca="1">SUMIF(Tabel152[Team Rood],Tabel511[[#This Row],[Team]],Tabel152[ET])</f>
        <v>7.7083335781935602E-5</v>
      </c>
      <c r="BL105" s="168">
        <f>SUMIF(Tabel152[Team Groen],Tabel511[[#This Row],[Team]],Tabel152[ET])</f>
        <v>0</v>
      </c>
      <c r="BM105" s="221">
        <f ca="1">SUM(Tabel511[[#This Row],[ET Groen tot]],Tabel511[[#This Row],[ET Rood tot]])</f>
        <v>7.7083335781935602E-5</v>
      </c>
      <c r="BN105" s="155">
        <f ca="1">IF(Tabel511[[#This Row],[Aantal games Alg]]=0,0,Tabel511[[#This Row],[ET tot]]/Tabel511[[#This Row],[Aantal games Alg]])</f>
        <v>7.7083335781935602E-5</v>
      </c>
    </row>
    <row r="106" spans="1:66" x14ac:dyDescent="0.25">
      <c r="A106" s="215" t="str">
        <f ca="1">IF(Tabel152[[#This Row],[Rood Verdediging]]&lt;&gt;"",IF(A106="",NOW(),A106),"")</f>
        <v/>
      </c>
      <c r="B106" s="218" t="str">
        <f ca="1">IF(Tabel152[[#This Row],[Rood Verdediging]]&lt;&gt;"",IF(B106="",NOW(),B106),"")</f>
        <v/>
      </c>
      <c r="C106" s="216" t="str">
        <f ca="1">IF(Tabel152[[#This Row],[Score]]&lt;&gt;"",IF(C106="",NOW(),C106),"")</f>
        <v/>
      </c>
      <c r="D106" s="217" t="str">
        <f ca="1">IF(OR(Tabel152[[#This Row],[Starttijd]]="",Tabel152[[#This Row],[Eindtijd]]=""),"",Tabel152[[#This Row],[Eindtijd]]-Tabel152[[#This Row],[Starttijd]])</f>
        <v/>
      </c>
      <c r="E106" s="74">
        <v>105</v>
      </c>
      <c r="F106" s="205"/>
      <c r="G106" s="210"/>
      <c r="H106" s="205"/>
      <c r="I106" s="210"/>
      <c r="J106" s="206"/>
      <c r="K106" s="212"/>
      <c r="L106" s="206"/>
      <c r="M106" s="212"/>
      <c r="N106" s="79">
        <f>Tabel152[[#This Row],[Score]]+Tabel152[[#This Row],[Score2]]</f>
        <v>0</v>
      </c>
      <c r="O106" s="80">
        <f>Tabel152[[#This Row],[Score3]]+Tabel152[[#This Row],[Score4]]</f>
        <v>0</v>
      </c>
      <c r="P10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Row],[Score4]]&lt;&gt;""),IF(AND(N106&gt;O106,N106&gt;=11),"ROOD",IF(AND(O106&gt;=11,N106&lt;&gt;O106),"GROEN","")),"")</f>
        <v/>
      </c>
      <c r="Q106" s="84">
        <f t="shared" si="15"/>
        <v>0</v>
      </c>
      <c r="R106" s="85">
        <f t="shared" si="16"/>
        <v>0</v>
      </c>
      <c r="S106" s="293" t="str">
        <f>Tabel152[[#This Row],[Rood Verdediging]]&amp;Tabel152[[#This Row],[Rood Aanval]]</f>
        <v/>
      </c>
      <c r="T106" s="293" t="str">
        <f>Tabel152[[#This Row],[Groen Verdediging]]&amp;Tabel152[[#This Row],[Groen Aanval]]</f>
        <v/>
      </c>
      <c r="U106" s="293" t="str">
        <f>Tabel152[[#This Row],[Winnaar 1]]&amp;Tabel152[[#This Row],[Winnaar 2]]</f>
        <v>00</v>
      </c>
      <c r="V106" s="147" t="b">
        <f>IF(Tabel152[[#This Row],[Team Rood]]=Tabel152[[#This Row],[Winnaars]],Tabel152[[#This Row],[Team Rood]])</f>
        <v>0</v>
      </c>
      <c r="W106" s="147" t="b">
        <f>IF(Tabel152[[#This Row],[Team Groen]]=Tabel152[[#This Row],[Winnaars]],Tabel152[[#This Row],[Team Groen]])</f>
        <v>0</v>
      </c>
      <c r="X106" s="283"/>
      <c r="Y106" s="283"/>
      <c r="Z106" s="283"/>
      <c r="AA106" s="283"/>
      <c r="AL106" s="251" t="s">
        <v>170</v>
      </c>
      <c r="AM106" s="233" t="s">
        <v>169</v>
      </c>
      <c r="AN106" s="140" t="str">
        <f t="shared" si="14"/>
        <v>Nico*Stef*</v>
      </c>
      <c r="AO106" s="160">
        <f>IF(Tabel511[[#This Row],[Aantal Games Rood]]=0,0,(Tabel511[[#This Row],[Wins Rood]])/Tabel511[[#This Row],[Aantal Games Rood]])</f>
        <v>1</v>
      </c>
      <c r="AP106" s="162">
        <f>IF(Tabel511[[#This Row],[Aantal Games Groen]]=0,0,(Tabel511[[#This Row],[Wins Groen]])/Tabel511[[#This Row],[Aantal Games Groen]])</f>
        <v>0</v>
      </c>
      <c r="AQ106" s="156">
        <f>IF(Tabel511[[#This Row],[Aantal games Alg]]=0,0,(Tabel511[[#This Row],[Wins Alg]])/Tabel511[[#This Row],[Aantal games Alg]])</f>
        <v>1</v>
      </c>
      <c r="AR106" s="171">
        <f>COUNTIF(Tabel152[Winaar rood],Tabel511[[#This Row],[Team]])</f>
        <v>1</v>
      </c>
      <c r="AS106" s="164">
        <f>COUNTIF(Tabel152[Winnaar Groen],Tabel511[[#This Row],[Team]])</f>
        <v>0</v>
      </c>
      <c r="AT106" s="147">
        <f>COUNTIF(Tabel152[Winnaars],Tabel511[[#This Row],[Team]])</f>
        <v>1</v>
      </c>
      <c r="AU106" s="163">
        <f>Tabel511[[#This Row],[Aantal Games Rood]]-Tabel511[[#This Row],[Wins Rood]]</f>
        <v>0</v>
      </c>
      <c r="AV106" s="164">
        <f>Tabel511[[#This Row],[Aantal Games Groen]]-Tabel511[[#This Row],[Wins Groen]]</f>
        <v>0</v>
      </c>
      <c r="AW106" s="165">
        <f>Tabel511[[#This Row],[Aantal games Alg]]-Tabel511[[#This Row],[Wins Alg]]</f>
        <v>0</v>
      </c>
      <c r="AX106" s="166">
        <f>COUNTIF(Tabel152[Team Rood],Tabel511[[#This Row],[Team]])</f>
        <v>1</v>
      </c>
      <c r="AY106" s="164">
        <f>COUNTIF(Tabel152[Team Groen],Tabel511[[#This Row],[Team]])</f>
        <v>0</v>
      </c>
      <c r="AZ106" s="170">
        <f>Tabel511[[#This Row],[Aantal Games Rood]]+Tabel511[[#This Row],[Aantal Games Groen]]</f>
        <v>1</v>
      </c>
      <c r="BA106" s="166">
        <f>SUMIF(Tabel152[Team Rood],Tabel511[[#This Row],[Team]],Tabel152[Score])</f>
        <v>1</v>
      </c>
      <c r="BB106" s="166">
        <f>SUMIF(Tabel152[Team Rood],Tabel511[[#This Row],[Team]],Tabel152[Score2])</f>
        <v>11</v>
      </c>
      <c r="BC106" s="134">
        <f>SUMIF(Tabel152[Team Groen],Tabel511[[#This Row],[Team]],Tabel152[Score3])</f>
        <v>0</v>
      </c>
      <c r="BD106" s="164">
        <f>SUMIF(Tabel152[Team Groen],Tabel511[[#This Row],[Team]],Tabel152[Score4])</f>
        <v>0</v>
      </c>
      <c r="BE106" s="167">
        <f>SUM(Tabel511[[#This Row],[Goals Verdediger]]+Tabel511[[#This Row],[Goals DefG]])</f>
        <v>1</v>
      </c>
      <c r="BF106" s="147">
        <f>IF(Tabel511[[#This Row],[Aantal games Alg]]=0,0,Tabel511[[#This Row],[Goals DefA]]/Tabel511[[#This Row],[Aantal games Alg]])</f>
        <v>1</v>
      </c>
      <c r="BG106" s="167">
        <f>SUM(Tabel511[[#This Row],[Goals Aanvaller]]+Tabel511[[#This Row],[Goals OffG]])</f>
        <v>11</v>
      </c>
      <c r="BH106" s="147">
        <f>IF(Tabel511[[#This Row],[Aantal games Alg]]=0,0,Tabel511[[#This Row],[Goals OffA]]/Tabel511[[#This Row],[Aantal games Alg]])</f>
        <v>11</v>
      </c>
      <c r="BI106" s="147">
        <f>Tabel511[[#This Row],[Goals DefA]]+Tabel511[[#This Row],[Goals OffA]]</f>
        <v>12</v>
      </c>
      <c r="BJ106" s="147">
        <f>IF(Tabel511[[#This Row],[Aantal games Alg]]=0,0,Tabel511[[#This Row],[Goals Alg]]/Tabel511[[#This Row],[Aantal games Alg]])</f>
        <v>12</v>
      </c>
      <c r="BK106" s="148">
        <f ca="1">SUMIF(Tabel152[Team Rood],Tabel511[[#This Row],[Team]],Tabel152[ET])</f>
        <v>2.3842592781875283E-5</v>
      </c>
      <c r="BL106" s="168">
        <f>SUMIF(Tabel152[Team Groen],Tabel511[[#This Row],[Team]],Tabel152[ET])</f>
        <v>0</v>
      </c>
      <c r="BM106" s="221">
        <f ca="1">SUM(Tabel511[[#This Row],[ET Groen tot]],Tabel511[[#This Row],[ET Rood tot]])</f>
        <v>2.3842592781875283E-5</v>
      </c>
      <c r="BN106" s="155">
        <f ca="1">IF(Tabel511[[#This Row],[Aantal games Alg]]=0,0,Tabel511[[#This Row],[ET tot]]/Tabel511[[#This Row],[Aantal games Alg]])</f>
        <v>2.3842592781875283E-5</v>
      </c>
    </row>
    <row r="107" spans="1:66" x14ac:dyDescent="0.25">
      <c r="A107" s="215" t="str">
        <f ca="1">IF(Tabel152[[#This Row],[Rood Verdediging]]&lt;&gt;"",IF(A107="",NOW(),A107),"")</f>
        <v/>
      </c>
      <c r="B107" s="218" t="str">
        <f ca="1">IF(Tabel152[[#This Row],[Rood Verdediging]]&lt;&gt;"",IF(B107="",NOW(),B107),"")</f>
        <v/>
      </c>
      <c r="C107" s="216" t="str">
        <f ca="1">IF(Tabel152[[#This Row],[Score]]&lt;&gt;"",IF(C107="",NOW(),C107),"")</f>
        <v/>
      </c>
      <c r="D107" s="217" t="str">
        <f ca="1">IF(OR(Tabel152[[#This Row],[Starttijd]]="",Tabel152[[#This Row],[Eindtijd]]=""),"",Tabel152[[#This Row],[Eindtijd]]-Tabel152[[#This Row],[Starttijd]])</f>
        <v/>
      </c>
      <c r="E107" s="74">
        <v>106</v>
      </c>
      <c r="F107" s="205"/>
      <c r="G107" s="210"/>
      <c r="H107" s="205"/>
      <c r="I107" s="210"/>
      <c r="J107" s="206"/>
      <c r="K107" s="212"/>
      <c r="L107" s="206"/>
      <c r="M107" s="212"/>
      <c r="N107" s="79">
        <f>Tabel152[[#This Row],[Score]]+Tabel152[[#This Row],[Score2]]</f>
        <v>0</v>
      </c>
      <c r="O107" s="80">
        <f>Tabel152[[#This Row],[Score3]]+Tabel152[[#This Row],[Score4]]</f>
        <v>0</v>
      </c>
      <c r="P10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Row],[Score4]]&lt;&gt;""),IF(AND(N107&gt;O107,N107&gt;=11),"ROOD",IF(AND(O107&gt;=11,N107&lt;&gt;O107),"GROEN","")),"")</f>
        <v/>
      </c>
      <c r="Q107" s="84">
        <f t="shared" si="15"/>
        <v>0</v>
      </c>
      <c r="R107" s="85">
        <f t="shared" si="16"/>
        <v>0</v>
      </c>
      <c r="S107" s="293" t="str">
        <f>Tabel152[[#This Row],[Rood Verdediging]]&amp;Tabel152[[#This Row],[Rood Aanval]]</f>
        <v/>
      </c>
      <c r="T107" s="293" t="str">
        <f>Tabel152[[#This Row],[Groen Verdediging]]&amp;Tabel152[[#This Row],[Groen Aanval]]</f>
        <v/>
      </c>
      <c r="U107" s="293" t="str">
        <f>Tabel152[[#This Row],[Winnaar 1]]&amp;Tabel152[[#This Row],[Winnaar 2]]</f>
        <v>00</v>
      </c>
      <c r="V107" s="147" t="b">
        <f>IF(Tabel152[[#This Row],[Team Rood]]=Tabel152[[#This Row],[Winnaars]],Tabel152[[#This Row],[Team Rood]])</f>
        <v>0</v>
      </c>
      <c r="W107" s="147" t="b">
        <f>IF(Tabel152[[#This Row],[Team Groen]]=Tabel152[[#This Row],[Winnaars]],Tabel152[[#This Row],[Team Groen]])</f>
        <v>0</v>
      </c>
      <c r="X107" s="283"/>
      <c r="Y107" s="283"/>
      <c r="Z107" s="283"/>
      <c r="AA107" s="283"/>
      <c r="AL107" s="251" t="s">
        <v>170</v>
      </c>
      <c r="AM107" s="233" t="s">
        <v>166</v>
      </c>
      <c r="AN107" s="140" t="str">
        <f t="shared" si="14"/>
        <v>Nico*Stijn*</v>
      </c>
      <c r="AO107" s="160">
        <f>IF(Tabel511[[#This Row],[Aantal Games Rood]]=0,0,(Tabel511[[#This Row],[Wins Rood]])/Tabel511[[#This Row],[Aantal Games Rood]])</f>
        <v>0</v>
      </c>
      <c r="AP107" s="162">
        <f>IF(Tabel511[[#This Row],[Aantal Games Groen]]=0,0,(Tabel511[[#This Row],[Wins Groen]])/Tabel511[[#This Row],[Aantal Games Groen]])</f>
        <v>0</v>
      </c>
      <c r="AQ107" s="156">
        <f>IF(Tabel511[[#This Row],[Aantal games Alg]]=0,0,(Tabel511[[#This Row],[Wins Alg]])/Tabel511[[#This Row],[Aantal games Alg]])</f>
        <v>0</v>
      </c>
      <c r="AR107" s="171">
        <f>COUNTIF(Tabel152[Winaar rood],Tabel511[[#This Row],[Team]])</f>
        <v>0</v>
      </c>
      <c r="AS107" s="164">
        <f>COUNTIF(Tabel152[Winnaar Groen],Tabel511[[#This Row],[Team]])</f>
        <v>0</v>
      </c>
      <c r="AT107" s="147">
        <f>COUNTIF(Tabel152[Winnaars],Tabel511[[#This Row],[Team]])</f>
        <v>0</v>
      </c>
      <c r="AU107" s="163">
        <f>Tabel511[[#This Row],[Aantal Games Rood]]-Tabel511[[#This Row],[Wins Rood]]</f>
        <v>0</v>
      </c>
      <c r="AV107" s="164">
        <f>Tabel511[[#This Row],[Aantal Games Groen]]-Tabel511[[#This Row],[Wins Groen]]</f>
        <v>0</v>
      </c>
      <c r="AW107" s="165">
        <f>Tabel511[[#This Row],[Aantal games Alg]]-Tabel511[[#This Row],[Wins Alg]]</f>
        <v>0</v>
      </c>
      <c r="AX107" s="166">
        <f>COUNTIF(Tabel152[Team Rood],Tabel511[[#This Row],[Team]])</f>
        <v>0</v>
      </c>
      <c r="AY107" s="164">
        <f>COUNTIF(Tabel152[Team Groen],Tabel511[[#This Row],[Team]])</f>
        <v>0</v>
      </c>
      <c r="AZ107" s="170">
        <f>Tabel511[[#This Row],[Aantal Games Rood]]+Tabel511[[#This Row],[Aantal Games Groen]]</f>
        <v>0</v>
      </c>
      <c r="BA107" s="166">
        <f>SUMIF(Tabel152[Team Rood],Tabel511[[#This Row],[Team]],Tabel152[Score])</f>
        <v>0</v>
      </c>
      <c r="BB107" s="166">
        <f>SUMIF(Tabel152[Team Rood],Tabel511[[#This Row],[Team]],Tabel152[Score2])</f>
        <v>0</v>
      </c>
      <c r="BC107" s="134">
        <f>SUMIF(Tabel152[Team Groen],Tabel511[[#This Row],[Team]],Tabel152[Score3])</f>
        <v>0</v>
      </c>
      <c r="BD107" s="164">
        <f>SUMIF(Tabel152[Team Groen],Tabel511[[#This Row],[Team]],Tabel152[Score4])</f>
        <v>0</v>
      </c>
      <c r="BE107" s="167">
        <f>SUM(Tabel511[[#This Row],[Goals Verdediger]]+Tabel511[[#This Row],[Goals DefG]])</f>
        <v>0</v>
      </c>
      <c r="BF107" s="147">
        <f>IF(Tabel511[[#This Row],[Aantal games Alg]]=0,0,Tabel511[[#This Row],[Goals DefA]]/Tabel511[[#This Row],[Aantal games Alg]])</f>
        <v>0</v>
      </c>
      <c r="BG107" s="167">
        <f>SUM(Tabel511[[#This Row],[Goals Aanvaller]]+Tabel511[[#This Row],[Goals OffG]])</f>
        <v>0</v>
      </c>
      <c r="BH107" s="147">
        <f>IF(Tabel511[[#This Row],[Aantal games Alg]]=0,0,Tabel511[[#This Row],[Goals OffA]]/Tabel511[[#This Row],[Aantal games Alg]])</f>
        <v>0</v>
      </c>
      <c r="BI107" s="147">
        <f>Tabel511[[#This Row],[Goals DefA]]+Tabel511[[#This Row],[Goals OffA]]</f>
        <v>0</v>
      </c>
      <c r="BJ107" s="147">
        <f>IF(Tabel511[[#This Row],[Aantal games Alg]]=0,0,Tabel511[[#This Row],[Goals Alg]]/Tabel511[[#This Row],[Aantal games Alg]])</f>
        <v>0</v>
      </c>
      <c r="BK107" s="148">
        <f>SUMIF(Tabel152[Team Rood],Tabel511[[#This Row],[Team]],Tabel152[ET])</f>
        <v>0</v>
      </c>
      <c r="BL107" s="168">
        <f>SUMIF(Tabel152[Team Groen],Tabel511[[#This Row],[Team]],Tabel152[ET])</f>
        <v>0</v>
      </c>
      <c r="BM107" s="221">
        <f>SUM(Tabel511[[#This Row],[ET Groen tot]],Tabel511[[#This Row],[ET Rood tot]])</f>
        <v>0</v>
      </c>
      <c r="BN107" s="155">
        <f>IF(Tabel511[[#This Row],[Aantal games Alg]]=0,0,Tabel511[[#This Row],[ET tot]]/Tabel511[[#This Row],[Aantal games Alg]])</f>
        <v>0</v>
      </c>
    </row>
    <row r="108" spans="1:66" x14ac:dyDescent="0.25">
      <c r="A108" s="215" t="str">
        <f ca="1">IF(Tabel152[[#This Row],[Rood Verdediging]]&lt;&gt;"",IF(A108="",NOW(),A108),"")</f>
        <v/>
      </c>
      <c r="B108" s="218" t="str">
        <f ca="1">IF(Tabel152[[#This Row],[Rood Verdediging]]&lt;&gt;"",IF(B108="",NOW(),B108),"")</f>
        <v/>
      </c>
      <c r="C108" s="216" t="str">
        <f ca="1">IF(Tabel152[[#This Row],[Score]]&lt;&gt;"",IF(C108="",NOW(),C108),"")</f>
        <v/>
      </c>
      <c r="D108" s="217" t="str">
        <f ca="1">IF(OR(Tabel152[[#This Row],[Starttijd]]="",Tabel152[[#This Row],[Eindtijd]]=""),"",Tabel152[[#This Row],[Eindtijd]]-Tabel152[[#This Row],[Starttijd]])</f>
        <v/>
      </c>
      <c r="E108" s="74">
        <v>107</v>
      </c>
      <c r="F108" s="205"/>
      <c r="G108" s="210"/>
      <c r="H108" s="205"/>
      <c r="I108" s="210"/>
      <c r="J108" s="206"/>
      <c r="K108" s="212"/>
      <c r="L108" s="206"/>
      <c r="M108" s="212"/>
      <c r="N108" s="79">
        <f>Tabel152[[#This Row],[Score]]+Tabel152[[#This Row],[Score2]]</f>
        <v>0</v>
      </c>
      <c r="O108" s="80">
        <f>Tabel152[[#This Row],[Score3]]+Tabel152[[#This Row],[Score4]]</f>
        <v>0</v>
      </c>
      <c r="P10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Row],[Score4]]&lt;&gt;""),IF(AND(N108&gt;O108,N108&gt;=11),"ROOD",IF(AND(O108&gt;=11,N108&lt;&gt;O108),"GROEN","")),"")</f>
        <v/>
      </c>
      <c r="Q108" s="84">
        <f t="shared" si="15"/>
        <v>0</v>
      </c>
      <c r="R108" s="85">
        <f t="shared" si="16"/>
        <v>0</v>
      </c>
      <c r="S108" s="293" t="str">
        <f>Tabel152[[#This Row],[Rood Verdediging]]&amp;Tabel152[[#This Row],[Rood Aanval]]</f>
        <v/>
      </c>
      <c r="T108" s="293" t="str">
        <f>Tabel152[[#This Row],[Groen Verdediging]]&amp;Tabel152[[#This Row],[Groen Aanval]]</f>
        <v/>
      </c>
      <c r="U108" s="293" t="str">
        <f>Tabel152[[#This Row],[Winnaar 1]]&amp;Tabel152[[#This Row],[Winnaar 2]]</f>
        <v>00</v>
      </c>
      <c r="V108" s="147" t="b">
        <f>IF(Tabel152[[#This Row],[Team Rood]]=Tabel152[[#This Row],[Winnaars]],Tabel152[[#This Row],[Team Rood]])</f>
        <v>0</v>
      </c>
      <c r="W108" s="147" t="b">
        <f>IF(Tabel152[[#This Row],[Team Groen]]=Tabel152[[#This Row],[Winnaars]],Tabel152[[#This Row],[Team Groen]])</f>
        <v>0</v>
      </c>
      <c r="X108" s="283"/>
      <c r="Y108" s="283"/>
      <c r="Z108" s="283"/>
      <c r="AA108" s="283"/>
      <c r="AL108" s="251" t="s">
        <v>170</v>
      </c>
      <c r="AM108" s="233" t="s">
        <v>160</v>
      </c>
      <c r="AN108" s="140" t="str">
        <f t="shared" si="14"/>
        <v>Nico*Tiemen*</v>
      </c>
      <c r="AO108" s="160">
        <f>IF(Tabel511[[#This Row],[Aantal Games Rood]]=0,0,(Tabel511[[#This Row],[Wins Rood]])/Tabel511[[#This Row],[Aantal Games Rood]])</f>
        <v>0</v>
      </c>
      <c r="AP108" s="162">
        <f>IF(Tabel511[[#This Row],[Aantal Games Groen]]=0,0,(Tabel511[[#This Row],[Wins Groen]])/Tabel511[[#This Row],[Aantal Games Groen]])</f>
        <v>0</v>
      </c>
      <c r="AQ108" s="156">
        <f>IF(Tabel511[[#This Row],[Aantal games Alg]]=0,0,(Tabel511[[#This Row],[Wins Alg]])/Tabel511[[#This Row],[Aantal games Alg]])</f>
        <v>0</v>
      </c>
      <c r="AR108" s="171">
        <f>COUNTIF(Tabel152[Winaar rood],Tabel511[[#This Row],[Team]])</f>
        <v>0</v>
      </c>
      <c r="AS108" s="164">
        <f>COUNTIF(Tabel152[Winnaar Groen],Tabel511[[#This Row],[Team]])</f>
        <v>0</v>
      </c>
      <c r="AT108" s="147">
        <f>COUNTIF(Tabel152[Winnaars],Tabel511[[#This Row],[Team]])</f>
        <v>0</v>
      </c>
      <c r="AU108" s="163">
        <f>Tabel511[[#This Row],[Aantal Games Rood]]-Tabel511[[#This Row],[Wins Rood]]</f>
        <v>0</v>
      </c>
      <c r="AV108" s="164">
        <f>Tabel511[[#This Row],[Aantal Games Groen]]-Tabel511[[#This Row],[Wins Groen]]</f>
        <v>0</v>
      </c>
      <c r="AW108" s="165">
        <f>Tabel511[[#This Row],[Aantal games Alg]]-Tabel511[[#This Row],[Wins Alg]]</f>
        <v>0</v>
      </c>
      <c r="AX108" s="166">
        <f>COUNTIF(Tabel152[Team Rood],Tabel511[[#This Row],[Team]])</f>
        <v>0</v>
      </c>
      <c r="AY108" s="164">
        <f>COUNTIF(Tabel152[Team Groen],Tabel511[[#This Row],[Team]])</f>
        <v>0</v>
      </c>
      <c r="AZ108" s="170">
        <f>Tabel511[[#This Row],[Aantal Games Rood]]+Tabel511[[#This Row],[Aantal Games Groen]]</f>
        <v>0</v>
      </c>
      <c r="BA108" s="166">
        <f>SUMIF(Tabel152[Team Rood],Tabel511[[#This Row],[Team]],Tabel152[Score])</f>
        <v>0</v>
      </c>
      <c r="BB108" s="166">
        <f>SUMIF(Tabel152[Team Rood],Tabel511[[#This Row],[Team]],Tabel152[Score2])</f>
        <v>0</v>
      </c>
      <c r="BC108" s="134">
        <f>SUMIF(Tabel152[Team Groen],Tabel511[[#This Row],[Team]],Tabel152[Score3])</f>
        <v>0</v>
      </c>
      <c r="BD108" s="164">
        <f>SUMIF(Tabel152[Team Groen],Tabel511[[#This Row],[Team]],Tabel152[Score4])</f>
        <v>0</v>
      </c>
      <c r="BE108" s="167">
        <f>SUM(Tabel511[[#This Row],[Goals Verdediger]]+Tabel511[[#This Row],[Goals DefG]])</f>
        <v>0</v>
      </c>
      <c r="BF108" s="147">
        <f>IF(Tabel511[[#This Row],[Aantal games Alg]]=0,0,Tabel511[[#This Row],[Goals DefA]]/Tabel511[[#This Row],[Aantal games Alg]])</f>
        <v>0</v>
      </c>
      <c r="BG108" s="167">
        <f>SUM(Tabel511[[#This Row],[Goals Aanvaller]]+Tabel511[[#This Row],[Goals OffG]])</f>
        <v>0</v>
      </c>
      <c r="BH108" s="147">
        <f>IF(Tabel511[[#This Row],[Aantal games Alg]]=0,0,Tabel511[[#This Row],[Goals OffA]]/Tabel511[[#This Row],[Aantal games Alg]])</f>
        <v>0</v>
      </c>
      <c r="BI108" s="147">
        <f>Tabel511[[#This Row],[Goals DefA]]+Tabel511[[#This Row],[Goals OffA]]</f>
        <v>0</v>
      </c>
      <c r="BJ108" s="147">
        <f>IF(Tabel511[[#This Row],[Aantal games Alg]]=0,0,Tabel511[[#This Row],[Goals Alg]]/Tabel511[[#This Row],[Aantal games Alg]])</f>
        <v>0</v>
      </c>
      <c r="BK108" s="148">
        <f>SUMIF(Tabel152[Team Rood],Tabel511[[#This Row],[Team]],Tabel152[ET])</f>
        <v>0</v>
      </c>
      <c r="BL108" s="168">
        <f>SUMIF(Tabel152[Team Groen],Tabel511[[#This Row],[Team]],Tabel152[ET])</f>
        <v>0</v>
      </c>
      <c r="BM108" s="221">
        <f>SUM(Tabel511[[#This Row],[ET Groen tot]],Tabel511[[#This Row],[ET Rood tot]])</f>
        <v>0</v>
      </c>
      <c r="BN108" s="155">
        <f>IF(Tabel511[[#This Row],[Aantal games Alg]]=0,0,Tabel511[[#This Row],[ET tot]]/Tabel511[[#This Row],[Aantal games Alg]])</f>
        <v>0</v>
      </c>
    </row>
    <row r="109" spans="1:66" x14ac:dyDescent="0.25">
      <c r="A109" s="215" t="str">
        <f ca="1">IF(Tabel152[[#This Row],[Rood Verdediging]]&lt;&gt;"",IF(A109="",NOW(),A109),"")</f>
        <v/>
      </c>
      <c r="B109" s="218" t="str">
        <f ca="1">IF(Tabel152[[#This Row],[Rood Verdediging]]&lt;&gt;"",IF(B109="",NOW(),B109),"")</f>
        <v/>
      </c>
      <c r="C109" s="216" t="str">
        <f ca="1">IF(Tabel152[[#This Row],[Score]]&lt;&gt;"",IF(C109="",NOW(),C109),"")</f>
        <v/>
      </c>
      <c r="D109" s="217" t="str">
        <f ca="1">IF(OR(Tabel152[[#This Row],[Starttijd]]="",Tabel152[[#This Row],[Eindtijd]]=""),"",Tabel152[[#This Row],[Eindtijd]]-Tabel152[[#This Row],[Starttijd]])</f>
        <v/>
      </c>
      <c r="E109" s="74">
        <v>108</v>
      </c>
      <c r="F109" s="205"/>
      <c r="G109" s="210"/>
      <c r="H109" s="205"/>
      <c r="I109" s="210"/>
      <c r="J109" s="206"/>
      <c r="K109" s="212"/>
      <c r="L109" s="206"/>
      <c r="M109" s="212"/>
      <c r="N109" s="79">
        <f>Tabel152[[#This Row],[Score]]+Tabel152[[#This Row],[Score2]]</f>
        <v>0</v>
      </c>
      <c r="O109" s="80">
        <f>Tabel152[[#This Row],[Score3]]+Tabel152[[#This Row],[Score4]]</f>
        <v>0</v>
      </c>
      <c r="P10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Row],[Score4]]&lt;&gt;""),IF(AND(N109&gt;O109,N109&gt;=11),"ROOD",IF(AND(O109&gt;=11,N109&lt;&gt;O109),"GROEN","")),"")</f>
        <v/>
      </c>
      <c r="Q109" s="84">
        <f t="shared" si="15"/>
        <v>0</v>
      </c>
      <c r="R109" s="85">
        <f t="shared" si="16"/>
        <v>0</v>
      </c>
      <c r="S109" s="293" t="str">
        <f>Tabel152[[#This Row],[Rood Verdediging]]&amp;Tabel152[[#This Row],[Rood Aanval]]</f>
        <v/>
      </c>
      <c r="T109" s="293" t="str">
        <f>Tabel152[[#This Row],[Groen Verdediging]]&amp;Tabel152[[#This Row],[Groen Aanval]]</f>
        <v/>
      </c>
      <c r="U109" s="293" t="str">
        <f>Tabel152[[#This Row],[Winnaar 1]]&amp;Tabel152[[#This Row],[Winnaar 2]]</f>
        <v>00</v>
      </c>
      <c r="V109" s="147" t="b">
        <f>IF(Tabel152[[#This Row],[Team Rood]]=Tabel152[[#This Row],[Winnaars]],Tabel152[[#This Row],[Team Rood]])</f>
        <v>0</v>
      </c>
      <c r="W109" s="147" t="b">
        <f>IF(Tabel152[[#This Row],[Team Groen]]=Tabel152[[#This Row],[Winnaars]],Tabel152[[#This Row],[Team Groen]])</f>
        <v>0</v>
      </c>
      <c r="X109" s="283"/>
      <c r="Y109" s="283"/>
      <c r="Z109" s="283"/>
      <c r="AA109" s="283"/>
      <c r="AL109" s="251" t="s">
        <v>170</v>
      </c>
      <c r="AM109" s="233" t="s">
        <v>157</v>
      </c>
      <c r="AN109" s="140" t="str">
        <f t="shared" si="14"/>
        <v>Nico*Tobi*</v>
      </c>
      <c r="AO109" s="160">
        <f>IF(Tabel511[[#This Row],[Aantal Games Rood]]=0,0,(Tabel511[[#This Row],[Wins Rood]])/Tabel511[[#This Row],[Aantal Games Rood]])</f>
        <v>0</v>
      </c>
      <c r="AP109" s="162">
        <f>IF(Tabel511[[#This Row],[Aantal Games Groen]]=0,0,(Tabel511[[#This Row],[Wins Groen]])/Tabel511[[#This Row],[Aantal Games Groen]])</f>
        <v>0</v>
      </c>
      <c r="AQ109" s="156">
        <f>IF(Tabel511[[#This Row],[Aantal games Alg]]=0,0,(Tabel511[[#This Row],[Wins Alg]])/Tabel511[[#This Row],[Aantal games Alg]])</f>
        <v>0</v>
      </c>
      <c r="AR109" s="171">
        <f>COUNTIF(Tabel152[Winaar rood],Tabel511[[#This Row],[Team]])</f>
        <v>0</v>
      </c>
      <c r="AS109" s="164">
        <f>COUNTIF(Tabel152[Winnaar Groen],Tabel511[[#This Row],[Team]])</f>
        <v>0</v>
      </c>
      <c r="AT109" s="147">
        <f>COUNTIF(Tabel152[Winnaars],Tabel511[[#This Row],[Team]])</f>
        <v>0</v>
      </c>
      <c r="AU109" s="163">
        <f>Tabel511[[#This Row],[Aantal Games Rood]]-Tabel511[[#This Row],[Wins Rood]]</f>
        <v>0</v>
      </c>
      <c r="AV109" s="164">
        <f>Tabel511[[#This Row],[Aantal Games Groen]]-Tabel511[[#This Row],[Wins Groen]]</f>
        <v>0</v>
      </c>
      <c r="AW109" s="165">
        <f>Tabel511[[#This Row],[Aantal games Alg]]-Tabel511[[#This Row],[Wins Alg]]</f>
        <v>0</v>
      </c>
      <c r="AX109" s="166">
        <f>COUNTIF(Tabel152[Team Rood],Tabel511[[#This Row],[Team]])</f>
        <v>0</v>
      </c>
      <c r="AY109" s="164">
        <f>COUNTIF(Tabel152[Team Groen],Tabel511[[#This Row],[Team]])</f>
        <v>0</v>
      </c>
      <c r="AZ109" s="170">
        <f>Tabel511[[#This Row],[Aantal Games Rood]]+Tabel511[[#This Row],[Aantal Games Groen]]</f>
        <v>0</v>
      </c>
      <c r="BA109" s="166">
        <f>SUMIF(Tabel152[Team Rood],Tabel511[[#This Row],[Team]],Tabel152[Score])</f>
        <v>0</v>
      </c>
      <c r="BB109" s="166">
        <f>SUMIF(Tabel152[Team Rood],Tabel511[[#This Row],[Team]],Tabel152[Score2])</f>
        <v>0</v>
      </c>
      <c r="BC109" s="134">
        <f>SUMIF(Tabel152[Team Groen],Tabel511[[#This Row],[Team]],Tabel152[Score3])</f>
        <v>0</v>
      </c>
      <c r="BD109" s="164">
        <f>SUMIF(Tabel152[Team Groen],Tabel511[[#This Row],[Team]],Tabel152[Score4])</f>
        <v>0</v>
      </c>
      <c r="BE109" s="167">
        <f>SUM(Tabel511[[#This Row],[Goals Verdediger]]+Tabel511[[#This Row],[Goals DefG]])</f>
        <v>0</v>
      </c>
      <c r="BF109" s="147">
        <f>IF(Tabel511[[#This Row],[Aantal games Alg]]=0,0,Tabel511[[#This Row],[Goals DefA]]/Tabel511[[#This Row],[Aantal games Alg]])</f>
        <v>0</v>
      </c>
      <c r="BG109" s="167">
        <f>SUM(Tabel511[[#This Row],[Goals Aanvaller]]+Tabel511[[#This Row],[Goals OffG]])</f>
        <v>0</v>
      </c>
      <c r="BH109" s="147">
        <f>IF(Tabel511[[#This Row],[Aantal games Alg]]=0,0,Tabel511[[#This Row],[Goals OffA]]/Tabel511[[#This Row],[Aantal games Alg]])</f>
        <v>0</v>
      </c>
      <c r="BI109" s="147">
        <f>Tabel511[[#This Row],[Goals DefA]]+Tabel511[[#This Row],[Goals OffA]]</f>
        <v>0</v>
      </c>
      <c r="BJ109" s="147">
        <f>IF(Tabel511[[#This Row],[Aantal games Alg]]=0,0,Tabel511[[#This Row],[Goals Alg]]/Tabel511[[#This Row],[Aantal games Alg]])</f>
        <v>0</v>
      </c>
      <c r="BK109" s="148">
        <f>SUMIF(Tabel152[Team Rood],Tabel511[[#This Row],[Team]],Tabel152[ET])</f>
        <v>0</v>
      </c>
      <c r="BL109" s="168">
        <f>SUMIF(Tabel152[Team Groen],Tabel511[[#This Row],[Team]],Tabel152[ET])</f>
        <v>0</v>
      </c>
      <c r="BM109" s="221">
        <f>SUM(Tabel511[[#This Row],[ET Groen tot]],Tabel511[[#This Row],[ET Rood tot]])</f>
        <v>0</v>
      </c>
      <c r="BN109" s="155">
        <f>IF(Tabel511[[#This Row],[Aantal games Alg]]=0,0,Tabel511[[#This Row],[ET tot]]/Tabel511[[#This Row],[Aantal games Alg]])</f>
        <v>0</v>
      </c>
    </row>
    <row r="110" spans="1:66" x14ac:dyDescent="0.25">
      <c r="A110" s="215" t="str">
        <f ca="1">IF(Tabel152[[#This Row],[Rood Verdediging]]&lt;&gt;"",IF(A110="",NOW(),A110),"")</f>
        <v/>
      </c>
      <c r="B110" s="218" t="str">
        <f ca="1">IF(Tabel152[[#This Row],[Rood Verdediging]]&lt;&gt;"",IF(B110="",NOW(),B110),"")</f>
        <v/>
      </c>
      <c r="C110" s="216" t="str">
        <f ca="1">IF(Tabel152[[#This Row],[Score]]&lt;&gt;"",IF(C110="",NOW(),C110),"")</f>
        <v/>
      </c>
      <c r="D110" s="217" t="str">
        <f ca="1">IF(OR(Tabel152[[#This Row],[Starttijd]]="",Tabel152[[#This Row],[Eindtijd]]=""),"",Tabel152[[#This Row],[Eindtijd]]-Tabel152[[#This Row],[Starttijd]])</f>
        <v/>
      </c>
      <c r="E110" s="74">
        <v>109</v>
      </c>
      <c r="F110" s="205"/>
      <c r="G110" s="210"/>
      <c r="H110" s="205"/>
      <c r="I110" s="210"/>
      <c r="J110" s="206"/>
      <c r="K110" s="212"/>
      <c r="L110" s="206"/>
      <c r="M110" s="212"/>
      <c r="N110" s="79">
        <f>Tabel152[[#This Row],[Score]]+Tabel152[[#This Row],[Score2]]</f>
        <v>0</v>
      </c>
      <c r="O110" s="80">
        <f>Tabel152[[#This Row],[Score3]]+Tabel152[[#This Row],[Score4]]</f>
        <v>0</v>
      </c>
      <c r="P11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Row],[Score4]]&lt;&gt;""),IF(AND(N110&gt;O110,N110&gt;=11),"ROOD",IF(AND(O110&gt;=11,N110&lt;&gt;O110),"GROEN","")),"")</f>
        <v/>
      </c>
      <c r="Q110" s="84">
        <f t="shared" si="15"/>
        <v>0</v>
      </c>
      <c r="R110" s="85">
        <f t="shared" si="16"/>
        <v>0</v>
      </c>
      <c r="S110" s="293" t="str">
        <f>Tabel152[[#This Row],[Rood Verdediging]]&amp;Tabel152[[#This Row],[Rood Aanval]]</f>
        <v/>
      </c>
      <c r="T110" s="293" t="str">
        <f>Tabel152[[#This Row],[Groen Verdediging]]&amp;Tabel152[[#This Row],[Groen Aanval]]</f>
        <v/>
      </c>
      <c r="U110" s="293" t="str">
        <f>Tabel152[[#This Row],[Winnaar 1]]&amp;Tabel152[[#This Row],[Winnaar 2]]</f>
        <v>00</v>
      </c>
      <c r="V110" s="147" t="b">
        <f>IF(Tabel152[[#This Row],[Team Rood]]=Tabel152[[#This Row],[Winnaars]],Tabel152[[#This Row],[Team Rood]])</f>
        <v>0</v>
      </c>
      <c r="W110" s="147" t="b">
        <f>IF(Tabel152[[#This Row],[Team Groen]]=Tabel152[[#This Row],[Winnaars]],Tabel152[[#This Row],[Team Groen]])</f>
        <v>0</v>
      </c>
      <c r="X110" s="283"/>
      <c r="Y110" s="283"/>
      <c r="Z110" s="283"/>
      <c r="AA110" s="283"/>
      <c r="AL110" s="251" t="s">
        <v>169</v>
      </c>
      <c r="AM110" s="233" t="s">
        <v>158</v>
      </c>
      <c r="AN110" s="140" t="str">
        <f t="shared" si="14"/>
        <v>Stef*Arno*</v>
      </c>
      <c r="AO110" s="160">
        <f>IF(Tabel511[[#This Row],[Aantal Games Rood]]=0,0,(Tabel511[[#This Row],[Wins Rood]])/Tabel511[[#This Row],[Aantal Games Rood]])</f>
        <v>0</v>
      </c>
      <c r="AP110" s="159">
        <f>IF(Tabel511[[#This Row],[Aantal Games Groen]]=0,0,(Tabel511[[#This Row],[Wins Groen]])/Tabel511[[#This Row],[Aantal Games Groen]])</f>
        <v>0</v>
      </c>
      <c r="AQ110" s="156">
        <f>IF(Tabel511[[#This Row],[Aantal games Alg]]=0,0,(Tabel511[[#This Row],[Wins Alg]])/Tabel511[[#This Row],[Aantal games Alg]])</f>
        <v>0</v>
      </c>
      <c r="AR110" s="138">
        <f>COUNTIF(Tabel152[Winaar rood],Tabel511[[#This Row],[Team]])</f>
        <v>0</v>
      </c>
      <c r="AS110" s="134">
        <f>COUNTIF(Tabel152[Winnaar Groen],Tabel511[[#This Row],[Team]])</f>
        <v>0</v>
      </c>
      <c r="AT110" s="293">
        <f>COUNTIF(Tabel152[Winnaars],Tabel511[[#This Row],[Team]])</f>
        <v>0</v>
      </c>
      <c r="AU110" s="135">
        <f>Tabel511[[#This Row],[Aantal Games Rood]]-Tabel511[[#This Row],[Wins Rood]]</f>
        <v>0</v>
      </c>
      <c r="AV110" s="136">
        <f>Tabel511[[#This Row],[Aantal Games Groen]]-Tabel511[[#This Row],[Wins Groen]]</f>
        <v>0</v>
      </c>
      <c r="AW110" s="137">
        <f>Tabel511[[#This Row],[Aantal games Alg]]-Tabel511[[#This Row],[Wins Alg]]</f>
        <v>0</v>
      </c>
      <c r="AX110" s="138">
        <f>COUNTIF(Tabel152[Team Rood],Tabel511[[#This Row],[Team]])</f>
        <v>0</v>
      </c>
      <c r="AY110" s="136">
        <f>COUNTIF(Tabel152[Team Groen],Tabel511[[#This Row],[Team]])</f>
        <v>0</v>
      </c>
      <c r="AZ110" s="214">
        <f>Tabel511[[#This Row],[Aantal Games Rood]]+Tabel511[[#This Row],[Aantal Games Groen]]</f>
        <v>0</v>
      </c>
      <c r="BA110" s="138">
        <f>SUMIF(Tabel152[Team Rood],Tabel511[[#This Row],[Team]],Tabel152[Score])</f>
        <v>0</v>
      </c>
      <c r="BB110" s="138">
        <f>SUMIF(Tabel152[Team Rood],Tabel511[[#This Row],[Team]],Tabel152[Score2])</f>
        <v>0</v>
      </c>
      <c r="BC110" s="134">
        <f>SUMIF(Tabel152[Team Groen],Tabel511[[#This Row],[Team]],Tabel152[Score3])</f>
        <v>0</v>
      </c>
      <c r="BD110" s="136">
        <f>SUMIF(Tabel152[Team Groen],Tabel511[[#This Row],[Team]],Tabel152[Score4])</f>
        <v>0</v>
      </c>
      <c r="BE110" s="293">
        <f>SUM(Tabel511[[#This Row],[Goals Verdediger]]+Tabel511[[#This Row],[Goals DefG]])</f>
        <v>0</v>
      </c>
      <c r="BF110" s="293">
        <f>IF(Tabel511[[#This Row],[Aantal games Alg]]=0,0,Tabel511[[#This Row],[Goals DefA]]/Tabel511[[#This Row],[Aantal games Alg]])</f>
        <v>0</v>
      </c>
      <c r="BG110" s="293">
        <f>SUM(Tabel511[[#This Row],[Goals Aanvaller]]+Tabel511[[#This Row],[Goals OffG]])</f>
        <v>0</v>
      </c>
      <c r="BH110" s="293">
        <f>IF(Tabel511[[#This Row],[Aantal games Alg]]=0,0,Tabel511[[#This Row],[Goals OffA]]/Tabel511[[#This Row],[Aantal games Alg]])</f>
        <v>0</v>
      </c>
      <c r="BI110" s="214">
        <f>Tabel511[[#This Row],[Goals DefA]]+Tabel511[[#This Row],[Goals OffA]]</f>
        <v>0</v>
      </c>
      <c r="BJ110" s="214">
        <f>IF(Tabel511[[#This Row],[Aantal games Alg]]=0,0,Tabel511[[#This Row],[Goals Alg]]/Tabel511[[#This Row],[Aantal games Alg]])</f>
        <v>0</v>
      </c>
      <c r="BK110" s="148">
        <f>SUMIF(Tabel152[Team Rood],Tabel511[[#This Row],[Team]],Tabel152[ET])</f>
        <v>0</v>
      </c>
      <c r="BL110" s="150">
        <f>SUMIF(Tabel152[Team Groen],Tabel511[[#This Row],[Team]],Tabel152[ET])</f>
        <v>0</v>
      </c>
      <c r="BM110" s="153">
        <f>SUM(Tabel511[[#This Row],[ET Groen tot]],Tabel511[[#This Row],[ET Rood tot]])</f>
        <v>0</v>
      </c>
      <c r="BN110" s="155">
        <f>IF(Tabel511[[#This Row],[Aantal games Alg]]=0,0,Tabel511[[#This Row],[ET tot]]/Tabel511[[#This Row],[Aantal games Alg]])</f>
        <v>0</v>
      </c>
    </row>
    <row r="111" spans="1:66" x14ac:dyDescent="0.25">
      <c r="A111" s="215" t="str">
        <f ca="1">IF(Tabel152[[#This Row],[Rood Verdediging]]&lt;&gt;"",IF(A111="",NOW(),A111),"")</f>
        <v/>
      </c>
      <c r="B111" s="218" t="str">
        <f ca="1">IF(Tabel152[[#This Row],[Rood Verdediging]]&lt;&gt;"",IF(B111="",NOW(),B111),"")</f>
        <v/>
      </c>
      <c r="C111" s="216" t="str">
        <f ca="1">IF(Tabel152[[#This Row],[Score]]&lt;&gt;"",IF(C111="",NOW(),C111),"")</f>
        <v/>
      </c>
      <c r="D111" s="217" t="str">
        <f ca="1">IF(OR(Tabel152[[#This Row],[Starttijd]]="",Tabel152[[#This Row],[Eindtijd]]=""),"",Tabel152[[#This Row],[Eindtijd]]-Tabel152[[#This Row],[Starttijd]])</f>
        <v/>
      </c>
      <c r="E111" s="74">
        <v>110</v>
      </c>
      <c r="F111" s="205"/>
      <c r="G111" s="210"/>
      <c r="H111" s="205"/>
      <c r="I111" s="210"/>
      <c r="J111" s="206"/>
      <c r="K111" s="212"/>
      <c r="L111" s="206"/>
      <c r="M111" s="212"/>
      <c r="N111" s="79">
        <f>Tabel152[[#This Row],[Score]]+Tabel152[[#This Row],[Score2]]</f>
        <v>0</v>
      </c>
      <c r="O111" s="80">
        <f>Tabel152[[#This Row],[Score3]]+Tabel152[[#This Row],[Score4]]</f>
        <v>0</v>
      </c>
      <c r="P11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Row],[Score4]]&lt;&gt;""),IF(AND(N111&gt;O111,N111&gt;=11),"ROOD",IF(AND(O111&gt;=11,N111&lt;&gt;O111),"GROEN","")),"")</f>
        <v/>
      </c>
      <c r="Q111" s="84">
        <f t="shared" si="15"/>
        <v>0</v>
      </c>
      <c r="R111" s="85">
        <f t="shared" si="16"/>
        <v>0</v>
      </c>
      <c r="S111" s="293" t="str">
        <f>Tabel152[[#This Row],[Rood Verdediging]]&amp;Tabel152[[#This Row],[Rood Aanval]]</f>
        <v/>
      </c>
      <c r="T111" s="293" t="str">
        <f>Tabel152[[#This Row],[Groen Verdediging]]&amp;Tabel152[[#This Row],[Groen Aanval]]</f>
        <v/>
      </c>
      <c r="U111" s="293" t="str">
        <f>Tabel152[[#This Row],[Winnaar 1]]&amp;Tabel152[[#This Row],[Winnaar 2]]</f>
        <v>00</v>
      </c>
      <c r="V111" s="147" t="b">
        <f>IF(Tabel152[[#This Row],[Team Rood]]=Tabel152[[#This Row],[Winnaars]],Tabel152[[#This Row],[Team Rood]])</f>
        <v>0</v>
      </c>
      <c r="W111" s="147" t="b">
        <f>IF(Tabel152[[#This Row],[Team Groen]]=Tabel152[[#This Row],[Winnaars]],Tabel152[[#This Row],[Team Groen]])</f>
        <v>0</v>
      </c>
      <c r="X111" s="283"/>
      <c r="Y111" s="283"/>
      <c r="Z111" s="283"/>
      <c r="AA111" s="283"/>
      <c r="AL111" s="251" t="s">
        <v>169</v>
      </c>
      <c r="AM111" s="232" t="s">
        <v>163</v>
      </c>
      <c r="AN111" s="140" t="str">
        <f t="shared" si="14"/>
        <v>Stef*Bert*</v>
      </c>
      <c r="AO111" s="160">
        <f>IF(Tabel511[[#This Row],[Aantal Games Rood]]=0,0,(Tabel511[[#This Row],[Wins Rood]])/Tabel511[[#This Row],[Aantal Games Rood]])</f>
        <v>1</v>
      </c>
      <c r="AP111" s="159">
        <f>IF(Tabel511[[#This Row],[Aantal Games Groen]]=0,0,(Tabel511[[#This Row],[Wins Groen]])/Tabel511[[#This Row],[Aantal Games Groen]])</f>
        <v>1</v>
      </c>
      <c r="AQ111" s="156">
        <f>IF(Tabel511[[#This Row],[Aantal games Alg]]=0,0,(Tabel511[[#This Row],[Wins Alg]])/Tabel511[[#This Row],[Aantal games Alg]])</f>
        <v>1</v>
      </c>
      <c r="AR111" s="133">
        <f>COUNTIF(Tabel152[Winaar rood],Tabel511[[#This Row],[Team]])</f>
        <v>1</v>
      </c>
      <c r="AS111" s="134">
        <f>COUNTIF(Tabel152[Winnaar Groen],Tabel511[[#This Row],[Team]])</f>
        <v>1</v>
      </c>
      <c r="AT111" s="293">
        <f>COUNTIF(Tabel152[Winnaars],Tabel511[[#This Row],[Team]])</f>
        <v>2</v>
      </c>
      <c r="AU111" s="135">
        <f>Tabel511[[#This Row],[Aantal Games Rood]]-Tabel511[[#This Row],[Wins Rood]]</f>
        <v>0</v>
      </c>
      <c r="AV111" s="136">
        <f>Tabel511[[#This Row],[Aantal Games Groen]]-Tabel511[[#This Row],[Wins Groen]]</f>
        <v>0</v>
      </c>
      <c r="AW111" s="137">
        <f>Tabel511[[#This Row],[Aantal games Alg]]-Tabel511[[#This Row],[Wins Alg]]</f>
        <v>0</v>
      </c>
      <c r="AX111" s="138">
        <f>COUNTIF(Tabel152[Team Rood],Tabel511[[#This Row],[Team]])</f>
        <v>1</v>
      </c>
      <c r="AY111" s="136">
        <f>COUNTIF(Tabel152[Team Groen],Tabel511[[#This Row],[Team]])</f>
        <v>1</v>
      </c>
      <c r="AZ111" s="214">
        <f>Tabel511[[#This Row],[Aantal Games Rood]]+Tabel511[[#This Row],[Aantal Games Groen]]</f>
        <v>2</v>
      </c>
      <c r="BA111" s="138">
        <f>SUMIF(Tabel152[Team Rood],Tabel511[[#This Row],[Team]],Tabel152[Score])</f>
        <v>4</v>
      </c>
      <c r="BB111" s="138">
        <f>SUMIF(Tabel152[Team Rood],Tabel511[[#This Row],[Team]],Tabel152[Score2])</f>
        <v>7</v>
      </c>
      <c r="BC111" s="134">
        <f>SUMIF(Tabel152[Team Groen],Tabel511[[#This Row],[Team]],Tabel152[Score3])</f>
        <v>6</v>
      </c>
      <c r="BD111" s="136">
        <f>SUMIF(Tabel152[Team Groen],Tabel511[[#This Row],[Team]],Tabel152[Score4])</f>
        <v>7</v>
      </c>
      <c r="BE111" s="293">
        <f>SUM(Tabel511[[#This Row],[Goals Verdediger]]+Tabel511[[#This Row],[Goals DefG]])</f>
        <v>10</v>
      </c>
      <c r="BF111" s="293">
        <f>IF(Tabel511[[#This Row],[Aantal games Alg]]=0,0,Tabel511[[#This Row],[Goals DefA]]/Tabel511[[#This Row],[Aantal games Alg]])</f>
        <v>5</v>
      </c>
      <c r="BG111" s="293">
        <f>SUM(Tabel511[[#This Row],[Goals Aanvaller]]+Tabel511[[#This Row],[Goals OffG]])</f>
        <v>14</v>
      </c>
      <c r="BH111" s="293">
        <f>IF(Tabel511[[#This Row],[Aantal games Alg]]=0,0,Tabel511[[#This Row],[Goals OffA]]/Tabel511[[#This Row],[Aantal games Alg]])</f>
        <v>7</v>
      </c>
      <c r="BI111" s="214">
        <f>Tabel511[[#This Row],[Goals DefA]]+Tabel511[[#This Row],[Goals OffA]]</f>
        <v>24</v>
      </c>
      <c r="BJ111" s="214">
        <f>IF(Tabel511[[#This Row],[Aantal games Alg]]=0,0,Tabel511[[#This Row],[Goals Alg]]/Tabel511[[#This Row],[Aantal games Alg]])</f>
        <v>12</v>
      </c>
      <c r="BK111" s="148">
        <f ca="1">SUMIF(Tabel152[Team Rood],Tabel511[[#This Row],[Team]],Tabel152[ET])</f>
        <v>4.1435181628912687E-5</v>
      </c>
      <c r="BL111" s="150">
        <f ca="1">SUMIF(Tabel152[Team Groen],Tabel511[[#This Row],[Team]],Tabel152[ET])</f>
        <v>2.2685184376314282E-5</v>
      </c>
      <c r="BM111" s="153">
        <f ca="1">SUM(Tabel511[[#This Row],[ET Groen tot]],Tabel511[[#This Row],[ET Rood tot]])</f>
        <v>6.412036600522697E-5</v>
      </c>
      <c r="BN111" s="155">
        <f ca="1">IF(Tabel511[[#This Row],[Aantal games Alg]]=0,0,Tabel511[[#This Row],[ET tot]]/Tabel511[[#This Row],[Aantal games Alg]])</f>
        <v>3.2060183002613485E-5</v>
      </c>
    </row>
    <row r="112" spans="1:66" x14ac:dyDescent="0.25">
      <c r="A112" s="215" t="str">
        <f ca="1">IF(Tabel152[[#This Row],[Rood Verdediging]]&lt;&gt;"",IF(A112="",NOW(),A112),"")</f>
        <v/>
      </c>
      <c r="B112" s="218" t="str">
        <f ca="1">IF(Tabel152[[#This Row],[Rood Verdediging]]&lt;&gt;"",IF(B112="",NOW(),B112),"")</f>
        <v/>
      </c>
      <c r="C112" s="216" t="str">
        <f ca="1">IF(Tabel152[[#This Row],[Score]]&lt;&gt;"",IF(C112="",NOW(),C112),"")</f>
        <v/>
      </c>
      <c r="D112" s="217" t="str">
        <f ca="1">IF(OR(Tabel152[[#This Row],[Starttijd]]="",Tabel152[[#This Row],[Eindtijd]]=""),"",Tabel152[[#This Row],[Eindtijd]]-Tabel152[[#This Row],[Starttijd]])</f>
        <v/>
      </c>
      <c r="E112" s="74">
        <v>111</v>
      </c>
      <c r="F112" s="205"/>
      <c r="G112" s="210"/>
      <c r="H112" s="205"/>
      <c r="I112" s="210"/>
      <c r="J112" s="206"/>
      <c r="K112" s="212"/>
      <c r="L112" s="206"/>
      <c r="M112" s="212"/>
      <c r="N112" s="79">
        <f>Tabel152[[#This Row],[Score]]+Tabel152[[#This Row],[Score2]]</f>
        <v>0</v>
      </c>
      <c r="O112" s="80">
        <f>Tabel152[[#This Row],[Score3]]+Tabel152[[#This Row],[Score4]]</f>
        <v>0</v>
      </c>
      <c r="P11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Row],[Score4]]&lt;&gt;""),IF(AND(N112&gt;O112,N112&gt;=11),"ROOD",IF(AND(O112&gt;=11,N112&lt;&gt;O112),"GROEN","")),"")</f>
        <v/>
      </c>
      <c r="Q112" s="84">
        <f t="shared" si="15"/>
        <v>0</v>
      </c>
      <c r="R112" s="85">
        <f t="shared" si="16"/>
        <v>0</v>
      </c>
      <c r="S112" s="293" t="str">
        <f>Tabel152[[#This Row],[Rood Verdediging]]&amp;Tabel152[[#This Row],[Rood Aanval]]</f>
        <v/>
      </c>
      <c r="T112" s="293" t="str">
        <f>Tabel152[[#This Row],[Groen Verdediging]]&amp;Tabel152[[#This Row],[Groen Aanval]]</f>
        <v/>
      </c>
      <c r="U112" s="293" t="str">
        <f>Tabel152[[#This Row],[Winnaar 1]]&amp;Tabel152[[#This Row],[Winnaar 2]]</f>
        <v>00</v>
      </c>
      <c r="V112" s="147" t="b">
        <f>IF(Tabel152[[#This Row],[Team Rood]]=Tabel152[[#This Row],[Winnaars]],Tabel152[[#This Row],[Team Rood]])</f>
        <v>0</v>
      </c>
      <c r="W112" s="147" t="b">
        <f>IF(Tabel152[[#This Row],[Team Groen]]=Tabel152[[#This Row],[Winnaars]],Tabel152[[#This Row],[Team Groen]])</f>
        <v>0</v>
      </c>
      <c r="X112" s="283"/>
      <c r="Y112" s="283"/>
      <c r="Z112" s="283"/>
      <c r="AA112" s="283"/>
      <c r="AL112" s="251" t="s">
        <v>169</v>
      </c>
      <c r="AM112" s="232" t="s">
        <v>168</v>
      </c>
      <c r="AN112" s="140" t="str">
        <f t="shared" si="14"/>
        <v>Stef*Coghe*</v>
      </c>
      <c r="AO112" s="160">
        <f>IF(Tabel511[[#This Row],[Aantal Games Rood]]=0,0,(Tabel511[[#This Row],[Wins Rood]])/Tabel511[[#This Row],[Aantal Games Rood]])</f>
        <v>0</v>
      </c>
      <c r="AP112" s="159">
        <f>IF(Tabel511[[#This Row],[Aantal Games Groen]]=0,0,(Tabel511[[#This Row],[Wins Groen]])/Tabel511[[#This Row],[Aantal Games Groen]])</f>
        <v>0</v>
      </c>
      <c r="AQ112" s="156">
        <f>IF(Tabel511[[#This Row],[Aantal games Alg]]=0,0,(Tabel511[[#This Row],[Wins Alg]])/Tabel511[[#This Row],[Aantal games Alg]])</f>
        <v>0</v>
      </c>
      <c r="AR112" s="133">
        <f>COUNTIF(Tabel152[Winaar rood],Tabel511[[#This Row],[Team]])</f>
        <v>0</v>
      </c>
      <c r="AS112" s="134">
        <f>COUNTIF(Tabel152[Winnaar Groen],Tabel511[[#This Row],[Team]])</f>
        <v>0</v>
      </c>
      <c r="AT112" s="293">
        <f>COUNTIF(Tabel152[Winnaars],Tabel511[[#This Row],[Team]])</f>
        <v>0</v>
      </c>
      <c r="AU112" s="135">
        <f>Tabel511[[#This Row],[Aantal Games Rood]]-Tabel511[[#This Row],[Wins Rood]]</f>
        <v>1</v>
      </c>
      <c r="AV112" s="136">
        <f>Tabel511[[#This Row],[Aantal Games Groen]]-Tabel511[[#This Row],[Wins Groen]]</f>
        <v>0</v>
      </c>
      <c r="AW112" s="137">
        <f>Tabel511[[#This Row],[Aantal games Alg]]-Tabel511[[#This Row],[Wins Alg]]</f>
        <v>1</v>
      </c>
      <c r="AX112" s="138">
        <f>COUNTIF(Tabel152[Team Rood],Tabel511[[#This Row],[Team]])</f>
        <v>1</v>
      </c>
      <c r="AY112" s="136">
        <f>COUNTIF(Tabel152[Team Groen],Tabel511[[#This Row],[Team]])</f>
        <v>0</v>
      </c>
      <c r="AZ112" s="214">
        <f>Tabel511[[#This Row],[Aantal Games Rood]]+Tabel511[[#This Row],[Aantal Games Groen]]</f>
        <v>1</v>
      </c>
      <c r="BA112" s="138">
        <f>SUMIF(Tabel152[Team Rood],Tabel511[[#This Row],[Team]],Tabel152[Score])</f>
        <v>4</v>
      </c>
      <c r="BB112" s="138">
        <f>SUMIF(Tabel152[Team Rood],Tabel511[[#This Row],[Team]],Tabel152[Score2])</f>
        <v>8</v>
      </c>
      <c r="BC112" s="134">
        <f>SUMIF(Tabel152[Team Groen],Tabel511[[#This Row],[Team]],Tabel152[Score3])</f>
        <v>0</v>
      </c>
      <c r="BD112" s="136">
        <f>SUMIF(Tabel152[Team Groen],Tabel511[[#This Row],[Team]],Tabel152[Score4])</f>
        <v>0</v>
      </c>
      <c r="BE112" s="293">
        <f>SUM(Tabel511[[#This Row],[Goals Verdediger]]+Tabel511[[#This Row],[Goals DefG]])</f>
        <v>4</v>
      </c>
      <c r="BF112" s="293">
        <f>IF(Tabel511[[#This Row],[Aantal games Alg]]=0,0,Tabel511[[#This Row],[Goals DefA]]/Tabel511[[#This Row],[Aantal games Alg]])</f>
        <v>4</v>
      </c>
      <c r="BG112" s="293">
        <f>SUM(Tabel511[[#This Row],[Goals Aanvaller]]+Tabel511[[#This Row],[Goals OffG]])</f>
        <v>8</v>
      </c>
      <c r="BH112" s="293">
        <f>IF(Tabel511[[#This Row],[Aantal games Alg]]=0,0,Tabel511[[#This Row],[Goals OffA]]/Tabel511[[#This Row],[Aantal games Alg]])</f>
        <v>8</v>
      </c>
      <c r="BI112" s="214">
        <f>Tabel511[[#This Row],[Goals DefA]]+Tabel511[[#This Row],[Goals OffA]]</f>
        <v>12</v>
      </c>
      <c r="BJ112" s="214">
        <f>IF(Tabel511[[#This Row],[Aantal games Alg]]=0,0,Tabel511[[#This Row],[Goals Alg]]/Tabel511[[#This Row],[Aantal games Alg]])</f>
        <v>12</v>
      </c>
      <c r="BK112" s="148">
        <f ca="1">SUMIF(Tabel152[Team Rood],Tabel511[[#This Row],[Team]],Tabel152[ET])</f>
        <v>2.418980875518173E-5</v>
      </c>
      <c r="BL112" s="150">
        <f>SUMIF(Tabel152[Team Groen],Tabel511[[#This Row],[Team]],Tabel152[ET])</f>
        <v>0</v>
      </c>
      <c r="BM112" s="153">
        <f ca="1">SUM(Tabel511[[#This Row],[ET Groen tot]],Tabel511[[#This Row],[ET Rood tot]])</f>
        <v>2.418980875518173E-5</v>
      </c>
      <c r="BN112" s="155">
        <f ca="1">IF(Tabel511[[#This Row],[Aantal games Alg]]=0,0,Tabel511[[#This Row],[ET tot]]/Tabel511[[#This Row],[Aantal games Alg]])</f>
        <v>2.418980875518173E-5</v>
      </c>
    </row>
    <row r="113" spans="1:66" x14ac:dyDescent="0.25">
      <c r="A113" s="215" t="str">
        <f ca="1">IF(Tabel152[[#This Row],[Rood Verdediging]]&lt;&gt;"",IF(A113="",NOW(),A113),"")</f>
        <v/>
      </c>
      <c r="B113" s="218" t="str">
        <f ca="1">IF(Tabel152[[#This Row],[Rood Verdediging]]&lt;&gt;"",IF(B113="",NOW(),B113),"")</f>
        <v/>
      </c>
      <c r="C113" s="216" t="str">
        <f ca="1">IF(Tabel152[[#This Row],[Score]]&lt;&gt;"",IF(C113="",NOW(),C113),"")</f>
        <v/>
      </c>
      <c r="D113" s="217" t="str">
        <f ca="1">IF(OR(Tabel152[[#This Row],[Starttijd]]="",Tabel152[[#This Row],[Eindtijd]]=""),"",Tabel152[[#This Row],[Eindtijd]]-Tabel152[[#This Row],[Starttijd]])</f>
        <v/>
      </c>
      <c r="E113" s="74">
        <v>112</v>
      </c>
      <c r="F113" s="205"/>
      <c r="G113" s="210"/>
      <c r="H113" s="205"/>
      <c r="I113" s="210"/>
      <c r="J113" s="206"/>
      <c r="K113" s="212"/>
      <c r="L113" s="206"/>
      <c r="M113" s="212"/>
      <c r="N113" s="79">
        <f>Tabel152[[#This Row],[Score]]+Tabel152[[#This Row],[Score2]]</f>
        <v>0</v>
      </c>
      <c r="O113" s="80">
        <f>Tabel152[[#This Row],[Score3]]+Tabel152[[#This Row],[Score4]]</f>
        <v>0</v>
      </c>
      <c r="P11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Row],[Score4]]&lt;&gt;""),IF(AND(N113&gt;O113,N113&gt;=11),"ROOD",IF(AND(O113&gt;=11,N113&lt;&gt;O113),"GROEN","")),"")</f>
        <v/>
      </c>
      <c r="Q113" s="84">
        <f t="shared" si="15"/>
        <v>0</v>
      </c>
      <c r="R113" s="85">
        <f t="shared" si="16"/>
        <v>0</v>
      </c>
      <c r="S113" s="293" t="str">
        <f>Tabel152[[#This Row],[Rood Verdediging]]&amp;Tabel152[[#This Row],[Rood Aanval]]</f>
        <v/>
      </c>
      <c r="T113" s="293" t="str">
        <f>Tabel152[[#This Row],[Groen Verdediging]]&amp;Tabel152[[#This Row],[Groen Aanval]]</f>
        <v/>
      </c>
      <c r="U113" s="293" t="str">
        <f>Tabel152[[#This Row],[Winnaar 1]]&amp;Tabel152[[#This Row],[Winnaar 2]]</f>
        <v>00</v>
      </c>
      <c r="V113" s="147" t="b">
        <f>IF(Tabel152[[#This Row],[Team Rood]]=Tabel152[[#This Row],[Winnaars]],Tabel152[[#This Row],[Team Rood]])</f>
        <v>0</v>
      </c>
      <c r="W113" s="147" t="b">
        <f>IF(Tabel152[[#This Row],[Team Groen]]=Tabel152[[#This Row],[Winnaars]],Tabel152[[#This Row],[Team Groen]])</f>
        <v>0</v>
      </c>
      <c r="X113" s="283"/>
      <c r="Y113" s="283"/>
      <c r="Z113" s="283"/>
      <c r="AA113" s="283"/>
      <c r="AL113" s="251" t="s">
        <v>169</v>
      </c>
      <c r="AM113" s="232" t="s">
        <v>159</v>
      </c>
      <c r="AN113" s="140" t="str">
        <f t="shared" si="14"/>
        <v>Stef*Jonas*</v>
      </c>
      <c r="AO113" s="160">
        <f>IF(Tabel511[[#This Row],[Aantal Games Rood]]=0,0,(Tabel511[[#This Row],[Wins Rood]])/Tabel511[[#This Row],[Aantal Games Rood]])</f>
        <v>1</v>
      </c>
      <c r="AP113" s="159">
        <f>IF(Tabel511[[#This Row],[Aantal Games Groen]]=0,0,(Tabel511[[#This Row],[Wins Groen]])/Tabel511[[#This Row],[Aantal Games Groen]])</f>
        <v>0</v>
      </c>
      <c r="AQ113" s="156">
        <f>IF(Tabel511[[#This Row],[Aantal games Alg]]=0,0,(Tabel511[[#This Row],[Wins Alg]])/Tabel511[[#This Row],[Aantal games Alg]])</f>
        <v>1</v>
      </c>
      <c r="AR113" s="133">
        <f>COUNTIF(Tabel152[Winaar rood],Tabel511[[#This Row],[Team]])</f>
        <v>3</v>
      </c>
      <c r="AS113" s="134">
        <f>COUNTIF(Tabel152[Winnaar Groen],Tabel511[[#This Row],[Team]])</f>
        <v>0</v>
      </c>
      <c r="AT113" s="293">
        <f>COUNTIF(Tabel152[Winnaars],Tabel511[[#This Row],[Team]])</f>
        <v>3</v>
      </c>
      <c r="AU113" s="135">
        <f>Tabel511[[#This Row],[Aantal Games Rood]]-Tabel511[[#This Row],[Wins Rood]]</f>
        <v>0</v>
      </c>
      <c r="AV113" s="136">
        <f>Tabel511[[#This Row],[Aantal Games Groen]]-Tabel511[[#This Row],[Wins Groen]]</f>
        <v>0</v>
      </c>
      <c r="AW113" s="137">
        <f>Tabel511[[#This Row],[Aantal games Alg]]-Tabel511[[#This Row],[Wins Alg]]</f>
        <v>0</v>
      </c>
      <c r="AX113" s="138">
        <f>COUNTIF(Tabel152[Team Rood],Tabel511[[#This Row],[Team]])</f>
        <v>3</v>
      </c>
      <c r="AY113" s="136">
        <f>COUNTIF(Tabel152[Team Groen],Tabel511[[#This Row],[Team]])</f>
        <v>0</v>
      </c>
      <c r="AZ113" s="214">
        <f>Tabel511[[#This Row],[Aantal Games Rood]]+Tabel511[[#This Row],[Aantal Games Groen]]</f>
        <v>3</v>
      </c>
      <c r="BA113" s="138">
        <f>SUMIF(Tabel152[Team Rood],Tabel511[[#This Row],[Team]],Tabel152[Score])</f>
        <v>15</v>
      </c>
      <c r="BB113" s="138">
        <f>SUMIF(Tabel152[Team Rood],Tabel511[[#This Row],[Team]],Tabel152[Score2])</f>
        <v>20</v>
      </c>
      <c r="BC113" s="134">
        <f>SUMIF(Tabel152[Team Groen],Tabel511[[#This Row],[Team]],Tabel152[Score3])</f>
        <v>0</v>
      </c>
      <c r="BD113" s="136">
        <f>SUMIF(Tabel152[Team Groen],Tabel511[[#This Row],[Team]],Tabel152[Score4])</f>
        <v>0</v>
      </c>
      <c r="BE113" s="293">
        <f>SUM(Tabel511[[#This Row],[Goals Verdediger]]+Tabel511[[#This Row],[Goals DefG]])</f>
        <v>15</v>
      </c>
      <c r="BF113" s="293">
        <f>IF(Tabel511[[#This Row],[Aantal games Alg]]=0,0,Tabel511[[#This Row],[Goals DefA]]/Tabel511[[#This Row],[Aantal games Alg]])</f>
        <v>5</v>
      </c>
      <c r="BG113" s="293">
        <f>SUM(Tabel511[[#This Row],[Goals Aanvaller]]+Tabel511[[#This Row],[Goals OffG]])</f>
        <v>20</v>
      </c>
      <c r="BH113" s="293">
        <f>IF(Tabel511[[#This Row],[Aantal games Alg]]=0,0,Tabel511[[#This Row],[Goals OffA]]/Tabel511[[#This Row],[Aantal games Alg]])</f>
        <v>6.666666666666667</v>
      </c>
      <c r="BI113" s="214">
        <f>Tabel511[[#This Row],[Goals DefA]]+Tabel511[[#This Row],[Goals OffA]]</f>
        <v>35</v>
      </c>
      <c r="BJ113" s="214">
        <f>IF(Tabel511[[#This Row],[Aantal games Alg]]=0,0,Tabel511[[#This Row],[Goals Alg]]/Tabel511[[#This Row],[Aantal games Alg]])</f>
        <v>11.666666666666666</v>
      </c>
      <c r="BK113" s="148">
        <f ca="1">SUMIF(Tabel152[Team Rood],Tabel511[[#This Row],[Team]],Tabel152[ET])</f>
        <v>9.4675917353015393E-5</v>
      </c>
      <c r="BL113" s="150">
        <f>SUMIF(Tabel152[Team Groen],Tabel511[[#This Row],[Team]],Tabel152[ET])</f>
        <v>0</v>
      </c>
      <c r="BM113" s="153">
        <f ca="1">SUM(Tabel511[[#This Row],[ET Groen tot]],Tabel511[[#This Row],[ET Rood tot]])</f>
        <v>9.4675917353015393E-5</v>
      </c>
      <c r="BN113" s="155">
        <f ca="1">IF(Tabel511[[#This Row],[Aantal games Alg]]=0,0,Tabel511[[#This Row],[ET tot]]/Tabel511[[#This Row],[Aantal games Alg]])</f>
        <v>3.1558639117671795E-5</v>
      </c>
    </row>
    <row r="114" spans="1:66" x14ac:dyDescent="0.25">
      <c r="A114" s="215" t="str">
        <f ca="1">IF(Tabel152[[#This Row],[Rood Verdediging]]&lt;&gt;"",IF(A114="",NOW(),A114),"")</f>
        <v/>
      </c>
      <c r="B114" s="218" t="str">
        <f ca="1">IF(Tabel152[[#This Row],[Rood Verdediging]]&lt;&gt;"",IF(B114="",NOW(),B114),"")</f>
        <v/>
      </c>
      <c r="C114" s="216" t="str">
        <f ca="1">IF(Tabel152[[#This Row],[Score]]&lt;&gt;"",IF(C114="",NOW(),C114),"")</f>
        <v/>
      </c>
      <c r="D114" s="217" t="str">
        <f ca="1">IF(OR(Tabel152[[#This Row],[Starttijd]]="",Tabel152[[#This Row],[Eindtijd]]=""),"",Tabel152[[#This Row],[Eindtijd]]-Tabel152[[#This Row],[Starttijd]])</f>
        <v/>
      </c>
      <c r="E114" s="74">
        <v>113</v>
      </c>
      <c r="F114" s="205"/>
      <c r="G114" s="210"/>
      <c r="H114" s="205"/>
      <c r="I114" s="210"/>
      <c r="J114" s="206"/>
      <c r="K114" s="212"/>
      <c r="L114" s="206"/>
      <c r="M114" s="212"/>
      <c r="N114" s="79">
        <f>Tabel152[[#This Row],[Score]]+Tabel152[[#This Row],[Score2]]</f>
        <v>0</v>
      </c>
      <c r="O114" s="80">
        <f>Tabel152[[#This Row],[Score3]]+Tabel152[[#This Row],[Score4]]</f>
        <v>0</v>
      </c>
      <c r="P11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Row],[Score4]]&lt;&gt;""),IF(AND(N114&gt;O114,N114&gt;=11),"ROOD",IF(AND(O114&gt;=11,N114&lt;&gt;O114),"GROEN","")),"")</f>
        <v/>
      </c>
      <c r="Q114" s="84">
        <f t="shared" si="15"/>
        <v>0</v>
      </c>
      <c r="R114" s="85">
        <f t="shared" si="16"/>
        <v>0</v>
      </c>
      <c r="S114" s="293" t="str">
        <f>Tabel152[[#This Row],[Rood Verdediging]]&amp;Tabel152[[#This Row],[Rood Aanval]]</f>
        <v/>
      </c>
      <c r="T114" s="293" t="str">
        <f>Tabel152[[#This Row],[Groen Verdediging]]&amp;Tabel152[[#This Row],[Groen Aanval]]</f>
        <v/>
      </c>
      <c r="U114" s="293" t="str">
        <f>Tabel152[[#This Row],[Winnaar 1]]&amp;Tabel152[[#This Row],[Winnaar 2]]</f>
        <v>00</v>
      </c>
      <c r="V114" s="147" t="b">
        <f>IF(Tabel152[[#This Row],[Team Rood]]=Tabel152[[#This Row],[Winnaars]],Tabel152[[#This Row],[Team Rood]])</f>
        <v>0</v>
      </c>
      <c r="W114" s="147" t="b">
        <f>IF(Tabel152[[#This Row],[Team Groen]]=Tabel152[[#This Row],[Winnaars]],Tabel152[[#This Row],[Team Groen]])</f>
        <v>0</v>
      </c>
      <c r="X114" s="283"/>
      <c r="Y114" s="283"/>
      <c r="Z114" s="283"/>
      <c r="AA114" s="283"/>
      <c r="AL114" s="251" t="s">
        <v>169</v>
      </c>
      <c r="AM114" s="232" t="s">
        <v>164</v>
      </c>
      <c r="AN114" s="140" t="str">
        <f t="shared" si="14"/>
        <v>Stef*Karel*</v>
      </c>
      <c r="AO114" s="160">
        <f>IF(Tabel511[[#This Row],[Aantal Games Rood]]=0,0,(Tabel511[[#This Row],[Wins Rood]])/Tabel511[[#This Row],[Aantal Games Rood]])</f>
        <v>0</v>
      </c>
      <c r="AP114" s="159">
        <f>IF(Tabel511[[#This Row],[Aantal Games Groen]]=0,0,(Tabel511[[#This Row],[Wins Groen]])/Tabel511[[#This Row],[Aantal Games Groen]])</f>
        <v>0</v>
      </c>
      <c r="AQ114" s="156">
        <f>IF(Tabel511[[#This Row],[Aantal games Alg]]=0,0,(Tabel511[[#This Row],[Wins Alg]])/Tabel511[[#This Row],[Aantal games Alg]])</f>
        <v>0</v>
      </c>
      <c r="AR114" s="133">
        <f>COUNTIF(Tabel152[Winaar rood],Tabel511[[#This Row],[Team]])</f>
        <v>0</v>
      </c>
      <c r="AS114" s="134">
        <f>COUNTIF(Tabel152[Winnaar Groen],Tabel511[[#This Row],[Team]])</f>
        <v>0</v>
      </c>
      <c r="AT114" s="293">
        <f>COUNTIF(Tabel152[Winnaars],Tabel511[[#This Row],[Team]])</f>
        <v>0</v>
      </c>
      <c r="AU114" s="135">
        <f>Tabel511[[#This Row],[Aantal Games Rood]]-Tabel511[[#This Row],[Wins Rood]]</f>
        <v>0</v>
      </c>
      <c r="AV114" s="136">
        <f>Tabel511[[#This Row],[Aantal Games Groen]]-Tabel511[[#This Row],[Wins Groen]]</f>
        <v>0</v>
      </c>
      <c r="AW114" s="137">
        <f>Tabel511[[#This Row],[Aantal games Alg]]-Tabel511[[#This Row],[Wins Alg]]</f>
        <v>0</v>
      </c>
      <c r="AX114" s="138">
        <f>COUNTIF(Tabel152[Team Rood],Tabel511[[#This Row],[Team]])</f>
        <v>0</v>
      </c>
      <c r="AY114" s="136">
        <f>COUNTIF(Tabel152[Team Groen],Tabel511[[#This Row],[Team]])</f>
        <v>0</v>
      </c>
      <c r="AZ114" s="214">
        <f>Tabel511[[#This Row],[Aantal Games Rood]]+Tabel511[[#This Row],[Aantal Games Groen]]</f>
        <v>0</v>
      </c>
      <c r="BA114" s="138">
        <f>SUMIF(Tabel152[Team Rood],Tabel511[[#This Row],[Team]],Tabel152[Score])</f>
        <v>0</v>
      </c>
      <c r="BB114" s="138">
        <f>SUMIF(Tabel152[Team Rood],Tabel511[[#This Row],[Team]],Tabel152[Score2])</f>
        <v>0</v>
      </c>
      <c r="BC114" s="134">
        <f>SUMIF(Tabel152[Team Groen],Tabel511[[#This Row],[Team]],Tabel152[Score3])</f>
        <v>0</v>
      </c>
      <c r="BD114" s="136">
        <f>SUMIF(Tabel152[Team Groen],Tabel511[[#This Row],[Team]],Tabel152[Score4])</f>
        <v>0</v>
      </c>
      <c r="BE114" s="293">
        <f>SUM(Tabel511[[#This Row],[Goals Verdediger]]+Tabel511[[#This Row],[Goals DefG]])</f>
        <v>0</v>
      </c>
      <c r="BF114" s="293">
        <f>IF(Tabel511[[#This Row],[Aantal games Alg]]=0,0,Tabel511[[#This Row],[Goals DefA]]/Tabel511[[#This Row],[Aantal games Alg]])</f>
        <v>0</v>
      </c>
      <c r="BG114" s="293">
        <f>SUM(Tabel511[[#This Row],[Goals Aanvaller]]+Tabel511[[#This Row],[Goals OffG]])</f>
        <v>0</v>
      </c>
      <c r="BH114" s="293">
        <f>IF(Tabel511[[#This Row],[Aantal games Alg]]=0,0,Tabel511[[#This Row],[Goals OffA]]/Tabel511[[#This Row],[Aantal games Alg]])</f>
        <v>0</v>
      </c>
      <c r="BI114" s="214">
        <f>Tabel511[[#This Row],[Goals DefA]]+Tabel511[[#This Row],[Goals OffA]]</f>
        <v>0</v>
      </c>
      <c r="BJ114" s="214">
        <f>IF(Tabel511[[#This Row],[Aantal games Alg]]=0,0,Tabel511[[#This Row],[Goals Alg]]/Tabel511[[#This Row],[Aantal games Alg]])</f>
        <v>0</v>
      </c>
      <c r="BK114" s="148">
        <f>SUMIF(Tabel152[Team Rood],Tabel511[[#This Row],[Team]],Tabel152[ET])</f>
        <v>0</v>
      </c>
      <c r="BL114" s="150">
        <f>SUMIF(Tabel152[Team Groen],Tabel511[[#This Row],[Team]],Tabel152[ET])</f>
        <v>0</v>
      </c>
      <c r="BM114" s="153">
        <f>SUM(Tabel511[[#This Row],[ET Groen tot]],Tabel511[[#This Row],[ET Rood tot]])</f>
        <v>0</v>
      </c>
      <c r="BN114" s="155">
        <f>IF(Tabel511[[#This Row],[Aantal games Alg]]=0,0,Tabel511[[#This Row],[ET tot]]/Tabel511[[#This Row],[Aantal games Alg]])</f>
        <v>0</v>
      </c>
    </row>
    <row r="115" spans="1:66" x14ac:dyDescent="0.25">
      <c r="A115" s="215" t="str">
        <f ca="1">IF(Tabel152[[#This Row],[Rood Verdediging]]&lt;&gt;"",IF(A115="",NOW(),A115),"")</f>
        <v/>
      </c>
      <c r="B115" s="218" t="str">
        <f ca="1">IF(Tabel152[[#This Row],[Rood Verdediging]]&lt;&gt;"",IF(B115="",NOW(),B115),"")</f>
        <v/>
      </c>
      <c r="C115" s="216" t="str">
        <f ca="1">IF(Tabel152[[#This Row],[Score]]&lt;&gt;"",IF(C115="",NOW(),C115),"")</f>
        <v/>
      </c>
      <c r="D115" s="217" t="str">
        <f ca="1">IF(OR(Tabel152[[#This Row],[Starttijd]]="",Tabel152[[#This Row],[Eindtijd]]=""),"",Tabel152[[#This Row],[Eindtijd]]-Tabel152[[#This Row],[Starttijd]])</f>
        <v/>
      </c>
      <c r="E115" s="74">
        <v>114</v>
      </c>
      <c r="F115" s="205"/>
      <c r="G115" s="210"/>
      <c r="H115" s="205"/>
      <c r="I115" s="210"/>
      <c r="J115" s="206"/>
      <c r="K115" s="212"/>
      <c r="L115" s="206"/>
      <c r="M115" s="212"/>
      <c r="N115" s="79">
        <f>Tabel152[[#This Row],[Score]]+Tabel152[[#This Row],[Score2]]</f>
        <v>0</v>
      </c>
      <c r="O115" s="80">
        <f>Tabel152[[#This Row],[Score3]]+Tabel152[[#This Row],[Score4]]</f>
        <v>0</v>
      </c>
      <c r="P11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Row],[Score4]]&lt;&gt;""),IF(AND(N115&gt;O115,N115&gt;=11),"ROOD",IF(AND(O115&gt;=11,N115&lt;&gt;O115),"GROEN","")),"")</f>
        <v/>
      </c>
      <c r="Q115" s="84">
        <f t="shared" si="15"/>
        <v>0</v>
      </c>
      <c r="R115" s="85">
        <f t="shared" si="16"/>
        <v>0</v>
      </c>
      <c r="S115" s="293" t="str">
        <f>Tabel152[[#This Row],[Rood Verdediging]]&amp;Tabel152[[#This Row],[Rood Aanval]]</f>
        <v/>
      </c>
      <c r="T115" s="293" t="str">
        <f>Tabel152[[#This Row],[Groen Verdediging]]&amp;Tabel152[[#This Row],[Groen Aanval]]</f>
        <v/>
      </c>
      <c r="U115" s="293" t="str">
        <f>Tabel152[[#This Row],[Winnaar 1]]&amp;Tabel152[[#This Row],[Winnaar 2]]</f>
        <v>00</v>
      </c>
      <c r="V115" s="147" t="b">
        <f>IF(Tabel152[[#This Row],[Team Rood]]=Tabel152[[#This Row],[Winnaars]],Tabel152[[#This Row],[Team Rood]])</f>
        <v>0</v>
      </c>
      <c r="W115" s="147" t="b">
        <f>IF(Tabel152[[#This Row],[Team Groen]]=Tabel152[[#This Row],[Winnaars]],Tabel152[[#This Row],[Team Groen]])</f>
        <v>0</v>
      </c>
      <c r="X115" s="283"/>
      <c r="Y115" s="283"/>
      <c r="Z115" s="283"/>
      <c r="AA115" s="283"/>
      <c r="AL115" s="251" t="s">
        <v>169</v>
      </c>
      <c r="AM115" s="232" t="s">
        <v>67</v>
      </c>
      <c r="AN115" s="140" t="str">
        <f t="shared" si="14"/>
        <v>Stef*Lawrence</v>
      </c>
      <c r="AO115" s="160">
        <f>IF(Tabel511[[#This Row],[Aantal Games Rood]]=0,0,(Tabel511[[#This Row],[Wins Rood]])/Tabel511[[#This Row],[Aantal Games Rood]])</f>
        <v>0</v>
      </c>
      <c r="AP115" s="159">
        <f>IF(Tabel511[[#This Row],[Aantal Games Groen]]=0,0,(Tabel511[[#This Row],[Wins Groen]])/Tabel511[[#This Row],[Aantal Games Groen]])</f>
        <v>0</v>
      </c>
      <c r="AQ115" s="156">
        <f>IF(Tabel511[[#This Row],[Aantal games Alg]]=0,0,(Tabel511[[#This Row],[Wins Alg]])/Tabel511[[#This Row],[Aantal games Alg]])</f>
        <v>0</v>
      </c>
      <c r="AR115" s="133">
        <f>COUNTIF(Tabel152[Winaar rood],Tabel511[[#This Row],[Team]])</f>
        <v>0</v>
      </c>
      <c r="AS115" s="134">
        <f>COUNTIF(Tabel152[Winnaar Groen],Tabel511[[#This Row],[Team]])</f>
        <v>0</v>
      </c>
      <c r="AT115" s="293">
        <f>COUNTIF(Tabel152[Winnaars],Tabel511[[#This Row],[Team]])</f>
        <v>0</v>
      </c>
      <c r="AU115" s="135">
        <f>Tabel511[[#This Row],[Aantal Games Rood]]-Tabel511[[#This Row],[Wins Rood]]</f>
        <v>0</v>
      </c>
      <c r="AV115" s="136">
        <f>Tabel511[[#This Row],[Aantal Games Groen]]-Tabel511[[#This Row],[Wins Groen]]</f>
        <v>0</v>
      </c>
      <c r="AW115" s="137">
        <f>Tabel511[[#This Row],[Aantal games Alg]]-Tabel511[[#This Row],[Wins Alg]]</f>
        <v>0</v>
      </c>
      <c r="AX115" s="138">
        <f>COUNTIF(Tabel152[Team Rood],Tabel511[[#This Row],[Team]])</f>
        <v>0</v>
      </c>
      <c r="AY115" s="136">
        <f>COUNTIF(Tabel152[Team Groen],Tabel511[[#This Row],[Team]])</f>
        <v>0</v>
      </c>
      <c r="AZ115" s="214">
        <f>Tabel511[[#This Row],[Aantal Games Rood]]+Tabel511[[#This Row],[Aantal Games Groen]]</f>
        <v>0</v>
      </c>
      <c r="BA115" s="138">
        <f>SUMIF(Tabel152[Team Rood],Tabel511[[#This Row],[Team]],Tabel152[Score])</f>
        <v>0</v>
      </c>
      <c r="BB115" s="138">
        <f>SUMIF(Tabel152[Team Rood],Tabel511[[#This Row],[Team]],Tabel152[Score2])</f>
        <v>0</v>
      </c>
      <c r="BC115" s="134">
        <f>SUMIF(Tabel152[Team Groen],Tabel511[[#This Row],[Team]],Tabel152[Score3])</f>
        <v>0</v>
      </c>
      <c r="BD115" s="136">
        <f>SUMIF(Tabel152[Team Groen],Tabel511[[#This Row],[Team]],Tabel152[Score4])</f>
        <v>0</v>
      </c>
      <c r="BE115" s="293">
        <f>SUM(Tabel511[[#This Row],[Goals Verdediger]]+Tabel511[[#This Row],[Goals DefG]])</f>
        <v>0</v>
      </c>
      <c r="BF115" s="293">
        <f>IF(Tabel511[[#This Row],[Aantal games Alg]]=0,0,Tabel511[[#This Row],[Goals DefA]]/Tabel511[[#This Row],[Aantal games Alg]])</f>
        <v>0</v>
      </c>
      <c r="BG115" s="293">
        <f>SUM(Tabel511[[#This Row],[Goals Aanvaller]]+Tabel511[[#This Row],[Goals OffG]])</f>
        <v>0</v>
      </c>
      <c r="BH115" s="293">
        <f>IF(Tabel511[[#This Row],[Aantal games Alg]]=0,0,Tabel511[[#This Row],[Goals OffA]]/Tabel511[[#This Row],[Aantal games Alg]])</f>
        <v>0</v>
      </c>
      <c r="BI115" s="214">
        <f>Tabel511[[#This Row],[Goals DefA]]+Tabel511[[#This Row],[Goals OffA]]</f>
        <v>0</v>
      </c>
      <c r="BJ115" s="214">
        <f>IF(Tabel511[[#This Row],[Aantal games Alg]]=0,0,Tabel511[[#This Row],[Goals Alg]]/Tabel511[[#This Row],[Aantal games Alg]])</f>
        <v>0</v>
      </c>
      <c r="BK115" s="148">
        <f>SUMIF(Tabel152[Team Rood],Tabel511[[#This Row],[Team]],Tabel152[ET])</f>
        <v>0</v>
      </c>
      <c r="BL115" s="150">
        <f>SUMIF(Tabel152[Team Groen],Tabel511[[#This Row],[Team]],Tabel152[ET])</f>
        <v>0</v>
      </c>
      <c r="BM115" s="153">
        <f>SUM(Tabel511[[#This Row],[ET Groen tot]],Tabel511[[#This Row],[ET Rood tot]])</f>
        <v>0</v>
      </c>
      <c r="BN115" s="155">
        <f>IF(Tabel511[[#This Row],[Aantal games Alg]]=0,0,Tabel511[[#This Row],[ET tot]]/Tabel511[[#This Row],[Aantal games Alg]])</f>
        <v>0</v>
      </c>
    </row>
    <row r="116" spans="1:66" x14ac:dyDescent="0.25">
      <c r="A116" s="215" t="str">
        <f ca="1">IF(Tabel152[[#This Row],[Rood Verdediging]]&lt;&gt;"",IF(A116="",NOW(),A116),"")</f>
        <v/>
      </c>
      <c r="B116" s="218" t="str">
        <f ca="1">IF(Tabel152[[#This Row],[Rood Verdediging]]&lt;&gt;"",IF(B116="",NOW(),B116),"")</f>
        <v/>
      </c>
      <c r="C116" s="216" t="str">
        <f ca="1">IF(Tabel152[[#This Row],[Score]]&lt;&gt;"",IF(C116="",NOW(),C116),"")</f>
        <v/>
      </c>
      <c r="D116" s="217" t="str">
        <f ca="1">IF(OR(Tabel152[[#This Row],[Starttijd]]="",Tabel152[[#This Row],[Eindtijd]]=""),"",Tabel152[[#This Row],[Eindtijd]]-Tabel152[[#This Row],[Starttijd]])</f>
        <v/>
      </c>
      <c r="E116" s="74">
        <v>115</v>
      </c>
      <c r="F116" s="205"/>
      <c r="G116" s="210"/>
      <c r="H116" s="205"/>
      <c r="I116" s="210"/>
      <c r="J116" s="206"/>
      <c r="K116" s="212"/>
      <c r="L116" s="206"/>
      <c r="M116" s="212"/>
      <c r="N116" s="79">
        <f>Tabel152[[#This Row],[Score]]+Tabel152[[#This Row],[Score2]]</f>
        <v>0</v>
      </c>
      <c r="O116" s="80">
        <f>Tabel152[[#This Row],[Score3]]+Tabel152[[#This Row],[Score4]]</f>
        <v>0</v>
      </c>
      <c r="P11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Row],[Score4]]&lt;&gt;""),IF(AND(N116&gt;O116,N116&gt;=11),"ROOD",IF(AND(O116&gt;=11,N116&lt;&gt;O116),"GROEN","")),"")</f>
        <v/>
      </c>
      <c r="Q116" s="84">
        <f t="shared" si="15"/>
        <v>0</v>
      </c>
      <c r="R116" s="85">
        <f t="shared" si="16"/>
        <v>0</v>
      </c>
      <c r="S116" s="293" t="str">
        <f>Tabel152[[#This Row],[Rood Verdediging]]&amp;Tabel152[[#This Row],[Rood Aanval]]</f>
        <v/>
      </c>
      <c r="T116" s="293" t="str">
        <f>Tabel152[[#This Row],[Groen Verdediging]]&amp;Tabel152[[#This Row],[Groen Aanval]]</f>
        <v/>
      </c>
      <c r="U116" s="293" t="str">
        <f>Tabel152[[#This Row],[Winnaar 1]]&amp;Tabel152[[#This Row],[Winnaar 2]]</f>
        <v>00</v>
      </c>
      <c r="V116" s="147" t="b">
        <f>IF(Tabel152[[#This Row],[Team Rood]]=Tabel152[[#This Row],[Winnaars]],Tabel152[[#This Row],[Team Rood]])</f>
        <v>0</v>
      </c>
      <c r="W116" s="147" t="b">
        <f>IF(Tabel152[[#This Row],[Team Groen]]=Tabel152[[#This Row],[Winnaars]],Tabel152[[#This Row],[Team Groen]])</f>
        <v>0</v>
      </c>
      <c r="X116" s="283"/>
      <c r="Y116" s="283"/>
      <c r="Z116" s="283"/>
      <c r="AA116" s="283"/>
      <c r="AL116" s="251" t="s">
        <v>169</v>
      </c>
      <c r="AM116" s="232" t="s">
        <v>161</v>
      </c>
      <c r="AN116" s="140" t="str">
        <f t="shared" si="14"/>
        <v>Stef*Louis*</v>
      </c>
      <c r="AO116" s="160">
        <f>IF(Tabel511[[#This Row],[Aantal Games Rood]]=0,0,(Tabel511[[#This Row],[Wins Rood]])/Tabel511[[#This Row],[Aantal Games Rood]])</f>
        <v>0</v>
      </c>
      <c r="AP116" s="159">
        <f>IF(Tabel511[[#This Row],[Aantal Games Groen]]=0,0,(Tabel511[[#This Row],[Wins Groen]])/Tabel511[[#This Row],[Aantal Games Groen]])</f>
        <v>0</v>
      </c>
      <c r="AQ116" s="156">
        <f>IF(Tabel511[[#This Row],[Aantal games Alg]]=0,0,(Tabel511[[#This Row],[Wins Alg]])/Tabel511[[#This Row],[Aantal games Alg]])</f>
        <v>0</v>
      </c>
      <c r="AR116" s="133">
        <f>COUNTIF(Tabel152[Winaar rood],Tabel511[[#This Row],[Team]])</f>
        <v>0</v>
      </c>
      <c r="AS116" s="134">
        <f>COUNTIF(Tabel152[Winnaar Groen],Tabel511[[#This Row],[Team]])</f>
        <v>0</v>
      </c>
      <c r="AT116" s="293">
        <f>COUNTIF(Tabel152[Winnaars],Tabel511[[#This Row],[Team]])</f>
        <v>0</v>
      </c>
      <c r="AU116" s="135">
        <f>Tabel511[[#This Row],[Aantal Games Rood]]-Tabel511[[#This Row],[Wins Rood]]</f>
        <v>0</v>
      </c>
      <c r="AV116" s="136">
        <f>Tabel511[[#This Row],[Aantal Games Groen]]-Tabel511[[#This Row],[Wins Groen]]</f>
        <v>0</v>
      </c>
      <c r="AW116" s="137">
        <f>Tabel511[[#This Row],[Aantal games Alg]]-Tabel511[[#This Row],[Wins Alg]]</f>
        <v>0</v>
      </c>
      <c r="AX116" s="138">
        <f>COUNTIF(Tabel152[Team Rood],Tabel511[[#This Row],[Team]])</f>
        <v>0</v>
      </c>
      <c r="AY116" s="136">
        <f>COUNTIF(Tabel152[Team Groen],Tabel511[[#This Row],[Team]])</f>
        <v>0</v>
      </c>
      <c r="AZ116" s="214">
        <f>Tabel511[[#This Row],[Aantal Games Rood]]+Tabel511[[#This Row],[Aantal Games Groen]]</f>
        <v>0</v>
      </c>
      <c r="BA116" s="138">
        <f>SUMIF(Tabel152[Team Rood],Tabel511[[#This Row],[Team]],Tabel152[Score])</f>
        <v>0</v>
      </c>
      <c r="BB116" s="138">
        <f>SUMIF(Tabel152[Team Rood],Tabel511[[#This Row],[Team]],Tabel152[Score2])</f>
        <v>0</v>
      </c>
      <c r="BC116" s="134">
        <f>SUMIF(Tabel152[Team Groen],Tabel511[[#This Row],[Team]],Tabel152[Score3])</f>
        <v>0</v>
      </c>
      <c r="BD116" s="136">
        <f>SUMIF(Tabel152[Team Groen],Tabel511[[#This Row],[Team]],Tabel152[Score4])</f>
        <v>0</v>
      </c>
      <c r="BE116" s="293">
        <f>SUM(Tabel511[[#This Row],[Goals Verdediger]]+Tabel511[[#This Row],[Goals DefG]])</f>
        <v>0</v>
      </c>
      <c r="BF116" s="293">
        <f>IF(Tabel511[[#This Row],[Aantal games Alg]]=0,0,Tabel511[[#This Row],[Goals DefA]]/Tabel511[[#This Row],[Aantal games Alg]])</f>
        <v>0</v>
      </c>
      <c r="BG116" s="293">
        <f>SUM(Tabel511[[#This Row],[Goals Aanvaller]]+Tabel511[[#This Row],[Goals OffG]])</f>
        <v>0</v>
      </c>
      <c r="BH116" s="293">
        <f>IF(Tabel511[[#This Row],[Aantal games Alg]]=0,0,Tabel511[[#This Row],[Goals OffA]]/Tabel511[[#This Row],[Aantal games Alg]])</f>
        <v>0</v>
      </c>
      <c r="BI116" s="214">
        <f>Tabel511[[#This Row],[Goals DefA]]+Tabel511[[#This Row],[Goals OffA]]</f>
        <v>0</v>
      </c>
      <c r="BJ116" s="214">
        <f>IF(Tabel511[[#This Row],[Aantal games Alg]]=0,0,Tabel511[[#This Row],[Goals Alg]]/Tabel511[[#This Row],[Aantal games Alg]])</f>
        <v>0</v>
      </c>
      <c r="BK116" s="148">
        <f>SUMIF(Tabel152[Team Rood],Tabel511[[#This Row],[Team]],Tabel152[ET])</f>
        <v>0</v>
      </c>
      <c r="BL116" s="150">
        <f>SUMIF(Tabel152[Team Groen],Tabel511[[#This Row],[Team]],Tabel152[ET])</f>
        <v>0</v>
      </c>
      <c r="BM116" s="153">
        <f>SUM(Tabel511[[#This Row],[ET Groen tot]],Tabel511[[#This Row],[ET Rood tot]])</f>
        <v>0</v>
      </c>
      <c r="BN116" s="155">
        <f>IF(Tabel511[[#This Row],[Aantal games Alg]]=0,0,Tabel511[[#This Row],[ET tot]]/Tabel511[[#This Row],[Aantal games Alg]])</f>
        <v>0</v>
      </c>
    </row>
    <row r="117" spans="1:66" x14ac:dyDescent="0.25">
      <c r="A117" s="215" t="str">
        <f ca="1">IF(Tabel152[[#This Row],[Rood Verdediging]]&lt;&gt;"",IF(A117="",NOW(),A117),"")</f>
        <v/>
      </c>
      <c r="B117" s="218" t="str">
        <f ca="1">IF(Tabel152[[#This Row],[Rood Verdediging]]&lt;&gt;"",IF(B117="",NOW(),B117),"")</f>
        <v/>
      </c>
      <c r="C117" s="216" t="str">
        <f ca="1">IF(Tabel152[[#This Row],[Score]]&lt;&gt;"",IF(C117="",NOW(),C117),"")</f>
        <v/>
      </c>
      <c r="D117" s="217" t="str">
        <f ca="1">IF(OR(Tabel152[[#This Row],[Starttijd]]="",Tabel152[[#This Row],[Eindtijd]]=""),"",Tabel152[[#This Row],[Eindtijd]]-Tabel152[[#This Row],[Starttijd]])</f>
        <v/>
      </c>
      <c r="E117" s="74">
        <v>116</v>
      </c>
      <c r="F117" s="205"/>
      <c r="G117" s="210"/>
      <c r="H117" s="205"/>
      <c r="I117" s="210"/>
      <c r="J117" s="206"/>
      <c r="K117" s="212"/>
      <c r="L117" s="206"/>
      <c r="M117" s="212"/>
      <c r="N117" s="79">
        <f>Tabel152[[#This Row],[Score]]+Tabel152[[#This Row],[Score2]]</f>
        <v>0</v>
      </c>
      <c r="O117" s="80">
        <f>Tabel152[[#This Row],[Score3]]+Tabel152[[#This Row],[Score4]]</f>
        <v>0</v>
      </c>
      <c r="P11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Row],[Score4]]&lt;&gt;""),IF(AND(N117&gt;O117,N117&gt;=11),"ROOD",IF(AND(O117&gt;=11,N117&lt;&gt;O117),"GROEN","")),"")</f>
        <v/>
      </c>
      <c r="Q117" s="84">
        <f t="shared" si="15"/>
        <v>0</v>
      </c>
      <c r="R117" s="85">
        <f t="shared" si="16"/>
        <v>0</v>
      </c>
      <c r="S117" s="293" t="str">
        <f>Tabel152[[#This Row],[Rood Verdediging]]&amp;Tabel152[[#This Row],[Rood Aanval]]</f>
        <v/>
      </c>
      <c r="T117" s="293" t="str">
        <f>Tabel152[[#This Row],[Groen Verdediging]]&amp;Tabel152[[#This Row],[Groen Aanval]]</f>
        <v/>
      </c>
      <c r="U117" s="293" t="str">
        <f>Tabel152[[#This Row],[Winnaar 1]]&amp;Tabel152[[#This Row],[Winnaar 2]]</f>
        <v>00</v>
      </c>
      <c r="V117" s="147" t="b">
        <f>IF(Tabel152[[#This Row],[Team Rood]]=Tabel152[[#This Row],[Winnaars]],Tabel152[[#This Row],[Team Rood]])</f>
        <v>0</v>
      </c>
      <c r="W117" s="147" t="b">
        <f>IF(Tabel152[[#This Row],[Team Groen]]=Tabel152[[#This Row],[Winnaars]],Tabel152[[#This Row],[Team Groen]])</f>
        <v>0</v>
      </c>
      <c r="X117" s="283"/>
      <c r="Y117" s="283"/>
      <c r="Z117" s="283"/>
      <c r="AA117" s="283"/>
      <c r="AL117" s="251" t="s">
        <v>169</v>
      </c>
      <c r="AM117" s="232" t="s">
        <v>162</v>
      </c>
      <c r="AN117" s="140" t="str">
        <f t="shared" si="14"/>
        <v>Stef*Matthijs*</v>
      </c>
      <c r="AO117" s="160">
        <f>IF(Tabel511[[#This Row],[Aantal Games Rood]]=0,0,(Tabel511[[#This Row],[Wins Rood]])/Tabel511[[#This Row],[Aantal Games Rood]])</f>
        <v>0</v>
      </c>
      <c r="AP117" s="159">
        <f>IF(Tabel511[[#This Row],[Aantal Games Groen]]=0,0,(Tabel511[[#This Row],[Wins Groen]])/Tabel511[[#This Row],[Aantal Games Groen]])</f>
        <v>0</v>
      </c>
      <c r="AQ117" s="156">
        <f>IF(Tabel511[[#This Row],[Aantal games Alg]]=0,0,(Tabel511[[#This Row],[Wins Alg]])/Tabel511[[#This Row],[Aantal games Alg]])</f>
        <v>0</v>
      </c>
      <c r="AR117" s="138">
        <f>COUNTIF(Tabel152[Winaar rood],Tabel511[[#This Row],[Team]])</f>
        <v>0</v>
      </c>
      <c r="AS117" s="134">
        <f>COUNTIF(Tabel152[Winnaar Groen],Tabel511[[#This Row],[Team]])</f>
        <v>0</v>
      </c>
      <c r="AT117" s="293">
        <f>COUNTIF(Tabel152[Winnaars],Tabel511[[#This Row],[Team]])</f>
        <v>0</v>
      </c>
      <c r="AU117" s="135">
        <f>Tabel511[[#This Row],[Aantal Games Rood]]-Tabel511[[#This Row],[Wins Rood]]</f>
        <v>0</v>
      </c>
      <c r="AV117" s="136">
        <f>Tabel511[[#This Row],[Aantal Games Groen]]-Tabel511[[#This Row],[Wins Groen]]</f>
        <v>0</v>
      </c>
      <c r="AW117" s="137">
        <f>Tabel511[[#This Row],[Aantal games Alg]]-Tabel511[[#This Row],[Wins Alg]]</f>
        <v>0</v>
      </c>
      <c r="AX117" s="138">
        <f>COUNTIF(Tabel152[Team Rood],Tabel511[[#This Row],[Team]])</f>
        <v>0</v>
      </c>
      <c r="AY117" s="136">
        <f>COUNTIF(Tabel152[Team Groen],Tabel511[[#This Row],[Team]])</f>
        <v>0</v>
      </c>
      <c r="AZ117" s="214">
        <f>Tabel511[[#This Row],[Aantal Games Rood]]+Tabel511[[#This Row],[Aantal Games Groen]]</f>
        <v>0</v>
      </c>
      <c r="BA117" s="138">
        <f>SUMIF(Tabel152[Team Rood],Tabel511[[#This Row],[Team]],Tabel152[Score])</f>
        <v>0</v>
      </c>
      <c r="BB117" s="138">
        <f>SUMIF(Tabel152[Team Rood],Tabel511[[#This Row],[Team]],Tabel152[Score2])</f>
        <v>0</v>
      </c>
      <c r="BC117" s="134">
        <f>SUMIF(Tabel152[Team Groen],Tabel511[[#This Row],[Team]],Tabel152[Score3])</f>
        <v>0</v>
      </c>
      <c r="BD117" s="136">
        <f>SUMIF(Tabel152[Team Groen],Tabel511[[#This Row],[Team]],Tabel152[Score4])</f>
        <v>0</v>
      </c>
      <c r="BE117" s="293">
        <f>SUM(Tabel511[[#This Row],[Goals Verdediger]]+Tabel511[[#This Row],[Goals DefG]])</f>
        <v>0</v>
      </c>
      <c r="BF117" s="293">
        <f>IF(Tabel511[[#This Row],[Aantal games Alg]]=0,0,Tabel511[[#This Row],[Goals DefA]]/Tabel511[[#This Row],[Aantal games Alg]])</f>
        <v>0</v>
      </c>
      <c r="BG117" s="293">
        <f>SUM(Tabel511[[#This Row],[Goals Aanvaller]]+Tabel511[[#This Row],[Goals OffG]])</f>
        <v>0</v>
      </c>
      <c r="BH117" s="293">
        <f>IF(Tabel511[[#This Row],[Aantal games Alg]]=0,0,Tabel511[[#This Row],[Goals OffA]]/Tabel511[[#This Row],[Aantal games Alg]])</f>
        <v>0</v>
      </c>
      <c r="BI117" s="214">
        <f>Tabel511[[#This Row],[Goals DefA]]+Tabel511[[#This Row],[Goals OffA]]</f>
        <v>0</v>
      </c>
      <c r="BJ117" s="214">
        <f>IF(Tabel511[[#This Row],[Aantal games Alg]]=0,0,Tabel511[[#This Row],[Goals Alg]]/Tabel511[[#This Row],[Aantal games Alg]])</f>
        <v>0</v>
      </c>
      <c r="BK117" s="148">
        <f>SUMIF(Tabel152[Team Rood],Tabel511[[#This Row],[Team]],Tabel152[ET])</f>
        <v>0</v>
      </c>
      <c r="BL117" s="150">
        <f>SUMIF(Tabel152[Team Groen],Tabel511[[#This Row],[Team]],Tabel152[ET])</f>
        <v>0</v>
      </c>
      <c r="BM117" s="153">
        <f>SUM(Tabel511[[#This Row],[ET Groen tot]],Tabel511[[#This Row],[ET Rood tot]])</f>
        <v>0</v>
      </c>
      <c r="BN117" s="155">
        <f>IF(Tabel511[[#This Row],[Aantal games Alg]]=0,0,Tabel511[[#This Row],[ET tot]]/Tabel511[[#This Row],[Aantal games Alg]])</f>
        <v>0</v>
      </c>
    </row>
    <row r="118" spans="1:66" x14ac:dyDescent="0.25">
      <c r="A118" s="215" t="str">
        <f ca="1">IF(Tabel152[[#This Row],[Rood Verdediging]]&lt;&gt;"",IF(A118="",NOW(),A118),"")</f>
        <v/>
      </c>
      <c r="B118" s="218" t="str">
        <f ca="1">IF(Tabel152[[#This Row],[Rood Verdediging]]&lt;&gt;"",IF(B118="",NOW(),B118),"")</f>
        <v/>
      </c>
      <c r="C118" s="216" t="str">
        <f ca="1">IF(Tabel152[[#This Row],[Score]]&lt;&gt;"",IF(C118="",NOW(),C118),"")</f>
        <v/>
      </c>
      <c r="D118" s="217" t="str">
        <f ca="1">IF(OR(Tabel152[[#This Row],[Starttijd]]="",Tabel152[[#This Row],[Eindtijd]]=""),"",Tabel152[[#This Row],[Eindtijd]]-Tabel152[[#This Row],[Starttijd]])</f>
        <v/>
      </c>
      <c r="E118" s="74">
        <v>117</v>
      </c>
      <c r="F118" s="205"/>
      <c r="G118" s="210"/>
      <c r="H118" s="205"/>
      <c r="I118" s="210"/>
      <c r="J118" s="206"/>
      <c r="K118" s="212"/>
      <c r="L118" s="206"/>
      <c r="M118" s="212"/>
      <c r="N118" s="79">
        <f>Tabel152[[#This Row],[Score]]+Tabel152[[#This Row],[Score2]]</f>
        <v>0</v>
      </c>
      <c r="O118" s="80">
        <f>Tabel152[[#This Row],[Score3]]+Tabel152[[#This Row],[Score4]]</f>
        <v>0</v>
      </c>
      <c r="P11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Row],[Score4]]&lt;&gt;""),IF(AND(N118&gt;O118,N118&gt;=11),"ROOD",IF(AND(O118&gt;=11,N118&lt;&gt;O118),"GROEN","")),"")</f>
        <v/>
      </c>
      <c r="Q118" s="84">
        <f t="shared" si="15"/>
        <v>0</v>
      </c>
      <c r="R118" s="85">
        <f t="shared" si="16"/>
        <v>0</v>
      </c>
      <c r="S118" s="293" t="str">
        <f>Tabel152[[#This Row],[Rood Verdediging]]&amp;Tabel152[[#This Row],[Rood Aanval]]</f>
        <v/>
      </c>
      <c r="T118" s="293" t="str">
        <f>Tabel152[[#This Row],[Groen Verdediging]]&amp;Tabel152[[#This Row],[Groen Aanval]]</f>
        <v/>
      </c>
      <c r="U118" s="293" t="str">
        <f>Tabel152[[#This Row],[Winnaar 1]]&amp;Tabel152[[#This Row],[Winnaar 2]]</f>
        <v>00</v>
      </c>
      <c r="V118" s="147" t="b">
        <f>IF(Tabel152[[#This Row],[Team Rood]]=Tabel152[[#This Row],[Winnaars]],Tabel152[[#This Row],[Team Rood]])</f>
        <v>0</v>
      </c>
      <c r="W118" s="147" t="b">
        <f>IF(Tabel152[[#This Row],[Team Groen]]=Tabel152[[#This Row],[Winnaars]],Tabel152[[#This Row],[Team Groen]])</f>
        <v>0</v>
      </c>
      <c r="X118" s="283"/>
      <c r="Y118" s="283"/>
      <c r="Z118" s="283"/>
      <c r="AA118" s="283"/>
      <c r="AL118" s="251" t="s">
        <v>169</v>
      </c>
      <c r="AM118" s="232" t="s">
        <v>170</v>
      </c>
      <c r="AN118" s="140" t="str">
        <f t="shared" si="14"/>
        <v>Stef*Nico*</v>
      </c>
      <c r="AO118" s="160">
        <f>IF(Tabel511[[#This Row],[Aantal Games Rood]]=0,0,(Tabel511[[#This Row],[Wins Rood]])/Tabel511[[#This Row],[Aantal Games Rood]])</f>
        <v>0</v>
      </c>
      <c r="AP118" s="159">
        <f>IF(Tabel511[[#This Row],[Aantal Games Groen]]=0,0,(Tabel511[[#This Row],[Wins Groen]])/Tabel511[[#This Row],[Aantal Games Groen]])</f>
        <v>0</v>
      </c>
      <c r="AQ118" s="156">
        <f>IF(Tabel511[[#This Row],[Aantal games Alg]]=0,0,(Tabel511[[#This Row],[Wins Alg]])/Tabel511[[#This Row],[Aantal games Alg]])</f>
        <v>0</v>
      </c>
      <c r="AR118" s="171">
        <f>COUNTIF(Tabel152[Winaar rood],Tabel511[[#This Row],[Team]])</f>
        <v>0</v>
      </c>
      <c r="AS118" s="169">
        <f>COUNTIF(Tabel152[Winnaar Groen],Tabel511[[#This Row],[Team]])</f>
        <v>0</v>
      </c>
      <c r="AT118" s="170">
        <f>COUNTIF(Tabel152[Winnaars],Tabel511[[#This Row],[Team]])</f>
        <v>0</v>
      </c>
      <c r="AU118" s="163">
        <f>Tabel511[[#This Row],[Aantal Games Rood]]-Tabel511[[#This Row],[Wins Rood]]</f>
        <v>1</v>
      </c>
      <c r="AV118" s="169">
        <f>Tabel511[[#This Row],[Aantal Games Groen]]-Tabel511[[#This Row],[Wins Groen]]</f>
        <v>0</v>
      </c>
      <c r="AW118" s="165">
        <f>Tabel511[[#This Row],[Aantal games Alg]]-Tabel511[[#This Row],[Wins Alg]]</f>
        <v>1</v>
      </c>
      <c r="AX118" s="171">
        <f>COUNTIF(Tabel152[Team Rood],Tabel511[[#This Row],[Team]])</f>
        <v>1</v>
      </c>
      <c r="AY118" s="169">
        <f>COUNTIF(Tabel152[Team Groen],Tabel511[[#This Row],[Team]])</f>
        <v>0</v>
      </c>
      <c r="AZ118" s="170">
        <f>Tabel511[[#This Row],[Aantal Games Rood]]+Tabel511[[#This Row],[Aantal Games Groen]]</f>
        <v>1</v>
      </c>
      <c r="BA118" s="171">
        <f>SUMIF(Tabel152[Team Rood],Tabel511[[#This Row],[Team]],Tabel152[Score])</f>
        <v>9</v>
      </c>
      <c r="BB118" s="171">
        <f>SUMIF(Tabel152[Team Rood],Tabel511[[#This Row],[Team]],Tabel152[Score2])</f>
        <v>2</v>
      </c>
      <c r="BC118" s="136">
        <f>SUMIF(Tabel152[Team Groen],Tabel511[[#This Row],[Team]],Tabel152[Score3])</f>
        <v>0</v>
      </c>
      <c r="BD118" s="169">
        <f>SUMIF(Tabel152[Team Groen],Tabel511[[#This Row],[Team]],Tabel152[Score4])</f>
        <v>0</v>
      </c>
      <c r="BE118" s="172">
        <f>SUM(Tabel511[[#This Row],[Goals Verdediger]]+Tabel511[[#This Row],[Goals DefG]])</f>
        <v>9</v>
      </c>
      <c r="BF118" s="170">
        <f>IF(Tabel511[[#This Row],[Aantal games Alg]]=0,0,Tabel511[[#This Row],[Goals DefA]]/Tabel511[[#This Row],[Aantal games Alg]])</f>
        <v>9</v>
      </c>
      <c r="BG118" s="172">
        <f>SUM(Tabel511[[#This Row],[Goals Aanvaller]]+Tabel511[[#This Row],[Goals OffG]])</f>
        <v>2</v>
      </c>
      <c r="BH118" s="170">
        <f>IF(Tabel511[[#This Row],[Aantal games Alg]]=0,0,Tabel511[[#This Row],[Goals OffA]]/Tabel511[[#This Row],[Aantal games Alg]])</f>
        <v>2</v>
      </c>
      <c r="BI118" s="170">
        <f>Tabel511[[#This Row],[Goals DefA]]+Tabel511[[#This Row],[Goals OffA]]</f>
        <v>11</v>
      </c>
      <c r="BJ118" s="170">
        <f>IF(Tabel511[[#This Row],[Aantal games Alg]]=0,0,Tabel511[[#This Row],[Goals Alg]]/Tabel511[[#This Row],[Aantal games Alg]])</f>
        <v>11</v>
      </c>
      <c r="BK118" s="148">
        <f ca="1">SUMIF(Tabel152[Team Rood],Tabel511[[#This Row],[Team]],Tabel152[ET])</f>
        <v>7.1875001594889909E-5</v>
      </c>
      <c r="BL118" s="150">
        <f>SUMIF(Tabel152[Team Groen],Tabel511[[#This Row],[Team]],Tabel152[ET])</f>
        <v>0</v>
      </c>
      <c r="BM118" s="153">
        <f ca="1">SUM(Tabel511[[#This Row],[ET Groen tot]],Tabel511[[#This Row],[ET Rood tot]])</f>
        <v>7.1875001594889909E-5</v>
      </c>
      <c r="BN118" s="155">
        <f ca="1">IF(Tabel511[[#This Row],[Aantal games Alg]]=0,0,Tabel511[[#This Row],[ET tot]]/Tabel511[[#This Row],[Aantal games Alg]])</f>
        <v>7.1875001594889909E-5</v>
      </c>
    </row>
    <row r="119" spans="1:66" x14ac:dyDescent="0.25">
      <c r="A119" s="215" t="str">
        <f ca="1">IF(Tabel152[[#This Row],[Rood Verdediging]]&lt;&gt;"",IF(A119="",NOW(),A119),"")</f>
        <v/>
      </c>
      <c r="B119" s="218" t="str">
        <f ca="1">IF(Tabel152[[#This Row],[Rood Verdediging]]&lt;&gt;"",IF(B119="",NOW(),B119),"")</f>
        <v/>
      </c>
      <c r="C119" s="216" t="str">
        <f ca="1">IF(Tabel152[[#This Row],[Score]]&lt;&gt;"",IF(C119="",NOW(),C119),"")</f>
        <v/>
      </c>
      <c r="D119" s="217" t="str">
        <f ca="1">IF(OR(Tabel152[[#This Row],[Starttijd]]="",Tabel152[[#This Row],[Eindtijd]]=""),"",Tabel152[[#This Row],[Eindtijd]]-Tabel152[[#This Row],[Starttijd]])</f>
        <v/>
      </c>
      <c r="E119" s="74">
        <v>118</v>
      </c>
      <c r="F119" s="205"/>
      <c r="G119" s="210"/>
      <c r="H119" s="205"/>
      <c r="I119" s="210"/>
      <c r="J119" s="206"/>
      <c r="K119" s="212"/>
      <c r="L119" s="206"/>
      <c r="M119" s="212"/>
      <c r="N119" s="79">
        <f>Tabel152[[#This Row],[Score]]+Tabel152[[#This Row],[Score2]]</f>
        <v>0</v>
      </c>
      <c r="O119" s="80">
        <f>Tabel152[[#This Row],[Score3]]+Tabel152[[#This Row],[Score4]]</f>
        <v>0</v>
      </c>
      <c r="P11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Row],[Score4]]&lt;&gt;""),IF(AND(N119&gt;O119,N119&gt;=11),"ROOD",IF(AND(O119&gt;=11,N119&lt;&gt;O119),"GROEN","")),"")</f>
        <v/>
      </c>
      <c r="Q119" s="84">
        <f t="shared" si="15"/>
        <v>0</v>
      </c>
      <c r="R119" s="85">
        <f t="shared" si="16"/>
        <v>0</v>
      </c>
      <c r="S119" s="293" t="str">
        <f>Tabel152[[#This Row],[Rood Verdediging]]&amp;Tabel152[[#This Row],[Rood Aanval]]</f>
        <v/>
      </c>
      <c r="T119" s="293" t="str">
        <f>Tabel152[[#This Row],[Groen Verdediging]]&amp;Tabel152[[#This Row],[Groen Aanval]]</f>
        <v/>
      </c>
      <c r="U119" s="293" t="str">
        <f>Tabel152[[#This Row],[Winnaar 1]]&amp;Tabel152[[#This Row],[Winnaar 2]]</f>
        <v>00</v>
      </c>
      <c r="V119" s="147" t="b">
        <f>IF(Tabel152[[#This Row],[Team Rood]]=Tabel152[[#This Row],[Winnaars]],Tabel152[[#This Row],[Team Rood]])</f>
        <v>0</v>
      </c>
      <c r="W119" s="147" t="b">
        <f>IF(Tabel152[[#This Row],[Team Groen]]=Tabel152[[#This Row],[Winnaars]],Tabel152[[#This Row],[Team Groen]])</f>
        <v>0</v>
      </c>
      <c r="X119" s="283"/>
      <c r="Y119" s="283"/>
      <c r="Z119" s="283"/>
      <c r="AA119" s="283"/>
      <c r="AL119" s="251" t="s">
        <v>169</v>
      </c>
      <c r="AM119" s="232" t="s">
        <v>166</v>
      </c>
      <c r="AN119" s="140" t="str">
        <f t="shared" si="14"/>
        <v>Stef*Stijn*</v>
      </c>
      <c r="AO119" s="160">
        <f>IF(Tabel511[[#This Row],[Aantal Games Rood]]=0,0,(Tabel511[[#This Row],[Wins Rood]])/Tabel511[[#This Row],[Aantal Games Rood]])</f>
        <v>0</v>
      </c>
      <c r="AP119" s="159">
        <f>IF(Tabel511[[#This Row],[Aantal Games Groen]]=0,0,(Tabel511[[#This Row],[Wins Groen]])/Tabel511[[#This Row],[Aantal Games Groen]])</f>
        <v>0</v>
      </c>
      <c r="AQ119" s="156">
        <f>IF(Tabel511[[#This Row],[Aantal games Alg]]=0,0,(Tabel511[[#This Row],[Wins Alg]])/Tabel511[[#This Row],[Aantal games Alg]])</f>
        <v>0</v>
      </c>
      <c r="AR119" s="138">
        <f>COUNTIF(Tabel152[Winaar rood],Tabel511[[#This Row],[Team]])</f>
        <v>0</v>
      </c>
      <c r="AS119" s="134">
        <f>COUNTIF(Tabel152[Winnaar Groen],Tabel511[[#This Row],[Team]])</f>
        <v>0</v>
      </c>
      <c r="AT119" s="293">
        <f>COUNTIF(Tabel152[Winnaars],Tabel511[[#This Row],[Team]])</f>
        <v>0</v>
      </c>
      <c r="AU119" s="135">
        <f>Tabel511[[#This Row],[Aantal Games Rood]]-Tabel511[[#This Row],[Wins Rood]]</f>
        <v>0</v>
      </c>
      <c r="AV119" s="136">
        <f>Tabel511[[#This Row],[Aantal Games Groen]]-Tabel511[[#This Row],[Wins Groen]]</f>
        <v>0</v>
      </c>
      <c r="AW119" s="137">
        <f>Tabel511[[#This Row],[Aantal games Alg]]-Tabel511[[#This Row],[Wins Alg]]</f>
        <v>0</v>
      </c>
      <c r="AX119" s="138">
        <f>COUNTIF(Tabel152[Team Rood],Tabel511[[#This Row],[Team]])</f>
        <v>0</v>
      </c>
      <c r="AY119" s="136">
        <f>COUNTIF(Tabel152[Team Groen],Tabel511[[#This Row],[Team]])</f>
        <v>0</v>
      </c>
      <c r="AZ119" s="214">
        <f>Tabel511[[#This Row],[Aantal Games Rood]]+Tabel511[[#This Row],[Aantal Games Groen]]</f>
        <v>0</v>
      </c>
      <c r="BA119" s="138">
        <f>SUMIF(Tabel152[Team Rood],Tabel511[[#This Row],[Team]],Tabel152[Score])</f>
        <v>0</v>
      </c>
      <c r="BB119" s="138">
        <f>SUMIF(Tabel152[Team Rood],Tabel511[[#This Row],[Team]],Tabel152[Score2])</f>
        <v>0</v>
      </c>
      <c r="BC119" s="134">
        <f>SUMIF(Tabel152[Team Groen],Tabel511[[#This Row],[Team]],Tabel152[Score3])</f>
        <v>0</v>
      </c>
      <c r="BD119" s="136">
        <f>SUMIF(Tabel152[Team Groen],Tabel511[[#This Row],[Team]],Tabel152[Score4])</f>
        <v>0</v>
      </c>
      <c r="BE119" s="293">
        <f>SUM(Tabel511[[#This Row],[Goals Verdediger]]+Tabel511[[#This Row],[Goals DefG]])</f>
        <v>0</v>
      </c>
      <c r="BF119" s="293">
        <f>IF(Tabel511[[#This Row],[Aantal games Alg]]=0,0,Tabel511[[#This Row],[Goals DefA]]/Tabel511[[#This Row],[Aantal games Alg]])</f>
        <v>0</v>
      </c>
      <c r="BG119" s="293">
        <f>SUM(Tabel511[[#This Row],[Goals Aanvaller]]+Tabel511[[#This Row],[Goals OffG]])</f>
        <v>0</v>
      </c>
      <c r="BH119" s="293">
        <f>IF(Tabel511[[#This Row],[Aantal games Alg]]=0,0,Tabel511[[#This Row],[Goals OffA]]/Tabel511[[#This Row],[Aantal games Alg]])</f>
        <v>0</v>
      </c>
      <c r="BI119" s="214">
        <f>Tabel511[[#This Row],[Goals DefA]]+Tabel511[[#This Row],[Goals OffA]]</f>
        <v>0</v>
      </c>
      <c r="BJ119" s="214">
        <f>IF(Tabel511[[#This Row],[Aantal games Alg]]=0,0,Tabel511[[#This Row],[Goals Alg]]/Tabel511[[#This Row],[Aantal games Alg]])</f>
        <v>0</v>
      </c>
      <c r="BK119" s="148">
        <f>SUMIF(Tabel152[Team Rood],Tabel511[[#This Row],[Team]],Tabel152[ET])</f>
        <v>0</v>
      </c>
      <c r="BL119" s="150">
        <f>SUMIF(Tabel152[Team Groen],Tabel511[[#This Row],[Team]],Tabel152[ET])</f>
        <v>0</v>
      </c>
      <c r="BM119" s="153">
        <f>SUM(Tabel511[[#This Row],[ET Groen tot]],Tabel511[[#This Row],[ET Rood tot]])</f>
        <v>0</v>
      </c>
      <c r="BN119" s="155">
        <f>IF(Tabel511[[#This Row],[Aantal games Alg]]=0,0,Tabel511[[#This Row],[ET tot]]/Tabel511[[#This Row],[Aantal games Alg]])</f>
        <v>0</v>
      </c>
    </row>
    <row r="120" spans="1:66" x14ac:dyDescent="0.25">
      <c r="A120" s="215" t="str">
        <f ca="1">IF(Tabel152[[#This Row],[Rood Verdediging]]&lt;&gt;"",IF(A120="",NOW(),A120),"")</f>
        <v/>
      </c>
      <c r="B120" s="218" t="str">
        <f ca="1">IF(Tabel152[[#This Row],[Rood Verdediging]]&lt;&gt;"",IF(B120="",NOW(),B120),"")</f>
        <v/>
      </c>
      <c r="C120" s="216" t="str">
        <f ca="1">IF(Tabel152[[#This Row],[Score]]&lt;&gt;"",IF(C120="",NOW(),C120),"")</f>
        <v/>
      </c>
      <c r="D120" s="217" t="str">
        <f ca="1">IF(OR(Tabel152[[#This Row],[Starttijd]]="",Tabel152[[#This Row],[Eindtijd]]=""),"",Tabel152[[#This Row],[Eindtijd]]-Tabel152[[#This Row],[Starttijd]])</f>
        <v/>
      </c>
      <c r="E120" s="74">
        <v>119</v>
      </c>
      <c r="F120" s="205"/>
      <c r="G120" s="210"/>
      <c r="H120" s="205"/>
      <c r="I120" s="210"/>
      <c r="J120" s="206"/>
      <c r="K120" s="212"/>
      <c r="L120" s="206"/>
      <c r="M120" s="212"/>
      <c r="N120" s="79">
        <f>Tabel152[[#This Row],[Score]]+Tabel152[[#This Row],[Score2]]</f>
        <v>0</v>
      </c>
      <c r="O120" s="80">
        <f>Tabel152[[#This Row],[Score3]]+Tabel152[[#This Row],[Score4]]</f>
        <v>0</v>
      </c>
      <c r="P12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Row],[Score4]]&lt;&gt;""),IF(AND(N120&gt;O120,N120&gt;=11),"ROOD",IF(AND(O120&gt;=11,N120&lt;&gt;O120),"GROEN","")),"")</f>
        <v/>
      </c>
      <c r="Q120" s="84">
        <f t="shared" si="15"/>
        <v>0</v>
      </c>
      <c r="R120" s="85">
        <f t="shared" si="16"/>
        <v>0</v>
      </c>
      <c r="S120" s="293" t="str">
        <f>Tabel152[[#This Row],[Rood Verdediging]]&amp;Tabel152[[#This Row],[Rood Aanval]]</f>
        <v/>
      </c>
      <c r="T120" s="293" t="str">
        <f>Tabel152[[#This Row],[Groen Verdediging]]&amp;Tabel152[[#This Row],[Groen Aanval]]</f>
        <v/>
      </c>
      <c r="U120" s="293" t="str">
        <f>Tabel152[[#This Row],[Winnaar 1]]&amp;Tabel152[[#This Row],[Winnaar 2]]</f>
        <v>00</v>
      </c>
      <c r="V120" s="147" t="b">
        <f>IF(Tabel152[[#This Row],[Team Rood]]=Tabel152[[#This Row],[Winnaars]],Tabel152[[#This Row],[Team Rood]])</f>
        <v>0</v>
      </c>
      <c r="W120" s="147" t="b">
        <f>IF(Tabel152[[#This Row],[Team Groen]]=Tabel152[[#This Row],[Winnaars]],Tabel152[[#This Row],[Team Groen]])</f>
        <v>0</v>
      </c>
      <c r="X120" s="283"/>
      <c r="Y120" s="283"/>
      <c r="Z120" s="283"/>
      <c r="AA120" s="283"/>
      <c r="AL120" s="251" t="s">
        <v>169</v>
      </c>
      <c r="AM120" s="232" t="s">
        <v>160</v>
      </c>
      <c r="AN120" s="140" t="str">
        <f t="shared" si="14"/>
        <v>Stef*Tiemen*</v>
      </c>
      <c r="AO120" s="160">
        <f>IF(Tabel511[[#This Row],[Aantal Games Rood]]=0,0,(Tabel511[[#This Row],[Wins Rood]])/Tabel511[[#This Row],[Aantal Games Rood]])</f>
        <v>0</v>
      </c>
      <c r="AP120" s="159">
        <f>IF(Tabel511[[#This Row],[Aantal Games Groen]]=0,0,(Tabel511[[#This Row],[Wins Groen]])/Tabel511[[#This Row],[Aantal Games Groen]])</f>
        <v>1</v>
      </c>
      <c r="AQ120" s="156">
        <f>IF(Tabel511[[#This Row],[Aantal games Alg]]=0,0,(Tabel511[[#This Row],[Wins Alg]])/Tabel511[[#This Row],[Aantal games Alg]])</f>
        <v>1</v>
      </c>
      <c r="AR120" s="133">
        <f>COUNTIF(Tabel152[Winaar rood],Tabel511[[#This Row],[Team]])</f>
        <v>0</v>
      </c>
      <c r="AS120" s="134">
        <f>COUNTIF(Tabel152[Winnaar Groen],Tabel511[[#This Row],[Team]])</f>
        <v>1</v>
      </c>
      <c r="AT120" s="293">
        <f>COUNTIF(Tabel152[Winnaars],Tabel511[[#This Row],[Team]])</f>
        <v>1</v>
      </c>
      <c r="AU120" s="135">
        <f>Tabel511[[#This Row],[Aantal Games Rood]]-Tabel511[[#This Row],[Wins Rood]]</f>
        <v>0</v>
      </c>
      <c r="AV120" s="136">
        <f>Tabel511[[#This Row],[Aantal Games Groen]]-Tabel511[[#This Row],[Wins Groen]]</f>
        <v>0</v>
      </c>
      <c r="AW120" s="137">
        <f>Tabel511[[#This Row],[Aantal games Alg]]-Tabel511[[#This Row],[Wins Alg]]</f>
        <v>0</v>
      </c>
      <c r="AX120" s="138">
        <f>COUNTIF(Tabel152[Team Rood],Tabel511[[#This Row],[Team]])</f>
        <v>0</v>
      </c>
      <c r="AY120" s="136">
        <f>COUNTIF(Tabel152[Team Groen],Tabel511[[#This Row],[Team]])</f>
        <v>1</v>
      </c>
      <c r="AZ120" s="214">
        <f>Tabel511[[#This Row],[Aantal Games Rood]]+Tabel511[[#This Row],[Aantal Games Groen]]</f>
        <v>1</v>
      </c>
      <c r="BA120" s="138">
        <f>SUMIF(Tabel152[Team Rood],Tabel511[[#This Row],[Team]],Tabel152[Score])</f>
        <v>0</v>
      </c>
      <c r="BB120" s="138">
        <f>SUMIF(Tabel152[Team Rood],Tabel511[[#This Row],[Team]],Tabel152[Score2])</f>
        <v>0</v>
      </c>
      <c r="BC120" s="134">
        <f>SUMIF(Tabel152[Team Groen],Tabel511[[#This Row],[Team]],Tabel152[Score3])</f>
        <v>4</v>
      </c>
      <c r="BD120" s="136">
        <f>SUMIF(Tabel152[Team Groen],Tabel511[[#This Row],[Team]],Tabel152[Score4])</f>
        <v>7</v>
      </c>
      <c r="BE120" s="293">
        <f>SUM(Tabel511[[#This Row],[Goals Verdediger]]+Tabel511[[#This Row],[Goals DefG]])</f>
        <v>4</v>
      </c>
      <c r="BF120" s="293">
        <f>IF(Tabel511[[#This Row],[Aantal games Alg]]=0,0,Tabel511[[#This Row],[Goals DefA]]/Tabel511[[#This Row],[Aantal games Alg]])</f>
        <v>4</v>
      </c>
      <c r="BG120" s="293">
        <f>SUM(Tabel511[[#This Row],[Goals Aanvaller]]+Tabel511[[#This Row],[Goals OffG]])</f>
        <v>7</v>
      </c>
      <c r="BH120" s="293">
        <f>IF(Tabel511[[#This Row],[Aantal games Alg]]=0,0,Tabel511[[#This Row],[Goals OffA]]/Tabel511[[#This Row],[Aantal games Alg]])</f>
        <v>7</v>
      </c>
      <c r="BI120" s="214">
        <f>Tabel511[[#This Row],[Goals DefA]]+Tabel511[[#This Row],[Goals OffA]]</f>
        <v>11</v>
      </c>
      <c r="BJ120" s="214">
        <f>IF(Tabel511[[#This Row],[Aantal games Alg]]=0,0,Tabel511[[#This Row],[Goals Alg]]/Tabel511[[#This Row],[Aantal games Alg]])</f>
        <v>11</v>
      </c>
      <c r="BK120" s="148">
        <f>SUMIF(Tabel152[Team Rood],Tabel511[[#This Row],[Team]],Tabel152[ET])</f>
        <v>0</v>
      </c>
      <c r="BL120" s="150">
        <f ca="1">SUMIF(Tabel152[Team Groen],Tabel511[[#This Row],[Team]],Tabel152[ET])</f>
        <v>7.7083335781935602E-5</v>
      </c>
      <c r="BM120" s="153">
        <f ca="1">SUM(Tabel511[[#This Row],[ET Groen tot]],Tabel511[[#This Row],[ET Rood tot]])</f>
        <v>7.7083335781935602E-5</v>
      </c>
      <c r="BN120" s="155">
        <f ca="1">IF(Tabel511[[#This Row],[Aantal games Alg]]=0,0,Tabel511[[#This Row],[ET tot]]/Tabel511[[#This Row],[Aantal games Alg]])</f>
        <v>7.7083335781935602E-5</v>
      </c>
    </row>
    <row r="121" spans="1:66" x14ac:dyDescent="0.25">
      <c r="A121" s="215" t="str">
        <f ca="1">IF(Tabel152[[#This Row],[Rood Verdediging]]&lt;&gt;"",IF(A121="",NOW(),A121),"")</f>
        <v/>
      </c>
      <c r="B121" s="218" t="str">
        <f ca="1">IF(Tabel152[[#This Row],[Rood Verdediging]]&lt;&gt;"",IF(B121="",NOW(),B121),"")</f>
        <v/>
      </c>
      <c r="C121" s="216" t="str">
        <f ca="1">IF(Tabel152[[#This Row],[Score]]&lt;&gt;"",IF(C121="",NOW(),C121),"")</f>
        <v/>
      </c>
      <c r="D121" s="217" t="str">
        <f ca="1">IF(OR(Tabel152[[#This Row],[Starttijd]]="",Tabel152[[#This Row],[Eindtijd]]=""),"",Tabel152[[#This Row],[Eindtijd]]-Tabel152[[#This Row],[Starttijd]])</f>
        <v/>
      </c>
      <c r="E121" s="74">
        <v>120</v>
      </c>
      <c r="F121" s="205"/>
      <c r="G121" s="210"/>
      <c r="H121" s="205"/>
      <c r="I121" s="210"/>
      <c r="J121" s="206"/>
      <c r="K121" s="212"/>
      <c r="L121" s="206"/>
      <c r="M121" s="212"/>
      <c r="N121" s="79">
        <f>Tabel152[[#This Row],[Score]]+Tabel152[[#This Row],[Score2]]</f>
        <v>0</v>
      </c>
      <c r="O121" s="80">
        <f>Tabel152[[#This Row],[Score3]]+Tabel152[[#This Row],[Score4]]</f>
        <v>0</v>
      </c>
      <c r="P12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Row],[Score4]]&lt;&gt;""),IF(AND(N121&gt;O121,N121&gt;=11),"ROOD",IF(AND(O121&gt;=11,N121&lt;&gt;O121),"GROEN","")),"")</f>
        <v/>
      </c>
      <c r="Q121" s="84">
        <f t="shared" si="15"/>
        <v>0</v>
      </c>
      <c r="R121" s="85">
        <f t="shared" si="16"/>
        <v>0</v>
      </c>
      <c r="S121" s="293" t="str">
        <f>Tabel152[[#This Row],[Rood Verdediging]]&amp;Tabel152[[#This Row],[Rood Aanval]]</f>
        <v/>
      </c>
      <c r="T121" s="293" t="str">
        <f>Tabel152[[#This Row],[Groen Verdediging]]&amp;Tabel152[[#This Row],[Groen Aanval]]</f>
        <v/>
      </c>
      <c r="U121" s="293" t="str">
        <f>Tabel152[[#This Row],[Winnaar 1]]&amp;Tabel152[[#This Row],[Winnaar 2]]</f>
        <v>00</v>
      </c>
      <c r="V121" s="147" t="b">
        <f>IF(Tabel152[[#This Row],[Team Rood]]=Tabel152[[#This Row],[Winnaars]],Tabel152[[#This Row],[Team Rood]])</f>
        <v>0</v>
      </c>
      <c r="W121" s="147" t="b">
        <f>IF(Tabel152[[#This Row],[Team Groen]]=Tabel152[[#This Row],[Winnaars]],Tabel152[[#This Row],[Team Groen]])</f>
        <v>0</v>
      </c>
      <c r="X121" s="283"/>
      <c r="Y121" s="283"/>
      <c r="Z121" s="283"/>
      <c r="AA121" s="283"/>
      <c r="AL121" s="251" t="s">
        <v>169</v>
      </c>
      <c r="AM121" s="232" t="s">
        <v>157</v>
      </c>
      <c r="AN121" s="140" t="str">
        <f t="shared" si="14"/>
        <v>Stef*Tobi*</v>
      </c>
      <c r="AO121" s="160">
        <f>IF(Tabel511[[#This Row],[Aantal Games Rood]]=0,0,(Tabel511[[#This Row],[Wins Rood]])/Tabel511[[#This Row],[Aantal Games Rood]])</f>
        <v>0</v>
      </c>
      <c r="AP121" s="159">
        <f>IF(Tabel511[[#This Row],[Aantal Games Groen]]=0,0,(Tabel511[[#This Row],[Wins Groen]])/Tabel511[[#This Row],[Aantal Games Groen]])</f>
        <v>0</v>
      </c>
      <c r="AQ121" s="156">
        <f>IF(Tabel511[[#This Row],[Aantal games Alg]]=0,0,(Tabel511[[#This Row],[Wins Alg]])/Tabel511[[#This Row],[Aantal games Alg]])</f>
        <v>0</v>
      </c>
      <c r="AR121" s="133">
        <f>COUNTIF(Tabel152[Winaar rood],Tabel511[[#This Row],[Team]])</f>
        <v>0</v>
      </c>
      <c r="AS121" s="134">
        <f>COUNTIF(Tabel152[Winnaar Groen],Tabel511[[#This Row],[Team]])</f>
        <v>0</v>
      </c>
      <c r="AT121" s="293">
        <f>COUNTIF(Tabel152[Winnaars],Tabel511[[#This Row],[Team]])</f>
        <v>0</v>
      </c>
      <c r="AU121" s="135">
        <f>Tabel511[[#This Row],[Aantal Games Rood]]-Tabel511[[#This Row],[Wins Rood]]</f>
        <v>0</v>
      </c>
      <c r="AV121" s="136">
        <f>Tabel511[[#This Row],[Aantal Games Groen]]-Tabel511[[#This Row],[Wins Groen]]</f>
        <v>0</v>
      </c>
      <c r="AW121" s="137">
        <f>Tabel511[[#This Row],[Aantal games Alg]]-Tabel511[[#This Row],[Wins Alg]]</f>
        <v>0</v>
      </c>
      <c r="AX121" s="138">
        <f>COUNTIF(Tabel152[Team Rood],Tabel511[[#This Row],[Team]])</f>
        <v>0</v>
      </c>
      <c r="AY121" s="136">
        <f>COUNTIF(Tabel152[Team Groen],Tabel511[[#This Row],[Team]])</f>
        <v>0</v>
      </c>
      <c r="AZ121" s="214">
        <f>Tabel511[[#This Row],[Aantal Games Rood]]+Tabel511[[#This Row],[Aantal Games Groen]]</f>
        <v>0</v>
      </c>
      <c r="BA121" s="138">
        <f>SUMIF(Tabel152[Team Rood],Tabel511[[#This Row],[Team]],Tabel152[Score])</f>
        <v>0</v>
      </c>
      <c r="BB121" s="138">
        <f>SUMIF(Tabel152[Team Rood],Tabel511[[#This Row],[Team]],Tabel152[Score2])</f>
        <v>0</v>
      </c>
      <c r="BC121" s="134">
        <f>SUMIF(Tabel152[Team Groen],Tabel511[[#This Row],[Team]],Tabel152[Score3])</f>
        <v>0</v>
      </c>
      <c r="BD121" s="136">
        <f>SUMIF(Tabel152[Team Groen],Tabel511[[#This Row],[Team]],Tabel152[Score4])</f>
        <v>0</v>
      </c>
      <c r="BE121" s="293">
        <f>SUM(Tabel511[[#This Row],[Goals Verdediger]]+Tabel511[[#This Row],[Goals DefG]])</f>
        <v>0</v>
      </c>
      <c r="BF121" s="293">
        <f>IF(Tabel511[[#This Row],[Aantal games Alg]]=0,0,Tabel511[[#This Row],[Goals DefA]]/Tabel511[[#This Row],[Aantal games Alg]])</f>
        <v>0</v>
      </c>
      <c r="BG121" s="293">
        <f>SUM(Tabel511[[#This Row],[Goals Aanvaller]]+Tabel511[[#This Row],[Goals OffG]])</f>
        <v>0</v>
      </c>
      <c r="BH121" s="293">
        <f>IF(Tabel511[[#This Row],[Aantal games Alg]]=0,0,Tabel511[[#This Row],[Goals OffA]]/Tabel511[[#This Row],[Aantal games Alg]])</f>
        <v>0</v>
      </c>
      <c r="BI121" s="214">
        <f>Tabel511[[#This Row],[Goals DefA]]+Tabel511[[#This Row],[Goals OffA]]</f>
        <v>0</v>
      </c>
      <c r="BJ121" s="214">
        <f>IF(Tabel511[[#This Row],[Aantal games Alg]]=0,0,Tabel511[[#This Row],[Goals Alg]]/Tabel511[[#This Row],[Aantal games Alg]])</f>
        <v>0</v>
      </c>
      <c r="BK121" s="148">
        <f>SUMIF(Tabel152[Team Rood],Tabel511[[#This Row],[Team]],Tabel152[ET])</f>
        <v>0</v>
      </c>
      <c r="BL121" s="150">
        <f>SUMIF(Tabel152[Team Groen],Tabel511[[#This Row],[Team]],Tabel152[ET])</f>
        <v>0</v>
      </c>
      <c r="BM121" s="153">
        <f>SUM(Tabel511[[#This Row],[ET Groen tot]],Tabel511[[#This Row],[ET Rood tot]])</f>
        <v>0</v>
      </c>
      <c r="BN121" s="155">
        <f>IF(Tabel511[[#This Row],[Aantal games Alg]]=0,0,Tabel511[[#This Row],[ET tot]]/Tabel511[[#This Row],[Aantal games Alg]])</f>
        <v>0</v>
      </c>
    </row>
    <row r="122" spans="1:66" x14ac:dyDescent="0.25">
      <c r="A122" s="215" t="str">
        <f ca="1">IF(Tabel152[[#This Row],[Rood Verdediging]]&lt;&gt;"",IF(A122="",NOW(),A122),"")</f>
        <v/>
      </c>
      <c r="B122" s="218" t="str">
        <f ca="1">IF(Tabel152[[#This Row],[Rood Verdediging]]&lt;&gt;"",IF(B122="",NOW(),B122),"")</f>
        <v/>
      </c>
      <c r="C122" s="216" t="str">
        <f ca="1">IF(Tabel152[[#This Row],[Score]]&lt;&gt;"",IF(C122="",NOW(),C122),"")</f>
        <v/>
      </c>
      <c r="D122" s="217" t="str">
        <f ca="1">IF(OR(Tabel152[[#This Row],[Starttijd]]="",Tabel152[[#This Row],[Eindtijd]]=""),"",Tabel152[[#This Row],[Eindtijd]]-Tabel152[[#This Row],[Starttijd]])</f>
        <v/>
      </c>
      <c r="E122" s="74">
        <v>121</v>
      </c>
      <c r="F122" s="205"/>
      <c r="G122" s="210"/>
      <c r="H122" s="205"/>
      <c r="I122" s="210"/>
      <c r="J122" s="206"/>
      <c r="K122" s="212"/>
      <c r="L122" s="206"/>
      <c r="M122" s="212"/>
      <c r="N122" s="79">
        <f>Tabel152[[#This Row],[Score]]+Tabel152[[#This Row],[Score2]]</f>
        <v>0</v>
      </c>
      <c r="O122" s="80">
        <f>Tabel152[[#This Row],[Score3]]+Tabel152[[#This Row],[Score4]]</f>
        <v>0</v>
      </c>
      <c r="P12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Row],[Score4]]&lt;&gt;""),IF(AND(N122&gt;O122,N122&gt;=11),"ROOD",IF(AND(O122&gt;=11,N122&lt;&gt;O122),"GROEN","")),"")</f>
        <v/>
      </c>
      <c r="Q122" s="84">
        <f t="shared" si="15"/>
        <v>0</v>
      </c>
      <c r="R122" s="85">
        <f t="shared" si="16"/>
        <v>0</v>
      </c>
      <c r="S122" s="293" t="str">
        <f>Tabel152[[#This Row],[Rood Verdediging]]&amp;Tabel152[[#This Row],[Rood Aanval]]</f>
        <v/>
      </c>
      <c r="T122" s="293" t="str">
        <f>Tabel152[[#This Row],[Groen Verdediging]]&amp;Tabel152[[#This Row],[Groen Aanval]]</f>
        <v/>
      </c>
      <c r="U122" s="293" t="str">
        <f>Tabel152[[#This Row],[Winnaar 1]]&amp;Tabel152[[#This Row],[Winnaar 2]]</f>
        <v>00</v>
      </c>
      <c r="V122" s="147" t="b">
        <f>IF(Tabel152[[#This Row],[Team Rood]]=Tabel152[[#This Row],[Winnaars]],Tabel152[[#This Row],[Team Rood]])</f>
        <v>0</v>
      </c>
      <c r="W122" s="147" t="b">
        <f>IF(Tabel152[[#This Row],[Team Groen]]=Tabel152[[#This Row],[Winnaars]],Tabel152[[#This Row],[Team Groen]])</f>
        <v>0</v>
      </c>
      <c r="X122" s="283"/>
      <c r="Y122" s="283"/>
      <c r="Z122" s="283"/>
      <c r="AA122" s="283"/>
      <c r="AL122" s="251" t="s">
        <v>166</v>
      </c>
      <c r="AM122" s="232" t="s">
        <v>158</v>
      </c>
      <c r="AN122" s="140" t="str">
        <f t="shared" si="14"/>
        <v>Stijn*Arno*</v>
      </c>
      <c r="AO122" s="160">
        <f>IF(Tabel511[[#This Row],[Aantal Games Rood]]=0,0,(Tabel511[[#This Row],[Wins Rood]])/Tabel511[[#This Row],[Aantal Games Rood]])</f>
        <v>0</v>
      </c>
      <c r="AP122" s="159">
        <f>IF(Tabel511[[#This Row],[Aantal Games Groen]]=0,0,(Tabel511[[#This Row],[Wins Groen]])/Tabel511[[#This Row],[Aantal Games Groen]])</f>
        <v>0</v>
      </c>
      <c r="AQ122" s="156">
        <f>IF(Tabel511[[#This Row],[Aantal games Alg]]=0,0,(Tabel511[[#This Row],[Wins Alg]])/Tabel511[[#This Row],[Aantal games Alg]])</f>
        <v>0</v>
      </c>
      <c r="AR122" s="133">
        <f>COUNTIF(Tabel152[Winaar rood],Tabel511[[#This Row],[Team]])</f>
        <v>0</v>
      </c>
      <c r="AS122" s="134">
        <f>COUNTIF(Tabel152[Winnaar Groen],Tabel511[[#This Row],[Team]])</f>
        <v>0</v>
      </c>
      <c r="AT122" s="293">
        <f>COUNTIF(Tabel152[Winnaars],Tabel511[[#This Row],[Team]])</f>
        <v>0</v>
      </c>
      <c r="AU122" s="135">
        <f>Tabel511[[#This Row],[Aantal Games Rood]]-Tabel511[[#This Row],[Wins Rood]]</f>
        <v>0</v>
      </c>
      <c r="AV122" s="136">
        <f>Tabel511[[#This Row],[Aantal Games Groen]]-Tabel511[[#This Row],[Wins Groen]]</f>
        <v>0</v>
      </c>
      <c r="AW122" s="137">
        <f>Tabel511[[#This Row],[Aantal games Alg]]-Tabel511[[#This Row],[Wins Alg]]</f>
        <v>0</v>
      </c>
      <c r="AX122" s="138">
        <f>COUNTIF(Tabel152[Team Rood],Tabel511[[#This Row],[Team]])</f>
        <v>0</v>
      </c>
      <c r="AY122" s="136">
        <f>COUNTIF(Tabel152[Team Groen],Tabel511[[#This Row],[Team]])</f>
        <v>0</v>
      </c>
      <c r="AZ122" s="214">
        <f>Tabel511[[#This Row],[Aantal Games Rood]]+Tabel511[[#This Row],[Aantal Games Groen]]</f>
        <v>0</v>
      </c>
      <c r="BA122" s="138">
        <f>SUMIF(Tabel152[Team Rood],Tabel511[[#This Row],[Team]],Tabel152[Score])</f>
        <v>0</v>
      </c>
      <c r="BB122" s="138">
        <f>SUMIF(Tabel152[Team Rood],Tabel511[[#This Row],[Team]],Tabel152[Score2])</f>
        <v>0</v>
      </c>
      <c r="BC122" s="134">
        <f>SUMIF(Tabel152[Team Groen],Tabel511[[#This Row],[Team]],Tabel152[Score3])</f>
        <v>0</v>
      </c>
      <c r="BD122" s="136">
        <f>SUMIF(Tabel152[Team Groen],Tabel511[[#This Row],[Team]],Tabel152[Score4])</f>
        <v>0</v>
      </c>
      <c r="BE122" s="293">
        <f>SUM(Tabel511[[#This Row],[Goals Verdediger]]+Tabel511[[#This Row],[Goals DefG]])</f>
        <v>0</v>
      </c>
      <c r="BF122" s="293">
        <f>IF(Tabel511[[#This Row],[Aantal games Alg]]=0,0,Tabel511[[#This Row],[Goals DefA]]/Tabel511[[#This Row],[Aantal games Alg]])</f>
        <v>0</v>
      </c>
      <c r="BG122" s="293">
        <f>SUM(Tabel511[[#This Row],[Goals Aanvaller]]+Tabel511[[#This Row],[Goals OffG]])</f>
        <v>0</v>
      </c>
      <c r="BH122" s="293">
        <f>IF(Tabel511[[#This Row],[Aantal games Alg]]=0,0,Tabel511[[#This Row],[Goals OffA]]/Tabel511[[#This Row],[Aantal games Alg]])</f>
        <v>0</v>
      </c>
      <c r="BI122" s="214">
        <f>Tabel511[[#This Row],[Goals DefA]]+Tabel511[[#This Row],[Goals OffA]]</f>
        <v>0</v>
      </c>
      <c r="BJ122" s="214">
        <f>IF(Tabel511[[#This Row],[Aantal games Alg]]=0,0,Tabel511[[#This Row],[Goals Alg]]/Tabel511[[#This Row],[Aantal games Alg]])</f>
        <v>0</v>
      </c>
      <c r="BK122" s="148">
        <f>SUMIF(Tabel152[Team Rood],Tabel511[[#This Row],[Team]],Tabel152[ET])</f>
        <v>0</v>
      </c>
      <c r="BL122" s="150">
        <f>SUMIF(Tabel152[Team Groen],Tabel511[[#This Row],[Team]],Tabel152[ET])</f>
        <v>0</v>
      </c>
      <c r="BM122" s="153">
        <f>SUM(Tabel511[[#This Row],[ET Groen tot]],Tabel511[[#This Row],[ET Rood tot]])</f>
        <v>0</v>
      </c>
      <c r="BN122" s="155">
        <f>IF(Tabel511[[#This Row],[Aantal games Alg]]=0,0,Tabel511[[#This Row],[ET tot]]/Tabel511[[#This Row],[Aantal games Alg]])</f>
        <v>0</v>
      </c>
    </row>
    <row r="123" spans="1:66" x14ac:dyDescent="0.25">
      <c r="A123" s="215" t="str">
        <f ca="1">IF(Tabel152[[#This Row],[Rood Verdediging]]&lt;&gt;"",IF(A123="",NOW(),A123),"")</f>
        <v/>
      </c>
      <c r="B123" s="218" t="str">
        <f ca="1">IF(Tabel152[[#This Row],[Rood Verdediging]]&lt;&gt;"",IF(B123="",NOW(),B123),"")</f>
        <v/>
      </c>
      <c r="C123" s="216" t="str">
        <f ca="1">IF(Tabel152[[#This Row],[Score]]&lt;&gt;"",IF(C123="",NOW(),C123),"")</f>
        <v/>
      </c>
      <c r="D123" s="217" t="str">
        <f ca="1">IF(OR(Tabel152[[#This Row],[Starttijd]]="",Tabel152[[#This Row],[Eindtijd]]=""),"",Tabel152[[#This Row],[Eindtijd]]-Tabel152[[#This Row],[Starttijd]])</f>
        <v/>
      </c>
      <c r="E123" s="74">
        <v>122</v>
      </c>
      <c r="F123" s="205"/>
      <c r="G123" s="210"/>
      <c r="H123" s="205"/>
      <c r="I123" s="210"/>
      <c r="J123" s="206"/>
      <c r="K123" s="212"/>
      <c r="L123" s="206"/>
      <c r="M123" s="212"/>
      <c r="N123" s="79">
        <f>Tabel152[[#This Row],[Score]]+Tabel152[[#This Row],[Score2]]</f>
        <v>0</v>
      </c>
      <c r="O123" s="80">
        <f>Tabel152[[#This Row],[Score3]]+Tabel152[[#This Row],[Score4]]</f>
        <v>0</v>
      </c>
      <c r="P12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Row],[Score4]]&lt;&gt;""),IF(AND(N123&gt;O123,N123&gt;=11),"ROOD",IF(AND(O123&gt;=11,N123&lt;&gt;O123),"GROEN","")),"")</f>
        <v/>
      </c>
      <c r="Q123" s="84">
        <f t="shared" si="15"/>
        <v>0</v>
      </c>
      <c r="R123" s="85">
        <f t="shared" si="16"/>
        <v>0</v>
      </c>
      <c r="S123" s="293" t="str">
        <f>Tabel152[[#This Row],[Rood Verdediging]]&amp;Tabel152[[#This Row],[Rood Aanval]]</f>
        <v/>
      </c>
      <c r="T123" s="293" t="str">
        <f>Tabel152[[#This Row],[Groen Verdediging]]&amp;Tabel152[[#This Row],[Groen Aanval]]</f>
        <v/>
      </c>
      <c r="U123" s="293" t="str">
        <f>Tabel152[[#This Row],[Winnaar 1]]&amp;Tabel152[[#This Row],[Winnaar 2]]</f>
        <v>00</v>
      </c>
      <c r="V123" s="147" t="b">
        <f>IF(Tabel152[[#This Row],[Team Rood]]=Tabel152[[#This Row],[Winnaars]],Tabel152[[#This Row],[Team Rood]])</f>
        <v>0</v>
      </c>
      <c r="W123" s="147" t="b">
        <f>IF(Tabel152[[#This Row],[Team Groen]]=Tabel152[[#This Row],[Winnaars]],Tabel152[[#This Row],[Team Groen]])</f>
        <v>0</v>
      </c>
      <c r="X123" s="283"/>
      <c r="Y123" s="283"/>
      <c r="Z123" s="283"/>
      <c r="AA123" s="283"/>
      <c r="AL123" s="251" t="s">
        <v>166</v>
      </c>
      <c r="AM123" s="232" t="s">
        <v>163</v>
      </c>
      <c r="AN123" s="140" t="str">
        <f t="shared" si="14"/>
        <v>Stijn*Bert*</v>
      </c>
      <c r="AO123" s="160">
        <f>IF(Tabel511[[#This Row],[Aantal Games Rood]]=0,0,(Tabel511[[#This Row],[Wins Rood]])/Tabel511[[#This Row],[Aantal Games Rood]])</f>
        <v>0</v>
      </c>
      <c r="AP123" s="159">
        <f>IF(Tabel511[[#This Row],[Aantal Games Groen]]=0,0,(Tabel511[[#This Row],[Wins Groen]])/Tabel511[[#This Row],[Aantal Games Groen]])</f>
        <v>0</v>
      </c>
      <c r="AQ123" s="156">
        <f>IF(Tabel511[[#This Row],[Aantal games Alg]]=0,0,(Tabel511[[#This Row],[Wins Alg]])/Tabel511[[#This Row],[Aantal games Alg]])</f>
        <v>0</v>
      </c>
      <c r="AR123" s="133">
        <f>COUNTIF(Tabel152[Winaar rood],Tabel511[[#This Row],[Team]])</f>
        <v>0</v>
      </c>
      <c r="AS123" s="134">
        <f>COUNTIF(Tabel152[Winnaar Groen],Tabel511[[#This Row],[Team]])</f>
        <v>0</v>
      </c>
      <c r="AT123" s="293">
        <f>COUNTIF(Tabel152[Winnaars],Tabel511[[#This Row],[Team]])</f>
        <v>0</v>
      </c>
      <c r="AU123" s="135">
        <f>Tabel511[[#This Row],[Aantal Games Rood]]-Tabel511[[#This Row],[Wins Rood]]</f>
        <v>0</v>
      </c>
      <c r="AV123" s="136">
        <f>Tabel511[[#This Row],[Aantal Games Groen]]-Tabel511[[#This Row],[Wins Groen]]</f>
        <v>0</v>
      </c>
      <c r="AW123" s="137">
        <f>Tabel511[[#This Row],[Aantal games Alg]]-Tabel511[[#This Row],[Wins Alg]]</f>
        <v>0</v>
      </c>
      <c r="AX123" s="138">
        <f>COUNTIF(Tabel152[Team Rood],Tabel511[[#This Row],[Team]])</f>
        <v>0</v>
      </c>
      <c r="AY123" s="136">
        <f>COUNTIF(Tabel152[Team Groen],Tabel511[[#This Row],[Team]])</f>
        <v>0</v>
      </c>
      <c r="AZ123" s="214">
        <f>Tabel511[[#This Row],[Aantal Games Rood]]+Tabel511[[#This Row],[Aantal Games Groen]]</f>
        <v>0</v>
      </c>
      <c r="BA123" s="138">
        <f>SUMIF(Tabel152[Team Rood],Tabel511[[#This Row],[Team]],Tabel152[Score])</f>
        <v>0</v>
      </c>
      <c r="BB123" s="138">
        <f>SUMIF(Tabel152[Team Rood],Tabel511[[#This Row],[Team]],Tabel152[Score2])</f>
        <v>0</v>
      </c>
      <c r="BC123" s="134">
        <f>SUMIF(Tabel152[Team Groen],Tabel511[[#This Row],[Team]],Tabel152[Score3])</f>
        <v>0</v>
      </c>
      <c r="BD123" s="136">
        <f>SUMIF(Tabel152[Team Groen],Tabel511[[#This Row],[Team]],Tabel152[Score4])</f>
        <v>0</v>
      </c>
      <c r="BE123" s="293">
        <f>SUM(Tabel511[[#This Row],[Goals Verdediger]]+Tabel511[[#This Row],[Goals DefG]])</f>
        <v>0</v>
      </c>
      <c r="BF123" s="293">
        <f>IF(Tabel511[[#This Row],[Aantal games Alg]]=0,0,Tabel511[[#This Row],[Goals DefA]]/Tabel511[[#This Row],[Aantal games Alg]])</f>
        <v>0</v>
      </c>
      <c r="BG123" s="293">
        <f>SUM(Tabel511[[#This Row],[Goals Aanvaller]]+Tabel511[[#This Row],[Goals OffG]])</f>
        <v>0</v>
      </c>
      <c r="BH123" s="293">
        <f>IF(Tabel511[[#This Row],[Aantal games Alg]]=0,0,Tabel511[[#This Row],[Goals OffA]]/Tabel511[[#This Row],[Aantal games Alg]])</f>
        <v>0</v>
      </c>
      <c r="BI123" s="214">
        <f>Tabel511[[#This Row],[Goals DefA]]+Tabel511[[#This Row],[Goals OffA]]</f>
        <v>0</v>
      </c>
      <c r="BJ123" s="214">
        <f>IF(Tabel511[[#This Row],[Aantal games Alg]]=0,0,Tabel511[[#This Row],[Goals Alg]]/Tabel511[[#This Row],[Aantal games Alg]])</f>
        <v>0</v>
      </c>
      <c r="BK123" s="148">
        <f>SUMIF(Tabel152[Team Rood],Tabel511[[#This Row],[Team]],Tabel152[ET])</f>
        <v>0</v>
      </c>
      <c r="BL123" s="150">
        <f>SUMIF(Tabel152[Team Groen],Tabel511[[#This Row],[Team]],Tabel152[ET])</f>
        <v>0</v>
      </c>
      <c r="BM123" s="153">
        <f>SUM(Tabel511[[#This Row],[ET Groen tot]],Tabel511[[#This Row],[ET Rood tot]])</f>
        <v>0</v>
      </c>
      <c r="BN123" s="155">
        <f>IF(Tabel511[[#This Row],[Aantal games Alg]]=0,0,Tabel511[[#This Row],[ET tot]]/Tabel511[[#This Row],[Aantal games Alg]])</f>
        <v>0</v>
      </c>
    </row>
    <row r="124" spans="1:66" x14ac:dyDescent="0.25">
      <c r="A124" s="215" t="str">
        <f ca="1">IF(Tabel152[[#This Row],[Rood Verdediging]]&lt;&gt;"",IF(A124="",NOW(),A124),"")</f>
        <v/>
      </c>
      <c r="B124" s="218" t="str">
        <f ca="1">IF(Tabel152[[#This Row],[Rood Verdediging]]&lt;&gt;"",IF(B124="",NOW(),B124),"")</f>
        <v/>
      </c>
      <c r="C124" s="216" t="str">
        <f ca="1">IF(Tabel152[[#This Row],[Score]]&lt;&gt;"",IF(C124="",NOW(),C124),"")</f>
        <v/>
      </c>
      <c r="D124" s="217" t="str">
        <f ca="1">IF(OR(Tabel152[[#This Row],[Starttijd]]="",Tabel152[[#This Row],[Eindtijd]]=""),"",Tabel152[[#This Row],[Eindtijd]]-Tabel152[[#This Row],[Starttijd]])</f>
        <v/>
      </c>
      <c r="E124" s="74">
        <v>123</v>
      </c>
      <c r="F124" s="205"/>
      <c r="G124" s="210"/>
      <c r="H124" s="205"/>
      <c r="I124" s="210"/>
      <c r="J124" s="206"/>
      <c r="K124" s="212"/>
      <c r="L124" s="206"/>
      <c r="M124" s="212"/>
      <c r="N124" s="79">
        <f>Tabel152[[#This Row],[Score]]+Tabel152[[#This Row],[Score2]]</f>
        <v>0</v>
      </c>
      <c r="O124" s="80">
        <f>Tabel152[[#This Row],[Score3]]+Tabel152[[#This Row],[Score4]]</f>
        <v>0</v>
      </c>
      <c r="P12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Row],[Score4]]&lt;&gt;""),IF(AND(N124&gt;O124,N124&gt;=11),"ROOD",IF(AND(O124&gt;=11,N124&lt;&gt;O124),"GROEN","")),"")</f>
        <v/>
      </c>
      <c r="Q124" s="84">
        <f t="shared" si="15"/>
        <v>0</v>
      </c>
      <c r="R124" s="85">
        <f t="shared" si="16"/>
        <v>0</v>
      </c>
      <c r="S124" s="293" t="str">
        <f>Tabel152[[#This Row],[Rood Verdediging]]&amp;Tabel152[[#This Row],[Rood Aanval]]</f>
        <v/>
      </c>
      <c r="T124" s="293" t="str">
        <f>Tabel152[[#This Row],[Groen Verdediging]]&amp;Tabel152[[#This Row],[Groen Aanval]]</f>
        <v/>
      </c>
      <c r="U124" s="293" t="str">
        <f>Tabel152[[#This Row],[Winnaar 1]]&amp;Tabel152[[#This Row],[Winnaar 2]]</f>
        <v>00</v>
      </c>
      <c r="V124" s="147" t="b">
        <f>IF(Tabel152[[#This Row],[Team Rood]]=Tabel152[[#This Row],[Winnaars]],Tabel152[[#This Row],[Team Rood]])</f>
        <v>0</v>
      </c>
      <c r="W124" s="147" t="b">
        <f>IF(Tabel152[[#This Row],[Team Groen]]=Tabel152[[#This Row],[Winnaars]],Tabel152[[#This Row],[Team Groen]])</f>
        <v>0</v>
      </c>
      <c r="X124" s="283"/>
      <c r="Y124" s="283"/>
      <c r="Z124" s="283"/>
      <c r="AA124" s="283"/>
      <c r="AL124" s="251" t="s">
        <v>166</v>
      </c>
      <c r="AM124" s="232" t="s">
        <v>168</v>
      </c>
      <c r="AN124" s="140" t="str">
        <f t="shared" si="14"/>
        <v>Stijn*Coghe*</v>
      </c>
      <c r="AO124" s="160">
        <f>IF(Tabel511[[#This Row],[Aantal Games Rood]]=0,0,(Tabel511[[#This Row],[Wins Rood]])/Tabel511[[#This Row],[Aantal Games Rood]])</f>
        <v>0</v>
      </c>
      <c r="AP124" s="159">
        <f>IF(Tabel511[[#This Row],[Aantal Games Groen]]=0,0,(Tabel511[[#This Row],[Wins Groen]])/Tabel511[[#This Row],[Aantal Games Groen]])</f>
        <v>0</v>
      </c>
      <c r="AQ124" s="156">
        <f>IF(Tabel511[[#This Row],[Aantal games Alg]]=0,0,(Tabel511[[#This Row],[Wins Alg]])/Tabel511[[#This Row],[Aantal games Alg]])</f>
        <v>0</v>
      </c>
      <c r="AR124" s="138">
        <f>COUNTIF(Tabel152[Winaar rood],Tabel511[[#This Row],[Team]])</f>
        <v>0</v>
      </c>
      <c r="AS124" s="134">
        <f>COUNTIF(Tabel152[Winnaar Groen],Tabel511[[#This Row],[Team]])</f>
        <v>0</v>
      </c>
      <c r="AT124" s="293">
        <f>COUNTIF(Tabel152[Winnaars],Tabel511[[#This Row],[Team]])</f>
        <v>0</v>
      </c>
      <c r="AU124" s="135">
        <f>Tabel511[[#This Row],[Aantal Games Rood]]-Tabel511[[#This Row],[Wins Rood]]</f>
        <v>0</v>
      </c>
      <c r="AV124" s="136">
        <f>Tabel511[[#This Row],[Aantal Games Groen]]-Tabel511[[#This Row],[Wins Groen]]</f>
        <v>0</v>
      </c>
      <c r="AW124" s="137">
        <f>Tabel511[[#This Row],[Aantal games Alg]]-Tabel511[[#This Row],[Wins Alg]]</f>
        <v>0</v>
      </c>
      <c r="AX124" s="138">
        <f>COUNTIF(Tabel152[Team Rood],Tabel511[[#This Row],[Team]])</f>
        <v>0</v>
      </c>
      <c r="AY124" s="136">
        <f>COUNTIF(Tabel152[Team Groen],Tabel511[[#This Row],[Team]])</f>
        <v>0</v>
      </c>
      <c r="AZ124" s="214">
        <f>Tabel511[[#This Row],[Aantal Games Rood]]+Tabel511[[#This Row],[Aantal Games Groen]]</f>
        <v>0</v>
      </c>
      <c r="BA124" s="138">
        <f>SUMIF(Tabel152[Team Rood],Tabel511[[#This Row],[Team]],Tabel152[Score])</f>
        <v>0</v>
      </c>
      <c r="BB124" s="138">
        <f>SUMIF(Tabel152[Team Rood],Tabel511[[#This Row],[Team]],Tabel152[Score2])</f>
        <v>0</v>
      </c>
      <c r="BC124" s="134">
        <f>SUMIF(Tabel152[Team Groen],Tabel511[[#This Row],[Team]],Tabel152[Score3])</f>
        <v>0</v>
      </c>
      <c r="BD124" s="136">
        <f>SUMIF(Tabel152[Team Groen],Tabel511[[#This Row],[Team]],Tabel152[Score4])</f>
        <v>0</v>
      </c>
      <c r="BE124" s="293">
        <f>SUM(Tabel511[[#This Row],[Goals Verdediger]]+Tabel511[[#This Row],[Goals DefG]])</f>
        <v>0</v>
      </c>
      <c r="BF124" s="293">
        <f>IF(Tabel511[[#This Row],[Aantal games Alg]]=0,0,Tabel511[[#This Row],[Goals DefA]]/Tabel511[[#This Row],[Aantal games Alg]])</f>
        <v>0</v>
      </c>
      <c r="BG124" s="293">
        <f>SUM(Tabel511[[#This Row],[Goals Aanvaller]]+Tabel511[[#This Row],[Goals OffG]])</f>
        <v>0</v>
      </c>
      <c r="BH124" s="293">
        <f>IF(Tabel511[[#This Row],[Aantal games Alg]]=0,0,Tabel511[[#This Row],[Goals OffA]]/Tabel511[[#This Row],[Aantal games Alg]])</f>
        <v>0</v>
      </c>
      <c r="BI124" s="214">
        <f>Tabel511[[#This Row],[Goals DefA]]+Tabel511[[#This Row],[Goals OffA]]</f>
        <v>0</v>
      </c>
      <c r="BJ124" s="214">
        <f>IF(Tabel511[[#This Row],[Aantal games Alg]]=0,0,Tabel511[[#This Row],[Goals Alg]]/Tabel511[[#This Row],[Aantal games Alg]])</f>
        <v>0</v>
      </c>
      <c r="BK124" s="148">
        <f>SUMIF(Tabel152[Team Rood],Tabel511[[#This Row],[Team]],Tabel152[ET])</f>
        <v>0</v>
      </c>
      <c r="BL124" s="150">
        <f>SUMIF(Tabel152[Team Groen],Tabel511[[#This Row],[Team]],Tabel152[ET])</f>
        <v>0</v>
      </c>
      <c r="BM124" s="153">
        <f>SUM(Tabel511[[#This Row],[ET Groen tot]],Tabel511[[#This Row],[ET Rood tot]])</f>
        <v>0</v>
      </c>
      <c r="BN124" s="155">
        <f>IF(Tabel511[[#This Row],[Aantal games Alg]]=0,0,Tabel511[[#This Row],[ET tot]]/Tabel511[[#This Row],[Aantal games Alg]])</f>
        <v>0</v>
      </c>
    </row>
    <row r="125" spans="1:66" x14ac:dyDescent="0.25">
      <c r="A125" s="215" t="str">
        <f ca="1">IF(Tabel152[[#This Row],[Rood Verdediging]]&lt;&gt;"",IF(A125="",NOW(),A125),"")</f>
        <v/>
      </c>
      <c r="B125" s="218" t="str">
        <f ca="1">IF(Tabel152[[#This Row],[Rood Verdediging]]&lt;&gt;"",IF(B125="",NOW(),B125),"")</f>
        <v/>
      </c>
      <c r="C125" s="216" t="str">
        <f ca="1">IF(Tabel152[[#This Row],[Score]]&lt;&gt;"",IF(C125="",NOW(),C125),"")</f>
        <v/>
      </c>
      <c r="D125" s="217" t="str">
        <f ca="1">IF(OR(Tabel152[[#This Row],[Starttijd]]="",Tabel152[[#This Row],[Eindtijd]]=""),"",Tabel152[[#This Row],[Eindtijd]]-Tabel152[[#This Row],[Starttijd]])</f>
        <v/>
      </c>
      <c r="E125" s="74">
        <v>124</v>
      </c>
      <c r="F125" s="205"/>
      <c r="G125" s="210"/>
      <c r="H125" s="205"/>
      <c r="I125" s="210"/>
      <c r="J125" s="206"/>
      <c r="K125" s="212"/>
      <c r="L125" s="206"/>
      <c r="M125" s="212"/>
      <c r="N125" s="79">
        <f>Tabel152[[#This Row],[Score]]+Tabel152[[#This Row],[Score2]]</f>
        <v>0</v>
      </c>
      <c r="O125" s="80">
        <f>Tabel152[[#This Row],[Score3]]+Tabel152[[#This Row],[Score4]]</f>
        <v>0</v>
      </c>
      <c r="P12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Row],[Score4]]&lt;&gt;""),IF(AND(N125&gt;O125,N125&gt;=11),"ROOD",IF(AND(O125&gt;=11,N125&lt;&gt;O125),"GROEN","")),"")</f>
        <v/>
      </c>
      <c r="Q125" s="84">
        <f t="shared" si="15"/>
        <v>0</v>
      </c>
      <c r="R125" s="85">
        <f t="shared" si="16"/>
        <v>0</v>
      </c>
      <c r="S125" s="293" t="str">
        <f>Tabel152[[#This Row],[Rood Verdediging]]&amp;Tabel152[[#This Row],[Rood Aanval]]</f>
        <v/>
      </c>
      <c r="T125" s="293" t="str">
        <f>Tabel152[[#This Row],[Groen Verdediging]]&amp;Tabel152[[#This Row],[Groen Aanval]]</f>
        <v/>
      </c>
      <c r="U125" s="293" t="str">
        <f>Tabel152[[#This Row],[Winnaar 1]]&amp;Tabel152[[#This Row],[Winnaar 2]]</f>
        <v>00</v>
      </c>
      <c r="V125" s="147" t="b">
        <f>IF(Tabel152[[#This Row],[Team Rood]]=Tabel152[[#This Row],[Winnaars]],Tabel152[[#This Row],[Team Rood]])</f>
        <v>0</v>
      </c>
      <c r="W125" s="147" t="b">
        <f>IF(Tabel152[[#This Row],[Team Groen]]=Tabel152[[#This Row],[Winnaars]],Tabel152[[#This Row],[Team Groen]])</f>
        <v>0</v>
      </c>
      <c r="X125" s="283"/>
      <c r="Y125" s="283"/>
      <c r="Z125" s="283"/>
      <c r="AA125" s="283"/>
      <c r="AL125" s="251" t="s">
        <v>166</v>
      </c>
      <c r="AM125" s="232" t="s">
        <v>159</v>
      </c>
      <c r="AN125" s="140" t="str">
        <f t="shared" si="14"/>
        <v>Stijn*Jonas*</v>
      </c>
      <c r="AO125" s="160">
        <f>IF(Tabel511[[#This Row],[Aantal Games Rood]]=0,0,(Tabel511[[#This Row],[Wins Rood]])/Tabel511[[#This Row],[Aantal Games Rood]])</f>
        <v>0</v>
      </c>
      <c r="AP125" s="159">
        <f>IF(Tabel511[[#This Row],[Aantal Games Groen]]=0,0,(Tabel511[[#This Row],[Wins Groen]])/Tabel511[[#This Row],[Aantal Games Groen]])</f>
        <v>0</v>
      </c>
      <c r="AQ125" s="156">
        <f>IF(Tabel511[[#This Row],[Aantal games Alg]]=0,0,(Tabel511[[#This Row],[Wins Alg]])/Tabel511[[#This Row],[Aantal games Alg]])</f>
        <v>0</v>
      </c>
      <c r="AR125" s="138">
        <f>COUNTIF(Tabel152[Winaar rood],Tabel511[[#This Row],[Team]])</f>
        <v>0</v>
      </c>
      <c r="AS125" s="134">
        <f>COUNTIF(Tabel152[Winnaar Groen],Tabel511[[#This Row],[Team]])</f>
        <v>0</v>
      </c>
      <c r="AT125" s="293">
        <f>COUNTIF(Tabel152[Winnaars],Tabel511[[#This Row],[Team]])</f>
        <v>0</v>
      </c>
      <c r="AU125" s="135">
        <f>Tabel511[[#This Row],[Aantal Games Rood]]-Tabel511[[#This Row],[Wins Rood]]</f>
        <v>0</v>
      </c>
      <c r="AV125" s="136">
        <f>Tabel511[[#This Row],[Aantal Games Groen]]-Tabel511[[#This Row],[Wins Groen]]</f>
        <v>0</v>
      </c>
      <c r="AW125" s="137">
        <f>Tabel511[[#This Row],[Aantal games Alg]]-Tabel511[[#This Row],[Wins Alg]]</f>
        <v>0</v>
      </c>
      <c r="AX125" s="138">
        <f>COUNTIF(Tabel152[Team Rood],Tabel511[[#This Row],[Team]])</f>
        <v>0</v>
      </c>
      <c r="AY125" s="136">
        <f>COUNTIF(Tabel152[Team Groen],Tabel511[[#This Row],[Team]])</f>
        <v>0</v>
      </c>
      <c r="AZ125" s="214">
        <f>Tabel511[[#This Row],[Aantal Games Rood]]+Tabel511[[#This Row],[Aantal Games Groen]]</f>
        <v>0</v>
      </c>
      <c r="BA125" s="138">
        <f>SUMIF(Tabel152[Team Rood],Tabel511[[#This Row],[Team]],Tabel152[Score])</f>
        <v>0</v>
      </c>
      <c r="BB125" s="138">
        <f>SUMIF(Tabel152[Team Rood],Tabel511[[#This Row],[Team]],Tabel152[Score2])</f>
        <v>0</v>
      </c>
      <c r="BC125" s="134">
        <f>SUMIF(Tabel152[Team Groen],Tabel511[[#This Row],[Team]],Tabel152[Score3])</f>
        <v>0</v>
      </c>
      <c r="BD125" s="136">
        <f>SUMIF(Tabel152[Team Groen],Tabel511[[#This Row],[Team]],Tabel152[Score4])</f>
        <v>0</v>
      </c>
      <c r="BE125" s="293">
        <f>SUM(Tabel511[[#This Row],[Goals Verdediger]]+Tabel511[[#This Row],[Goals DefG]])</f>
        <v>0</v>
      </c>
      <c r="BF125" s="293">
        <f>IF(Tabel511[[#This Row],[Aantal games Alg]]=0,0,Tabel511[[#This Row],[Goals DefA]]/Tabel511[[#This Row],[Aantal games Alg]])</f>
        <v>0</v>
      </c>
      <c r="BG125" s="293">
        <f>SUM(Tabel511[[#This Row],[Goals Aanvaller]]+Tabel511[[#This Row],[Goals OffG]])</f>
        <v>0</v>
      </c>
      <c r="BH125" s="293">
        <f>IF(Tabel511[[#This Row],[Aantal games Alg]]=0,0,Tabel511[[#This Row],[Goals OffA]]/Tabel511[[#This Row],[Aantal games Alg]])</f>
        <v>0</v>
      </c>
      <c r="BI125" s="214">
        <f>Tabel511[[#This Row],[Goals DefA]]+Tabel511[[#This Row],[Goals OffA]]</f>
        <v>0</v>
      </c>
      <c r="BJ125" s="214">
        <f>IF(Tabel511[[#This Row],[Aantal games Alg]]=0,0,Tabel511[[#This Row],[Goals Alg]]/Tabel511[[#This Row],[Aantal games Alg]])</f>
        <v>0</v>
      </c>
      <c r="BK125" s="148">
        <f>SUMIF(Tabel152[Team Rood],Tabel511[[#This Row],[Team]],Tabel152[ET])</f>
        <v>0</v>
      </c>
      <c r="BL125" s="150">
        <f>SUMIF(Tabel152[Team Groen],Tabel511[[#This Row],[Team]],Tabel152[ET])</f>
        <v>0</v>
      </c>
      <c r="BM125" s="153">
        <f>SUM(Tabel511[[#This Row],[ET Groen tot]],Tabel511[[#This Row],[ET Rood tot]])</f>
        <v>0</v>
      </c>
      <c r="BN125" s="155">
        <f>IF(Tabel511[[#This Row],[Aantal games Alg]]=0,0,Tabel511[[#This Row],[ET tot]]/Tabel511[[#This Row],[Aantal games Alg]])</f>
        <v>0</v>
      </c>
    </row>
    <row r="126" spans="1:66" x14ac:dyDescent="0.25">
      <c r="A126" s="215" t="str">
        <f ca="1">IF(Tabel152[[#This Row],[Rood Verdediging]]&lt;&gt;"",IF(A126="",NOW(),A126),"")</f>
        <v/>
      </c>
      <c r="B126" s="218" t="str">
        <f ca="1">IF(Tabel152[[#This Row],[Rood Verdediging]]&lt;&gt;"",IF(B126="",NOW(),B126),"")</f>
        <v/>
      </c>
      <c r="C126" s="216" t="str">
        <f ca="1">IF(Tabel152[[#This Row],[Score]]&lt;&gt;"",IF(C126="",NOW(),C126),"")</f>
        <v/>
      </c>
      <c r="D126" s="217" t="str">
        <f ca="1">IF(OR(Tabel152[[#This Row],[Starttijd]]="",Tabel152[[#This Row],[Eindtijd]]=""),"",Tabel152[[#This Row],[Eindtijd]]-Tabel152[[#This Row],[Starttijd]])</f>
        <v/>
      </c>
      <c r="E126" s="74">
        <v>125</v>
      </c>
      <c r="F126" s="205"/>
      <c r="G126" s="210"/>
      <c r="H126" s="205"/>
      <c r="I126" s="210"/>
      <c r="J126" s="206"/>
      <c r="K126" s="212"/>
      <c r="L126" s="206"/>
      <c r="M126" s="212"/>
      <c r="N126" s="79">
        <f>Tabel152[[#This Row],[Score]]+Tabel152[[#This Row],[Score2]]</f>
        <v>0</v>
      </c>
      <c r="O126" s="80">
        <f>Tabel152[[#This Row],[Score3]]+Tabel152[[#This Row],[Score4]]</f>
        <v>0</v>
      </c>
      <c r="P12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Row],[Score4]]&lt;&gt;""),IF(AND(N126&gt;O126,N126&gt;=11),"ROOD",IF(AND(O126&gt;=11,N126&lt;&gt;O126),"GROEN","")),"")</f>
        <v/>
      </c>
      <c r="Q126" s="84">
        <f t="shared" si="15"/>
        <v>0</v>
      </c>
      <c r="R126" s="85">
        <f t="shared" si="16"/>
        <v>0</v>
      </c>
      <c r="S126" s="293" t="str">
        <f>Tabel152[[#This Row],[Rood Verdediging]]&amp;Tabel152[[#This Row],[Rood Aanval]]</f>
        <v/>
      </c>
      <c r="T126" s="293" t="str">
        <f>Tabel152[[#This Row],[Groen Verdediging]]&amp;Tabel152[[#This Row],[Groen Aanval]]</f>
        <v/>
      </c>
      <c r="U126" s="293" t="str">
        <f>Tabel152[[#This Row],[Winnaar 1]]&amp;Tabel152[[#This Row],[Winnaar 2]]</f>
        <v>00</v>
      </c>
      <c r="V126" s="147" t="b">
        <f>IF(Tabel152[[#This Row],[Team Rood]]=Tabel152[[#This Row],[Winnaars]],Tabel152[[#This Row],[Team Rood]])</f>
        <v>0</v>
      </c>
      <c r="W126" s="147" t="b">
        <f>IF(Tabel152[[#This Row],[Team Groen]]=Tabel152[[#This Row],[Winnaars]],Tabel152[[#This Row],[Team Groen]])</f>
        <v>0</v>
      </c>
      <c r="X126" s="283"/>
      <c r="Y126" s="283"/>
      <c r="Z126" s="283"/>
      <c r="AA126" s="283"/>
      <c r="AL126" s="251" t="s">
        <v>166</v>
      </c>
      <c r="AM126" s="232" t="s">
        <v>164</v>
      </c>
      <c r="AN126" s="140" t="str">
        <f t="shared" si="14"/>
        <v>Stijn*Karel*</v>
      </c>
      <c r="AO126" s="160">
        <f>IF(Tabel511[[#This Row],[Aantal Games Rood]]=0,0,(Tabel511[[#This Row],[Wins Rood]])/Tabel511[[#This Row],[Aantal Games Rood]])</f>
        <v>0</v>
      </c>
      <c r="AP126" s="159">
        <f>IF(Tabel511[[#This Row],[Aantal Games Groen]]=0,0,(Tabel511[[#This Row],[Wins Groen]])/Tabel511[[#This Row],[Aantal Games Groen]])</f>
        <v>0</v>
      </c>
      <c r="AQ126" s="156">
        <f>IF(Tabel511[[#This Row],[Aantal games Alg]]=0,0,(Tabel511[[#This Row],[Wins Alg]])/Tabel511[[#This Row],[Aantal games Alg]])</f>
        <v>0</v>
      </c>
      <c r="AR126" s="133">
        <f>COUNTIF(Tabel152[Winaar rood],Tabel511[[#This Row],[Team]])</f>
        <v>0</v>
      </c>
      <c r="AS126" s="134">
        <f>COUNTIF(Tabel152[Winnaar Groen],Tabel511[[#This Row],[Team]])</f>
        <v>0</v>
      </c>
      <c r="AT126" s="293">
        <f>COUNTIF(Tabel152[Winnaars],Tabel511[[#This Row],[Team]])</f>
        <v>0</v>
      </c>
      <c r="AU126" s="135">
        <f>Tabel511[[#This Row],[Aantal Games Rood]]-Tabel511[[#This Row],[Wins Rood]]</f>
        <v>0</v>
      </c>
      <c r="AV126" s="136">
        <f>Tabel511[[#This Row],[Aantal Games Groen]]-Tabel511[[#This Row],[Wins Groen]]</f>
        <v>0</v>
      </c>
      <c r="AW126" s="137">
        <f>Tabel511[[#This Row],[Aantal games Alg]]-Tabel511[[#This Row],[Wins Alg]]</f>
        <v>0</v>
      </c>
      <c r="AX126" s="138">
        <f>COUNTIF(Tabel152[Team Rood],Tabel511[[#This Row],[Team]])</f>
        <v>0</v>
      </c>
      <c r="AY126" s="136">
        <f>COUNTIF(Tabel152[Team Groen],Tabel511[[#This Row],[Team]])</f>
        <v>0</v>
      </c>
      <c r="AZ126" s="214">
        <f>Tabel511[[#This Row],[Aantal Games Rood]]+Tabel511[[#This Row],[Aantal Games Groen]]</f>
        <v>0</v>
      </c>
      <c r="BA126" s="138">
        <f>SUMIF(Tabel152[Team Rood],Tabel511[[#This Row],[Team]],Tabel152[Score])</f>
        <v>0</v>
      </c>
      <c r="BB126" s="138">
        <f>SUMIF(Tabel152[Team Rood],Tabel511[[#This Row],[Team]],Tabel152[Score2])</f>
        <v>0</v>
      </c>
      <c r="BC126" s="134">
        <f>SUMIF(Tabel152[Team Groen],Tabel511[[#This Row],[Team]],Tabel152[Score3])</f>
        <v>0</v>
      </c>
      <c r="BD126" s="136">
        <f>SUMIF(Tabel152[Team Groen],Tabel511[[#This Row],[Team]],Tabel152[Score4])</f>
        <v>0</v>
      </c>
      <c r="BE126" s="293">
        <f>SUM(Tabel511[[#This Row],[Goals Verdediger]]+Tabel511[[#This Row],[Goals DefG]])</f>
        <v>0</v>
      </c>
      <c r="BF126" s="293">
        <f>IF(Tabel511[[#This Row],[Aantal games Alg]]=0,0,Tabel511[[#This Row],[Goals DefA]]/Tabel511[[#This Row],[Aantal games Alg]])</f>
        <v>0</v>
      </c>
      <c r="BG126" s="293">
        <f>SUM(Tabel511[[#This Row],[Goals Aanvaller]]+Tabel511[[#This Row],[Goals OffG]])</f>
        <v>0</v>
      </c>
      <c r="BH126" s="293">
        <f>IF(Tabel511[[#This Row],[Aantal games Alg]]=0,0,Tabel511[[#This Row],[Goals OffA]]/Tabel511[[#This Row],[Aantal games Alg]])</f>
        <v>0</v>
      </c>
      <c r="BI126" s="214">
        <f>Tabel511[[#This Row],[Goals DefA]]+Tabel511[[#This Row],[Goals OffA]]</f>
        <v>0</v>
      </c>
      <c r="BJ126" s="214">
        <f>IF(Tabel511[[#This Row],[Aantal games Alg]]=0,0,Tabel511[[#This Row],[Goals Alg]]/Tabel511[[#This Row],[Aantal games Alg]])</f>
        <v>0</v>
      </c>
      <c r="BK126" s="148">
        <f>SUMIF(Tabel152[Team Rood],Tabel511[[#This Row],[Team]],Tabel152[ET])</f>
        <v>0</v>
      </c>
      <c r="BL126" s="150">
        <f>SUMIF(Tabel152[Team Groen],Tabel511[[#This Row],[Team]],Tabel152[ET])</f>
        <v>0</v>
      </c>
      <c r="BM126" s="153">
        <f>SUM(Tabel511[[#This Row],[ET Groen tot]],Tabel511[[#This Row],[ET Rood tot]])</f>
        <v>0</v>
      </c>
      <c r="BN126" s="155">
        <f>IF(Tabel511[[#This Row],[Aantal games Alg]]=0,0,Tabel511[[#This Row],[ET tot]]/Tabel511[[#This Row],[Aantal games Alg]])</f>
        <v>0</v>
      </c>
    </row>
    <row r="127" spans="1:66" x14ac:dyDescent="0.25">
      <c r="A127" s="215" t="str">
        <f ca="1">IF(Tabel152[[#This Row],[Rood Verdediging]]&lt;&gt;"",IF(A127="",NOW(),A127),"")</f>
        <v/>
      </c>
      <c r="B127" s="218" t="str">
        <f ca="1">IF(Tabel152[[#This Row],[Rood Verdediging]]&lt;&gt;"",IF(B127="",NOW(),B127),"")</f>
        <v/>
      </c>
      <c r="C127" s="216" t="str">
        <f ca="1">IF(Tabel152[[#This Row],[Score]]&lt;&gt;"",IF(C127="",NOW(),C127),"")</f>
        <v/>
      </c>
      <c r="D127" s="217" t="str">
        <f ca="1">IF(OR(Tabel152[[#This Row],[Starttijd]]="",Tabel152[[#This Row],[Eindtijd]]=""),"",Tabel152[[#This Row],[Eindtijd]]-Tabel152[[#This Row],[Starttijd]])</f>
        <v/>
      </c>
      <c r="E127" s="74">
        <v>126</v>
      </c>
      <c r="F127" s="205"/>
      <c r="G127" s="210"/>
      <c r="H127" s="205"/>
      <c r="I127" s="210"/>
      <c r="J127" s="206"/>
      <c r="K127" s="212"/>
      <c r="L127" s="206"/>
      <c r="M127" s="212"/>
      <c r="N127" s="79">
        <f>Tabel152[[#This Row],[Score]]+Tabel152[[#This Row],[Score2]]</f>
        <v>0</v>
      </c>
      <c r="O127" s="80">
        <f>Tabel152[[#This Row],[Score3]]+Tabel152[[#This Row],[Score4]]</f>
        <v>0</v>
      </c>
      <c r="P12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Row],[Score4]]&lt;&gt;""),IF(AND(N127&gt;O127,N127&gt;=11),"ROOD",IF(AND(O127&gt;=11,N127&lt;&gt;O127),"GROEN","")),"")</f>
        <v/>
      </c>
      <c r="Q127" s="84">
        <f t="shared" si="15"/>
        <v>0</v>
      </c>
      <c r="R127" s="85">
        <f t="shared" si="16"/>
        <v>0</v>
      </c>
      <c r="S127" s="293" t="str">
        <f>Tabel152[[#This Row],[Rood Verdediging]]&amp;Tabel152[[#This Row],[Rood Aanval]]</f>
        <v/>
      </c>
      <c r="T127" s="293" t="str">
        <f>Tabel152[[#This Row],[Groen Verdediging]]&amp;Tabel152[[#This Row],[Groen Aanval]]</f>
        <v/>
      </c>
      <c r="U127" s="293" t="str">
        <f>Tabel152[[#This Row],[Winnaar 1]]&amp;Tabel152[[#This Row],[Winnaar 2]]</f>
        <v>00</v>
      </c>
      <c r="V127" s="147" t="b">
        <f>IF(Tabel152[[#This Row],[Team Rood]]=Tabel152[[#This Row],[Winnaars]],Tabel152[[#This Row],[Team Rood]])</f>
        <v>0</v>
      </c>
      <c r="W127" s="147" t="b">
        <f>IF(Tabel152[[#This Row],[Team Groen]]=Tabel152[[#This Row],[Winnaars]],Tabel152[[#This Row],[Team Groen]])</f>
        <v>0</v>
      </c>
      <c r="X127" s="283"/>
      <c r="Y127" s="283"/>
      <c r="Z127" s="283"/>
      <c r="AA127" s="283"/>
      <c r="AL127" s="251" t="s">
        <v>166</v>
      </c>
      <c r="AM127" s="232" t="s">
        <v>67</v>
      </c>
      <c r="AN127" s="140" t="str">
        <f t="shared" si="14"/>
        <v>Stijn*Lawrence</v>
      </c>
      <c r="AO127" s="160">
        <f>IF(Tabel511[[#This Row],[Aantal Games Rood]]=0,0,(Tabel511[[#This Row],[Wins Rood]])/Tabel511[[#This Row],[Aantal Games Rood]])</f>
        <v>0</v>
      </c>
      <c r="AP127" s="159">
        <f>IF(Tabel511[[#This Row],[Aantal Games Groen]]=0,0,(Tabel511[[#This Row],[Wins Groen]])/Tabel511[[#This Row],[Aantal Games Groen]])</f>
        <v>0</v>
      </c>
      <c r="AQ127" s="156">
        <f>IF(Tabel511[[#This Row],[Aantal games Alg]]=0,0,(Tabel511[[#This Row],[Wins Alg]])/Tabel511[[#This Row],[Aantal games Alg]])</f>
        <v>0</v>
      </c>
      <c r="AR127" s="138">
        <f>COUNTIF(Tabel152[Winaar rood],Tabel511[[#This Row],[Team]])</f>
        <v>0</v>
      </c>
      <c r="AS127" s="134">
        <f>COUNTIF(Tabel152[Winnaar Groen],Tabel511[[#This Row],[Team]])</f>
        <v>0</v>
      </c>
      <c r="AT127" s="293">
        <f>COUNTIF(Tabel152[Winnaars],Tabel511[[#This Row],[Team]])</f>
        <v>0</v>
      </c>
      <c r="AU127" s="135">
        <f>Tabel511[[#This Row],[Aantal Games Rood]]-Tabel511[[#This Row],[Wins Rood]]</f>
        <v>0</v>
      </c>
      <c r="AV127" s="136">
        <f>Tabel511[[#This Row],[Aantal Games Groen]]-Tabel511[[#This Row],[Wins Groen]]</f>
        <v>0</v>
      </c>
      <c r="AW127" s="137">
        <f>Tabel511[[#This Row],[Aantal games Alg]]-Tabel511[[#This Row],[Wins Alg]]</f>
        <v>0</v>
      </c>
      <c r="AX127" s="138">
        <f>COUNTIF(Tabel152[Team Rood],Tabel511[[#This Row],[Team]])</f>
        <v>0</v>
      </c>
      <c r="AY127" s="136">
        <f>COUNTIF(Tabel152[Team Groen],Tabel511[[#This Row],[Team]])</f>
        <v>0</v>
      </c>
      <c r="AZ127" s="214">
        <f>Tabel511[[#This Row],[Aantal Games Rood]]+Tabel511[[#This Row],[Aantal Games Groen]]</f>
        <v>0</v>
      </c>
      <c r="BA127" s="138">
        <f>SUMIF(Tabel152[Team Rood],Tabel511[[#This Row],[Team]],Tabel152[Score])</f>
        <v>0</v>
      </c>
      <c r="BB127" s="138">
        <f>SUMIF(Tabel152[Team Rood],Tabel511[[#This Row],[Team]],Tabel152[Score2])</f>
        <v>0</v>
      </c>
      <c r="BC127" s="134">
        <f>SUMIF(Tabel152[Team Groen],Tabel511[[#This Row],[Team]],Tabel152[Score3])</f>
        <v>0</v>
      </c>
      <c r="BD127" s="136">
        <f>SUMIF(Tabel152[Team Groen],Tabel511[[#This Row],[Team]],Tabel152[Score4])</f>
        <v>0</v>
      </c>
      <c r="BE127" s="293">
        <f>SUM(Tabel511[[#This Row],[Goals Verdediger]]+Tabel511[[#This Row],[Goals DefG]])</f>
        <v>0</v>
      </c>
      <c r="BF127" s="293">
        <f>IF(Tabel511[[#This Row],[Aantal games Alg]]=0,0,Tabel511[[#This Row],[Goals DefA]]/Tabel511[[#This Row],[Aantal games Alg]])</f>
        <v>0</v>
      </c>
      <c r="BG127" s="293">
        <f>SUM(Tabel511[[#This Row],[Goals Aanvaller]]+Tabel511[[#This Row],[Goals OffG]])</f>
        <v>0</v>
      </c>
      <c r="BH127" s="293">
        <f>IF(Tabel511[[#This Row],[Aantal games Alg]]=0,0,Tabel511[[#This Row],[Goals OffA]]/Tabel511[[#This Row],[Aantal games Alg]])</f>
        <v>0</v>
      </c>
      <c r="BI127" s="214">
        <f>Tabel511[[#This Row],[Goals DefA]]+Tabel511[[#This Row],[Goals OffA]]</f>
        <v>0</v>
      </c>
      <c r="BJ127" s="214">
        <f>IF(Tabel511[[#This Row],[Aantal games Alg]]=0,0,Tabel511[[#This Row],[Goals Alg]]/Tabel511[[#This Row],[Aantal games Alg]])</f>
        <v>0</v>
      </c>
      <c r="BK127" s="148">
        <f>SUMIF(Tabel152[Team Rood],Tabel511[[#This Row],[Team]],Tabel152[ET])</f>
        <v>0</v>
      </c>
      <c r="BL127" s="150">
        <f>SUMIF(Tabel152[Team Groen],Tabel511[[#This Row],[Team]],Tabel152[ET])</f>
        <v>0</v>
      </c>
      <c r="BM127" s="153">
        <f>SUM(Tabel511[[#This Row],[ET Groen tot]],Tabel511[[#This Row],[ET Rood tot]])</f>
        <v>0</v>
      </c>
      <c r="BN127" s="155">
        <f>IF(Tabel511[[#This Row],[Aantal games Alg]]=0,0,Tabel511[[#This Row],[ET tot]]/Tabel511[[#This Row],[Aantal games Alg]])</f>
        <v>0</v>
      </c>
    </row>
    <row r="128" spans="1:66" x14ac:dyDescent="0.25">
      <c r="A128" s="215" t="str">
        <f ca="1">IF(Tabel152[[#This Row],[Rood Verdediging]]&lt;&gt;"",IF(A128="",NOW(),A128),"")</f>
        <v/>
      </c>
      <c r="B128" s="218" t="str">
        <f ca="1">IF(Tabel152[[#This Row],[Rood Verdediging]]&lt;&gt;"",IF(B128="",NOW(),B128),"")</f>
        <v/>
      </c>
      <c r="C128" s="216" t="str">
        <f ca="1">IF(Tabel152[[#This Row],[Score]]&lt;&gt;"",IF(C128="",NOW(),C128),"")</f>
        <v/>
      </c>
      <c r="D128" s="217" t="str">
        <f ca="1">IF(OR(Tabel152[[#This Row],[Starttijd]]="",Tabel152[[#This Row],[Eindtijd]]=""),"",Tabel152[[#This Row],[Eindtijd]]-Tabel152[[#This Row],[Starttijd]])</f>
        <v/>
      </c>
      <c r="E128" s="74">
        <v>127</v>
      </c>
      <c r="F128" s="205"/>
      <c r="G128" s="210"/>
      <c r="H128" s="205"/>
      <c r="I128" s="210"/>
      <c r="J128" s="206"/>
      <c r="K128" s="212"/>
      <c r="L128" s="206"/>
      <c r="M128" s="212"/>
      <c r="N128" s="79">
        <f>Tabel152[[#This Row],[Score]]+Tabel152[[#This Row],[Score2]]</f>
        <v>0</v>
      </c>
      <c r="O128" s="80">
        <f>Tabel152[[#This Row],[Score3]]+Tabel152[[#This Row],[Score4]]</f>
        <v>0</v>
      </c>
      <c r="P12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Row],[Score4]]&lt;&gt;""),IF(AND(N128&gt;O128,N128&gt;=11),"ROOD",IF(AND(O128&gt;=11,N128&lt;&gt;O128),"GROEN","")),"")</f>
        <v/>
      </c>
      <c r="Q128" s="84">
        <f t="shared" si="15"/>
        <v>0</v>
      </c>
      <c r="R128" s="85">
        <f t="shared" si="16"/>
        <v>0</v>
      </c>
      <c r="S128" s="293" t="str">
        <f>Tabel152[[#This Row],[Rood Verdediging]]&amp;Tabel152[[#This Row],[Rood Aanval]]</f>
        <v/>
      </c>
      <c r="T128" s="293" t="str">
        <f>Tabel152[[#This Row],[Groen Verdediging]]&amp;Tabel152[[#This Row],[Groen Aanval]]</f>
        <v/>
      </c>
      <c r="U128" s="293" t="str">
        <f>Tabel152[[#This Row],[Winnaar 1]]&amp;Tabel152[[#This Row],[Winnaar 2]]</f>
        <v>00</v>
      </c>
      <c r="V128" s="147" t="b">
        <f>IF(Tabel152[[#This Row],[Team Rood]]=Tabel152[[#This Row],[Winnaars]],Tabel152[[#This Row],[Team Rood]])</f>
        <v>0</v>
      </c>
      <c r="W128" s="147" t="b">
        <f>IF(Tabel152[[#This Row],[Team Groen]]=Tabel152[[#This Row],[Winnaars]],Tabel152[[#This Row],[Team Groen]])</f>
        <v>0</v>
      </c>
      <c r="X128" s="283"/>
      <c r="Y128" s="283"/>
      <c r="Z128" s="283"/>
      <c r="AA128" s="283"/>
      <c r="AL128" s="251" t="s">
        <v>166</v>
      </c>
      <c r="AM128" s="232" t="s">
        <v>161</v>
      </c>
      <c r="AN128" s="140" t="str">
        <f t="shared" si="14"/>
        <v>Stijn*Louis*</v>
      </c>
      <c r="AO128" s="160">
        <f>IF(Tabel511[[#This Row],[Aantal Games Rood]]=0,0,(Tabel511[[#This Row],[Wins Rood]])/Tabel511[[#This Row],[Aantal Games Rood]])</f>
        <v>0</v>
      </c>
      <c r="AP128" s="159">
        <f>IF(Tabel511[[#This Row],[Aantal Games Groen]]=0,0,(Tabel511[[#This Row],[Wins Groen]])/Tabel511[[#This Row],[Aantal Games Groen]])</f>
        <v>0</v>
      </c>
      <c r="AQ128" s="156">
        <f>IF(Tabel511[[#This Row],[Aantal games Alg]]=0,0,(Tabel511[[#This Row],[Wins Alg]])/Tabel511[[#This Row],[Aantal games Alg]])</f>
        <v>0</v>
      </c>
      <c r="AR128" s="138">
        <f>COUNTIF(Tabel152[Winaar rood],Tabel511[[#This Row],[Team]])</f>
        <v>0</v>
      </c>
      <c r="AS128" s="134">
        <f>COUNTIF(Tabel152[Winnaar Groen],Tabel511[[#This Row],[Team]])</f>
        <v>0</v>
      </c>
      <c r="AT128" s="293">
        <f>COUNTIF(Tabel152[Winnaars],Tabel511[[#This Row],[Team]])</f>
        <v>0</v>
      </c>
      <c r="AU128" s="135">
        <f>Tabel511[[#This Row],[Aantal Games Rood]]-Tabel511[[#This Row],[Wins Rood]]</f>
        <v>0</v>
      </c>
      <c r="AV128" s="136">
        <f>Tabel511[[#This Row],[Aantal Games Groen]]-Tabel511[[#This Row],[Wins Groen]]</f>
        <v>0</v>
      </c>
      <c r="AW128" s="137">
        <f>Tabel511[[#This Row],[Aantal games Alg]]-Tabel511[[#This Row],[Wins Alg]]</f>
        <v>0</v>
      </c>
      <c r="AX128" s="138">
        <f>COUNTIF(Tabel152[Team Rood],Tabel511[[#This Row],[Team]])</f>
        <v>0</v>
      </c>
      <c r="AY128" s="136">
        <f>COUNTIF(Tabel152[Team Groen],Tabel511[[#This Row],[Team]])</f>
        <v>0</v>
      </c>
      <c r="AZ128" s="214">
        <f>Tabel511[[#This Row],[Aantal Games Rood]]+Tabel511[[#This Row],[Aantal Games Groen]]</f>
        <v>0</v>
      </c>
      <c r="BA128" s="138">
        <f>SUMIF(Tabel152[Team Rood],Tabel511[[#This Row],[Team]],Tabel152[Score])</f>
        <v>0</v>
      </c>
      <c r="BB128" s="138">
        <f>SUMIF(Tabel152[Team Rood],Tabel511[[#This Row],[Team]],Tabel152[Score2])</f>
        <v>0</v>
      </c>
      <c r="BC128" s="134">
        <f>SUMIF(Tabel152[Team Groen],Tabel511[[#This Row],[Team]],Tabel152[Score3])</f>
        <v>0</v>
      </c>
      <c r="BD128" s="136">
        <f>SUMIF(Tabel152[Team Groen],Tabel511[[#This Row],[Team]],Tabel152[Score4])</f>
        <v>0</v>
      </c>
      <c r="BE128" s="293">
        <f>SUM(Tabel511[[#This Row],[Goals Verdediger]]+Tabel511[[#This Row],[Goals DefG]])</f>
        <v>0</v>
      </c>
      <c r="BF128" s="293">
        <f>IF(Tabel511[[#This Row],[Aantal games Alg]]=0,0,Tabel511[[#This Row],[Goals DefA]]/Tabel511[[#This Row],[Aantal games Alg]])</f>
        <v>0</v>
      </c>
      <c r="BG128" s="293">
        <f>SUM(Tabel511[[#This Row],[Goals Aanvaller]]+Tabel511[[#This Row],[Goals OffG]])</f>
        <v>0</v>
      </c>
      <c r="BH128" s="293">
        <f>IF(Tabel511[[#This Row],[Aantal games Alg]]=0,0,Tabel511[[#This Row],[Goals OffA]]/Tabel511[[#This Row],[Aantal games Alg]])</f>
        <v>0</v>
      </c>
      <c r="BI128" s="214">
        <f>Tabel511[[#This Row],[Goals DefA]]+Tabel511[[#This Row],[Goals OffA]]</f>
        <v>0</v>
      </c>
      <c r="BJ128" s="214">
        <f>IF(Tabel511[[#This Row],[Aantal games Alg]]=0,0,Tabel511[[#This Row],[Goals Alg]]/Tabel511[[#This Row],[Aantal games Alg]])</f>
        <v>0</v>
      </c>
      <c r="BK128" s="148">
        <f>SUMIF(Tabel152[Team Rood],Tabel511[[#This Row],[Team]],Tabel152[ET])</f>
        <v>0</v>
      </c>
      <c r="BL128" s="150">
        <f>SUMIF(Tabel152[Team Groen],Tabel511[[#This Row],[Team]],Tabel152[ET])</f>
        <v>0</v>
      </c>
      <c r="BM128" s="153">
        <f>SUM(Tabel511[[#This Row],[ET Groen tot]],Tabel511[[#This Row],[ET Rood tot]])</f>
        <v>0</v>
      </c>
      <c r="BN128" s="155">
        <f>IF(Tabel511[[#This Row],[Aantal games Alg]]=0,0,Tabel511[[#This Row],[ET tot]]/Tabel511[[#This Row],[Aantal games Alg]])</f>
        <v>0</v>
      </c>
    </row>
    <row r="129" spans="1:66" x14ac:dyDescent="0.25">
      <c r="A129" s="215" t="str">
        <f ca="1">IF(Tabel152[[#This Row],[Rood Verdediging]]&lt;&gt;"",IF(A129="",NOW(),A129),"")</f>
        <v/>
      </c>
      <c r="B129" s="218" t="str">
        <f ca="1">IF(Tabel152[[#This Row],[Rood Verdediging]]&lt;&gt;"",IF(B129="",NOW(),B129),"")</f>
        <v/>
      </c>
      <c r="C129" s="216" t="str">
        <f ca="1">IF(Tabel152[[#This Row],[Score]]&lt;&gt;"",IF(C129="",NOW(),C129),"")</f>
        <v/>
      </c>
      <c r="D129" s="217" t="str">
        <f ca="1">IF(OR(Tabel152[[#This Row],[Starttijd]]="",Tabel152[[#This Row],[Eindtijd]]=""),"",Tabel152[[#This Row],[Eindtijd]]-Tabel152[[#This Row],[Starttijd]])</f>
        <v/>
      </c>
      <c r="E129" s="74">
        <v>128</v>
      </c>
      <c r="F129" s="205"/>
      <c r="G129" s="210"/>
      <c r="H129" s="205"/>
      <c r="I129" s="210"/>
      <c r="J129" s="206"/>
      <c r="K129" s="212"/>
      <c r="L129" s="206"/>
      <c r="M129" s="212"/>
      <c r="N129" s="79">
        <f>Tabel152[[#This Row],[Score]]+Tabel152[[#This Row],[Score2]]</f>
        <v>0</v>
      </c>
      <c r="O129" s="80">
        <f>Tabel152[[#This Row],[Score3]]+Tabel152[[#This Row],[Score4]]</f>
        <v>0</v>
      </c>
      <c r="P12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Row],[Score4]]&lt;&gt;""),IF(AND(N129&gt;O129,N129&gt;=11),"ROOD",IF(AND(O129&gt;=11,N129&lt;&gt;O129),"GROEN","")),"")</f>
        <v/>
      </c>
      <c r="Q129" s="84">
        <f t="shared" si="15"/>
        <v>0</v>
      </c>
      <c r="R129" s="85">
        <f t="shared" si="16"/>
        <v>0</v>
      </c>
      <c r="S129" s="293" t="str">
        <f>Tabel152[[#This Row],[Rood Verdediging]]&amp;Tabel152[[#This Row],[Rood Aanval]]</f>
        <v/>
      </c>
      <c r="T129" s="293" t="str">
        <f>Tabel152[[#This Row],[Groen Verdediging]]&amp;Tabel152[[#This Row],[Groen Aanval]]</f>
        <v/>
      </c>
      <c r="U129" s="293" t="str">
        <f>Tabel152[[#This Row],[Winnaar 1]]&amp;Tabel152[[#This Row],[Winnaar 2]]</f>
        <v>00</v>
      </c>
      <c r="V129" s="147" t="b">
        <f>IF(Tabel152[[#This Row],[Team Rood]]=Tabel152[[#This Row],[Winnaars]],Tabel152[[#This Row],[Team Rood]])</f>
        <v>0</v>
      </c>
      <c r="W129" s="147" t="b">
        <f>IF(Tabel152[[#This Row],[Team Groen]]=Tabel152[[#This Row],[Winnaars]],Tabel152[[#This Row],[Team Groen]])</f>
        <v>0</v>
      </c>
      <c r="X129" s="283"/>
      <c r="Y129" s="283"/>
      <c r="Z129" s="283"/>
      <c r="AA129" s="283"/>
      <c r="AL129" s="251" t="s">
        <v>166</v>
      </c>
      <c r="AM129" s="232" t="s">
        <v>162</v>
      </c>
      <c r="AN129" s="140" t="str">
        <f t="shared" si="14"/>
        <v>Stijn*Matthijs*</v>
      </c>
      <c r="AO129" s="160">
        <f>IF(Tabel511[[#This Row],[Aantal Games Rood]]=0,0,(Tabel511[[#This Row],[Wins Rood]])/Tabel511[[#This Row],[Aantal Games Rood]])</f>
        <v>0</v>
      </c>
      <c r="AP129" s="159">
        <f>IF(Tabel511[[#This Row],[Aantal Games Groen]]=0,0,(Tabel511[[#This Row],[Wins Groen]])/Tabel511[[#This Row],[Aantal Games Groen]])</f>
        <v>0</v>
      </c>
      <c r="AQ129" s="156">
        <f>IF(Tabel511[[#This Row],[Aantal games Alg]]=0,0,(Tabel511[[#This Row],[Wins Alg]])/Tabel511[[#This Row],[Aantal games Alg]])</f>
        <v>0</v>
      </c>
      <c r="AR129" s="138">
        <f>COUNTIF(Tabel152[Winaar rood],Tabel511[[#This Row],[Team]])</f>
        <v>0</v>
      </c>
      <c r="AS129" s="134">
        <f>COUNTIF(Tabel152[Winnaar Groen],Tabel511[[#This Row],[Team]])</f>
        <v>0</v>
      </c>
      <c r="AT129" s="293">
        <f>COUNTIF(Tabel152[Winnaars],Tabel511[[#This Row],[Team]])</f>
        <v>0</v>
      </c>
      <c r="AU129" s="135">
        <f>Tabel511[[#This Row],[Aantal Games Rood]]-Tabel511[[#This Row],[Wins Rood]]</f>
        <v>0</v>
      </c>
      <c r="AV129" s="136">
        <f>Tabel511[[#This Row],[Aantal Games Groen]]-Tabel511[[#This Row],[Wins Groen]]</f>
        <v>0</v>
      </c>
      <c r="AW129" s="137">
        <f>Tabel511[[#This Row],[Aantal games Alg]]-Tabel511[[#This Row],[Wins Alg]]</f>
        <v>0</v>
      </c>
      <c r="AX129" s="138">
        <f>COUNTIF(Tabel152[Team Rood],Tabel511[[#This Row],[Team]])</f>
        <v>0</v>
      </c>
      <c r="AY129" s="136">
        <f>COUNTIF(Tabel152[Team Groen],Tabel511[[#This Row],[Team]])</f>
        <v>0</v>
      </c>
      <c r="AZ129" s="214">
        <f>Tabel511[[#This Row],[Aantal Games Rood]]+Tabel511[[#This Row],[Aantal Games Groen]]</f>
        <v>0</v>
      </c>
      <c r="BA129" s="138">
        <f>SUMIF(Tabel152[Team Rood],Tabel511[[#This Row],[Team]],Tabel152[Score])</f>
        <v>0</v>
      </c>
      <c r="BB129" s="138">
        <f>SUMIF(Tabel152[Team Rood],Tabel511[[#This Row],[Team]],Tabel152[Score2])</f>
        <v>0</v>
      </c>
      <c r="BC129" s="134">
        <f>SUMIF(Tabel152[Team Groen],Tabel511[[#This Row],[Team]],Tabel152[Score3])</f>
        <v>0</v>
      </c>
      <c r="BD129" s="136">
        <f>SUMIF(Tabel152[Team Groen],Tabel511[[#This Row],[Team]],Tabel152[Score4])</f>
        <v>0</v>
      </c>
      <c r="BE129" s="293">
        <f>SUM(Tabel511[[#This Row],[Goals Verdediger]]+Tabel511[[#This Row],[Goals DefG]])</f>
        <v>0</v>
      </c>
      <c r="BF129" s="293">
        <f>IF(Tabel511[[#This Row],[Aantal games Alg]]=0,0,Tabel511[[#This Row],[Goals DefA]]/Tabel511[[#This Row],[Aantal games Alg]])</f>
        <v>0</v>
      </c>
      <c r="BG129" s="293">
        <f>SUM(Tabel511[[#This Row],[Goals Aanvaller]]+Tabel511[[#This Row],[Goals OffG]])</f>
        <v>0</v>
      </c>
      <c r="BH129" s="293">
        <f>IF(Tabel511[[#This Row],[Aantal games Alg]]=0,0,Tabel511[[#This Row],[Goals OffA]]/Tabel511[[#This Row],[Aantal games Alg]])</f>
        <v>0</v>
      </c>
      <c r="BI129" s="214">
        <f>Tabel511[[#This Row],[Goals DefA]]+Tabel511[[#This Row],[Goals OffA]]</f>
        <v>0</v>
      </c>
      <c r="BJ129" s="214">
        <f>IF(Tabel511[[#This Row],[Aantal games Alg]]=0,0,Tabel511[[#This Row],[Goals Alg]]/Tabel511[[#This Row],[Aantal games Alg]])</f>
        <v>0</v>
      </c>
      <c r="BK129" s="148">
        <f>SUMIF(Tabel152[Team Rood],Tabel511[[#This Row],[Team]],Tabel152[ET])</f>
        <v>0</v>
      </c>
      <c r="BL129" s="150">
        <f>SUMIF(Tabel152[Team Groen],Tabel511[[#This Row],[Team]],Tabel152[ET])</f>
        <v>0</v>
      </c>
      <c r="BM129" s="153">
        <f>SUM(Tabel511[[#This Row],[ET Groen tot]],Tabel511[[#This Row],[ET Rood tot]])</f>
        <v>0</v>
      </c>
      <c r="BN129" s="155">
        <f>IF(Tabel511[[#This Row],[Aantal games Alg]]=0,0,Tabel511[[#This Row],[ET tot]]/Tabel511[[#This Row],[Aantal games Alg]])</f>
        <v>0</v>
      </c>
    </row>
    <row r="130" spans="1:66" x14ac:dyDescent="0.25">
      <c r="A130" s="215" t="str">
        <f ca="1">IF(Tabel152[[#This Row],[Rood Verdediging]]&lt;&gt;"",IF(A130="",NOW(),A130),"")</f>
        <v/>
      </c>
      <c r="B130" s="218" t="str">
        <f ca="1">IF(Tabel152[[#This Row],[Rood Verdediging]]&lt;&gt;"",IF(B130="",NOW(),B130),"")</f>
        <v/>
      </c>
      <c r="C130" s="216" t="str">
        <f ca="1">IF(Tabel152[[#This Row],[Score]]&lt;&gt;"",IF(C130="",NOW(),C130),"")</f>
        <v/>
      </c>
      <c r="D130" s="217" t="str">
        <f ca="1">IF(OR(Tabel152[[#This Row],[Starttijd]]="",Tabel152[[#This Row],[Eindtijd]]=""),"",Tabel152[[#This Row],[Eindtijd]]-Tabel152[[#This Row],[Starttijd]])</f>
        <v/>
      </c>
      <c r="E130" s="74">
        <v>129</v>
      </c>
      <c r="F130" s="205"/>
      <c r="G130" s="210"/>
      <c r="H130" s="205"/>
      <c r="I130" s="210"/>
      <c r="J130" s="206"/>
      <c r="K130" s="212"/>
      <c r="L130" s="206"/>
      <c r="M130" s="212"/>
      <c r="N130" s="79">
        <f>Tabel152[[#This Row],[Score]]+Tabel152[[#This Row],[Score2]]</f>
        <v>0</v>
      </c>
      <c r="O130" s="80">
        <f>Tabel152[[#This Row],[Score3]]+Tabel152[[#This Row],[Score4]]</f>
        <v>0</v>
      </c>
      <c r="P13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Row],[Score4]]&lt;&gt;""),IF(AND(N130&gt;O130,N130&gt;=11),"ROOD",IF(AND(O130&gt;=11,N130&lt;&gt;O130),"GROEN","")),"")</f>
        <v/>
      </c>
      <c r="Q130" s="84">
        <f t="shared" si="15"/>
        <v>0</v>
      </c>
      <c r="R130" s="85">
        <f t="shared" si="16"/>
        <v>0</v>
      </c>
      <c r="S130" s="293" t="str">
        <f>Tabel152[[#This Row],[Rood Verdediging]]&amp;Tabel152[[#This Row],[Rood Aanval]]</f>
        <v/>
      </c>
      <c r="T130" s="293" t="str">
        <f>Tabel152[[#This Row],[Groen Verdediging]]&amp;Tabel152[[#This Row],[Groen Aanval]]</f>
        <v/>
      </c>
      <c r="U130" s="293" t="str">
        <f>Tabel152[[#This Row],[Winnaar 1]]&amp;Tabel152[[#This Row],[Winnaar 2]]</f>
        <v>00</v>
      </c>
      <c r="V130" s="147" t="b">
        <f>IF(Tabel152[[#This Row],[Team Rood]]=Tabel152[[#This Row],[Winnaars]],Tabel152[[#This Row],[Team Rood]])</f>
        <v>0</v>
      </c>
      <c r="W130" s="147" t="b">
        <f>IF(Tabel152[[#This Row],[Team Groen]]=Tabel152[[#This Row],[Winnaars]],Tabel152[[#This Row],[Team Groen]])</f>
        <v>0</v>
      </c>
      <c r="X130" s="283"/>
      <c r="Y130" s="283"/>
      <c r="Z130" s="283"/>
      <c r="AA130" s="283"/>
      <c r="AL130" s="251" t="s">
        <v>166</v>
      </c>
      <c r="AM130" s="232" t="s">
        <v>170</v>
      </c>
      <c r="AN130" s="140" t="str">
        <f t="shared" ref="AN130:AN157" si="17">AL130&amp;AM130</f>
        <v>Stijn*Nico*</v>
      </c>
      <c r="AO130" s="160">
        <f>IF(Tabel511[[#This Row],[Aantal Games Rood]]=0,0,(Tabel511[[#This Row],[Wins Rood]])/Tabel511[[#This Row],[Aantal Games Rood]])</f>
        <v>0</v>
      </c>
      <c r="AP130" s="159">
        <f>IF(Tabel511[[#This Row],[Aantal Games Groen]]=0,0,(Tabel511[[#This Row],[Wins Groen]])/Tabel511[[#This Row],[Aantal Games Groen]])</f>
        <v>0</v>
      </c>
      <c r="AQ130" s="156">
        <f>IF(Tabel511[[#This Row],[Aantal games Alg]]=0,0,(Tabel511[[#This Row],[Wins Alg]])/Tabel511[[#This Row],[Aantal games Alg]])</f>
        <v>0</v>
      </c>
      <c r="AR130" s="171">
        <f>COUNTIF(Tabel152[Winaar rood],Tabel511[[#This Row],[Team]])</f>
        <v>0</v>
      </c>
      <c r="AS130" s="169">
        <f>COUNTIF(Tabel152[Winnaar Groen],Tabel511[[#This Row],[Team]])</f>
        <v>0</v>
      </c>
      <c r="AT130" s="170">
        <f>COUNTIF(Tabel152[Winnaars],Tabel511[[#This Row],[Team]])</f>
        <v>0</v>
      </c>
      <c r="AU130" s="163">
        <f>Tabel511[[#This Row],[Aantal Games Rood]]-Tabel511[[#This Row],[Wins Rood]]</f>
        <v>0</v>
      </c>
      <c r="AV130" s="169">
        <f>Tabel511[[#This Row],[Aantal Games Groen]]-Tabel511[[#This Row],[Wins Groen]]</f>
        <v>0</v>
      </c>
      <c r="AW130" s="165">
        <f>Tabel511[[#This Row],[Aantal games Alg]]-Tabel511[[#This Row],[Wins Alg]]</f>
        <v>0</v>
      </c>
      <c r="AX130" s="171">
        <f>COUNTIF(Tabel152[Team Rood],Tabel511[[#This Row],[Team]])</f>
        <v>0</v>
      </c>
      <c r="AY130" s="169">
        <f>COUNTIF(Tabel152[Team Groen],Tabel511[[#This Row],[Team]])</f>
        <v>0</v>
      </c>
      <c r="AZ130" s="170">
        <f>Tabel511[[#This Row],[Aantal Games Rood]]+Tabel511[[#This Row],[Aantal Games Groen]]</f>
        <v>0</v>
      </c>
      <c r="BA130" s="171">
        <f>SUMIF(Tabel152[Team Rood],Tabel511[[#This Row],[Team]],Tabel152[Score])</f>
        <v>0</v>
      </c>
      <c r="BB130" s="171">
        <f>SUMIF(Tabel152[Team Rood],Tabel511[[#This Row],[Team]],Tabel152[Score2])</f>
        <v>0</v>
      </c>
      <c r="BC130" s="136">
        <f>SUMIF(Tabel152[Team Groen],Tabel511[[#This Row],[Team]],Tabel152[Score3])</f>
        <v>0</v>
      </c>
      <c r="BD130" s="169">
        <f>SUMIF(Tabel152[Team Groen],Tabel511[[#This Row],[Team]],Tabel152[Score4])</f>
        <v>0</v>
      </c>
      <c r="BE130" s="172">
        <f>SUM(Tabel511[[#This Row],[Goals Verdediger]]+Tabel511[[#This Row],[Goals DefG]])</f>
        <v>0</v>
      </c>
      <c r="BF130" s="170">
        <f>IF(Tabel511[[#This Row],[Aantal games Alg]]=0,0,Tabel511[[#This Row],[Goals DefA]]/Tabel511[[#This Row],[Aantal games Alg]])</f>
        <v>0</v>
      </c>
      <c r="BG130" s="172">
        <f>SUM(Tabel511[[#This Row],[Goals Aanvaller]]+Tabel511[[#This Row],[Goals OffG]])</f>
        <v>0</v>
      </c>
      <c r="BH130" s="170">
        <f>IF(Tabel511[[#This Row],[Aantal games Alg]]=0,0,Tabel511[[#This Row],[Goals OffA]]/Tabel511[[#This Row],[Aantal games Alg]])</f>
        <v>0</v>
      </c>
      <c r="BI130" s="170">
        <f>Tabel511[[#This Row],[Goals DefA]]+Tabel511[[#This Row],[Goals OffA]]</f>
        <v>0</v>
      </c>
      <c r="BJ130" s="170">
        <f>IF(Tabel511[[#This Row],[Aantal games Alg]]=0,0,Tabel511[[#This Row],[Goals Alg]]/Tabel511[[#This Row],[Aantal games Alg]])</f>
        <v>0</v>
      </c>
      <c r="BK130" s="148">
        <f>SUMIF(Tabel152[Team Rood],Tabel511[[#This Row],[Team]],Tabel152[ET])</f>
        <v>0</v>
      </c>
      <c r="BL130" s="150">
        <f>SUMIF(Tabel152[Team Groen],Tabel511[[#This Row],[Team]],Tabel152[ET])</f>
        <v>0</v>
      </c>
      <c r="BM130" s="153">
        <f>SUM(Tabel511[[#This Row],[ET Groen tot]],Tabel511[[#This Row],[ET Rood tot]])</f>
        <v>0</v>
      </c>
      <c r="BN130" s="155">
        <f>IF(Tabel511[[#This Row],[Aantal games Alg]]=0,0,Tabel511[[#This Row],[ET tot]]/Tabel511[[#This Row],[Aantal games Alg]])</f>
        <v>0</v>
      </c>
    </row>
    <row r="131" spans="1:66" x14ac:dyDescent="0.25">
      <c r="A131" s="215" t="str">
        <f ca="1">IF(Tabel152[[#This Row],[Rood Verdediging]]&lt;&gt;"",IF(A131="",NOW(),A131),"")</f>
        <v/>
      </c>
      <c r="B131" s="218" t="str">
        <f ca="1">IF(Tabel152[[#This Row],[Rood Verdediging]]&lt;&gt;"",IF(B131="",NOW(),B131),"")</f>
        <v/>
      </c>
      <c r="C131" s="216" t="str">
        <f ca="1">IF(Tabel152[[#This Row],[Score]]&lt;&gt;"",IF(C131="",NOW(),C131),"")</f>
        <v/>
      </c>
      <c r="D131" s="217" t="str">
        <f ca="1">IF(OR(Tabel152[[#This Row],[Starttijd]]="",Tabel152[[#This Row],[Eindtijd]]=""),"",Tabel152[[#This Row],[Eindtijd]]-Tabel152[[#This Row],[Starttijd]])</f>
        <v/>
      </c>
      <c r="E131" s="74">
        <v>130</v>
      </c>
      <c r="F131" s="205"/>
      <c r="G131" s="210"/>
      <c r="H131" s="205"/>
      <c r="I131" s="210"/>
      <c r="J131" s="206"/>
      <c r="K131" s="212"/>
      <c r="L131" s="206"/>
      <c r="M131" s="212"/>
      <c r="N131" s="79">
        <f>Tabel152[[#This Row],[Score]]+Tabel152[[#This Row],[Score2]]</f>
        <v>0</v>
      </c>
      <c r="O131" s="80">
        <f>Tabel152[[#This Row],[Score3]]+Tabel152[[#This Row],[Score4]]</f>
        <v>0</v>
      </c>
      <c r="P13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Row],[Score4]]&lt;&gt;""),IF(AND(N131&gt;O131,N131&gt;=11),"ROOD",IF(AND(O131&gt;=11,N131&lt;&gt;O131),"GROEN","")),"")</f>
        <v/>
      </c>
      <c r="Q131" s="84">
        <f t="shared" si="15"/>
        <v>0</v>
      </c>
      <c r="R131" s="85">
        <f t="shared" si="16"/>
        <v>0</v>
      </c>
      <c r="S131" s="293" t="str">
        <f>Tabel152[[#This Row],[Rood Verdediging]]&amp;Tabel152[[#This Row],[Rood Aanval]]</f>
        <v/>
      </c>
      <c r="T131" s="293" t="str">
        <f>Tabel152[[#This Row],[Groen Verdediging]]&amp;Tabel152[[#This Row],[Groen Aanval]]</f>
        <v/>
      </c>
      <c r="U131" s="293" t="str">
        <f>Tabel152[[#This Row],[Winnaar 1]]&amp;Tabel152[[#This Row],[Winnaar 2]]</f>
        <v>00</v>
      </c>
      <c r="V131" s="147" t="b">
        <f>IF(Tabel152[[#This Row],[Team Rood]]=Tabel152[[#This Row],[Winnaars]],Tabel152[[#This Row],[Team Rood]])</f>
        <v>0</v>
      </c>
      <c r="W131" s="147" t="b">
        <f>IF(Tabel152[[#This Row],[Team Groen]]=Tabel152[[#This Row],[Winnaars]],Tabel152[[#This Row],[Team Groen]])</f>
        <v>0</v>
      </c>
      <c r="X131" s="283"/>
      <c r="Y131" s="283"/>
      <c r="Z131" s="283"/>
      <c r="AA131" s="283"/>
      <c r="AL131" s="251" t="s">
        <v>166</v>
      </c>
      <c r="AM131" s="232" t="s">
        <v>169</v>
      </c>
      <c r="AN131" s="140" t="str">
        <f t="shared" si="17"/>
        <v>Stijn*Stef*</v>
      </c>
      <c r="AO131" s="160">
        <f>IF(Tabel511[[#This Row],[Aantal Games Rood]]=0,0,(Tabel511[[#This Row],[Wins Rood]])/Tabel511[[#This Row],[Aantal Games Rood]])</f>
        <v>0</v>
      </c>
      <c r="AP131" s="159">
        <f>IF(Tabel511[[#This Row],[Aantal Games Groen]]=0,0,(Tabel511[[#This Row],[Wins Groen]])/Tabel511[[#This Row],[Aantal Games Groen]])</f>
        <v>0</v>
      </c>
      <c r="AQ131" s="156">
        <f>IF(Tabel511[[#This Row],[Aantal games Alg]]=0,0,(Tabel511[[#This Row],[Wins Alg]])/Tabel511[[#This Row],[Aantal games Alg]])</f>
        <v>0</v>
      </c>
      <c r="AR131" s="133">
        <f>COUNTIF(Tabel152[Winaar rood],Tabel511[[#This Row],[Team]])</f>
        <v>0</v>
      </c>
      <c r="AS131" s="134">
        <f>COUNTIF(Tabel152[Winnaar Groen],Tabel511[[#This Row],[Team]])</f>
        <v>0</v>
      </c>
      <c r="AT131" s="293">
        <f>COUNTIF(Tabel152[Winnaars],Tabel511[[#This Row],[Team]])</f>
        <v>0</v>
      </c>
      <c r="AU131" s="135">
        <f>Tabel511[[#This Row],[Aantal Games Rood]]-Tabel511[[#This Row],[Wins Rood]]</f>
        <v>0</v>
      </c>
      <c r="AV131" s="136">
        <f>Tabel511[[#This Row],[Aantal Games Groen]]-Tabel511[[#This Row],[Wins Groen]]</f>
        <v>0</v>
      </c>
      <c r="AW131" s="137">
        <f>Tabel511[[#This Row],[Aantal games Alg]]-Tabel511[[#This Row],[Wins Alg]]</f>
        <v>0</v>
      </c>
      <c r="AX131" s="138">
        <f>COUNTIF(Tabel152[Team Rood],Tabel511[[#This Row],[Team]])</f>
        <v>0</v>
      </c>
      <c r="AY131" s="136">
        <f>COUNTIF(Tabel152[Team Groen],Tabel511[[#This Row],[Team]])</f>
        <v>0</v>
      </c>
      <c r="AZ131" s="214">
        <f>Tabel511[[#This Row],[Aantal Games Rood]]+Tabel511[[#This Row],[Aantal Games Groen]]</f>
        <v>0</v>
      </c>
      <c r="BA131" s="138">
        <f>SUMIF(Tabel152[Team Rood],Tabel511[[#This Row],[Team]],Tabel152[Score])</f>
        <v>0</v>
      </c>
      <c r="BB131" s="138">
        <f>SUMIF(Tabel152[Team Rood],Tabel511[[#This Row],[Team]],Tabel152[Score2])</f>
        <v>0</v>
      </c>
      <c r="BC131" s="134">
        <f>SUMIF(Tabel152[Team Groen],Tabel511[[#This Row],[Team]],Tabel152[Score3])</f>
        <v>0</v>
      </c>
      <c r="BD131" s="136">
        <f>SUMIF(Tabel152[Team Groen],Tabel511[[#This Row],[Team]],Tabel152[Score4])</f>
        <v>0</v>
      </c>
      <c r="BE131" s="293">
        <f>SUM(Tabel511[[#This Row],[Goals Verdediger]]+Tabel511[[#This Row],[Goals DefG]])</f>
        <v>0</v>
      </c>
      <c r="BF131" s="293">
        <f>IF(Tabel511[[#This Row],[Aantal games Alg]]=0,0,Tabel511[[#This Row],[Goals DefA]]/Tabel511[[#This Row],[Aantal games Alg]])</f>
        <v>0</v>
      </c>
      <c r="BG131" s="293">
        <f>SUM(Tabel511[[#This Row],[Goals Aanvaller]]+Tabel511[[#This Row],[Goals OffG]])</f>
        <v>0</v>
      </c>
      <c r="BH131" s="293">
        <f>IF(Tabel511[[#This Row],[Aantal games Alg]]=0,0,Tabel511[[#This Row],[Goals OffA]]/Tabel511[[#This Row],[Aantal games Alg]])</f>
        <v>0</v>
      </c>
      <c r="BI131" s="214">
        <f>Tabel511[[#This Row],[Goals DefA]]+Tabel511[[#This Row],[Goals OffA]]</f>
        <v>0</v>
      </c>
      <c r="BJ131" s="214">
        <f>IF(Tabel511[[#This Row],[Aantal games Alg]]=0,0,Tabel511[[#This Row],[Goals Alg]]/Tabel511[[#This Row],[Aantal games Alg]])</f>
        <v>0</v>
      </c>
      <c r="BK131" s="148">
        <f>SUMIF(Tabel152[Team Rood],Tabel511[[#This Row],[Team]],Tabel152[ET])</f>
        <v>0</v>
      </c>
      <c r="BL131" s="150">
        <f>SUMIF(Tabel152[Team Groen],Tabel511[[#This Row],[Team]],Tabel152[ET])</f>
        <v>0</v>
      </c>
      <c r="BM131" s="153">
        <f>SUM(Tabel511[[#This Row],[ET Groen tot]],Tabel511[[#This Row],[ET Rood tot]])</f>
        <v>0</v>
      </c>
      <c r="BN131" s="155">
        <f>IF(Tabel511[[#This Row],[Aantal games Alg]]=0,0,Tabel511[[#This Row],[ET tot]]/Tabel511[[#This Row],[Aantal games Alg]])</f>
        <v>0</v>
      </c>
    </row>
    <row r="132" spans="1:66" x14ac:dyDescent="0.25">
      <c r="A132" s="215" t="str">
        <f ca="1">IF(Tabel152[[#This Row],[Rood Verdediging]]&lt;&gt;"",IF(A132="",NOW(),A132),"")</f>
        <v/>
      </c>
      <c r="B132" s="218" t="str">
        <f ca="1">IF(Tabel152[[#This Row],[Rood Verdediging]]&lt;&gt;"",IF(B132="",NOW(),B132),"")</f>
        <v/>
      </c>
      <c r="C132" s="216" t="str">
        <f ca="1">IF(Tabel152[[#This Row],[Score]]&lt;&gt;"",IF(C132="",NOW(),C132),"")</f>
        <v/>
      </c>
      <c r="D132" s="217" t="str">
        <f ca="1">IF(OR(Tabel152[[#This Row],[Starttijd]]="",Tabel152[[#This Row],[Eindtijd]]=""),"",Tabel152[[#This Row],[Eindtijd]]-Tabel152[[#This Row],[Starttijd]])</f>
        <v/>
      </c>
      <c r="E132" s="74">
        <v>131</v>
      </c>
      <c r="F132" s="205"/>
      <c r="G132" s="210"/>
      <c r="H132" s="205"/>
      <c r="I132" s="210"/>
      <c r="J132" s="206"/>
      <c r="K132" s="212"/>
      <c r="L132" s="206"/>
      <c r="M132" s="212"/>
      <c r="N132" s="79">
        <f>Tabel152[[#This Row],[Score]]+Tabel152[[#This Row],[Score2]]</f>
        <v>0</v>
      </c>
      <c r="O132" s="80">
        <f>Tabel152[[#This Row],[Score3]]+Tabel152[[#This Row],[Score4]]</f>
        <v>0</v>
      </c>
      <c r="P13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Row],[Score4]]&lt;&gt;""),IF(AND(N132&gt;O132,N132&gt;=11),"ROOD",IF(AND(O132&gt;=11,N132&lt;&gt;O132),"GROEN","")),"")</f>
        <v/>
      </c>
      <c r="Q132" s="84">
        <f t="shared" si="15"/>
        <v>0</v>
      </c>
      <c r="R132" s="85">
        <f t="shared" si="16"/>
        <v>0</v>
      </c>
      <c r="S132" s="293" t="str">
        <f>Tabel152[[#This Row],[Rood Verdediging]]&amp;Tabel152[[#This Row],[Rood Aanval]]</f>
        <v/>
      </c>
      <c r="T132" s="293" t="str">
        <f>Tabel152[[#This Row],[Groen Verdediging]]&amp;Tabel152[[#This Row],[Groen Aanval]]</f>
        <v/>
      </c>
      <c r="U132" s="293" t="str">
        <f>Tabel152[[#This Row],[Winnaar 1]]&amp;Tabel152[[#This Row],[Winnaar 2]]</f>
        <v>00</v>
      </c>
      <c r="V132" s="147" t="b">
        <f>IF(Tabel152[[#This Row],[Team Rood]]=Tabel152[[#This Row],[Winnaars]],Tabel152[[#This Row],[Team Rood]])</f>
        <v>0</v>
      </c>
      <c r="W132" s="147" t="b">
        <f>IF(Tabel152[[#This Row],[Team Groen]]=Tabel152[[#This Row],[Winnaars]],Tabel152[[#This Row],[Team Groen]])</f>
        <v>0</v>
      </c>
      <c r="X132" s="283"/>
      <c r="Y132" s="283"/>
      <c r="Z132" s="283"/>
      <c r="AA132" s="283"/>
      <c r="AL132" s="251" t="s">
        <v>166</v>
      </c>
      <c r="AM132" s="232" t="s">
        <v>160</v>
      </c>
      <c r="AN132" s="140" t="str">
        <f t="shared" si="17"/>
        <v>Stijn*Tiemen*</v>
      </c>
      <c r="AO132" s="160">
        <f>IF(Tabel511[[#This Row],[Aantal Games Rood]]=0,0,(Tabel511[[#This Row],[Wins Rood]])/Tabel511[[#This Row],[Aantal Games Rood]])</f>
        <v>0</v>
      </c>
      <c r="AP132" s="159">
        <f>IF(Tabel511[[#This Row],[Aantal Games Groen]]=0,0,(Tabel511[[#This Row],[Wins Groen]])/Tabel511[[#This Row],[Aantal Games Groen]])</f>
        <v>0</v>
      </c>
      <c r="AQ132" s="156">
        <f>IF(Tabel511[[#This Row],[Aantal games Alg]]=0,0,(Tabel511[[#This Row],[Wins Alg]])/Tabel511[[#This Row],[Aantal games Alg]])</f>
        <v>0</v>
      </c>
      <c r="AR132" s="133">
        <f>COUNTIF(Tabel152[Winaar rood],Tabel511[[#This Row],[Team]])</f>
        <v>0</v>
      </c>
      <c r="AS132" s="134">
        <f>COUNTIF(Tabel152[Winnaar Groen],Tabel511[[#This Row],[Team]])</f>
        <v>0</v>
      </c>
      <c r="AT132" s="293">
        <f>COUNTIF(Tabel152[Winnaars],Tabel511[[#This Row],[Team]])</f>
        <v>0</v>
      </c>
      <c r="AU132" s="135">
        <f>Tabel511[[#This Row],[Aantal Games Rood]]-Tabel511[[#This Row],[Wins Rood]]</f>
        <v>0</v>
      </c>
      <c r="AV132" s="136">
        <f>Tabel511[[#This Row],[Aantal Games Groen]]-Tabel511[[#This Row],[Wins Groen]]</f>
        <v>0</v>
      </c>
      <c r="AW132" s="137">
        <f>Tabel511[[#This Row],[Aantal games Alg]]-Tabel511[[#This Row],[Wins Alg]]</f>
        <v>0</v>
      </c>
      <c r="AX132" s="138">
        <f>COUNTIF(Tabel152[Team Rood],Tabel511[[#This Row],[Team]])</f>
        <v>0</v>
      </c>
      <c r="AY132" s="136">
        <f>COUNTIF(Tabel152[Team Groen],Tabel511[[#This Row],[Team]])</f>
        <v>0</v>
      </c>
      <c r="AZ132" s="214">
        <f>Tabel511[[#This Row],[Aantal Games Rood]]+Tabel511[[#This Row],[Aantal Games Groen]]</f>
        <v>0</v>
      </c>
      <c r="BA132" s="138">
        <f>SUMIF(Tabel152[Team Rood],Tabel511[[#This Row],[Team]],Tabel152[Score])</f>
        <v>0</v>
      </c>
      <c r="BB132" s="138">
        <f>SUMIF(Tabel152[Team Rood],Tabel511[[#This Row],[Team]],Tabel152[Score2])</f>
        <v>0</v>
      </c>
      <c r="BC132" s="134">
        <f>SUMIF(Tabel152[Team Groen],Tabel511[[#This Row],[Team]],Tabel152[Score3])</f>
        <v>0</v>
      </c>
      <c r="BD132" s="136">
        <f>SUMIF(Tabel152[Team Groen],Tabel511[[#This Row],[Team]],Tabel152[Score4])</f>
        <v>0</v>
      </c>
      <c r="BE132" s="293">
        <f>SUM(Tabel511[[#This Row],[Goals Verdediger]]+Tabel511[[#This Row],[Goals DefG]])</f>
        <v>0</v>
      </c>
      <c r="BF132" s="293">
        <f>IF(Tabel511[[#This Row],[Aantal games Alg]]=0,0,Tabel511[[#This Row],[Goals DefA]]/Tabel511[[#This Row],[Aantal games Alg]])</f>
        <v>0</v>
      </c>
      <c r="BG132" s="293">
        <f>SUM(Tabel511[[#This Row],[Goals Aanvaller]]+Tabel511[[#This Row],[Goals OffG]])</f>
        <v>0</v>
      </c>
      <c r="BH132" s="293">
        <f>IF(Tabel511[[#This Row],[Aantal games Alg]]=0,0,Tabel511[[#This Row],[Goals OffA]]/Tabel511[[#This Row],[Aantal games Alg]])</f>
        <v>0</v>
      </c>
      <c r="BI132" s="214">
        <f>Tabel511[[#This Row],[Goals DefA]]+Tabel511[[#This Row],[Goals OffA]]</f>
        <v>0</v>
      </c>
      <c r="BJ132" s="214">
        <f>IF(Tabel511[[#This Row],[Aantal games Alg]]=0,0,Tabel511[[#This Row],[Goals Alg]]/Tabel511[[#This Row],[Aantal games Alg]])</f>
        <v>0</v>
      </c>
      <c r="BK132" s="148">
        <f>SUMIF(Tabel152[Team Rood],Tabel511[[#This Row],[Team]],Tabel152[ET])</f>
        <v>0</v>
      </c>
      <c r="BL132" s="150">
        <f>SUMIF(Tabel152[Team Groen],Tabel511[[#This Row],[Team]],Tabel152[ET])</f>
        <v>0</v>
      </c>
      <c r="BM132" s="153">
        <f>SUM(Tabel511[[#This Row],[ET Groen tot]],Tabel511[[#This Row],[ET Rood tot]])</f>
        <v>0</v>
      </c>
      <c r="BN132" s="155">
        <f>IF(Tabel511[[#This Row],[Aantal games Alg]]=0,0,Tabel511[[#This Row],[ET tot]]/Tabel511[[#This Row],[Aantal games Alg]])</f>
        <v>0</v>
      </c>
    </row>
    <row r="133" spans="1:66" x14ac:dyDescent="0.25">
      <c r="A133" s="215" t="str">
        <f ca="1">IF(Tabel152[[#This Row],[Rood Verdediging]]&lt;&gt;"",IF(A133="",NOW(),A133),"")</f>
        <v/>
      </c>
      <c r="B133" s="218" t="str">
        <f ca="1">IF(Tabel152[[#This Row],[Rood Verdediging]]&lt;&gt;"",IF(B133="",NOW(),B133),"")</f>
        <v/>
      </c>
      <c r="C133" s="216" t="str">
        <f ca="1">IF(Tabel152[[#This Row],[Score]]&lt;&gt;"",IF(C133="",NOW(),C133),"")</f>
        <v/>
      </c>
      <c r="D133" s="217" t="str">
        <f ca="1">IF(OR(Tabel152[[#This Row],[Starttijd]]="",Tabel152[[#This Row],[Eindtijd]]=""),"",Tabel152[[#This Row],[Eindtijd]]-Tabel152[[#This Row],[Starttijd]])</f>
        <v/>
      </c>
      <c r="E133" s="74">
        <v>132</v>
      </c>
      <c r="F133" s="205"/>
      <c r="G133" s="210"/>
      <c r="H133" s="205"/>
      <c r="I133" s="210"/>
      <c r="J133" s="206"/>
      <c r="K133" s="212"/>
      <c r="L133" s="206"/>
      <c r="M133" s="212"/>
      <c r="N133" s="79">
        <f>Tabel152[[#This Row],[Score]]+Tabel152[[#This Row],[Score2]]</f>
        <v>0</v>
      </c>
      <c r="O133" s="80">
        <f>Tabel152[[#This Row],[Score3]]+Tabel152[[#This Row],[Score4]]</f>
        <v>0</v>
      </c>
      <c r="P13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Row],[Score4]]&lt;&gt;""),IF(AND(N133&gt;O133,N133&gt;=11),"ROOD",IF(AND(O133&gt;=11,N133&lt;&gt;O133),"GROEN","")),"")</f>
        <v/>
      </c>
      <c r="Q133" s="84">
        <f t="shared" ref="Q133:Q196" si="18">IF(N133&gt;O133,F133,IF(N133="","",J133))</f>
        <v>0</v>
      </c>
      <c r="R133" s="85">
        <f t="shared" ref="R133:R196" si="19">IF(N133&gt;O133,H133,IF(N133="","",L133))</f>
        <v>0</v>
      </c>
      <c r="S133" s="293" t="str">
        <f>Tabel152[[#This Row],[Rood Verdediging]]&amp;Tabel152[[#This Row],[Rood Aanval]]</f>
        <v/>
      </c>
      <c r="T133" s="293" t="str">
        <f>Tabel152[[#This Row],[Groen Verdediging]]&amp;Tabel152[[#This Row],[Groen Aanval]]</f>
        <v/>
      </c>
      <c r="U133" s="293" t="str">
        <f>Tabel152[[#This Row],[Winnaar 1]]&amp;Tabel152[[#This Row],[Winnaar 2]]</f>
        <v>00</v>
      </c>
      <c r="V133" s="147" t="b">
        <f>IF(Tabel152[[#This Row],[Team Rood]]=Tabel152[[#This Row],[Winnaars]],Tabel152[[#This Row],[Team Rood]])</f>
        <v>0</v>
      </c>
      <c r="W133" s="147" t="b">
        <f>IF(Tabel152[[#This Row],[Team Groen]]=Tabel152[[#This Row],[Winnaars]],Tabel152[[#This Row],[Team Groen]])</f>
        <v>0</v>
      </c>
      <c r="X133" s="283"/>
      <c r="Y133" s="283"/>
      <c r="Z133" s="283"/>
      <c r="AA133" s="283"/>
      <c r="AL133" s="251" t="s">
        <v>166</v>
      </c>
      <c r="AM133" s="232" t="s">
        <v>157</v>
      </c>
      <c r="AN133" s="140" t="str">
        <f t="shared" si="17"/>
        <v>Stijn*Tobi*</v>
      </c>
      <c r="AO133" s="160">
        <f>IF(Tabel511[[#This Row],[Aantal Games Rood]]=0,0,(Tabel511[[#This Row],[Wins Rood]])/Tabel511[[#This Row],[Aantal Games Rood]])</f>
        <v>0</v>
      </c>
      <c r="AP133" s="159">
        <f>IF(Tabel511[[#This Row],[Aantal Games Groen]]=0,0,(Tabel511[[#This Row],[Wins Groen]])/Tabel511[[#This Row],[Aantal Games Groen]])</f>
        <v>0</v>
      </c>
      <c r="AQ133" s="156">
        <f>IF(Tabel511[[#This Row],[Aantal games Alg]]=0,0,(Tabel511[[#This Row],[Wins Alg]])/Tabel511[[#This Row],[Aantal games Alg]])</f>
        <v>0</v>
      </c>
      <c r="AR133" s="133">
        <f>COUNTIF(Tabel152[Winaar rood],Tabel511[[#This Row],[Team]])</f>
        <v>0</v>
      </c>
      <c r="AS133" s="134">
        <f>COUNTIF(Tabel152[Winnaar Groen],Tabel511[[#This Row],[Team]])</f>
        <v>0</v>
      </c>
      <c r="AT133" s="293">
        <f>COUNTIF(Tabel152[Winnaars],Tabel511[[#This Row],[Team]])</f>
        <v>0</v>
      </c>
      <c r="AU133" s="135">
        <f>Tabel511[[#This Row],[Aantal Games Rood]]-Tabel511[[#This Row],[Wins Rood]]</f>
        <v>0</v>
      </c>
      <c r="AV133" s="136">
        <f>Tabel511[[#This Row],[Aantal Games Groen]]-Tabel511[[#This Row],[Wins Groen]]</f>
        <v>0</v>
      </c>
      <c r="AW133" s="137">
        <f>Tabel511[[#This Row],[Aantal games Alg]]-Tabel511[[#This Row],[Wins Alg]]</f>
        <v>0</v>
      </c>
      <c r="AX133" s="138">
        <f>COUNTIF(Tabel152[Team Rood],Tabel511[[#This Row],[Team]])</f>
        <v>0</v>
      </c>
      <c r="AY133" s="136">
        <f>COUNTIF(Tabel152[Team Groen],Tabel511[[#This Row],[Team]])</f>
        <v>0</v>
      </c>
      <c r="AZ133" s="214">
        <f>Tabel511[[#This Row],[Aantal Games Rood]]+Tabel511[[#This Row],[Aantal Games Groen]]</f>
        <v>0</v>
      </c>
      <c r="BA133" s="138">
        <f>SUMIF(Tabel152[Team Rood],Tabel511[[#This Row],[Team]],Tabel152[Score])</f>
        <v>0</v>
      </c>
      <c r="BB133" s="138">
        <f>SUMIF(Tabel152[Team Rood],Tabel511[[#This Row],[Team]],Tabel152[Score2])</f>
        <v>0</v>
      </c>
      <c r="BC133" s="134">
        <f>SUMIF(Tabel152[Team Groen],Tabel511[[#This Row],[Team]],Tabel152[Score3])</f>
        <v>0</v>
      </c>
      <c r="BD133" s="136">
        <f>SUMIF(Tabel152[Team Groen],Tabel511[[#This Row],[Team]],Tabel152[Score4])</f>
        <v>0</v>
      </c>
      <c r="BE133" s="293">
        <f>SUM(Tabel511[[#This Row],[Goals Verdediger]]+Tabel511[[#This Row],[Goals DefG]])</f>
        <v>0</v>
      </c>
      <c r="BF133" s="293">
        <f>IF(Tabel511[[#This Row],[Aantal games Alg]]=0,0,Tabel511[[#This Row],[Goals DefA]]/Tabel511[[#This Row],[Aantal games Alg]])</f>
        <v>0</v>
      </c>
      <c r="BG133" s="293">
        <f>SUM(Tabel511[[#This Row],[Goals Aanvaller]]+Tabel511[[#This Row],[Goals OffG]])</f>
        <v>0</v>
      </c>
      <c r="BH133" s="293">
        <f>IF(Tabel511[[#This Row],[Aantal games Alg]]=0,0,Tabel511[[#This Row],[Goals OffA]]/Tabel511[[#This Row],[Aantal games Alg]])</f>
        <v>0</v>
      </c>
      <c r="BI133" s="214">
        <f>Tabel511[[#This Row],[Goals DefA]]+Tabel511[[#This Row],[Goals OffA]]</f>
        <v>0</v>
      </c>
      <c r="BJ133" s="214">
        <f>IF(Tabel511[[#This Row],[Aantal games Alg]]=0,0,Tabel511[[#This Row],[Goals Alg]]/Tabel511[[#This Row],[Aantal games Alg]])</f>
        <v>0</v>
      </c>
      <c r="BK133" s="148">
        <f>SUMIF(Tabel152[Team Rood],Tabel511[[#This Row],[Team]],Tabel152[ET])</f>
        <v>0</v>
      </c>
      <c r="BL133" s="150">
        <f>SUMIF(Tabel152[Team Groen],Tabel511[[#This Row],[Team]],Tabel152[ET])</f>
        <v>0</v>
      </c>
      <c r="BM133" s="153">
        <f>SUM(Tabel511[[#This Row],[ET Groen tot]],Tabel511[[#This Row],[ET Rood tot]])</f>
        <v>0</v>
      </c>
      <c r="BN133" s="155">
        <f>IF(Tabel511[[#This Row],[Aantal games Alg]]=0,0,Tabel511[[#This Row],[ET tot]]/Tabel511[[#This Row],[Aantal games Alg]])</f>
        <v>0</v>
      </c>
    </row>
    <row r="134" spans="1:66" x14ac:dyDescent="0.25">
      <c r="A134" s="215" t="str">
        <f ca="1">IF(Tabel152[[#This Row],[Rood Verdediging]]&lt;&gt;"",IF(A134="",NOW(),A134),"")</f>
        <v/>
      </c>
      <c r="B134" s="218" t="str">
        <f ca="1">IF(Tabel152[[#This Row],[Rood Verdediging]]&lt;&gt;"",IF(B134="",NOW(),B134),"")</f>
        <v/>
      </c>
      <c r="C134" s="216" t="str">
        <f ca="1">IF(Tabel152[[#This Row],[Score]]&lt;&gt;"",IF(C134="",NOW(),C134),"")</f>
        <v/>
      </c>
      <c r="D134" s="217" t="str">
        <f ca="1">IF(OR(Tabel152[[#This Row],[Starttijd]]="",Tabel152[[#This Row],[Eindtijd]]=""),"",Tabel152[[#This Row],[Eindtijd]]-Tabel152[[#This Row],[Starttijd]])</f>
        <v/>
      </c>
      <c r="E134" s="74">
        <v>133</v>
      </c>
      <c r="F134" s="205"/>
      <c r="G134" s="210"/>
      <c r="H134" s="205"/>
      <c r="I134" s="210"/>
      <c r="J134" s="206"/>
      <c r="K134" s="212"/>
      <c r="L134" s="206"/>
      <c r="M134" s="212"/>
      <c r="N134" s="79">
        <f>Tabel152[[#This Row],[Score]]+Tabel152[[#This Row],[Score2]]</f>
        <v>0</v>
      </c>
      <c r="O134" s="80">
        <f>Tabel152[[#This Row],[Score3]]+Tabel152[[#This Row],[Score4]]</f>
        <v>0</v>
      </c>
      <c r="P13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Row],[Score4]]&lt;&gt;""),IF(AND(N134&gt;O134,N134&gt;=11),"ROOD",IF(AND(O134&gt;=11,N134&lt;&gt;O134),"GROEN","")),"")</f>
        <v/>
      </c>
      <c r="Q134" s="84">
        <f t="shared" si="18"/>
        <v>0</v>
      </c>
      <c r="R134" s="85">
        <f t="shared" si="19"/>
        <v>0</v>
      </c>
      <c r="S134" s="293" t="str">
        <f>Tabel152[[#This Row],[Rood Verdediging]]&amp;Tabel152[[#This Row],[Rood Aanval]]</f>
        <v/>
      </c>
      <c r="T134" s="293" t="str">
        <f>Tabel152[[#This Row],[Groen Verdediging]]&amp;Tabel152[[#This Row],[Groen Aanval]]</f>
        <v/>
      </c>
      <c r="U134" s="293" t="str">
        <f>Tabel152[[#This Row],[Winnaar 1]]&amp;Tabel152[[#This Row],[Winnaar 2]]</f>
        <v>00</v>
      </c>
      <c r="V134" s="147" t="b">
        <f>IF(Tabel152[[#This Row],[Team Rood]]=Tabel152[[#This Row],[Winnaars]],Tabel152[[#This Row],[Team Rood]])</f>
        <v>0</v>
      </c>
      <c r="W134" s="147" t="b">
        <f>IF(Tabel152[[#This Row],[Team Groen]]=Tabel152[[#This Row],[Winnaars]],Tabel152[[#This Row],[Team Groen]])</f>
        <v>0</v>
      </c>
      <c r="X134" s="283"/>
      <c r="Y134" s="283"/>
      <c r="Z134" s="283"/>
      <c r="AA134" s="283"/>
      <c r="AL134" s="250" t="s">
        <v>160</v>
      </c>
      <c r="AM134" s="232" t="s">
        <v>158</v>
      </c>
      <c r="AN134" s="140" t="str">
        <f t="shared" si="17"/>
        <v>Tiemen*Arno*</v>
      </c>
      <c r="AO134" s="160">
        <f>IF(Tabel511[[#This Row],[Aantal Games Rood]]=0,0,(Tabel511[[#This Row],[Wins Rood]])/Tabel511[[#This Row],[Aantal Games Rood]])</f>
        <v>0</v>
      </c>
      <c r="AP134" s="159">
        <f>IF(Tabel511[[#This Row],[Aantal Games Groen]]=0,0,(Tabel511[[#This Row],[Wins Groen]])/Tabel511[[#This Row],[Aantal Games Groen]])</f>
        <v>0</v>
      </c>
      <c r="AQ134" s="173">
        <f>IF(Tabel511[[#This Row],[Aantal games Alg]]=0,0,(Tabel511[[#This Row],[Wins Alg]])/Tabel511[[#This Row],[Aantal games Alg]])</f>
        <v>0</v>
      </c>
      <c r="AR134" s="138">
        <f>COUNTIF(Tabel152[Winaar rood],Tabel511[[#This Row],[Team]])</f>
        <v>0</v>
      </c>
      <c r="AS134" s="134">
        <f>COUNTIF(Tabel152[Winnaar Groen],Tabel511[[#This Row],[Team]])</f>
        <v>0</v>
      </c>
      <c r="AT134" s="293">
        <f>COUNTIF(Tabel152[Winnaars],Tabel511[[#This Row],[Team]])</f>
        <v>0</v>
      </c>
      <c r="AU134" s="138">
        <f>Tabel511[[#This Row],[Aantal Games Rood]]-Tabel511[[#This Row],[Wins Rood]]</f>
        <v>0</v>
      </c>
      <c r="AV134" s="136">
        <f>Tabel511[[#This Row],[Aantal Games Groen]]-Tabel511[[#This Row],[Wins Groen]]</f>
        <v>0</v>
      </c>
      <c r="AW134" s="214">
        <f>Tabel511[[#This Row],[Aantal games Alg]]-Tabel511[[#This Row],[Wins Alg]]</f>
        <v>0</v>
      </c>
      <c r="AX134" s="138">
        <f>COUNTIF(Tabel152[Team Rood],Tabel511[[#This Row],[Team]])</f>
        <v>0</v>
      </c>
      <c r="AY134" s="136">
        <f>COUNTIF(Tabel152[Team Groen],Tabel511[[#This Row],[Team]])</f>
        <v>0</v>
      </c>
      <c r="AZ134" s="214">
        <f>Tabel511[[#This Row],[Aantal Games Rood]]+Tabel511[[#This Row],[Aantal Games Groen]]</f>
        <v>0</v>
      </c>
      <c r="BA134" s="138">
        <f>SUMIF(Tabel152[Team Rood],Tabel511[[#This Row],[Team]],Tabel152[Score])</f>
        <v>0</v>
      </c>
      <c r="BB134" s="138">
        <f>SUMIF(Tabel152[Team Rood],Tabel511[[#This Row],[Team]],Tabel152[Score2])</f>
        <v>0</v>
      </c>
      <c r="BC134" s="134">
        <f>SUMIF(Tabel152[Team Groen],Tabel511[[#This Row],[Team]],Tabel152[Score3])</f>
        <v>0</v>
      </c>
      <c r="BD134" s="136">
        <f>SUMIF(Tabel152[Team Groen],Tabel511[[#This Row],[Team]],Tabel152[Score4])</f>
        <v>0</v>
      </c>
      <c r="BE134" s="293">
        <f>SUM(Tabel511[[#This Row],[Goals Verdediger]]+Tabel511[[#This Row],[Goals DefG]])</f>
        <v>0</v>
      </c>
      <c r="BF134" s="293">
        <f>IF(Tabel511[[#This Row],[Aantal games Alg]]=0,0,Tabel511[[#This Row],[Goals DefA]]/Tabel511[[#This Row],[Aantal games Alg]])</f>
        <v>0</v>
      </c>
      <c r="BG134" s="293">
        <f>SUM(Tabel511[[#This Row],[Goals Aanvaller]]+Tabel511[[#This Row],[Goals OffG]])</f>
        <v>0</v>
      </c>
      <c r="BH134" s="293">
        <f>IF(Tabel511[[#This Row],[Aantal games Alg]]=0,0,Tabel511[[#This Row],[Goals OffA]]/Tabel511[[#This Row],[Aantal games Alg]])</f>
        <v>0</v>
      </c>
      <c r="BI134" s="214">
        <f>Tabel511[[#This Row],[Goals DefA]]+Tabel511[[#This Row],[Goals OffA]]</f>
        <v>0</v>
      </c>
      <c r="BJ134" s="214">
        <f>IF(Tabel511[[#This Row],[Aantal games Alg]]=0,0,Tabel511[[#This Row],[Goals Alg]]/Tabel511[[#This Row],[Aantal games Alg]])</f>
        <v>0</v>
      </c>
      <c r="BK134" s="174">
        <f>SUMIF(Tabel152[Team Rood],Tabel511[[#This Row],[Team]],Tabel152[ET])</f>
        <v>0</v>
      </c>
      <c r="BL134" s="150">
        <f>SUMIF(Tabel152[Team Groen],Tabel511[[#This Row],[Team]],Tabel152[ET])</f>
        <v>0</v>
      </c>
      <c r="BM134" s="153">
        <f>SUM(Tabel511[[#This Row],[ET Groen tot]],Tabel511[[#This Row],[ET Rood tot]])</f>
        <v>0</v>
      </c>
      <c r="BN134" s="155">
        <f>IF(Tabel511[[#This Row],[Aantal games Alg]]=0,0,Tabel511[[#This Row],[ET tot]]/Tabel511[[#This Row],[Aantal games Alg]])</f>
        <v>0</v>
      </c>
    </row>
    <row r="135" spans="1:66" x14ac:dyDescent="0.25">
      <c r="A135" s="215" t="str">
        <f ca="1">IF(Tabel152[[#This Row],[Rood Verdediging]]&lt;&gt;"",IF(A135="",NOW(),A135),"")</f>
        <v/>
      </c>
      <c r="B135" s="218" t="str">
        <f ca="1">IF(Tabel152[[#This Row],[Rood Verdediging]]&lt;&gt;"",IF(B135="",NOW(),B135),"")</f>
        <v/>
      </c>
      <c r="C135" s="216" t="str">
        <f ca="1">IF(Tabel152[[#This Row],[Score]]&lt;&gt;"",IF(C135="",NOW(),C135),"")</f>
        <v/>
      </c>
      <c r="D135" s="217" t="str">
        <f ca="1">IF(OR(Tabel152[[#This Row],[Starttijd]]="",Tabel152[[#This Row],[Eindtijd]]=""),"",Tabel152[[#This Row],[Eindtijd]]-Tabel152[[#This Row],[Starttijd]])</f>
        <v/>
      </c>
      <c r="E135" s="74">
        <v>134</v>
      </c>
      <c r="F135" s="205"/>
      <c r="G135" s="210"/>
      <c r="H135" s="205"/>
      <c r="I135" s="210"/>
      <c r="J135" s="206"/>
      <c r="K135" s="212"/>
      <c r="L135" s="206"/>
      <c r="M135" s="212"/>
      <c r="N135" s="79">
        <f>Tabel152[[#This Row],[Score]]+Tabel152[[#This Row],[Score2]]</f>
        <v>0</v>
      </c>
      <c r="O135" s="80">
        <f>Tabel152[[#This Row],[Score3]]+Tabel152[[#This Row],[Score4]]</f>
        <v>0</v>
      </c>
      <c r="P13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Row],[Score4]]&lt;&gt;""),IF(AND(N135&gt;O135,N135&gt;=11),"ROOD",IF(AND(O135&gt;=11,N135&lt;&gt;O135),"GROEN","")),"")</f>
        <v/>
      </c>
      <c r="Q135" s="84">
        <f t="shared" si="18"/>
        <v>0</v>
      </c>
      <c r="R135" s="85">
        <f t="shared" si="19"/>
        <v>0</v>
      </c>
      <c r="S135" s="293" t="str">
        <f>Tabel152[[#This Row],[Rood Verdediging]]&amp;Tabel152[[#This Row],[Rood Aanval]]</f>
        <v/>
      </c>
      <c r="T135" s="293" t="str">
        <f>Tabel152[[#This Row],[Groen Verdediging]]&amp;Tabel152[[#This Row],[Groen Aanval]]</f>
        <v/>
      </c>
      <c r="U135" s="293" t="str">
        <f>Tabel152[[#This Row],[Winnaar 1]]&amp;Tabel152[[#This Row],[Winnaar 2]]</f>
        <v>00</v>
      </c>
      <c r="V135" s="147" t="b">
        <f>IF(Tabel152[[#This Row],[Team Rood]]=Tabel152[[#This Row],[Winnaars]],Tabel152[[#This Row],[Team Rood]])</f>
        <v>0</v>
      </c>
      <c r="W135" s="147" t="b">
        <f>IF(Tabel152[[#This Row],[Team Groen]]=Tabel152[[#This Row],[Winnaars]],Tabel152[[#This Row],[Team Groen]])</f>
        <v>0</v>
      </c>
      <c r="X135" s="283"/>
      <c r="Y135" s="283"/>
      <c r="Z135" s="283"/>
      <c r="AA135" s="283"/>
      <c r="AL135" s="250" t="s">
        <v>160</v>
      </c>
      <c r="AM135" s="232" t="s">
        <v>163</v>
      </c>
      <c r="AN135" s="140" t="str">
        <f t="shared" si="17"/>
        <v>Tiemen*Bert*</v>
      </c>
      <c r="AO135" s="160">
        <f>IF(Tabel511[[#This Row],[Aantal Games Rood]]=0,0,(Tabel511[[#This Row],[Wins Rood]])/Tabel511[[#This Row],[Aantal Games Rood]])</f>
        <v>0</v>
      </c>
      <c r="AP135" s="159">
        <f>IF(Tabel511[[#This Row],[Aantal Games Groen]]=0,0,(Tabel511[[#This Row],[Wins Groen]])/Tabel511[[#This Row],[Aantal Games Groen]])</f>
        <v>1</v>
      </c>
      <c r="AQ135" s="156">
        <f>IF(Tabel511[[#This Row],[Aantal games Alg]]=0,0,(Tabel511[[#This Row],[Wins Alg]])/Tabel511[[#This Row],[Aantal games Alg]])</f>
        <v>1</v>
      </c>
      <c r="AR135" s="135">
        <f>COUNTIF(Tabel152[Winaar rood],Tabel511[[#This Row],[Team]])</f>
        <v>0</v>
      </c>
      <c r="AS135" s="134">
        <f>COUNTIF(Tabel152[Winnaar Groen],Tabel511[[#This Row],[Team]])</f>
        <v>1</v>
      </c>
      <c r="AT135" s="293">
        <f>COUNTIF(Tabel152[Winnaars],Tabel511[[#This Row],[Team]])</f>
        <v>1</v>
      </c>
      <c r="AU135" s="135">
        <f>Tabel511[[#This Row],[Aantal Games Rood]]-Tabel511[[#This Row],[Wins Rood]]</f>
        <v>0</v>
      </c>
      <c r="AV135" s="136">
        <f>Tabel511[[#This Row],[Aantal Games Groen]]-Tabel511[[#This Row],[Wins Groen]]</f>
        <v>0</v>
      </c>
      <c r="AW135" s="137">
        <f>Tabel511[[#This Row],[Aantal games Alg]]-Tabel511[[#This Row],[Wins Alg]]</f>
        <v>0</v>
      </c>
      <c r="AX135" s="138">
        <f>COUNTIF(Tabel152[Team Rood],Tabel511[[#This Row],[Team]])</f>
        <v>0</v>
      </c>
      <c r="AY135" s="136">
        <f>COUNTIF(Tabel152[Team Groen],Tabel511[[#This Row],[Team]])</f>
        <v>1</v>
      </c>
      <c r="AZ135" s="137">
        <f>Tabel511[[#This Row],[Aantal Games Rood]]+Tabel511[[#This Row],[Aantal Games Groen]]</f>
        <v>1</v>
      </c>
      <c r="BA135" s="138">
        <f>SUMIF(Tabel152[Team Rood],Tabel511[[#This Row],[Team]],Tabel152[Score])</f>
        <v>0</v>
      </c>
      <c r="BB135" s="138">
        <f>SUMIF(Tabel152[Team Rood],Tabel511[[#This Row],[Team]],Tabel152[Score2])</f>
        <v>0</v>
      </c>
      <c r="BC135" s="134">
        <f>SUMIF(Tabel152[Team Groen],Tabel511[[#This Row],[Team]],Tabel152[Score3])</f>
        <v>6</v>
      </c>
      <c r="BD135" s="136">
        <f>SUMIF(Tabel152[Team Groen],Tabel511[[#This Row],[Team]],Tabel152[Score4])</f>
        <v>5</v>
      </c>
      <c r="BE135" s="293">
        <f>SUM(Tabel511[[#This Row],[Goals Verdediger]]+Tabel511[[#This Row],[Goals DefG]])</f>
        <v>6</v>
      </c>
      <c r="BF135" s="293">
        <f>IF(Tabel511[[#This Row],[Aantal games Alg]]=0,0,Tabel511[[#This Row],[Goals DefA]]/Tabel511[[#This Row],[Aantal games Alg]])</f>
        <v>6</v>
      </c>
      <c r="BG135" s="293">
        <f>SUM(Tabel511[[#This Row],[Goals Aanvaller]]+Tabel511[[#This Row],[Goals OffG]])</f>
        <v>5</v>
      </c>
      <c r="BH135" s="293">
        <f>IF(Tabel511[[#This Row],[Aantal games Alg]]=0,0,Tabel511[[#This Row],[Goals OffA]]/Tabel511[[#This Row],[Aantal games Alg]])</f>
        <v>5</v>
      </c>
      <c r="BI135" s="214">
        <f>Tabel511[[#This Row],[Goals DefA]]+Tabel511[[#This Row],[Goals OffA]]</f>
        <v>11</v>
      </c>
      <c r="BJ135" s="214">
        <f>IF(Tabel511[[#This Row],[Aantal games Alg]]=0,0,Tabel511[[#This Row],[Goals Alg]]/Tabel511[[#This Row],[Aantal games Alg]])</f>
        <v>11</v>
      </c>
      <c r="BK135" s="148">
        <f>SUMIF(Tabel152[Team Rood],Tabel511[[#This Row],[Team]],Tabel152[ET])</f>
        <v>0</v>
      </c>
      <c r="BL135" s="150">
        <f ca="1">SUMIF(Tabel152[Team Groen],Tabel511[[#This Row],[Team]],Tabel152[ET])</f>
        <v>4.0046295907814056E-5</v>
      </c>
      <c r="BM135" s="153">
        <f ca="1">SUM(Tabel511[[#This Row],[ET Groen tot]],Tabel511[[#This Row],[ET Rood tot]])</f>
        <v>4.0046295907814056E-5</v>
      </c>
      <c r="BN135" s="155">
        <f ca="1">IF(Tabel511[[#This Row],[Aantal games Alg]]=0,0,Tabel511[[#This Row],[ET tot]]/Tabel511[[#This Row],[Aantal games Alg]])</f>
        <v>4.0046295907814056E-5</v>
      </c>
    </row>
    <row r="136" spans="1:66" x14ac:dyDescent="0.25">
      <c r="A136" s="215" t="str">
        <f ca="1">IF(Tabel152[[#This Row],[Rood Verdediging]]&lt;&gt;"",IF(A136="",NOW(),A136),"")</f>
        <v/>
      </c>
      <c r="B136" s="218" t="str">
        <f ca="1">IF(Tabel152[[#This Row],[Rood Verdediging]]&lt;&gt;"",IF(B136="",NOW(),B136),"")</f>
        <v/>
      </c>
      <c r="C136" s="216" t="str">
        <f ca="1">IF(Tabel152[[#This Row],[Score]]&lt;&gt;"",IF(C136="",NOW(),C136),"")</f>
        <v/>
      </c>
      <c r="D136" s="217" t="str">
        <f ca="1">IF(OR(Tabel152[[#This Row],[Starttijd]]="",Tabel152[[#This Row],[Eindtijd]]=""),"",Tabel152[[#This Row],[Eindtijd]]-Tabel152[[#This Row],[Starttijd]])</f>
        <v/>
      </c>
      <c r="E136" s="74">
        <v>135</v>
      </c>
      <c r="F136" s="205"/>
      <c r="G136" s="210"/>
      <c r="H136" s="205"/>
      <c r="I136" s="210"/>
      <c r="J136" s="206"/>
      <c r="K136" s="212"/>
      <c r="L136" s="206"/>
      <c r="M136" s="212"/>
      <c r="N136" s="79">
        <f>Tabel152[[#This Row],[Score]]+Tabel152[[#This Row],[Score2]]</f>
        <v>0</v>
      </c>
      <c r="O136" s="80">
        <f>Tabel152[[#This Row],[Score3]]+Tabel152[[#This Row],[Score4]]</f>
        <v>0</v>
      </c>
      <c r="P13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Row],[Score4]]&lt;&gt;""),IF(AND(N136&gt;O136,N136&gt;=11),"ROOD",IF(AND(O136&gt;=11,N136&lt;&gt;O136),"GROEN","")),"")</f>
        <v/>
      </c>
      <c r="Q136" s="84">
        <f t="shared" si="18"/>
        <v>0</v>
      </c>
      <c r="R136" s="85">
        <f t="shared" si="19"/>
        <v>0</v>
      </c>
      <c r="S136" s="293" t="str">
        <f>Tabel152[[#This Row],[Rood Verdediging]]&amp;Tabel152[[#This Row],[Rood Aanval]]</f>
        <v/>
      </c>
      <c r="T136" s="293" t="str">
        <f>Tabel152[[#This Row],[Groen Verdediging]]&amp;Tabel152[[#This Row],[Groen Aanval]]</f>
        <v/>
      </c>
      <c r="U136" s="293" t="str">
        <f>Tabel152[[#This Row],[Winnaar 1]]&amp;Tabel152[[#This Row],[Winnaar 2]]</f>
        <v>00</v>
      </c>
      <c r="V136" s="147" t="b">
        <f>IF(Tabel152[[#This Row],[Team Rood]]=Tabel152[[#This Row],[Winnaars]],Tabel152[[#This Row],[Team Rood]])</f>
        <v>0</v>
      </c>
      <c r="W136" s="147" t="b">
        <f>IF(Tabel152[[#This Row],[Team Groen]]=Tabel152[[#This Row],[Winnaars]],Tabel152[[#This Row],[Team Groen]])</f>
        <v>0</v>
      </c>
      <c r="X136" s="283"/>
      <c r="Y136" s="283"/>
      <c r="Z136" s="283"/>
      <c r="AA136" s="283"/>
      <c r="AL136" s="250" t="s">
        <v>160</v>
      </c>
      <c r="AM136" s="232" t="s">
        <v>168</v>
      </c>
      <c r="AN136" s="140" t="str">
        <f t="shared" si="17"/>
        <v>Tiemen*Coghe*</v>
      </c>
      <c r="AO136" s="160">
        <f>IF(Tabel511[[#This Row],[Aantal Games Rood]]=0,0,(Tabel511[[#This Row],[Wins Rood]])/Tabel511[[#This Row],[Aantal Games Rood]])</f>
        <v>0</v>
      </c>
      <c r="AP136" s="159">
        <f>IF(Tabel511[[#This Row],[Aantal Games Groen]]=0,0,(Tabel511[[#This Row],[Wins Groen]])/Tabel511[[#This Row],[Aantal Games Groen]])</f>
        <v>0</v>
      </c>
      <c r="AQ136" s="156">
        <f>IF(Tabel511[[#This Row],[Aantal games Alg]]=0,0,(Tabel511[[#This Row],[Wins Alg]])/Tabel511[[#This Row],[Aantal games Alg]])</f>
        <v>0</v>
      </c>
      <c r="AR136" s="135">
        <f>COUNTIF(Tabel152[Winaar rood],Tabel511[[#This Row],[Team]])</f>
        <v>0</v>
      </c>
      <c r="AS136" s="134">
        <f>COUNTIF(Tabel152[Winnaar Groen],Tabel511[[#This Row],[Team]])</f>
        <v>0</v>
      </c>
      <c r="AT136" s="293">
        <f>COUNTIF(Tabel152[Winnaars],Tabel511[[#This Row],[Team]])</f>
        <v>0</v>
      </c>
      <c r="AU136" s="135">
        <f>Tabel511[[#This Row],[Aantal Games Rood]]-Tabel511[[#This Row],[Wins Rood]]</f>
        <v>0</v>
      </c>
      <c r="AV136" s="136">
        <f>Tabel511[[#This Row],[Aantal Games Groen]]-Tabel511[[#This Row],[Wins Groen]]</f>
        <v>1</v>
      </c>
      <c r="AW136" s="137">
        <f>Tabel511[[#This Row],[Aantal games Alg]]-Tabel511[[#This Row],[Wins Alg]]</f>
        <v>1</v>
      </c>
      <c r="AX136" s="138">
        <f>COUNTIF(Tabel152[Team Rood],Tabel511[[#This Row],[Team]])</f>
        <v>0</v>
      </c>
      <c r="AY136" s="136">
        <f>COUNTIF(Tabel152[Team Groen],Tabel511[[#This Row],[Team]])</f>
        <v>1</v>
      </c>
      <c r="AZ136" s="137">
        <f>Tabel511[[#This Row],[Aantal Games Rood]]+Tabel511[[#This Row],[Aantal Games Groen]]</f>
        <v>1</v>
      </c>
      <c r="BA136" s="138">
        <f>SUMIF(Tabel152[Team Rood],Tabel511[[#This Row],[Team]],Tabel152[Score])</f>
        <v>0</v>
      </c>
      <c r="BB136" s="138">
        <f>SUMIF(Tabel152[Team Rood],Tabel511[[#This Row],[Team]],Tabel152[Score2])</f>
        <v>0</v>
      </c>
      <c r="BC136" s="134">
        <f>SUMIF(Tabel152[Team Groen],Tabel511[[#This Row],[Team]],Tabel152[Score3])</f>
        <v>4</v>
      </c>
      <c r="BD136" s="136">
        <f>SUMIF(Tabel152[Team Groen],Tabel511[[#This Row],[Team]],Tabel152[Score4])</f>
        <v>5</v>
      </c>
      <c r="BE136" s="293">
        <f>SUM(Tabel511[[#This Row],[Goals Verdediger]]+Tabel511[[#This Row],[Goals DefG]])</f>
        <v>4</v>
      </c>
      <c r="BF136" s="293">
        <f>IF(Tabel511[[#This Row],[Aantal games Alg]]=0,0,Tabel511[[#This Row],[Goals DefA]]/Tabel511[[#This Row],[Aantal games Alg]])</f>
        <v>4</v>
      </c>
      <c r="BG136" s="293">
        <f>SUM(Tabel511[[#This Row],[Goals Aanvaller]]+Tabel511[[#This Row],[Goals OffG]])</f>
        <v>5</v>
      </c>
      <c r="BH136" s="293">
        <f>IF(Tabel511[[#This Row],[Aantal games Alg]]=0,0,Tabel511[[#This Row],[Goals OffA]]/Tabel511[[#This Row],[Aantal games Alg]])</f>
        <v>5</v>
      </c>
      <c r="BI136" s="214">
        <f>Tabel511[[#This Row],[Goals DefA]]+Tabel511[[#This Row],[Goals OffA]]</f>
        <v>9</v>
      </c>
      <c r="BJ136" s="214">
        <f>IF(Tabel511[[#This Row],[Aantal games Alg]]=0,0,Tabel511[[#This Row],[Goals Alg]]/Tabel511[[#This Row],[Aantal games Alg]])</f>
        <v>9</v>
      </c>
      <c r="BK136" s="148">
        <f>SUMIF(Tabel152[Team Rood],Tabel511[[#This Row],[Team]],Tabel152[ET])</f>
        <v>0</v>
      </c>
      <c r="BL136" s="150">
        <f ca="1">SUMIF(Tabel152[Team Groen],Tabel511[[#This Row],[Team]],Tabel152[ET])</f>
        <v>2.0833329472225159E-5</v>
      </c>
      <c r="BM136" s="153">
        <f ca="1">SUM(Tabel511[[#This Row],[ET Groen tot]],Tabel511[[#This Row],[ET Rood tot]])</f>
        <v>2.0833329472225159E-5</v>
      </c>
      <c r="BN136" s="155">
        <f ca="1">IF(Tabel511[[#This Row],[Aantal games Alg]]=0,0,Tabel511[[#This Row],[ET tot]]/Tabel511[[#This Row],[Aantal games Alg]])</f>
        <v>2.0833329472225159E-5</v>
      </c>
    </row>
    <row r="137" spans="1:66" x14ac:dyDescent="0.25">
      <c r="A137" s="215" t="str">
        <f ca="1">IF(Tabel152[[#This Row],[Rood Verdediging]]&lt;&gt;"",IF(A137="",NOW(),A137),"")</f>
        <v/>
      </c>
      <c r="B137" s="218" t="str">
        <f ca="1">IF(Tabel152[[#This Row],[Rood Verdediging]]&lt;&gt;"",IF(B137="",NOW(),B137),"")</f>
        <v/>
      </c>
      <c r="C137" s="216" t="str">
        <f ca="1">IF(Tabel152[[#This Row],[Score]]&lt;&gt;"",IF(C137="",NOW(),C137),"")</f>
        <v/>
      </c>
      <c r="D137" s="217" t="str">
        <f ca="1">IF(OR(Tabel152[[#This Row],[Starttijd]]="",Tabel152[[#This Row],[Eindtijd]]=""),"",Tabel152[[#This Row],[Eindtijd]]-Tabel152[[#This Row],[Starttijd]])</f>
        <v/>
      </c>
      <c r="E137" s="74">
        <v>136</v>
      </c>
      <c r="F137" s="205"/>
      <c r="G137" s="210"/>
      <c r="H137" s="205"/>
      <c r="I137" s="210"/>
      <c r="J137" s="206"/>
      <c r="K137" s="212"/>
      <c r="L137" s="206"/>
      <c r="M137" s="212"/>
      <c r="N137" s="79">
        <f>Tabel152[[#This Row],[Score]]+Tabel152[[#This Row],[Score2]]</f>
        <v>0</v>
      </c>
      <c r="O137" s="80">
        <f>Tabel152[[#This Row],[Score3]]+Tabel152[[#This Row],[Score4]]</f>
        <v>0</v>
      </c>
      <c r="P13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Row],[Score4]]&lt;&gt;""),IF(AND(N137&gt;O137,N137&gt;=11),"ROOD",IF(AND(O137&gt;=11,N137&lt;&gt;O137),"GROEN","")),"")</f>
        <v/>
      </c>
      <c r="Q137" s="84">
        <f t="shared" si="18"/>
        <v>0</v>
      </c>
      <c r="R137" s="85">
        <f t="shared" si="19"/>
        <v>0</v>
      </c>
      <c r="S137" s="293" t="str">
        <f>Tabel152[[#This Row],[Rood Verdediging]]&amp;Tabel152[[#This Row],[Rood Aanval]]</f>
        <v/>
      </c>
      <c r="T137" s="293" t="str">
        <f>Tabel152[[#This Row],[Groen Verdediging]]&amp;Tabel152[[#This Row],[Groen Aanval]]</f>
        <v/>
      </c>
      <c r="U137" s="293" t="str">
        <f>Tabel152[[#This Row],[Winnaar 1]]&amp;Tabel152[[#This Row],[Winnaar 2]]</f>
        <v>00</v>
      </c>
      <c r="V137" s="147" t="b">
        <f>IF(Tabel152[[#This Row],[Team Rood]]=Tabel152[[#This Row],[Winnaars]],Tabel152[[#This Row],[Team Rood]])</f>
        <v>0</v>
      </c>
      <c r="W137" s="147" t="b">
        <f>IF(Tabel152[[#This Row],[Team Groen]]=Tabel152[[#This Row],[Winnaars]],Tabel152[[#This Row],[Team Groen]])</f>
        <v>0</v>
      </c>
      <c r="X137" s="283"/>
      <c r="Y137" s="283"/>
      <c r="Z137" s="283"/>
      <c r="AA137" s="283"/>
      <c r="AL137" s="250" t="s">
        <v>160</v>
      </c>
      <c r="AM137" s="232" t="s">
        <v>159</v>
      </c>
      <c r="AN137" s="140" t="str">
        <f t="shared" si="17"/>
        <v>Tiemen*Jonas*</v>
      </c>
      <c r="AO137" s="160">
        <f>IF(Tabel511[[#This Row],[Aantal Games Rood]]=0,0,(Tabel511[[#This Row],[Wins Rood]])/Tabel511[[#This Row],[Aantal Games Rood]])</f>
        <v>0</v>
      </c>
      <c r="AP137" s="159">
        <f>IF(Tabel511[[#This Row],[Aantal Games Groen]]=0,0,(Tabel511[[#This Row],[Wins Groen]])/Tabel511[[#This Row],[Aantal Games Groen]])</f>
        <v>0.5</v>
      </c>
      <c r="AQ137" s="156">
        <f>IF(Tabel511[[#This Row],[Aantal games Alg]]=0,0,(Tabel511[[#This Row],[Wins Alg]])/Tabel511[[#This Row],[Aantal games Alg]])</f>
        <v>0.5</v>
      </c>
      <c r="AR137" s="135">
        <f>COUNTIF(Tabel152[Winaar rood],Tabel511[[#This Row],[Team]])</f>
        <v>0</v>
      </c>
      <c r="AS137" s="134">
        <f>COUNTIF(Tabel152[Winnaar Groen],Tabel511[[#This Row],[Team]])</f>
        <v>1</v>
      </c>
      <c r="AT137" s="293">
        <f>COUNTIF(Tabel152[Winnaars],Tabel511[[#This Row],[Team]])</f>
        <v>1</v>
      </c>
      <c r="AU137" s="135">
        <f>Tabel511[[#This Row],[Aantal Games Rood]]-Tabel511[[#This Row],[Wins Rood]]</f>
        <v>0</v>
      </c>
      <c r="AV137" s="136">
        <f>Tabel511[[#This Row],[Aantal Games Groen]]-Tabel511[[#This Row],[Wins Groen]]</f>
        <v>1</v>
      </c>
      <c r="AW137" s="137">
        <f>Tabel511[[#This Row],[Aantal games Alg]]-Tabel511[[#This Row],[Wins Alg]]</f>
        <v>1</v>
      </c>
      <c r="AX137" s="138">
        <f>COUNTIF(Tabel152[Team Rood],Tabel511[[#This Row],[Team]])</f>
        <v>0</v>
      </c>
      <c r="AY137" s="136">
        <f>COUNTIF(Tabel152[Team Groen],Tabel511[[#This Row],[Team]])</f>
        <v>2</v>
      </c>
      <c r="AZ137" s="137">
        <f>Tabel511[[#This Row],[Aantal Games Rood]]+Tabel511[[#This Row],[Aantal Games Groen]]</f>
        <v>2</v>
      </c>
      <c r="BA137" s="138">
        <f>SUMIF(Tabel152[Team Rood],Tabel511[[#This Row],[Team]],Tabel152[Score])</f>
        <v>0</v>
      </c>
      <c r="BB137" s="138">
        <f>SUMIF(Tabel152[Team Rood],Tabel511[[#This Row],[Team]],Tabel152[Score2])</f>
        <v>0</v>
      </c>
      <c r="BC137" s="134">
        <f>SUMIF(Tabel152[Team Groen],Tabel511[[#This Row],[Team]],Tabel152[Score3])</f>
        <v>4</v>
      </c>
      <c r="BD137" s="136">
        <f>SUMIF(Tabel152[Team Groen],Tabel511[[#This Row],[Team]],Tabel152[Score4])</f>
        <v>13</v>
      </c>
      <c r="BE137" s="293">
        <f>SUM(Tabel511[[#This Row],[Goals Verdediger]]+Tabel511[[#This Row],[Goals DefG]])</f>
        <v>4</v>
      </c>
      <c r="BF137" s="293">
        <f>IF(Tabel511[[#This Row],[Aantal games Alg]]=0,0,Tabel511[[#This Row],[Goals DefA]]/Tabel511[[#This Row],[Aantal games Alg]])</f>
        <v>2</v>
      </c>
      <c r="BG137" s="293">
        <f>SUM(Tabel511[[#This Row],[Goals Aanvaller]]+Tabel511[[#This Row],[Goals OffG]])</f>
        <v>13</v>
      </c>
      <c r="BH137" s="293">
        <f>IF(Tabel511[[#This Row],[Aantal games Alg]]=0,0,Tabel511[[#This Row],[Goals OffA]]/Tabel511[[#This Row],[Aantal games Alg]])</f>
        <v>6.5</v>
      </c>
      <c r="BI137" s="214">
        <f>Tabel511[[#This Row],[Goals DefA]]+Tabel511[[#This Row],[Goals OffA]]</f>
        <v>17</v>
      </c>
      <c r="BJ137" s="214">
        <f>IF(Tabel511[[#This Row],[Aantal games Alg]]=0,0,Tabel511[[#This Row],[Goals Alg]]/Tabel511[[#This Row],[Aantal games Alg]])</f>
        <v>8.5</v>
      </c>
      <c r="BK137" s="148">
        <f>SUMIF(Tabel152[Team Rood],Tabel511[[#This Row],[Team]],Tabel152[ET])</f>
        <v>0</v>
      </c>
      <c r="BL137" s="150">
        <f ca="1">SUMIF(Tabel152[Team Groen],Tabel511[[#This Row],[Team]],Tabel152[ET])</f>
        <v>1.0917476858594455E-2</v>
      </c>
      <c r="BM137" s="153">
        <f ca="1">SUM(Tabel511[[#This Row],[ET Groen tot]],Tabel511[[#This Row],[ET Rood tot]])</f>
        <v>1.0917476858594455E-2</v>
      </c>
      <c r="BN137" s="155">
        <f ca="1">IF(Tabel511[[#This Row],[Aantal games Alg]]=0,0,Tabel511[[#This Row],[ET tot]]/Tabel511[[#This Row],[Aantal games Alg]])</f>
        <v>5.4587384292972274E-3</v>
      </c>
    </row>
    <row r="138" spans="1:66" x14ac:dyDescent="0.25">
      <c r="A138" s="215" t="str">
        <f ca="1">IF(Tabel152[[#This Row],[Rood Verdediging]]&lt;&gt;"",IF(A138="",NOW(),A138),"")</f>
        <v/>
      </c>
      <c r="B138" s="218" t="str">
        <f ca="1">IF(Tabel152[[#This Row],[Rood Verdediging]]&lt;&gt;"",IF(B138="",NOW(),B138),"")</f>
        <v/>
      </c>
      <c r="C138" s="216" t="str">
        <f ca="1">IF(Tabel152[[#This Row],[Score]]&lt;&gt;"",IF(C138="",NOW(),C138),"")</f>
        <v/>
      </c>
      <c r="D138" s="217" t="str">
        <f ca="1">IF(OR(Tabel152[[#This Row],[Starttijd]]="",Tabel152[[#This Row],[Eindtijd]]=""),"",Tabel152[[#This Row],[Eindtijd]]-Tabel152[[#This Row],[Starttijd]])</f>
        <v/>
      </c>
      <c r="E138" s="74">
        <v>137</v>
      </c>
      <c r="F138" s="205"/>
      <c r="G138" s="210"/>
      <c r="H138" s="205"/>
      <c r="I138" s="210"/>
      <c r="J138" s="206"/>
      <c r="K138" s="212"/>
      <c r="L138" s="206"/>
      <c r="M138" s="212"/>
      <c r="N138" s="79">
        <f>Tabel152[[#This Row],[Score]]+Tabel152[[#This Row],[Score2]]</f>
        <v>0</v>
      </c>
      <c r="O138" s="80">
        <f>Tabel152[[#This Row],[Score3]]+Tabel152[[#This Row],[Score4]]</f>
        <v>0</v>
      </c>
      <c r="P13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Row],[Score4]]&lt;&gt;""),IF(AND(N138&gt;O138,N138&gt;=11),"ROOD",IF(AND(O138&gt;=11,N138&lt;&gt;O138),"GROEN","")),"")</f>
        <v/>
      </c>
      <c r="Q138" s="84">
        <f t="shared" si="18"/>
        <v>0</v>
      </c>
      <c r="R138" s="85">
        <f t="shared" si="19"/>
        <v>0</v>
      </c>
      <c r="S138" s="293" t="str">
        <f>Tabel152[[#This Row],[Rood Verdediging]]&amp;Tabel152[[#This Row],[Rood Aanval]]</f>
        <v/>
      </c>
      <c r="T138" s="293" t="str">
        <f>Tabel152[[#This Row],[Groen Verdediging]]&amp;Tabel152[[#This Row],[Groen Aanval]]</f>
        <v/>
      </c>
      <c r="U138" s="293" t="str">
        <f>Tabel152[[#This Row],[Winnaar 1]]&amp;Tabel152[[#This Row],[Winnaar 2]]</f>
        <v>00</v>
      </c>
      <c r="V138" s="147" t="b">
        <f>IF(Tabel152[[#This Row],[Team Rood]]=Tabel152[[#This Row],[Winnaars]],Tabel152[[#This Row],[Team Rood]])</f>
        <v>0</v>
      </c>
      <c r="W138" s="147" t="b">
        <f>IF(Tabel152[[#This Row],[Team Groen]]=Tabel152[[#This Row],[Winnaars]],Tabel152[[#This Row],[Team Groen]])</f>
        <v>0</v>
      </c>
      <c r="X138" s="283"/>
      <c r="Y138" s="283"/>
      <c r="Z138" s="283"/>
      <c r="AA138" s="283"/>
      <c r="AL138" s="250" t="s">
        <v>160</v>
      </c>
      <c r="AM138" s="232" t="s">
        <v>164</v>
      </c>
      <c r="AN138" s="140" t="str">
        <f t="shared" si="17"/>
        <v>Tiemen*Karel*</v>
      </c>
      <c r="AO138" s="160">
        <f>IF(Tabel511[[#This Row],[Aantal Games Rood]]=0,0,(Tabel511[[#This Row],[Wins Rood]])/Tabel511[[#This Row],[Aantal Games Rood]])</f>
        <v>0</v>
      </c>
      <c r="AP138" s="159">
        <f>IF(Tabel511[[#This Row],[Aantal Games Groen]]=0,0,(Tabel511[[#This Row],[Wins Groen]])/Tabel511[[#This Row],[Aantal Games Groen]])</f>
        <v>0</v>
      </c>
      <c r="AQ138" s="156">
        <f>IF(Tabel511[[#This Row],[Aantal games Alg]]=0,0,(Tabel511[[#This Row],[Wins Alg]])/Tabel511[[#This Row],[Aantal games Alg]])</f>
        <v>0</v>
      </c>
      <c r="AR138" s="135">
        <f>COUNTIF(Tabel152[Winaar rood],Tabel511[[#This Row],[Team]])</f>
        <v>0</v>
      </c>
      <c r="AS138" s="134">
        <f>COUNTIF(Tabel152[Winnaar Groen],Tabel511[[#This Row],[Team]])</f>
        <v>0</v>
      </c>
      <c r="AT138" s="293">
        <f>COUNTIF(Tabel152[Winnaars],Tabel511[[#This Row],[Team]])</f>
        <v>0</v>
      </c>
      <c r="AU138" s="135">
        <f>Tabel511[[#This Row],[Aantal Games Rood]]-Tabel511[[#This Row],[Wins Rood]]</f>
        <v>0</v>
      </c>
      <c r="AV138" s="136">
        <f>Tabel511[[#This Row],[Aantal Games Groen]]-Tabel511[[#This Row],[Wins Groen]]</f>
        <v>0</v>
      </c>
      <c r="AW138" s="137">
        <f>Tabel511[[#This Row],[Aantal games Alg]]-Tabel511[[#This Row],[Wins Alg]]</f>
        <v>0</v>
      </c>
      <c r="AX138" s="138">
        <f>COUNTIF(Tabel152[Team Rood],Tabel511[[#This Row],[Team]])</f>
        <v>0</v>
      </c>
      <c r="AY138" s="136">
        <f>COUNTIF(Tabel152[Team Groen],Tabel511[[#This Row],[Team]])</f>
        <v>0</v>
      </c>
      <c r="AZ138" s="137">
        <f>Tabel511[[#This Row],[Aantal Games Rood]]+Tabel511[[#This Row],[Aantal Games Groen]]</f>
        <v>0</v>
      </c>
      <c r="BA138" s="138">
        <f>SUMIF(Tabel152[Team Rood],Tabel511[[#This Row],[Team]],Tabel152[Score])</f>
        <v>0</v>
      </c>
      <c r="BB138" s="138">
        <f>SUMIF(Tabel152[Team Rood],Tabel511[[#This Row],[Team]],Tabel152[Score2])</f>
        <v>0</v>
      </c>
      <c r="BC138" s="134">
        <f>SUMIF(Tabel152[Team Groen],Tabel511[[#This Row],[Team]],Tabel152[Score3])</f>
        <v>0</v>
      </c>
      <c r="BD138" s="136">
        <f>SUMIF(Tabel152[Team Groen],Tabel511[[#This Row],[Team]],Tabel152[Score4])</f>
        <v>0</v>
      </c>
      <c r="BE138" s="293">
        <f>SUM(Tabel511[[#This Row],[Goals Verdediger]]+Tabel511[[#This Row],[Goals DefG]])</f>
        <v>0</v>
      </c>
      <c r="BF138" s="293">
        <f>IF(Tabel511[[#This Row],[Aantal games Alg]]=0,0,Tabel511[[#This Row],[Goals DefA]]/Tabel511[[#This Row],[Aantal games Alg]])</f>
        <v>0</v>
      </c>
      <c r="BG138" s="293">
        <f>SUM(Tabel511[[#This Row],[Goals Aanvaller]]+Tabel511[[#This Row],[Goals OffG]])</f>
        <v>0</v>
      </c>
      <c r="BH138" s="293">
        <f>IF(Tabel511[[#This Row],[Aantal games Alg]]=0,0,Tabel511[[#This Row],[Goals OffA]]/Tabel511[[#This Row],[Aantal games Alg]])</f>
        <v>0</v>
      </c>
      <c r="BI138" s="214">
        <f>Tabel511[[#This Row],[Goals DefA]]+Tabel511[[#This Row],[Goals OffA]]</f>
        <v>0</v>
      </c>
      <c r="BJ138" s="214">
        <f>IF(Tabel511[[#This Row],[Aantal games Alg]]=0,0,Tabel511[[#This Row],[Goals Alg]]/Tabel511[[#This Row],[Aantal games Alg]])</f>
        <v>0</v>
      </c>
      <c r="BK138" s="148">
        <f>SUMIF(Tabel152[Team Rood],Tabel511[[#This Row],[Team]],Tabel152[ET])</f>
        <v>0</v>
      </c>
      <c r="BL138" s="150">
        <f>SUMIF(Tabel152[Team Groen],Tabel511[[#This Row],[Team]],Tabel152[ET])</f>
        <v>0</v>
      </c>
      <c r="BM138" s="153">
        <f>SUM(Tabel511[[#This Row],[ET Groen tot]],Tabel511[[#This Row],[ET Rood tot]])</f>
        <v>0</v>
      </c>
      <c r="BN138" s="155">
        <f>IF(Tabel511[[#This Row],[Aantal games Alg]]=0,0,Tabel511[[#This Row],[ET tot]]/Tabel511[[#This Row],[Aantal games Alg]])</f>
        <v>0</v>
      </c>
    </row>
    <row r="139" spans="1:66" x14ac:dyDescent="0.25">
      <c r="A139" s="215" t="str">
        <f ca="1">IF(Tabel152[[#This Row],[Rood Verdediging]]&lt;&gt;"",IF(A139="",NOW(),A139),"")</f>
        <v/>
      </c>
      <c r="B139" s="218" t="str">
        <f ca="1">IF(Tabel152[[#This Row],[Rood Verdediging]]&lt;&gt;"",IF(B139="",NOW(),B139),"")</f>
        <v/>
      </c>
      <c r="C139" s="216" t="str">
        <f ca="1">IF(Tabel152[[#This Row],[Score]]&lt;&gt;"",IF(C139="",NOW(),C139),"")</f>
        <v/>
      </c>
      <c r="D139" s="217" t="str">
        <f ca="1">IF(OR(Tabel152[[#This Row],[Starttijd]]="",Tabel152[[#This Row],[Eindtijd]]=""),"",Tabel152[[#This Row],[Eindtijd]]-Tabel152[[#This Row],[Starttijd]])</f>
        <v/>
      </c>
      <c r="E139" s="74">
        <v>138</v>
      </c>
      <c r="F139" s="205"/>
      <c r="G139" s="210"/>
      <c r="H139" s="205"/>
      <c r="I139" s="210"/>
      <c r="J139" s="206"/>
      <c r="K139" s="212"/>
      <c r="L139" s="206"/>
      <c r="M139" s="212"/>
      <c r="N139" s="79">
        <f>Tabel152[[#This Row],[Score]]+Tabel152[[#This Row],[Score2]]</f>
        <v>0</v>
      </c>
      <c r="O139" s="80">
        <f>Tabel152[[#This Row],[Score3]]+Tabel152[[#This Row],[Score4]]</f>
        <v>0</v>
      </c>
      <c r="P13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Row],[Score4]]&lt;&gt;""),IF(AND(N139&gt;O139,N139&gt;=11),"ROOD",IF(AND(O139&gt;=11,N139&lt;&gt;O139),"GROEN","")),"")</f>
        <v/>
      </c>
      <c r="Q139" s="84">
        <f t="shared" si="18"/>
        <v>0</v>
      </c>
      <c r="R139" s="85">
        <f t="shared" si="19"/>
        <v>0</v>
      </c>
      <c r="S139" s="293" t="str">
        <f>Tabel152[[#This Row],[Rood Verdediging]]&amp;Tabel152[[#This Row],[Rood Aanval]]</f>
        <v/>
      </c>
      <c r="T139" s="293" t="str">
        <f>Tabel152[[#This Row],[Groen Verdediging]]&amp;Tabel152[[#This Row],[Groen Aanval]]</f>
        <v/>
      </c>
      <c r="U139" s="293" t="str">
        <f>Tabel152[[#This Row],[Winnaar 1]]&amp;Tabel152[[#This Row],[Winnaar 2]]</f>
        <v>00</v>
      </c>
      <c r="V139" s="147" t="b">
        <f>IF(Tabel152[[#This Row],[Team Rood]]=Tabel152[[#This Row],[Winnaars]],Tabel152[[#This Row],[Team Rood]])</f>
        <v>0</v>
      </c>
      <c r="W139" s="147" t="b">
        <f>IF(Tabel152[[#This Row],[Team Groen]]=Tabel152[[#This Row],[Winnaars]],Tabel152[[#This Row],[Team Groen]])</f>
        <v>0</v>
      </c>
      <c r="X139" s="283"/>
      <c r="Y139" s="283"/>
      <c r="Z139" s="283"/>
      <c r="AA139" s="283"/>
      <c r="AL139" s="250" t="s">
        <v>160</v>
      </c>
      <c r="AM139" s="232" t="s">
        <v>67</v>
      </c>
      <c r="AN139" s="140" t="str">
        <f t="shared" si="17"/>
        <v>Tiemen*Lawrence</v>
      </c>
      <c r="AO139" s="160">
        <f>IF(Tabel511[[#This Row],[Aantal Games Rood]]=0,0,(Tabel511[[#This Row],[Wins Rood]])/Tabel511[[#This Row],[Aantal Games Rood]])</f>
        <v>0</v>
      </c>
      <c r="AP139" s="159">
        <f>IF(Tabel511[[#This Row],[Aantal Games Groen]]=0,0,(Tabel511[[#This Row],[Wins Groen]])/Tabel511[[#This Row],[Aantal Games Groen]])</f>
        <v>0</v>
      </c>
      <c r="AQ139" s="156">
        <f>IF(Tabel511[[#This Row],[Aantal games Alg]]=0,0,(Tabel511[[#This Row],[Wins Alg]])/Tabel511[[#This Row],[Aantal games Alg]])</f>
        <v>0</v>
      </c>
      <c r="AR139" s="135">
        <f>COUNTIF(Tabel152[Winaar rood],Tabel511[[#This Row],[Team]])</f>
        <v>0</v>
      </c>
      <c r="AS139" s="134">
        <f>COUNTIF(Tabel152[Winnaar Groen],Tabel511[[#This Row],[Team]])</f>
        <v>0</v>
      </c>
      <c r="AT139" s="293">
        <f>COUNTIF(Tabel152[Winnaars],Tabel511[[#This Row],[Team]])</f>
        <v>0</v>
      </c>
      <c r="AU139" s="135">
        <f>Tabel511[[#This Row],[Aantal Games Rood]]-Tabel511[[#This Row],[Wins Rood]]</f>
        <v>0</v>
      </c>
      <c r="AV139" s="136">
        <f>Tabel511[[#This Row],[Aantal Games Groen]]-Tabel511[[#This Row],[Wins Groen]]</f>
        <v>0</v>
      </c>
      <c r="AW139" s="137">
        <f>Tabel511[[#This Row],[Aantal games Alg]]-Tabel511[[#This Row],[Wins Alg]]</f>
        <v>0</v>
      </c>
      <c r="AX139" s="138">
        <f>COUNTIF(Tabel152[Team Rood],Tabel511[[#This Row],[Team]])</f>
        <v>0</v>
      </c>
      <c r="AY139" s="136">
        <f>COUNTIF(Tabel152[Team Groen],Tabel511[[#This Row],[Team]])</f>
        <v>0</v>
      </c>
      <c r="AZ139" s="137">
        <f>Tabel511[[#This Row],[Aantal Games Rood]]+Tabel511[[#This Row],[Aantal Games Groen]]</f>
        <v>0</v>
      </c>
      <c r="BA139" s="138">
        <f>SUMIF(Tabel152[Team Rood],Tabel511[[#This Row],[Team]],Tabel152[Score])</f>
        <v>0</v>
      </c>
      <c r="BB139" s="138">
        <f>SUMIF(Tabel152[Team Rood],Tabel511[[#This Row],[Team]],Tabel152[Score2])</f>
        <v>0</v>
      </c>
      <c r="BC139" s="134">
        <f>SUMIF(Tabel152[Team Groen],Tabel511[[#This Row],[Team]],Tabel152[Score3])</f>
        <v>0</v>
      </c>
      <c r="BD139" s="136">
        <f>SUMIF(Tabel152[Team Groen],Tabel511[[#This Row],[Team]],Tabel152[Score4])</f>
        <v>0</v>
      </c>
      <c r="BE139" s="293">
        <f>SUM(Tabel511[[#This Row],[Goals Verdediger]]+Tabel511[[#This Row],[Goals DefG]])</f>
        <v>0</v>
      </c>
      <c r="BF139" s="293">
        <f>IF(Tabel511[[#This Row],[Aantal games Alg]]=0,0,Tabel511[[#This Row],[Goals DefA]]/Tabel511[[#This Row],[Aantal games Alg]])</f>
        <v>0</v>
      </c>
      <c r="BG139" s="293">
        <f>SUM(Tabel511[[#This Row],[Goals Aanvaller]]+Tabel511[[#This Row],[Goals OffG]])</f>
        <v>0</v>
      </c>
      <c r="BH139" s="293">
        <f>IF(Tabel511[[#This Row],[Aantal games Alg]]=0,0,Tabel511[[#This Row],[Goals OffA]]/Tabel511[[#This Row],[Aantal games Alg]])</f>
        <v>0</v>
      </c>
      <c r="BI139" s="214">
        <f>Tabel511[[#This Row],[Goals DefA]]+Tabel511[[#This Row],[Goals OffA]]</f>
        <v>0</v>
      </c>
      <c r="BJ139" s="214">
        <f>IF(Tabel511[[#This Row],[Aantal games Alg]]=0,0,Tabel511[[#This Row],[Goals Alg]]/Tabel511[[#This Row],[Aantal games Alg]])</f>
        <v>0</v>
      </c>
      <c r="BK139" s="148">
        <f>SUMIF(Tabel152[Team Rood],Tabel511[[#This Row],[Team]],Tabel152[ET])</f>
        <v>0</v>
      </c>
      <c r="BL139" s="150">
        <f>SUMIF(Tabel152[Team Groen],Tabel511[[#This Row],[Team]],Tabel152[ET])</f>
        <v>0</v>
      </c>
      <c r="BM139" s="153">
        <f>SUM(Tabel511[[#This Row],[ET Groen tot]],Tabel511[[#This Row],[ET Rood tot]])</f>
        <v>0</v>
      </c>
      <c r="BN139" s="155">
        <f>IF(Tabel511[[#This Row],[Aantal games Alg]]=0,0,Tabel511[[#This Row],[ET tot]]/Tabel511[[#This Row],[Aantal games Alg]])</f>
        <v>0</v>
      </c>
    </row>
    <row r="140" spans="1:66" x14ac:dyDescent="0.25">
      <c r="A140" s="215" t="str">
        <f ca="1">IF(Tabel152[[#This Row],[Rood Verdediging]]&lt;&gt;"",IF(A140="",NOW(),A140),"")</f>
        <v/>
      </c>
      <c r="B140" s="218" t="str">
        <f ca="1">IF(Tabel152[[#This Row],[Rood Verdediging]]&lt;&gt;"",IF(B140="",NOW(),B140),"")</f>
        <v/>
      </c>
      <c r="C140" s="216" t="str">
        <f ca="1">IF(Tabel152[[#This Row],[Score]]&lt;&gt;"",IF(C140="",NOW(),C140),"")</f>
        <v/>
      </c>
      <c r="D140" s="217" t="str">
        <f ca="1">IF(OR(Tabel152[[#This Row],[Starttijd]]="",Tabel152[[#This Row],[Eindtijd]]=""),"",Tabel152[[#This Row],[Eindtijd]]-Tabel152[[#This Row],[Starttijd]])</f>
        <v/>
      </c>
      <c r="E140" s="74">
        <v>139</v>
      </c>
      <c r="F140" s="205"/>
      <c r="G140" s="210"/>
      <c r="H140" s="205"/>
      <c r="I140" s="210"/>
      <c r="J140" s="206"/>
      <c r="K140" s="212"/>
      <c r="L140" s="206"/>
      <c r="M140" s="212"/>
      <c r="N140" s="79">
        <f>Tabel152[[#This Row],[Score]]+Tabel152[[#This Row],[Score2]]</f>
        <v>0</v>
      </c>
      <c r="O140" s="80">
        <f>Tabel152[[#This Row],[Score3]]+Tabel152[[#This Row],[Score4]]</f>
        <v>0</v>
      </c>
      <c r="P14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Row],[Score4]]&lt;&gt;""),IF(AND(N140&gt;O140,N140&gt;=11),"ROOD",IF(AND(O140&gt;=11,N140&lt;&gt;O140),"GROEN","")),"")</f>
        <v/>
      </c>
      <c r="Q140" s="84">
        <f t="shared" si="18"/>
        <v>0</v>
      </c>
      <c r="R140" s="85">
        <f t="shared" si="19"/>
        <v>0</v>
      </c>
      <c r="S140" s="293" t="str">
        <f>Tabel152[[#This Row],[Rood Verdediging]]&amp;Tabel152[[#This Row],[Rood Aanval]]</f>
        <v/>
      </c>
      <c r="T140" s="293" t="str">
        <f>Tabel152[[#This Row],[Groen Verdediging]]&amp;Tabel152[[#This Row],[Groen Aanval]]</f>
        <v/>
      </c>
      <c r="U140" s="293" t="str">
        <f>Tabel152[[#This Row],[Winnaar 1]]&amp;Tabel152[[#This Row],[Winnaar 2]]</f>
        <v>00</v>
      </c>
      <c r="V140" s="147" t="b">
        <f>IF(Tabel152[[#This Row],[Team Rood]]=Tabel152[[#This Row],[Winnaars]],Tabel152[[#This Row],[Team Rood]])</f>
        <v>0</v>
      </c>
      <c r="W140" s="147" t="b">
        <f>IF(Tabel152[[#This Row],[Team Groen]]=Tabel152[[#This Row],[Winnaars]],Tabel152[[#This Row],[Team Groen]])</f>
        <v>0</v>
      </c>
      <c r="X140" s="283"/>
      <c r="Y140" s="283"/>
      <c r="Z140" s="283"/>
      <c r="AA140" s="283"/>
      <c r="AL140" s="250" t="s">
        <v>160</v>
      </c>
      <c r="AM140" s="232" t="s">
        <v>161</v>
      </c>
      <c r="AN140" s="140" t="str">
        <f t="shared" si="17"/>
        <v>Tiemen*Louis*</v>
      </c>
      <c r="AO140" s="160">
        <f>IF(Tabel511[[#This Row],[Aantal Games Rood]]=0,0,(Tabel511[[#This Row],[Wins Rood]])/Tabel511[[#This Row],[Aantal Games Rood]])</f>
        <v>0</v>
      </c>
      <c r="AP140" s="159">
        <f>IF(Tabel511[[#This Row],[Aantal Games Groen]]=0,0,(Tabel511[[#This Row],[Wins Groen]])/Tabel511[[#This Row],[Aantal Games Groen]])</f>
        <v>0</v>
      </c>
      <c r="AQ140" s="156">
        <f>IF(Tabel511[[#This Row],[Aantal games Alg]]=0,0,(Tabel511[[#This Row],[Wins Alg]])/Tabel511[[#This Row],[Aantal games Alg]])</f>
        <v>0</v>
      </c>
      <c r="AR140" s="135">
        <f>COUNTIF(Tabel152[Winaar rood],Tabel511[[#This Row],[Team]])</f>
        <v>0</v>
      </c>
      <c r="AS140" s="134">
        <f>COUNTIF(Tabel152[Winnaar Groen],Tabel511[[#This Row],[Team]])</f>
        <v>0</v>
      </c>
      <c r="AT140" s="293">
        <f>COUNTIF(Tabel152[Winnaars],Tabel511[[#This Row],[Team]])</f>
        <v>0</v>
      </c>
      <c r="AU140" s="135">
        <f>Tabel511[[#This Row],[Aantal Games Rood]]-Tabel511[[#This Row],[Wins Rood]]</f>
        <v>0</v>
      </c>
      <c r="AV140" s="136">
        <f>Tabel511[[#This Row],[Aantal Games Groen]]-Tabel511[[#This Row],[Wins Groen]]</f>
        <v>0</v>
      </c>
      <c r="AW140" s="137">
        <f>Tabel511[[#This Row],[Aantal games Alg]]-Tabel511[[#This Row],[Wins Alg]]</f>
        <v>0</v>
      </c>
      <c r="AX140" s="138">
        <f>COUNTIF(Tabel152[Team Rood],Tabel511[[#This Row],[Team]])</f>
        <v>0</v>
      </c>
      <c r="AY140" s="136">
        <f>COUNTIF(Tabel152[Team Groen],Tabel511[[#This Row],[Team]])</f>
        <v>0</v>
      </c>
      <c r="AZ140" s="137">
        <f>Tabel511[[#This Row],[Aantal Games Rood]]+Tabel511[[#This Row],[Aantal Games Groen]]</f>
        <v>0</v>
      </c>
      <c r="BA140" s="138">
        <f>SUMIF(Tabel152[Team Rood],Tabel511[[#This Row],[Team]],Tabel152[Score])</f>
        <v>0</v>
      </c>
      <c r="BB140" s="138">
        <f>SUMIF(Tabel152[Team Rood],Tabel511[[#This Row],[Team]],Tabel152[Score2])</f>
        <v>0</v>
      </c>
      <c r="BC140" s="134">
        <f>SUMIF(Tabel152[Team Groen],Tabel511[[#This Row],[Team]],Tabel152[Score3])</f>
        <v>0</v>
      </c>
      <c r="BD140" s="136">
        <f>SUMIF(Tabel152[Team Groen],Tabel511[[#This Row],[Team]],Tabel152[Score4])</f>
        <v>0</v>
      </c>
      <c r="BE140" s="293">
        <f>SUM(Tabel511[[#This Row],[Goals Verdediger]]+Tabel511[[#This Row],[Goals DefG]])</f>
        <v>0</v>
      </c>
      <c r="BF140" s="293">
        <f>IF(Tabel511[[#This Row],[Aantal games Alg]]=0,0,Tabel511[[#This Row],[Goals DefA]]/Tabel511[[#This Row],[Aantal games Alg]])</f>
        <v>0</v>
      </c>
      <c r="BG140" s="293">
        <f>SUM(Tabel511[[#This Row],[Goals Aanvaller]]+Tabel511[[#This Row],[Goals OffG]])</f>
        <v>0</v>
      </c>
      <c r="BH140" s="293">
        <f>IF(Tabel511[[#This Row],[Aantal games Alg]]=0,0,Tabel511[[#This Row],[Goals OffA]]/Tabel511[[#This Row],[Aantal games Alg]])</f>
        <v>0</v>
      </c>
      <c r="BI140" s="214">
        <f>Tabel511[[#This Row],[Goals DefA]]+Tabel511[[#This Row],[Goals OffA]]</f>
        <v>0</v>
      </c>
      <c r="BJ140" s="214">
        <f>IF(Tabel511[[#This Row],[Aantal games Alg]]=0,0,Tabel511[[#This Row],[Goals Alg]]/Tabel511[[#This Row],[Aantal games Alg]])</f>
        <v>0</v>
      </c>
      <c r="BK140" s="148">
        <f>SUMIF(Tabel152[Team Rood],Tabel511[[#This Row],[Team]],Tabel152[ET])</f>
        <v>0</v>
      </c>
      <c r="BL140" s="150">
        <f>SUMIF(Tabel152[Team Groen],Tabel511[[#This Row],[Team]],Tabel152[ET])</f>
        <v>0</v>
      </c>
      <c r="BM140" s="153">
        <f>SUM(Tabel511[[#This Row],[ET Groen tot]],Tabel511[[#This Row],[ET Rood tot]])</f>
        <v>0</v>
      </c>
      <c r="BN140" s="155">
        <f>IF(Tabel511[[#This Row],[Aantal games Alg]]=0,0,Tabel511[[#This Row],[ET tot]]/Tabel511[[#This Row],[Aantal games Alg]])</f>
        <v>0</v>
      </c>
    </row>
    <row r="141" spans="1:66" x14ac:dyDescent="0.25">
      <c r="A141" s="215" t="str">
        <f ca="1">IF(Tabel152[[#This Row],[Rood Verdediging]]&lt;&gt;"",IF(A141="",NOW(),A141),"")</f>
        <v/>
      </c>
      <c r="B141" s="218" t="str">
        <f ca="1">IF(Tabel152[[#This Row],[Rood Verdediging]]&lt;&gt;"",IF(B141="",NOW(),B141),"")</f>
        <v/>
      </c>
      <c r="C141" s="216" t="str">
        <f ca="1">IF(Tabel152[[#This Row],[Score]]&lt;&gt;"",IF(C141="",NOW(),C141),"")</f>
        <v/>
      </c>
      <c r="D141" s="217" t="str">
        <f ca="1">IF(OR(Tabel152[[#This Row],[Starttijd]]="",Tabel152[[#This Row],[Eindtijd]]=""),"",Tabel152[[#This Row],[Eindtijd]]-Tabel152[[#This Row],[Starttijd]])</f>
        <v/>
      </c>
      <c r="E141" s="74">
        <v>140</v>
      </c>
      <c r="F141" s="205"/>
      <c r="G141" s="210"/>
      <c r="H141" s="205"/>
      <c r="I141" s="210"/>
      <c r="J141" s="206"/>
      <c r="K141" s="212"/>
      <c r="L141" s="206"/>
      <c r="M141" s="212"/>
      <c r="N141" s="79">
        <f>Tabel152[[#This Row],[Score]]+Tabel152[[#This Row],[Score2]]</f>
        <v>0</v>
      </c>
      <c r="O141" s="80">
        <f>Tabel152[[#This Row],[Score3]]+Tabel152[[#This Row],[Score4]]</f>
        <v>0</v>
      </c>
      <c r="P14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Row],[Score4]]&lt;&gt;""),IF(AND(N141&gt;O141,N141&gt;=11),"ROOD",IF(AND(O141&gt;=11,N141&lt;&gt;O141),"GROEN","")),"")</f>
        <v/>
      </c>
      <c r="Q141" s="84">
        <f t="shared" si="18"/>
        <v>0</v>
      </c>
      <c r="R141" s="85">
        <f t="shared" si="19"/>
        <v>0</v>
      </c>
      <c r="S141" s="293" t="str">
        <f>Tabel152[[#This Row],[Rood Verdediging]]&amp;Tabel152[[#This Row],[Rood Aanval]]</f>
        <v/>
      </c>
      <c r="T141" s="293" t="str">
        <f>Tabel152[[#This Row],[Groen Verdediging]]&amp;Tabel152[[#This Row],[Groen Aanval]]</f>
        <v/>
      </c>
      <c r="U141" s="293" t="str">
        <f>Tabel152[[#This Row],[Winnaar 1]]&amp;Tabel152[[#This Row],[Winnaar 2]]</f>
        <v>00</v>
      </c>
      <c r="V141" s="147" t="b">
        <f>IF(Tabel152[[#This Row],[Team Rood]]=Tabel152[[#This Row],[Winnaars]],Tabel152[[#This Row],[Team Rood]])</f>
        <v>0</v>
      </c>
      <c r="W141" s="147" t="b">
        <f>IF(Tabel152[[#This Row],[Team Groen]]=Tabel152[[#This Row],[Winnaars]],Tabel152[[#This Row],[Team Groen]])</f>
        <v>0</v>
      </c>
      <c r="X141" s="283"/>
      <c r="Y141" s="283"/>
      <c r="Z141" s="283"/>
      <c r="AA141" s="283"/>
      <c r="AL141" s="250" t="s">
        <v>160</v>
      </c>
      <c r="AM141" s="232" t="s">
        <v>162</v>
      </c>
      <c r="AN141" s="140" t="str">
        <f t="shared" si="17"/>
        <v>Tiemen*Matthijs*</v>
      </c>
      <c r="AO141" s="160">
        <f>IF(Tabel511[[#This Row],[Aantal Games Rood]]=0,0,(Tabel511[[#This Row],[Wins Rood]])/Tabel511[[#This Row],[Aantal Games Rood]])</f>
        <v>0</v>
      </c>
      <c r="AP141" s="159">
        <f>IF(Tabel511[[#This Row],[Aantal Games Groen]]=0,0,(Tabel511[[#This Row],[Wins Groen]])/Tabel511[[#This Row],[Aantal Games Groen]])</f>
        <v>0</v>
      </c>
      <c r="AQ141" s="156">
        <f>IF(Tabel511[[#This Row],[Aantal games Alg]]=0,0,(Tabel511[[#This Row],[Wins Alg]])/Tabel511[[#This Row],[Aantal games Alg]])</f>
        <v>0</v>
      </c>
      <c r="AR141" s="135">
        <f>COUNTIF(Tabel152[Winaar rood],Tabel511[[#This Row],[Team]])</f>
        <v>0</v>
      </c>
      <c r="AS141" s="134">
        <f>COUNTIF(Tabel152[Winnaar Groen],Tabel511[[#This Row],[Team]])</f>
        <v>0</v>
      </c>
      <c r="AT141" s="293">
        <f>COUNTIF(Tabel152[Winnaars],Tabel511[[#This Row],[Team]])</f>
        <v>0</v>
      </c>
      <c r="AU141" s="135">
        <f>Tabel511[[#This Row],[Aantal Games Rood]]-Tabel511[[#This Row],[Wins Rood]]</f>
        <v>0</v>
      </c>
      <c r="AV141" s="136">
        <f>Tabel511[[#This Row],[Aantal Games Groen]]-Tabel511[[#This Row],[Wins Groen]]</f>
        <v>1</v>
      </c>
      <c r="AW141" s="137">
        <f>Tabel511[[#This Row],[Aantal games Alg]]-Tabel511[[#This Row],[Wins Alg]]</f>
        <v>1</v>
      </c>
      <c r="AX141" s="138">
        <f>COUNTIF(Tabel152[Team Rood],Tabel511[[#This Row],[Team]])</f>
        <v>0</v>
      </c>
      <c r="AY141" s="136">
        <f>COUNTIF(Tabel152[Team Groen],Tabel511[[#This Row],[Team]])</f>
        <v>1</v>
      </c>
      <c r="AZ141" s="137">
        <f>Tabel511[[#This Row],[Aantal Games Rood]]+Tabel511[[#This Row],[Aantal Games Groen]]</f>
        <v>1</v>
      </c>
      <c r="BA141" s="138">
        <f>SUMIF(Tabel152[Team Rood],Tabel511[[#This Row],[Team]],Tabel152[Score])</f>
        <v>0</v>
      </c>
      <c r="BB141" s="138">
        <f>SUMIF(Tabel152[Team Rood],Tabel511[[#This Row],[Team]],Tabel152[Score2])</f>
        <v>0</v>
      </c>
      <c r="BC141" s="134">
        <f>SUMIF(Tabel152[Team Groen],Tabel511[[#This Row],[Team]],Tabel152[Score3])</f>
        <v>5</v>
      </c>
      <c r="BD141" s="136">
        <f>SUMIF(Tabel152[Team Groen],Tabel511[[#This Row],[Team]],Tabel152[Score4])</f>
        <v>3</v>
      </c>
      <c r="BE141" s="293">
        <f>SUM(Tabel511[[#This Row],[Goals Verdediger]]+Tabel511[[#This Row],[Goals DefG]])</f>
        <v>5</v>
      </c>
      <c r="BF141" s="293">
        <f>IF(Tabel511[[#This Row],[Aantal games Alg]]=0,0,Tabel511[[#This Row],[Goals DefA]]/Tabel511[[#This Row],[Aantal games Alg]])</f>
        <v>5</v>
      </c>
      <c r="BG141" s="293">
        <f>SUM(Tabel511[[#This Row],[Goals Aanvaller]]+Tabel511[[#This Row],[Goals OffG]])</f>
        <v>3</v>
      </c>
      <c r="BH141" s="293">
        <f>IF(Tabel511[[#This Row],[Aantal games Alg]]=0,0,Tabel511[[#This Row],[Goals OffA]]/Tabel511[[#This Row],[Aantal games Alg]])</f>
        <v>3</v>
      </c>
      <c r="BI141" s="214">
        <f>Tabel511[[#This Row],[Goals DefA]]+Tabel511[[#This Row],[Goals OffA]]</f>
        <v>8</v>
      </c>
      <c r="BJ141" s="214">
        <f>IF(Tabel511[[#This Row],[Aantal games Alg]]=0,0,Tabel511[[#This Row],[Goals Alg]]/Tabel511[[#This Row],[Aantal games Alg]])</f>
        <v>8</v>
      </c>
      <c r="BK141" s="148">
        <f>SUMIF(Tabel152[Team Rood],Tabel511[[#This Row],[Team]],Tabel152[ET])</f>
        <v>0</v>
      </c>
      <c r="BL141" s="150">
        <f ca="1">SUMIF(Tabel152[Team Groen],Tabel511[[#This Row],[Team]],Tabel152[ET])</f>
        <v>4.7453700972255319E-5</v>
      </c>
      <c r="BM141" s="153">
        <f ca="1">SUM(Tabel511[[#This Row],[ET Groen tot]],Tabel511[[#This Row],[ET Rood tot]])</f>
        <v>4.7453700972255319E-5</v>
      </c>
      <c r="BN141" s="155">
        <f ca="1">IF(Tabel511[[#This Row],[Aantal games Alg]]=0,0,Tabel511[[#This Row],[ET tot]]/Tabel511[[#This Row],[Aantal games Alg]])</f>
        <v>4.7453700972255319E-5</v>
      </c>
    </row>
    <row r="142" spans="1:66" x14ac:dyDescent="0.25">
      <c r="A142" s="215" t="str">
        <f ca="1">IF(Tabel152[[#This Row],[Rood Verdediging]]&lt;&gt;"",IF(A142="",NOW(),A142),"")</f>
        <v/>
      </c>
      <c r="B142" s="218" t="str">
        <f ca="1">IF(Tabel152[[#This Row],[Rood Verdediging]]&lt;&gt;"",IF(B142="",NOW(),B142),"")</f>
        <v/>
      </c>
      <c r="C142" s="216" t="str">
        <f ca="1">IF(Tabel152[[#This Row],[Score]]&lt;&gt;"",IF(C142="",NOW(),C142),"")</f>
        <v/>
      </c>
      <c r="D142" s="217" t="str">
        <f ca="1">IF(OR(Tabel152[[#This Row],[Starttijd]]="",Tabel152[[#This Row],[Eindtijd]]=""),"",Tabel152[[#This Row],[Eindtijd]]-Tabel152[[#This Row],[Starttijd]])</f>
        <v/>
      </c>
      <c r="E142" s="74">
        <v>141</v>
      </c>
      <c r="F142" s="205"/>
      <c r="G142" s="210"/>
      <c r="H142" s="205"/>
      <c r="I142" s="210"/>
      <c r="J142" s="206"/>
      <c r="K142" s="212"/>
      <c r="L142" s="206"/>
      <c r="M142" s="212"/>
      <c r="N142" s="79">
        <f>Tabel152[[#This Row],[Score]]+Tabel152[[#This Row],[Score2]]</f>
        <v>0</v>
      </c>
      <c r="O142" s="80">
        <f>Tabel152[[#This Row],[Score3]]+Tabel152[[#This Row],[Score4]]</f>
        <v>0</v>
      </c>
      <c r="P14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Row],[Score4]]&lt;&gt;""),IF(AND(N142&gt;O142,N142&gt;=11),"ROOD",IF(AND(O142&gt;=11,N142&lt;&gt;O142),"GROEN","")),"")</f>
        <v/>
      </c>
      <c r="Q142" s="84">
        <f t="shared" si="18"/>
        <v>0</v>
      </c>
      <c r="R142" s="85">
        <f t="shared" si="19"/>
        <v>0</v>
      </c>
      <c r="S142" s="293" t="str">
        <f>Tabel152[[#This Row],[Rood Verdediging]]&amp;Tabel152[[#This Row],[Rood Aanval]]</f>
        <v/>
      </c>
      <c r="T142" s="293" t="str">
        <f>Tabel152[[#This Row],[Groen Verdediging]]&amp;Tabel152[[#This Row],[Groen Aanval]]</f>
        <v/>
      </c>
      <c r="U142" s="293" t="str">
        <f>Tabel152[[#This Row],[Winnaar 1]]&amp;Tabel152[[#This Row],[Winnaar 2]]</f>
        <v>00</v>
      </c>
      <c r="V142" s="147" t="b">
        <f>IF(Tabel152[[#This Row],[Team Rood]]=Tabel152[[#This Row],[Winnaars]],Tabel152[[#This Row],[Team Rood]])</f>
        <v>0</v>
      </c>
      <c r="W142" s="147" t="b">
        <f>IF(Tabel152[[#This Row],[Team Groen]]=Tabel152[[#This Row],[Winnaars]],Tabel152[[#This Row],[Team Groen]])</f>
        <v>0</v>
      </c>
      <c r="X142" s="283"/>
      <c r="Y142" s="283"/>
      <c r="Z142" s="283"/>
      <c r="AA142" s="283"/>
      <c r="AL142" s="250" t="s">
        <v>160</v>
      </c>
      <c r="AM142" s="232" t="s">
        <v>170</v>
      </c>
      <c r="AN142" s="140" t="str">
        <f t="shared" si="17"/>
        <v>Tiemen*Nico*</v>
      </c>
      <c r="AO142" s="160">
        <f>IF(Tabel511[[#This Row],[Aantal Games Rood]]=0,0,(Tabel511[[#This Row],[Wins Rood]])/Tabel511[[#This Row],[Aantal Games Rood]])</f>
        <v>0</v>
      </c>
      <c r="AP142" s="159">
        <f>IF(Tabel511[[#This Row],[Aantal Games Groen]]=0,0,(Tabel511[[#This Row],[Wins Groen]])/Tabel511[[#This Row],[Aantal Games Groen]])</f>
        <v>0</v>
      </c>
      <c r="AQ142" s="156">
        <f>IF(Tabel511[[#This Row],[Aantal games Alg]]=0,0,(Tabel511[[#This Row],[Wins Alg]])/Tabel511[[#This Row],[Aantal games Alg]])</f>
        <v>0</v>
      </c>
      <c r="AR142" s="163">
        <f>COUNTIF(Tabel152[Winaar rood],Tabel511[[#This Row],[Team]])</f>
        <v>0</v>
      </c>
      <c r="AS142" s="169">
        <f>COUNTIF(Tabel152[Winnaar Groen],Tabel511[[#This Row],[Team]])</f>
        <v>0</v>
      </c>
      <c r="AT142" s="170">
        <f>COUNTIF(Tabel152[Winnaars],Tabel511[[#This Row],[Team]])</f>
        <v>0</v>
      </c>
      <c r="AU142" s="163">
        <f>Tabel511[[#This Row],[Aantal Games Rood]]-Tabel511[[#This Row],[Wins Rood]]</f>
        <v>0</v>
      </c>
      <c r="AV142" s="169">
        <f>Tabel511[[#This Row],[Aantal Games Groen]]-Tabel511[[#This Row],[Wins Groen]]</f>
        <v>0</v>
      </c>
      <c r="AW142" s="165">
        <f>Tabel511[[#This Row],[Aantal games Alg]]-Tabel511[[#This Row],[Wins Alg]]</f>
        <v>0</v>
      </c>
      <c r="AX142" s="171">
        <f>COUNTIF(Tabel152[Team Rood],Tabel511[[#This Row],[Team]])</f>
        <v>0</v>
      </c>
      <c r="AY142" s="169">
        <f>COUNTIF(Tabel152[Team Groen],Tabel511[[#This Row],[Team]])</f>
        <v>0</v>
      </c>
      <c r="AZ142" s="165">
        <f>Tabel511[[#This Row],[Aantal Games Rood]]+Tabel511[[#This Row],[Aantal Games Groen]]</f>
        <v>0</v>
      </c>
      <c r="BA142" s="171">
        <f>SUMIF(Tabel152[Team Rood],Tabel511[[#This Row],[Team]],Tabel152[Score])</f>
        <v>0</v>
      </c>
      <c r="BB142" s="171">
        <f>SUMIF(Tabel152[Team Rood],Tabel511[[#This Row],[Team]],Tabel152[Score2])</f>
        <v>0</v>
      </c>
      <c r="BC142" s="136">
        <f>SUMIF(Tabel152[Team Groen],Tabel511[[#This Row],[Team]],Tabel152[Score3])</f>
        <v>0</v>
      </c>
      <c r="BD142" s="169">
        <f>SUMIF(Tabel152[Team Groen],Tabel511[[#This Row],[Team]],Tabel152[Score4])</f>
        <v>0</v>
      </c>
      <c r="BE142" s="172">
        <f>SUM(Tabel511[[#This Row],[Goals Verdediger]]+Tabel511[[#This Row],[Goals DefG]])</f>
        <v>0</v>
      </c>
      <c r="BF142" s="170">
        <f>IF(Tabel511[[#This Row],[Aantal games Alg]]=0,0,Tabel511[[#This Row],[Goals DefA]]/Tabel511[[#This Row],[Aantal games Alg]])</f>
        <v>0</v>
      </c>
      <c r="BG142" s="172">
        <f>SUM(Tabel511[[#This Row],[Goals Aanvaller]]+Tabel511[[#This Row],[Goals OffG]])</f>
        <v>0</v>
      </c>
      <c r="BH142" s="170">
        <f>IF(Tabel511[[#This Row],[Aantal games Alg]]=0,0,Tabel511[[#This Row],[Goals OffA]]/Tabel511[[#This Row],[Aantal games Alg]])</f>
        <v>0</v>
      </c>
      <c r="BI142" s="170">
        <f>Tabel511[[#This Row],[Goals DefA]]+Tabel511[[#This Row],[Goals OffA]]</f>
        <v>0</v>
      </c>
      <c r="BJ142" s="170">
        <f>IF(Tabel511[[#This Row],[Aantal games Alg]]=0,0,Tabel511[[#This Row],[Goals Alg]]/Tabel511[[#This Row],[Aantal games Alg]])</f>
        <v>0</v>
      </c>
      <c r="BK142" s="148">
        <f>SUMIF(Tabel152[Team Rood],Tabel511[[#This Row],[Team]],Tabel152[ET])</f>
        <v>0</v>
      </c>
      <c r="BL142" s="150">
        <f>SUMIF(Tabel152[Team Groen],Tabel511[[#This Row],[Team]],Tabel152[ET])</f>
        <v>0</v>
      </c>
      <c r="BM142" s="153">
        <f>SUM(Tabel511[[#This Row],[ET Groen tot]],Tabel511[[#This Row],[ET Rood tot]])</f>
        <v>0</v>
      </c>
      <c r="BN142" s="155">
        <f>IF(Tabel511[[#This Row],[Aantal games Alg]]=0,0,Tabel511[[#This Row],[ET tot]]/Tabel511[[#This Row],[Aantal games Alg]])</f>
        <v>0</v>
      </c>
    </row>
    <row r="143" spans="1:66" x14ac:dyDescent="0.25">
      <c r="A143" s="215" t="str">
        <f ca="1">IF(Tabel152[[#This Row],[Rood Verdediging]]&lt;&gt;"",IF(A143="",NOW(),A143),"")</f>
        <v/>
      </c>
      <c r="B143" s="218" t="str">
        <f ca="1">IF(Tabel152[[#This Row],[Rood Verdediging]]&lt;&gt;"",IF(B143="",NOW(),B143),"")</f>
        <v/>
      </c>
      <c r="C143" s="216" t="str">
        <f ca="1">IF(Tabel152[[#This Row],[Score]]&lt;&gt;"",IF(C143="",NOW(),C143),"")</f>
        <v/>
      </c>
      <c r="D143" s="217" t="str">
        <f ca="1">IF(OR(Tabel152[[#This Row],[Starttijd]]="",Tabel152[[#This Row],[Eindtijd]]=""),"",Tabel152[[#This Row],[Eindtijd]]-Tabel152[[#This Row],[Starttijd]])</f>
        <v/>
      </c>
      <c r="E143" s="74">
        <v>142</v>
      </c>
      <c r="F143" s="205"/>
      <c r="G143" s="210"/>
      <c r="H143" s="205"/>
      <c r="I143" s="210"/>
      <c r="J143" s="206"/>
      <c r="K143" s="212"/>
      <c r="L143" s="206"/>
      <c r="M143" s="212"/>
      <c r="N143" s="79">
        <f>Tabel152[[#This Row],[Score]]+Tabel152[[#This Row],[Score2]]</f>
        <v>0</v>
      </c>
      <c r="O143" s="80">
        <f>Tabel152[[#This Row],[Score3]]+Tabel152[[#This Row],[Score4]]</f>
        <v>0</v>
      </c>
      <c r="P14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Row],[Score4]]&lt;&gt;""),IF(AND(N143&gt;O143,N143&gt;=11),"ROOD",IF(AND(O143&gt;=11,N143&lt;&gt;O143),"GROEN","")),"")</f>
        <v/>
      </c>
      <c r="Q143" s="84">
        <f t="shared" si="18"/>
        <v>0</v>
      </c>
      <c r="R143" s="85">
        <f t="shared" si="19"/>
        <v>0</v>
      </c>
      <c r="S143" s="293" t="str">
        <f>Tabel152[[#This Row],[Rood Verdediging]]&amp;Tabel152[[#This Row],[Rood Aanval]]</f>
        <v/>
      </c>
      <c r="T143" s="293" t="str">
        <f>Tabel152[[#This Row],[Groen Verdediging]]&amp;Tabel152[[#This Row],[Groen Aanval]]</f>
        <v/>
      </c>
      <c r="U143" s="293" t="str">
        <f>Tabel152[[#This Row],[Winnaar 1]]&amp;Tabel152[[#This Row],[Winnaar 2]]</f>
        <v>00</v>
      </c>
      <c r="V143" s="147" t="b">
        <f>IF(Tabel152[[#This Row],[Team Rood]]=Tabel152[[#This Row],[Winnaars]],Tabel152[[#This Row],[Team Rood]])</f>
        <v>0</v>
      </c>
      <c r="W143" s="147" t="b">
        <f>IF(Tabel152[[#This Row],[Team Groen]]=Tabel152[[#This Row],[Winnaars]],Tabel152[[#This Row],[Team Groen]])</f>
        <v>0</v>
      </c>
      <c r="X143" s="283"/>
      <c r="Y143" s="283"/>
      <c r="Z143" s="283"/>
      <c r="AA143" s="283"/>
      <c r="AL143" s="250" t="s">
        <v>160</v>
      </c>
      <c r="AM143" s="232" t="s">
        <v>169</v>
      </c>
      <c r="AN143" s="140" t="str">
        <f t="shared" si="17"/>
        <v>Tiemen*Stef*</v>
      </c>
      <c r="AO143" s="160">
        <f>IF(Tabel511[[#This Row],[Aantal Games Rood]]=0,0,(Tabel511[[#This Row],[Wins Rood]])/Tabel511[[#This Row],[Aantal Games Rood]])</f>
        <v>1</v>
      </c>
      <c r="AP143" s="159">
        <f>IF(Tabel511[[#This Row],[Aantal Games Groen]]=0,0,(Tabel511[[#This Row],[Wins Groen]])/Tabel511[[#This Row],[Aantal Games Groen]])</f>
        <v>1</v>
      </c>
      <c r="AQ143" s="156">
        <f>IF(Tabel511[[#This Row],[Aantal games Alg]]=0,0,(Tabel511[[#This Row],[Wins Alg]])/Tabel511[[#This Row],[Aantal games Alg]])</f>
        <v>1</v>
      </c>
      <c r="AR143" s="135">
        <f>COUNTIF(Tabel152[Winaar rood],Tabel511[[#This Row],[Team]])</f>
        <v>2</v>
      </c>
      <c r="AS143" s="134">
        <f>COUNTIF(Tabel152[Winnaar Groen],Tabel511[[#This Row],[Team]])</f>
        <v>2</v>
      </c>
      <c r="AT143" s="293">
        <f>COUNTIF(Tabel152[Winnaars],Tabel511[[#This Row],[Team]])</f>
        <v>4</v>
      </c>
      <c r="AU143" s="135">
        <f>Tabel511[[#This Row],[Aantal Games Rood]]-Tabel511[[#This Row],[Wins Rood]]</f>
        <v>0</v>
      </c>
      <c r="AV143" s="136">
        <f>Tabel511[[#This Row],[Aantal Games Groen]]-Tabel511[[#This Row],[Wins Groen]]</f>
        <v>0</v>
      </c>
      <c r="AW143" s="137">
        <f>Tabel511[[#This Row],[Aantal games Alg]]-Tabel511[[#This Row],[Wins Alg]]</f>
        <v>0</v>
      </c>
      <c r="AX143" s="138">
        <f>COUNTIF(Tabel152[Team Rood],Tabel511[[#This Row],[Team]])</f>
        <v>2</v>
      </c>
      <c r="AY143" s="136">
        <f>COUNTIF(Tabel152[Team Groen],Tabel511[[#This Row],[Team]])</f>
        <v>2</v>
      </c>
      <c r="AZ143" s="137">
        <f>Tabel511[[#This Row],[Aantal Games Rood]]+Tabel511[[#This Row],[Aantal Games Groen]]</f>
        <v>4</v>
      </c>
      <c r="BA143" s="138">
        <f>SUMIF(Tabel152[Team Rood],Tabel511[[#This Row],[Team]],Tabel152[Score])</f>
        <v>8</v>
      </c>
      <c r="BB143" s="138">
        <f>SUMIF(Tabel152[Team Rood],Tabel511[[#This Row],[Team]],Tabel152[Score2])</f>
        <v>14</v>
      </c>
      <c r="BC143" s="134">
        <f>SUMIF(Tabel152[Team Groen],Tabel511[[#This Row],[Team]],Tabel152[Score3])</f>
        <v>7</v>
      </c>
      <c r="BD143" s="136">
        <f>SUMIF(Tabel152[Team Groen],Tabel511[[#This Row],[Team]],Tabel152[Score4])</f>
        <v>15</v>
      </c>
      <c r="BE143" s="293">
        <f>SUM(Tabel511[[#This Row],[Goals Verdediger]]+Tabel511[[#This Row],[Goals DefG]])</f>
        <v>15</v>
      </c>
      <c r="BF143" s="293">
        <f>IF(Tabel511[[#This Row],[Aantal games Alg]]=0,0,Tabel511[[#This Row],[Goals DefA]]/Tabel511[[#This Row],[Aantal games Alg]])</f>
        <v>3.75</v>
      </c>
      <c r="BG143" s="293">
        <f>SUM(Tabel511[[#This Row],[Goals Aanvaller]]+Tabel511[[#This Row],[Goals OffG]])</f>
        <v>29</v>
      </c>
      <c r="BH143" s="293">
        <f>IF(Tabel511[[#This Row],[Aantal games Alg]]=0,0,Tabel511[[#This Row],[Goals OffA]]/Tabel511[[#This Row],[Aantal games Alg]])</f>
        <v>7.25</v>
      </c>
      <c r="BI143" s="214">
        <f>Tabel511[[#This Row],[Goals DefA]]+Tabel511[[#This Row],[Goals OffA]]</f>
        <v>44</v>
      </c>
      <c r="BJ143" s="214">
        <f>IF(Tabel511[[#This Row],[Aantal games Alg]]=0,0,Tabel511[[#This Row],[Goals Alg]]/Tabel511[[#This Row],[Aantal games Alg]])</f>
        <v>11</v>
      </c>
      <c r="BK143" s="148">
        <f ca="1">SUMIF(Tabel152[Team Rood],Tabel511[[#This Row],[Team]],Tabel152[ET])</f>
        <v>8.1118055604747497E-3</v>
      </c>
      <c r="BL143" s="150">
        <f ca="1">SUMIF(Tabel152[Team Groen],Tabel511[[#This Row],[Team]],Tabel152[ET])</f>
        <v>7.9498842533212155E-3</v>
      </c>
      <c r="BM143" s="153">
        <f ca="1">SUM(Tabel511[[#This Row],[ET Groen tot]],Tabel511[[#This Row],[ET Rood tot]])</f>
        <v>1.6061689813795965E-2</v>
      </c>
      <c r="BN143" s="155">
        <f ca="1">IF(Tabel511[[#This Row],[Aantal games Alg]]=0,0,Tabel511[[#This Row],[ET tot]]/Tabel511[[#This Row],[Aantal games Alg]])</f>
        <v>4.0154224534489913E-3</v>
      </c>
    </row>
    <row r="144" spans="1:66" x14ac:dyDescent="0.25">
      <c r="A144" s="215" t="str">
        <f ca="1">IF(Tabel152[[#This Row],[Rood Verdediging]]&lt;&gt;"",IF(A144="",NOW(),A144),"")</f>
        <v/>
      </c>
      <c r="B144" s="218" t="str">
        <f ca="1">IF(Tabel152[[#This Row],[Rood Verdediging]]&lt;&gt;"",IF(B144="",NOW(),B144),"")</f>
        <v/>
      </c>
      <c r="C144" s="216" t="str">
        <f ca="1">IF(Tabel152[[#This Row],[Score]]&lt;&gt;"",IF(C144="",NOW(),C144),"")</f>
        <v/>
      </c>
      <c r="D144" s="217" t="str">
        <f ca="1">IF(OR(Tabel152[[#This Row],[Starttijd]]="",Tabel152[[#This Row],[Eindtijd]]=""),"",Tabel152[[#This Row],[Eindtijd]]-Tabel152[[#This Row],[Starttijd]])</f>
        <v/>
      </c>
      <c r="E144" s="74">
        <v>143</v>
      </c>
      <c r="F144" s="205"/>
      <c r="G144" s="210"/>
      <c r="H144" s="205"/>
      <c r="I144" s="210"/>
      <c r="J144" s="206"/>
      <c r="K144" s="212"/>
      <c r="L144" s="206"/>
      <c r="M144" s="212"/>
      <c r="N144" s="79">
        <f>Tabel152[[#This Row],[Score]]+Tabel152[[#This Row],[Score2]]</f>
        <v>0</v>
      </c>
      <c r="O144" s="80">
        <f>Tabel152[[#This Row],[Score3]]+Tabel152[[#This Row],[Score4]]</f>
        <v>0</v>
      </c>
      <c r="P14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Row],[Score4]]&lt;&gt;""),IF(AND(N144&gt;O144,N144&gt;=11),"ROOD",IF(AND(O144&gt;=11,N144&lt;&gt;O144),"GROEN","")),"")</f>
        <v/>
      </c>
      <c r="Q144" s="84">
        <f t="shared" si="18"/>
        <v>0</v>
      </c>
      <c r="R144" s="85">
        <f t="shared" si="19"/>
        <v>0</v>
      </c>
      <c r="S144" s="293" t="str">
        <f>Tabel152[[#This Row],[Rood Verdediging]]&amp;Tabel152[[#This Row],[Rood Aanval]]</f>
        <v/>
      </c>
      <c r="T144" s="293" t="str">
        <f>Tabel152[[#This Row],[Groen Verdediging]]&amp;Tabel152[[#This Row],[Groen Aanval]]</f>
        <v/>
      </c>
      <c r="U144" s="293" t="str">
        <f>Tabel152[[#This Row],[Winnaar 1]]&amp;Tabel152[[#This Row],[Winnaar 2]]</f>
        <v>00</v>
      </c>
      <c r="V144" s="147" t="b">
        <f>IF(Tabel152[[#This Row],[Team Rood]]=Tabel152[[#This Row],[Winnaars]],Tabel152[[#This Row],[Team Rood]])</f>
        <v>0</v>
      </c>
      <c r="W144" s="147" t="b">
        <f>IF(Tabel152[[#This Row],[Team Groen]]=Tabel152[[#This Row],[Winnaars]],Tabel152[[#This Row],[Team Groen]])</f>
        <v>0</v>
      </c>
      <c r="X144" s="283"/>
      <c r="Y144" s="283"/>
      <c r="Z144" s="283"/>
      <c r="AA144" s="283"/>
      <c r="AL144" s="250" t="s">
        <v>160</v>
      </c>
      <c r="AM144" s="249" t="s">
        <v>166</v>
      </c>
      <c r="AN144" s="140" t="str">
        <f t="shared" si="17"/>
        <v>Tiemen*Stijn*</v>
      </c>
      <c r="AO144" s="160">
        <f>IF(Tabel511[[#This Row],[Aantal Games Rood]]=0,0,(Tabel511[[#This Row],[Wins Rood]])/Tabel511[[#This Row],[Aantal Games Rood]])</f>
        <v>0</v>
      </c>
      <c r="AP144" s="159">
        <f>IF(Tabel511[[#This Row],[Aantal Games Groen]]=0,0,(Tabel511[[#This Row],[Wins Groen]])/Tabel511[[#This Row],[Aantal Games Groen]])</f>
        <v>0</v>
      </c>
      <c r="AQ144" s="156">
        <f>IF(Tabel511[[#This Row],[Aantal games Alg]]=0,0,(Tabel511[[#This Row],[Wins Alg]])/Tabel511[[#This Row],[Aantal games Alg]])</f>
        <v>0</v>
      </c>
      <c r="AR144" s="135">
        <f>COUNTIF(Tabel152[Winaar rood],Tabel511[[#This Row],[Team]])</f>
        <v>0</v>
      </c>
      <c r="AS144" s="134">
        <f>COUNTIF(Tabel152[Winnaar Groen],Tabel511[[#This Row],[Team]])</f>
        <v>0</v>
      </c>
      <c r="AT144" s="293">
        <f>COUNTIF(Tabel152[Winnaars],Tabel511[[#This Row],[Team]])</f>
        <v>0</v>
      </c>
      <c r="AU144" s="135">
        <f>Tabel511[[#This Row],[Aantal Games Rood]]-Tabel511[[#This Row],[Wins Rood]]</f>
        <v>0</v>
      </c>
      <c r="AV144" s="136">
        <f>Tabel511[[#This Row],[Aantal Games Groen]]-Tabel511[[#This Row],[Wins Groen]]</f>
        <v>0</v>
      </c>
      <c r="AW144" s="137">
        <f>Tabel511[[#This Row],[Aantal games Alg]]-Tabel511[[#This Row],[Wins Alg]]</f>
        <v>0</v>
      </c>
      <c r="AX144" s="138">
        <f>COUNTIF(Tabel152[Team Rood],Tabel511[[#This Row],[Team]])</f>
        <v>0</v>
      </c>
      <c r="AY144" s="136">
        <f>COUNTIF(Tabel152[Team Groen],Tabel511[[#This Row],[Team]])</f>
        <v>0</v>
      </c>
      <c r="AZ144" s="137">
        <f>Tabel511[[#This Row],[Aantal Games Rood]]+Tabel511[[#This Row],[Aantal Games Groen]]</f>
        <v>0</v>
      </c>
      <c r="BA144" s="138">
        <f>SUMIF(Tabel152[Team Rood],Tabel511[[#This Row],[Team]],Tabel152[Score])</f>
        <v>0</v>
      </c>
      <c r="BB144" s="138">
        <f>SUMIF(Tabel152[Team Rood],Tabel511[[#This Row],[Team]],Tabel152[Score2])</f>
        <v>0</v>
      </c>
      <c r="BC144" s="134">
        <f>SUMIF(Tabel152[Team Groen],Tabel511[[#This Row],[Team]],Tabel152[Score3])</f>
        <v>0</v>
      </c>
      <c r="BD144" s="136">
        <f>SUMIF(Tabel152[Team Groen],Tabel511[[#This Row],[Team]],Tabel152[Score4])</f>
        <v>0</v>
      </c>
      <c r="BE144" s="293">
        <f>SUM(Tabel511[[#This Row],[Goals Verdediger]]+Tabel511[[#This Row],[Goals DefG]])</f>
        <v>0</v>
      </c>
      <c r="BF144" s="293">
        <f>IF(Tabel511[[#This Row],[Aantal games Alg]]=0,0,Tabel511[[#This Row],[Goals DefA]]/Tabel511[[#This Row],[Aantal games Alg]])</f>
        <v>0</v>
      </c>
      <c r="BG144" s="293">
        <f>SUM(Tabel511[[#This Row],[Goals Aanvaller]]+Tabel511[[#This Row],[Goals OffG]])</f>
        <v>0</v>
      </c>
      <c r="BH144" s="293">
        <f>IF(Tabel511[[#This Row],[Aantal games Alg]]=0,0,Tabel511[[#This Row],[Goals OffA]]/Tabel511[[#This Row],[Aantal games Alg]])</f>
        <v>0</v>
      </c>
      <c r="BI144" s="214">
        <f>Tabel511[[#This Row],[Goals DefA]]+Tabel511[[#This Row],[Goals OffA]]</f>
        <v>0</v>
      </c>
      <c r="BJ144" s="214">
        <f>IF(Tabel511[[#This Row],[Aantal games Alg]]=0,0,Tabel511[[#This Row],[Goals Alg]]/Tabel511[[#This Row],[Aantal games Alg]])</f>
        <v>0</v>
      </c>
      <c r="BK144" s="148">
        <f>SUMIF(Tabel152[Team Rood],Tabel511[[#This Row],[Team]],Tabel152[ET])</f>
        <v>0</v>
      </c>
      <c r="BL144" s="150">
        <f>SUMIF(Tabel152[Team Groen],Tabel511[[#This Row],[Team]],Tabel152[ET])</f>
        <v>0</v>
      </c>
      <c r="BM144" s="153">
        <f>SUM(Tabel511[[#This Row],[ET Groen tot]],Tabel511[[#This Row],[ET Rood tot]])</f>
        <v>0</v>
      </c>
      <c r="BN144" s="155">
        <f>IF(Tabel511[[#This Row],[Aantal games Alg]]=0,0,Tabel511[[#This Row],[ET tot]]/Tabel511[[#This Row],[Aantal games Alg]])</f>
        <v>0</v>
      </c>
    </row>
    <row r="145" spans="1:66" x14ac:dyDescent="0.25">
      <c r="A145" s="215" t="str">
        <f ca="1">IF(Tabel152[[#This Row],[Rood Verdediging]]&lt;&gt;"",IF(A145="",NOW(),A145),"")</f>
        <v/>
      </c>
      <c r="B145" s="218" t="str">
        <f ca="1">IF(Tabel152[[#This Row],[Rood Verdediging]]&lt;&gt;"",IF(B145="",NOW(),B145),"")</f>
        <v/>
      </c>
      <c r="C145" s="216" t="str">
        <f ca="1">IF(Tabel152[[#This Row],[Score]]&lt;&gt;"",IF(C145="",NOW(),C145),"")</f>
        <v/>
      </c>
      <c r="D145" s="217" t="str">
        <f ca="1">IF(OR(Tabel152[[#This Row],[Starttijd]]="",Tabel152[[#This Row],[Eindtijd]]=""),"",Tabel152[[#This Row],[Eindtijd]]-Tabel152[[#This Row],[Starttijd]])</f>
        <v/>
      </c>
      <c r="E145" s="74">
        <v>144</v>
      </c>
      <c r="F145" s="205"/>
      <c r="G145" s="210"/>
      <c r="H145" s="205"/>
      <c r="I145" s="210"/>
      <c r="J145" s="206"/>
      <c r="K145" s="212"/>
      <c r="L145" s="206"/>
      <c r="M145" s="212"/>
      <c r="N145" s="79">
        <f>Tabel152[[#This Row],[Score]]+Tabel152[[#This Row],[Score2]]</f>
        <v>0</v>
      </c>
      <c r="O145" s="80">
        <f>Tabel152[[#This Row],[Score3]]+Tabel152[[#This Row],[Score4]]</f>
        <v>0</v>
      </c>
      <c r="P14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Row],[Score4]]&lt;&gt;""),IF(AND(N145&gt;O145,N145&gt;=11),"ROOD",IF(AND(O145&gt;=11,N145&lt;&gt;O145),"GROEN","")),"")</f>
        <v/>
      </c>
      <c r="Q145" s="84">
        <f t="shared" si="18"/>
        <v>0</v>
      </c>
      <c r="R145" s="85">
        <f t="shared" si="19"/>
        <v>0</v>
      </c>
      <c r="S145" s="293" t="str">
        <f>Tabel152[[#This Row],[Rood Verdediging]]&amp;Tabel152[[#This Row],[Rood Aanval]]</f>
        <v/>
      </c>
      <c r="T145" s="293" t="str">
        <f>Tabel152[[#This Row],[Groen Verdediging]]&amp;Tabel152[[#This Row],[Groen Aanval]]</f>
        <v/>
      </c>
      <c r="U145" s="293" t="str">
        <f>Tabel152[[#This Row],[Winnaar 1]]&amp;Tabel152[[#This Row],[Winnaar 2]]</f>
        <v>00</v>
      </c>
      <c r="V145" s="147" t="b">
        <f>IF(Tabel152[[#This Row],[Team Rood]]=Tabel152[[#This Row],[Winnaars]],Tabel152[[#This Row],[Team Rood]])</f>
        <v>0</v>
      </c>
      <c r="W145" s="147" t="b">
        <f>IF(Tabel152[[#This Row],[Team Groen]]=Tabel152[[#This Row],[Winnaars]],Tabel152[[#This Row],[Team Groen]])</f>
        <v>0</v>
      </c>
      <c r="X145" s="283"/>
      <c r="Y145" s="283"/>
      <c r="Z145" s="283"/>
      <c r="AA145" s="283"/>
      <c r="AL145" s="250" t="s">
        <v>160</v>
      </c>
      <c r="AM145" s="249" t="s">
        <v>157</v>
      </c>
      <c r="AN145" s="140" t="str">
        <f t="shared" si="17"/>
        <v>Tiemen*Tobi*</v>
      </c>
      <c r="AO145" s="160">
        <f>IF(Tabel511[[#This Row],[Aantal Games Rood]]=0,0,(Tabel511[[#This Row],[Wins Rood]])/Tabel511[[#This Row],[Aantal Games Rood]])</f>
        <v>0</v>
      </c>
      <c r="AP145" s="159">
        <f>IF(Tabel511[[#This Row],[Aantal Games Groen]]=0,0,(Tabel511[[#This Row],[Wins Groen]])/Tabel511[[#This Row],[Aantal Games Groen]])</f>
        <v>0</v>
      </c>
      <c r="AQ145" s="156">
        <f>IF(Tabel511[[#This Row],[Aantal games Alg]]=0,0,(Tabel511[[#This Row],[Wins Alg]])/Tabel511[[#This Row],[Aantal games Alg]])</f>
        <v>0</v>
      </c>
      <c r="AR145" s="135">
        <f>COUNTIF(Tabel152[Winaar rood],Tabel511[[#This Row],[Team]])</f>
        <v>0</v>
      </c>
      <c r="AS145" s="134">
        <f>COUNTIF(Tabel152[Winnaar Groen],Tabel511[[#This Row],[Team]])</f>
        <v>0</v>
      </c>
      <c r="AT145" s="293">
        <f>COUNTIF(Tabel152[Winnaars],Tabel511[[#This Row],[Team]])</f>
        <v>0</v>
      </c>
      <c r="AU145" s="135">
        <f>Tabel511[[#This Row],[Aantal Games Rood]]-Tabel511[[#This Row],[Wins Rood]]</f>
        <v>0</v>
      </c>
      <c r="AV145" s="136">
        <f>Tabel511[[#This Row],[Aantal Games Groen]]-Tabel511[[#This Row],[Wins Groen]]</f>
        <v>0</v>
      </c>
      <c r="AW145" s="137">
        <f>Tabel511[[#This Row],[Aantal games Alg]]-Tabel511[[#This Row],[Wins Alg]]</f>
        <v>0</v>
      </c>
      <c r="AX145" s="138">
        <f>COUNTIF(Tabel152[Team Rood],Tabel511[[#This Row],[Team]])</f>
        <v>0</v>
      </c>
      <c r="AY145" s="136">
        <f>COUNTIF(Tabel152[Team Groen],Tabel511[[#This Row],[Team]])</f>
        <v>0</v>
      </c>
      <c r="AZ145" s="137">
        <f>Tabel511[[#This Row],[Aantal Games Rood]]+Tabel511[[#This Row],[Aantal Games Groen]]</f>
        <v>0</v>
      </c>
      <c r="BA145" s="138">
        <f>SUMIF(Tabel152[Team Rood],Tabel511[[#This Row],[Team]],Tabel152[Score])</f>
        <v>0</v>
      </c>
      <c r="BB145" s="138">
        <f>SUMIF(Tabel152[Team Rood],Tabel511[[#This Row],[Team]],Tabel152[Score2])</f>
        <v>0</v>
      </c>
      <c r="BC145" s="134">
        <f>SUMIF(Tabel152[Team Groen],Tabel511[[#This Row],[Team]],Tabel152[Score3])</f>
        <v>0</v>
      </c>
      <c r="BD145" s="136">
        <f>SUMIF(Tabel152[Team Groen],Tabel511[[#This Row],[Team]],Tabel152[Score4])</f>
        <v>0</v>
      </c>
      <c r="BE145" s="293">
        <f>SUM(Tabel511[[#This Row],[Goals Verdediger]]+Tabel511[[#This Row],[Goals DefG]])</f>
        <v>0</v>
      </c>
      <c r="BF145" s="293">
        <f>IF(Tabel511[[#This Row],[Aantal games Alg]]=0,0,Tabel511[[#This Row],[Goals DefA]]/Tabel511[[#This Row],[Aantal games Alg]])</f>
        <v>0</v>
      </c>
      <c r="BG145" s="293">
        <f>SUM(Tabel511[[#This Row],[Goals Aanvaller]]+Tabel511[[#This Row],[Goals OffG]])</f>
        <v>0</v>
      </c>
      <c r="BH145" s="293">
        <f>IF(Tabel511[[#This Row],[Aantal games Alg]]=0,0,Tabel511[[#This Row],[Goals OffA]]/Tabel511[[#This Row],[Aantal games Alg]])</f>
        <v>0</v>
      </c>
      <c r="BI145" s="214">
        <f>Tabel511[[#This Row],[Goals DefA]]+Tabel511[[#This Row],[Goals OffA]]</f>
        <v>0</v>
      </c>
      <c r="BJ145" s="214">
        <f>IF(Tabel511[[#This Row],[Aantal games Alg]]=0,0,Tabel511[[#This Row],[Goals Alg]]/Tabel511[[#This Row],[Aantal games Alg]])</f>
        <v>0</v>
      </c>
      <c r="BK145" s="148">
        <f>SUMIF(Tabel152[Team Rood],Tabel511[[#This Row],[Team]],Tabel152[ET])</f>
        <v>0</v>
      </c>
      <c r="BL145" s="150">
        <f>SUMIF(Tabel152[Team Groen],Tabel511[[#This Row],[Team]],Tabel152[ET])</f>
        <v>0</v>
      </c>
      <c r="BM145" s="153">
        <f>SUM(Tabel511[[#This Row],[ET Groen tot]],Tabel511[[#This Row],[ET Rood tot]])</f>
        <v>0</v>
      </c>
      <c r="BN145" s="155">
        <f>IF(Tabel511[[#This Row],[Aantal games Alg]]=0,0,Tabel511[[#This Row],[ET tot]]/Tabel511[[#This Row],[Aantal games Alg]])</f>
        <v>0</v>
      </c>
    </row>
    <row r="146" spans="1:66" x14ac:dyDescent="0.25">
      <c r="A146" s="215" t="str">
        <f ca="1">IF(Tabel152[[#This Row],[Rood Verdediging]]&lt;&gt;"",IF(A146="",NOW(),A146),"")</f>
        <v/>
      </c>
      <c r="B146" s="218" t="str">
        <f ca="1">IF(Tabel152[[#This Row],[Rood Verdediging]]&lt;&gt;"",IF(B146="",NOW(),B146),"")</f>
        <v/>
      </c>
      <c r="C146" s="216" t="str">
        <f ca="1">IF(Tabel152[[#This Row],[Score]]&lt;&gt;"",IF(C146="",NOW(),C146),"")</f>
        <v/>
      </c>
      <c r="D146" s="217" t="str">
        <f ca="1">IF(OR(Tabel152[[#This Row],[Starttijd]]="",Tabel152[[#This Row],[Eindtijd]]=""),"",Tabel152[[#This Row],[Eindtijd]]-Tabel152[[#This Row],[Starttijd]])</f>
        <v/>
      </c>
      <c r="E146" s="74">
        <v>145</v>
      </c>
      <c r="F146" s="205"/>
      <c r="G146" s="210"/>
      <c r="H146" s="205"/>
      <c r="I146" s="210"/>
      <c r="J146" s="206"/>
      <c r="K146" s="212"/>
      <c r="L146" s="206"/>
      <c r="M146" s="212"/>
      <c r="N146" s="79">
        <f>Tabel152[[#This Row],[Score]]+Tabel152[[#This Row],[Score2]]</f>
        <v>0</v>
      </c>
      <c r="O146" s="80">
        <f>Tabel152[[#This Row],[Score3]]+Tabel152[[#This Row],[Score4]]</f>
        <v>0</v>
      </c>
      <c r="P14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Row],[Score4]]&lt;&gt;""),IF(AND(N146&gt;O146,N146&gt;=11),"ROOD",IF(AND(O146&gt;=11,N146&lt;&gt;O146),"GROEN","")),"")</f>
        <v/>
      </c>
      <c r="Q146" s="84">
        <f t="shared" si="18"/>
        <v>0</v>
      </c>
      <c r="R146" s="85">
        <f t="shared" si="19"/>
        <v>0</v>
      </c>
      <c r="S146" s="293" t="str">
        <f>Tabel152[[#This Row],[Rood Verdediging]]&amp;Tabel152[[#This Row],[Rood Aanval]]</f>
        <v/>
      </c>
      <c r="T146" s="293" t="str">
        <f>Tabel152[[#This Row],[Groen Verdediging]]&amp;Tabel152[[#This Row],[Groen Aanval]]</f>
        <v/>
      </c>
      <c r="U146" s="293" t="str">
        <f>Tabel152[[#This Row],[Winnaar 1]]&amp;Tabel152[[#This Row],[Winnaar 2]]</f>
        <v>00</v>
      </c>
      <c r="V146" s="147" t="b">
        <f>IF(Tabel152[[#This Row],[Team Rood]]=Tabel152[[#This Row],[Winnaars]],Tabel152[[#This Row],[Team Rood]])</f>
        <v>0</v>
      </c>
      <c r="W146" s="147" t="b">
        <f>IF(Tabel152[[#This Row],[Team Groen]]=Tabel152[[#This Row],[Winnaars]],Tabel152[[#This Row],[Team Groen]])</f>
        <v>0</v>
      </c>
      <c r="X146" s="283"/>
      <c r="Y146" s="283"/>
      <c r="Z146" s="283"/>
      <c r="AA146" s="283"/>
      <c r="AL146" s="251" t="s">
        <v>157</v>
      </c>
      <c r="AM146" s="250" t="s">
        <v>158</v>
      </c>
      <c r="AN146" s="140" t="str">
        <f t="shared" si="17"/>
        <v>Tobi*Arno*</v>
      </c>
      <c r="AO146" s="160">
        <f>IF(Tabel511[[#This Row],[Aantal Games Rood]]=0,0,(Tabel511[[#This Row],[Wins Rood]])/Tabel511[[#This Row],[Aantal Games Rood]])</f>
        <v>0</v>
      </c>
      <c r="AP146" s="159">
        <f>IF(Tabel511[[#This Row],[Aantal Games Groen]]=0,0,(Tabel511[[#This Row],[Wins Groen]])/Tabel511[[#This Row],[Aantal Games Groen]])</f>
        <v>0</v>
      </c>
      <c r="AQ146" s="156">
        <f>IF(Tabel511[[#This Row],[Aantal games Alg]]=0,0,(Tabel511[[#This Row],[Wins Alg]])/Tabel511[[#This Row],[Aantal games Alg]])</f>
        <v>0</v>
      </c>
      <c r="AR146" s="135">
        <f>COUNTIF(Tabel152[Winaar rood],Tabel511[[#This Row],[Team]])</f>
        <v>0</v>
      </c>
      <c r="AS146" s="136">
        <f>COUNTIF(Tabel152[Winnaar Groen],Tabel511[[#This Row],[Team]])</f>
        <v>0</v>
      </c>
      <c r="AT146" s="214">
        <f>COUNTIF(Tabel152[Winnaars],Tabel511[[#This Row],[Team]])</f>
        <v>0</v>
      </c>
      <c r="AU146" s="135">
        <f>Tabel511[[#This Row],[Aantal Games Rood]]-Tabel511[[#This Row],[Wins Rood]]</f>
        <v>0</v>
      </c>
      <c r="AV146" s="136">
        <f>Tabel511[[#This Row],[Aantal Games Groen]]-Tabel511[[#This Row],[Wins Groen]]</f>
        <v>0</v>
      </c>
      <c r="AW146" s="137">
        <f>Tabel511[[#This Row],[Aantal games Alg]]-Tabel511[[#This Row],[Wins Alg]]</f>
        <v>0</v>
      </c>
      <c r="AX146" s="138">
        <f>COUNTIF(Tabel152[Team Rood],Tabel511[[#This Row],[Team]])</f>
        <v>0</v>
      </c>
      <c r="AY146" s="136">
        <f>COUNTIF(Tabel152[Team Groen],Tabel511[[#This Row],[Team]])</f>
        <v>0</v>
      </c>
      <c r="AZ146" s="137">
        <f>Tabel511[[#This Row],[Aantal Games Rood]]+Tabel511[[#This Row],[Aantal Games Groen]]</f>
        <v>0</v>
      </c>
      <c r="BA146" s="138">
        <f>SUMIF(Tabel152[Team Rood],Tabel511[[#This Row],[Team]],Tabel152[Score])</f>
        <v>0</v>
      </c>
      <c r="BB146" s="138">
        <f>SUMIF(Tabel152[Team Rood],Tabel511[[#This Row],[Team]],Tabel152[Score2])</f>
        <v>0</v>
      </c>
      <c r="BC146" s="134">
        <f>SUMIF(Tabel152[Team Groen],Tabel511[[#This Row],[Team]],Tabel152[Score3])</f>
        <v>0</v>
      </c>
      <c r="BD146" s="136">
        <f>SUMIF(Tabel152[Team Groen],Tabel511[[#This Row],[Team]],Tabel152[Score4])</f>
        <v>0</v>
      </c>
      <c r="BE146" s="293">
        <f>SUM(Tabel511[[#This Row],[Goals Verdediger]]+Tabel511[[#This Row],[Goals DefG]])</f>
        <v>0</v>
      </c>
      <c r="BF146" s="293">
        <f>IF(Tabel511[[#This Row],[Aantal games Alg]]=0,0,Tabel511[[#This Row],[Goals DefA]]/Tabel511[[#This Row],[Aantal games Alg]])</f>
        <v>0</v>
      </c>
      <c r="BG146" s="293">
        <f>SUM(Tabel511[[#This Row],[Goals Aanvaller]]+Tabel511[[#This Row],[Goals OffG]])</f>
        <v>0</v>
      </c>
      <c r="BH146" s="293">
        <f>IF(Tabel511[[#This Row],[Aantal games Alg]]=0,0,Tabel511[[#This Row],[Goals OffA]]/Tabel511[[#This Row],[Aantal games Alg]])</f>
        <v>0</v>
      </c>
      <c r="BI146" s="214">
        <f>Tabel511[[#This Row],[Goals DefA]]+Tabel511[[#This Row],[Goals OffA]]</f>
        <v>0</v>
      </c>
      <c r="BJ146" s="214">
        <f>IF(Tabel511[[#This Row],[Aantal games Alg]]=0,0,Tabel511[[#This Row],[Goals Alg]]/Tabel511[[#This Row],[Aantal games Alg]])</f>
        <v>0</v>
      </c>
      <c r="BK146" s="148">
        <f>SUMIF(Tabel152[Team Rood],Tabel511[[#This Row],[Team]],Tabel152[ET])</f>
        <v>0</v>
      </c>
      <c r="BL146" s="150">
        <f>SUMIF(Tabel152[Team Groen],Tabel511[[#This Row],[Team]],Tabel152[ET])</f>
        <v>0</v>
      </c>
      <c r="BM146" s="153">
        <f>SUM(Tabel511[[#This Row],[ET Groen tot]],Tabel511[[#This Row],[ET Rood tot]])</f>
        <v>0</v>
      </c>
      <c r="BN146" s="155">
        <f>IF(Tabel511[[#This Row],[Aantal games Alg]]=0,0,Tabel511[[#This Row],[ET tot]]/Tabel511[[#This Row],[Aantal games Alg]])</f>
        <v>0</v>
      </c>
    </row>
    <row r="147" spans="1:66" x14ac:dyDescent="0.25">
      <c r="A147" s="215" t="str">
        <f ca="1">IF(Tabel152[[#This Row],[Rood Verdediging]]&lt;&gt;"",IF(A147="",NOW(),A147),"")</f>
        <v/>
      </c>
      <c r="B147" s="218" t="str">
        <f ca="1">IF(Tabel152[[#This Row],[Rood Verdediging]]&lt;&gt;"",IF(B147="",NOW(),B147),"")</f>
        <v/>
      </c>
      <c r="C147" s="216" t="str">
        <f ca="1">IF(Tabel152[[#This Row],[Score]]&lt;&gt;"",IF(C147="",NOW(),C147),"")</f>
        <v/>
      </c>
      <c r="D147" s="217" t="str">
        <f ca="1">IF(OR(Tabel152[[#This Row],[Starttijd]]="",Tabel152[[#This Row],[Eindtijd]]=""),"",Tabel152[[#This Row],[Eindtijd]]-Tabel152[[#This Row],[Starttijd]])</f>
        <v/>
      </c>
      <c r="E147" s="74">
        <v>146</v>
      </c>
      <c r="F147" s="205"/>
      <c r="G147" s="210"/>
      <c r="H147" s="205"/>
      <c r="I147" s="210"/>
      <c r="J147" s="206"/>
      <c r="K147" s="212"/>
      <c r="L147" s="206"/>
      <c r="M147" s="212"/>
      <c r="N147" s="79">
        <f>Tabel152[[#This Row],[Score]]+Tabel152[[#This Row],[Score2]]</f>
        <v>0</v>
      </c>
      <c r="O147" s="80">
        <f>Tabel152[[#This Row],[Score3]]+Tabel152[[#This Row],[Score4]]</f>
        <v>0</v>
      </c>
      <c r="P14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Row],[Score4]]&lt;&gt;""),IF(AND(N147&gt;O147,N147&gt;=11),"ROOD",IF(AND(O147&gt;=11,N147&lt;&gt;O147),"GROEN","")),"")</f>
        <v/>
      </c>
      <c r="Q147" s="84">
        <f t="shared" si="18"/>
        <v>0</v>
      </c>
      <c r="R147" s="85">
        <f t="shared" si="19"/>
        <v>0</v>
      </c>
      <c r="S147" s="293" t="str">
        <f>Tabel152[[#This Row],[Rood Verdediging]]&amp;Tabel152[[#This Row],[Rood Aanval]]</f>
        <v/>
      </c>
      <c r="T147" s="293" t="str">
        <f>Tabel152[[#This Row],[Groen Verdediging]]&amp;Tabel152[[#This Row],[Groen Aanval]]</f>
        <v/>
      </c>
      <c r="U147" s="293" t="str">
        <f>Tabel152[[#This Row],[Winnaar 1]]&amp;Tabel152[[#This Row],[Winnaar 2]]</f>
        <v>00</v>
      </c>
      <c r="V147" s="147" t="b">
        <f>IF(Tabel152[[#This Row],[Team Rood]]=Tabel152[[#This Row],[Winnaars]],Tabel152[[#This Row],[Team Rood]])</f>
        <v>0</v>
      </c>
      <c r="W147" s="147" t="b">
        <f>IF(Tabel152[[#This Row],[Team Groen]]=Tabel152[[#This Row],[Winnaars]],Tabel152[[#This Row],[Team Groen]])</f>
        <v>0</v>
      </c>
      <c r="X147" s="283"/>
      <c r="Y147" s="283"/>
      <c r="Z147" s="283"/>
      <c r="AA147" s="283"/>
      <c r="AL147" s="251" t="s">
        <v>157</v>
      </c>
      <c r="AM147" s="250" t="s">
        <v>163</v>
      </c>
      <c r="AN147" s="140" t="str">
        <f t="shared" si="17"/>
        <v>Tobi*Bert*</v>
      </c>
      <c r="AO147" s="160">
        <f>IF(Tabel511[[#This Row],[Aantal Games Rood]]=0,0,(Tabel511[[#This Row],[Wins Rood]])/Tabel511[[#This Row],[Aantal Games Rood]])</f>
        <v>0</v>
      </c>
      <c r="AP147" s="159">
        <f>IF(Tabel511[[#This Row],[Aantal Games Groen]]=0,0,(Tabel511[[#This Row],[Wins Groen]])/Tabel511[[#This Row],[Aantal Games Groen]])</f>
        <v>0</v>
      </c>
      <c r="AQ147" s="156">
        <f>IF(Tabel511[[#This Row],[Aantal games Alg]]=0,0,(Tabel511[[#This Row],[Wins Alg]])/Tabel511[[#This Row],[Aantal games Alg]])</f>
        <v>0</v>
      </c>
      <c r="AR147" s="135">
        <f>COUNTIF(Tabel152[Winaar rood],Tabel511[[#This Row],[Team]])</f>
        <v>0</v>
      </c>
      <c r="AS147" s="134">
        <f>COUNTIF(Tabel152[Winnaar Groen],Tabel511[[#This Row],[Team]])</f>
        <v>0</v>
      </c>
      <c r="AT147" s="293">
        <f>COUNTIF(Tabel152[Winnaars],Tabel511[[#This Row],[Team]])</f>
        <v>0</v>
      </c>
      <c r="AU147" s="135">
        <f>Tabel511[[#This Row],[Aantal Games Rood]]-Tabel511[[#This Row],[Wins Rood]]</f>
        <v>0</v>
      </c>
      <c r="AV147" s="136">
        <f>Tabel511[[#This Row],[Aantal Games Groen]]-Tabel511[[#This Row],[Wins Groen]]</f>
        <v>0</v>
      </c>
      <c r="AW147" s="137">
        <f>Tabel511[[#This Row],[Aantal games Alg]]-Tabel511[[#This Row],[Wins Alg]]</f>
        <v>0</v>
      </c>
      <c r="AX147" s="138">
        <f>COUNTIF(Tabel152[Team Rood],Tabel511[[#This Row],[Team]])</f>
        <v>0</v>
      </c>
      <c r="AY147" s="136">
        <f>COUNTIF(Tabel152[Team Groen],Tabel511[[#This Row],[Team]])</f>
        <v>0</v>
      </c>
      <c r="AZ147" s="137">
        <f>Tabel511[[#This Row],[Aantal Games Rood]]+Tabel511[[#This Row],[Aantal Games Groen]]</f>
        <v>0</v>
      </c>
      <c r="BA147" s="138">
        <f>SUMIF(Tabel152[Team Rood],Tabel511[[#This Row],[Team]],Tabel152[Score])</f>
        <v>0</v>
      </c>
      <c r="BB147" s="138">
        <f>SUMIF(Tabel152[Team Rood],Tabel511[[#This Row],[Team]],Tabel152[Score2])</f>
        <v>0</v>
      </c>
      <c r="BC147" s="134">
        <f>SUMIF(Tabel152[Team Groen],Tabel511[[#This Row],[Team]],Tabel152[Score3])</f>
        <v>0</v>
      </c>
      <c r="BD147" s="136">
        <f>SUMIF(Tabel152[Team Groen],Tabel511[[#This Row],[Team]],Tabel152[Score4])</f>
        <v>0</v>
      </c>
      <c r="BE147" s="293">
        <f>SUM(Tabel511[[#This Row],[Goals Verdediger]]+Tabel511[[#This Row],[Goals DefG]])</f>
        <v>0</v>
      </c>
      <c r="BF147" s="293">
        <f>IF(Tabel511[[#This Row],[Aantal games Alg]]=0,0,Tabel511[[#This Row],[Goals DefA]]/Tabel511[[#This Row],[Aantal games Alg]])</f>
        <v>0</v>
      </c>
      <c r="BG147" s="293">
        <f>SUM(Tabel511[[#This Row],[Goals Aanvaller]]+Tabel511[[#This Row],[Goals OffG]])</f>
        <v>0</v>
      </c>
      <c r="BH147" s="293">
        <f>IF(Tabel511[[#This Row],[Aantal games Alg]]=0,0,Tabel511[[#This Row],[Goals OffA]]/Tabel511[[#This Row],[Aantal games Alg]])</f>
        <v>0</v>
      </c>
      <c r="BI147" s="214">
        <f>Tabel511[[#This Row],[Goals DefA]]+Tabel511[[#This Row],[Goals OffA]]</f>
        <v>0</v>
      </c>
      <c r="BJ147" s="214">
        <f>IF(Tabel511[[#This Row],[Aantal games Alg]]=0,0,Tabel511[[#This Row],[Goals Alg]]/Tabel511[[#This Row],[Aantal games Alg]])</f>
        <v>0</v>
      </c>
      <c r="BK147" s="148">
        <f>SUMIF(Tabel152[Team Rood],Tabel511[[#This Row],[Team]],Tabel152[ET])</f>
        <v>0</v>
      </c>
      <c r="BL147" s="150">
        <f>SUMIF(Tabel152[Team Groen],Tabel511[[#This Row],[Team]],Tabel152[ET])</f>
        <v>0</v>
      </c>
      <c r="BM147" s="153">
        <f>SUM(Tabel511[[#This Row],[ET Groen tot]],Tabel511[[#This Row],[ET Rood tot]])</f>
        <v>0</v>
      </c>
      <c r="BN147" s="155">
        <f>IF(Tabel511[[#This Row],[Aantal games Alg]]=0,0,Tabel511[[#This Row],[ET tot]]/Tabel511[[#This Row],[Aantal games Alg]])</f>
        <v>0</v>
      </c>
    </row>
    <row r="148" spans="1:66" x14ac:dyDescent="0.25">
      <c r="A148" s="215" t="str">
        <f ca="1">IF(Tabel152[[#This Row],[Rood Verdediging]]&lt;&gt;"",IF(A148="",NOW(),A148),"")</f>
        <v/>
      </c>
      <c r="B148" s="218" t="str">
        <f ca="1">IF(Tabel152[[#This Row],[Rood Verdediging]]&lt;&gt;"",IF(B148="",NOW(),B148),"")</f>
        <v/>
      </c>
      <c r="C148" s="216" t="str">
        <f ca="1">IF(Tabel152[[#This Row],[Score]]&lt;&gt;"",IF(C148="",NOW(),C148),"")</f>
        <v/>
      </c>
      <c r="D148" s="217" t="str">
        <f ca="1">IF(OR(Tabel152[[#This Row],[Starttijd]]="",Tabel152[[#This Row],[Eindtijd]]=""),"",Tabel152[[#This Row],[Eindtijd]]-Tabel152[[#This Row],[Starttijd]])</f>
        <v/>
      </c>
      <c r="E148" s="74">
        <v>147</v>
      </c>
      <c r="F148" s="205"/>
      <c r="G148" s="210"/>
      <c r="H148" s="205"/>
      <c r="I148" s="210"/>
      <c r="J148" s="206"/>
      <c r="K148" s="212"/>
      <c r="L148" s="206"/>
      <c r="M148" s="212"/>
      <c r="N148" s="79">
        <f>Tabel152[[#This Row],[Score]]+Tabel152[[#This Row],[Score2]]</f>
        <v>0</v>
      </c>
      <c r="O148" s="80">
        <f>Tabel152[[#This Row],[Score3]]+Tabel152[[#This Row],[Score4]]</f>
        <v>0</v>
      </c>
      <c r="P14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Row],[Score4]]&lt;&gt;""),IF(AND(N148&gt;O148,N148&gt;=11),"ROOD",IF(AND(O148&gt;=11,N148&lt;&gt;O148),"GROEN","")),"")</f>
        <v/>
      </c>
      <c r="Q148" s="84">
        <f t="shared" si="18"/>
        <v>0</v>
      </c>
      <c r="R148" s="85">
        <f t="shared" si="19"/>
        <v>0</v>
      </c>
      <c r="S148" s="293" t="str">
        <f>Tabel152[[#This Row],[Rood Verdediging]]&amp;Tabel152[[#This Row],[Rood Aanval]]</f>
        <v/>
      </c>
      <c r="T148" s="293" t="str">
        <f>Tabel152[[#This Row],[Groen Verdediging]]&amp;Tabel152[[#This Row],[Groen Aanval]]</f>
        <v/>
      </c>
      <c r="U148" s="293" t="str">
        <f>Tabel152[[#This Row],[Winnaar 1]]&amp;Tabel152[[#This Row],[Winnaar 2]]</f>
        <v>00</v>
      </c>
      <c r="V148" s="147" t="b">
        <f>IF(Tabel152[[#This Row],[Team Rood]]=Tabel152[[#This Row],[Winnaars]],Tabel152[[#This Row],[Team Rood]])</f>
        <v>0</v>
      </c>
      <c r="W148" s="147" t="b">
        <f>IF(Tabel152[[#This Row],[Team Groen]]=Tabel152[[#This Row],[Winnaars]],Tabel152[[#This Row],[Team Groen]])</f>
        <v>0</v>
      </c>
      <c r="X148" s="283"/>
      <c r="Y148" s="283"/>
      <c r="Z148" s="283"/>
      <c r="AA148" s="283"/>
      <c r="AL148" s="251" t="s">
        <v>157</v>
      </c>
      <c r="AM148" s="250" t="s">
        <v>168</v>
      </c>
      <c r="AN148" s="140" t="str">
        <f t="shared" si="17"/>
        <v>Tobi*Coghe*</v>
      </c>
      <c r="AO148" s="160">
        <f>IF(Tabel511[[#This Row],[Aantal Games Rood]]=0,0,(Tabel511[[#This Row],[Wins Rood]])/Tabel511[[#This Row],[Aantal Games Rood]])</f>
        <v>0</v>
      </c>
      <c r="AP148" s="159">
        <f>IF(Tabel511[[#This Row],[Aantal Games Groen]]=0,0,(Tabel511[[#This Row],[Wins Groen]])/Tabel511[[#This Row],[Aantal Games Groen]])</f>
        <v>0</v>
      </c>
      <c r="AQ148" s="156">
        <f>IF(Tabel511[[#This Row],[Aantal games Alg]]=0,0,(Tabel511[[#This Row],[Wins Alg]])/Tabel511[[#This Row],[Aantal games Alg]])</f>
        <v>0</v>
      </c>
      <c r="AR148" s="135">
        <f>COUNTIF(Tabel152[Winaar rood],Tabel511[[#This Row],[Team]])</f>
        <v>0</v>
      </c>
      <c r="AS148" s="134">
        <f>COUNTIF(Tabel152[Winnaar Groen],Tabel511[[#This Row],[Team]])</f>
        <v>0</v>
      </c>
      <c r="AT148" s="293">
        <f>COUNTIF(Tabel152[Winnaars],Tabel511[[#This Row],[Team]])</f>
        <v>0</v>
      </c>
      <c r="AU148" s="135">
        <f>Tabel511[[#This Row],[Aantal Games Rood]]-Tabel511[[#This Row],[Wins Rood]]</f>
        <v>0</v>
      </c>
      <c r="AV148" s="136">
        <f>Tabel511[[#This Row],[Aantal Games Groen]]-Tabel511[[#This Row],[Wins Groen]]</f>
        <v>0</v>
      </c>
      <c r="AW148" s="137">
        <f>Tabel511[[#This Row],[Aantal games Alg]]-Tabel511[[#This Row],[Wins Alg]]</f>
        <v>0</v>
      </c>
      <c r="AX148" s="138">
        <f>COUNTIF(Tabel152[Team Rood],Tabel511[[#This Row],[Team]])</f>
        <v>0</v>
      </c>
      <c r="AY148" s="136">
        <f>COUNTIF(Tabel152[Team Groen],Tabel511[[#This Row],[Team]])</f>
        <v>0</v>
      </c>
      <c r="AZ148" s="137">
        <f>Tabel511[[#This Row],[Aantal Games Rood]]+Tabel511[[#This Row],[Aantal Games Groen]]</f>
        <v>0</v>
      </c>
      <c r="BA148" s="138">
        <f>SUMIF(Tabel152[Team Rood],Tabel511[[#This Row],[Team]],Tabel152[Score])</f>
        <v>0</v>
      </c>
      <c r="BB148" s="138">
        <f>SUMIF(Tabel152[Team Rood],Tabel511[[#This Row],[Team]],Tabel152[Score2])</f>
        <v>0</v>
      </c>
      <c r="BC148" s="134">
        <f>SUMIF(Tabel152[Team Groen],Tabel511[[#This Row],[Team]],Tabel152[Score3])</f>
        <v>0</v>
      </c>
      <c r="BD148" s="136">
        <f>SUMIF(Tabel152[Team Groen],Tabel511[[#This Row],[Team]],Tabel152[Score4])</f>
        <v>0</v>
      </c>
      <c r="BE148" s="293">
        <f>SUM(Tabel511[[#This Row],[Goals Verdediger]]+Tabel511[[#This Row],[Goals DefG]])</f>
        <v>0</v>
      </c>
      <c r="BF148" s="293">
        <f>IF(Tabel511[[#This Row],[Aantal games Alg]]=0,0,Tabel511[[#This Row],[Goals DefA]]/Tabel511[[#This Row],[Aantal games Alg]])</f>
        <v>0</v>
      </c>
      <c r="BG148" s="293">
        <f>SUM(Tabel511[[#This Row],[Goals Aanvaller]]+Tabel511[[#This Row],[Goals OffG]])</f>
        <v>0</v>
      </c>
      <c r="BH148" s="293">
        <f>IF(Tabel511[[#This Row],[Aantal games Alg]]=0,0,Tabel511[[#This Row],[Goals OffA]]/Tabel511[[#This Row],[Aantal games Alg]])</f>
        <v>0</v>
      </c>
      <c r="BI148" s="214">
        <f>Tabel511[[#This Row],[Goals DefA]]+Tabel511[[#This Row],[Goals OffA]]</f>
        <v>0</v>
      </c>
      <c r="BJ148" s="214">
        <f>IF(Tabel511[[#This Row],[Aantal games Alg]]=0,0,Tabel511[[#This Row],[Goals Alg]]/Tabel511[[#This Row],[Aantal games Alg]])</f>
        <v>0</v>
      </c>
      <c r="BK148" s="148">
        <f>SUMIF(Tabel152[Team Rood],Tabel511[[#This Row],[Team]],Tabel152[ET])</f>
        <v>0</v>
      </c>
      <c r="BL148" s="150">
        <f>SUMIF(Tabel152[Team Groen],Tabel511[[#This Row],[Team]],Tabel152[ET])</f>
        <v>0</v>
      </c>
      <c r="BM148" s="153">
        <f>SUM(Tabel511[[#This Row],[ET Groen tot]],Tabel511[[#This Row],[ET Rood tot]])</f>
        <v>0</v>
      </c>
      <c r="BN148" s="155">
        <f>IF(Tabel511[[#This Row],[Aantal games Alg]]=0,0,Tabel511[[#This Row],[ET tot]]/Tabel511[[#This Row],[Aantal games Alg]])</f>
        <v>0</v>
      </c>
    </row>
    <row r="149" spans="1:66" x14ac:dyDescent="0.25">
      <c r="A149" s="215" t="str">
        <f ca="1">IF(Tabel152[[#This Row],[Rood Verdediging]]&lt;&gt;"",IF(A149="",NOW(),A149),"")</f>
        <v/>
      </c>
      <c r="B149" s="218" t="str">
        <f ca="1">IF(Tabel152[[#This Row],[Rood Verdediging]]&lt;&gt;"",IF(B149="",NOW(),B149),"")</f>
        <v/>
      </c>
      <c r="C149" s="216" t="str">
        <f ca="1">IF(Tabel152[[#This Row],[Score]]&lt;&gt;"",IF(C149="",NOW(),C149),"")</f>
        <v/>
      </c>
      <c r="D149" s="217" t="str">
        <f ca="1">IF(OR(Tabel152[[#This Row],[Starttijd]]="",Tabel152[[#This Row],[Eindtijd]]=""),"",Tabel152[[#This Row],[Eindtijd]]-Tabel152[[#This Row],[Starttijd]])</f>
        <v/>
      </c>
      <c r="E149" s="74">
        <v>148</v>
      </c>
      <c r="F149" s="205"/>
      <c r="G149" s="210"/>
      <c r="H149" s="205"/>
      <c r="I149" s="210"/>
      <c r="J149" s="206"/>
      <c r="K149" s="212"/>
      <c r="L149" s="206"/>
      <c r="M149" s="212"/>
      <c r="N149" s="79">
        <f>Tabel152[[#This Row],[Score]]+Tabel152[[#This Row],[Score2]]</f>
        <v>0</v>
      </c>
      <c r="O149" s="80">
        <f>Tabel152[[#This Row],[Score3]]+Tabel152[[#This Row],[Score4]]</f>
        <v>0</v>
      </c>
      <c r="P14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Row],[Score4]]&lt;&gt;""),IF(AND(N149&gt;O149,N149&gt;=11),"ROOD",IF(AND(O149&gt;=11,N149&lt;&gt;O149),"GROEN","")),"")</f>
        <v/>
      </c>
      <c r="Q149" s="84">
        <f t="shared" si="18"/>
        <v>0</v>
      </c>
      <c r="R149" s="85">
        <f t="shared" si="19"/>
        <v>0</v>
      </c>
      <c r="S149" s="293" t="str">
        <f>Tabel152[[#This Row],[Rood Verdediging]]&amp;Tabel152[[#This Row],[Rood Aanval]]</f>
        <v/>
      </c>
      <c r="T149" s="293" t="str">
        <f>Tabel152[[#This Row],[Groen Verdediging]]&amp;Tabel152[[#This Row],[Groen Aanval]]</f>
        <v/>
      </c>
      <c r="U149" s="293" t="str">
        <f>Tabel152[[#This Row],[Winnaar 1]]&amp;Tabel152[[#This Row],[Winnaar 2]]</f>
        <v>00</v>
      </c>
      <c r="V149" s="147" t="b">
        <f>IF(Tabel152[[#This Row],[Team Rood]]=Tabel152[[#This Row],[Winnaars]],Tabel152[[#This Row],[Team Rood]])</f>
        <v>0</v>
      </c>
      <c r="W149" s="147" t="b">
        <f>IF(Tabel152[[#This Row],[Team Groen]]=Tabel152[[#This Row],[Winnaars]],Tabel152[[#This Row],[Team Groen]])</f>
        <v>0</v>
      </c>
      <c r="X149" s="283"/>
      <c r="Y149" s="283"/>
      <c r="Z149" s="283"/>
      <c r="AA149" s="283"/>
      <c r="AL149" s="251" t="s">
        <v>157</v>
      </c>
      <c r="AM149" s="250" t="s">
        <v>159</v>
      </c>
      <c r="AN149" s="140" t="str">
        <f t="shared" si="17"/>
        <v>Tobi*Jonas*</v>
      </c>
      <c r="AO149" s="160">
        <f>IF(Tabel511[[#This Row],[Aantal Games Rood]]=0,0,(Tabel511[[#This Row],[Wins Rood]])/Tabel511[[#This Row],[Aantal Games Rood]])</f>
        <v>0</v>
      </c>
      <c r="AP149" s="159">
        <f>IF(Tabel511[[#This Row],[Aantal Games Groen]]=0,0,(Tabel511[[#This Row],[Wins Groen]])/Tabel511[[#This Row],[Aantal Games Groen]])</f>
        <v>0</v>
      </c>
      <c r="AQ149" s="156">
        <f>IF(Tabel511[[#This Row],[Aantal games Alg]]=0,0,(Tabel511[[#This Row],[Wins Alg]])/Tabel511[[#This Row],[Aantal games Alg]])</f>
        <v>0</v>
      </c>
      <c r="AR149" s="135">
        <f>COUNTIF(Tabel152[Winaar rood],Tabel511[[#This Row],[Team]])</f>
        <v>0</v>
      </c>
      <c r="AS149" s="134">
        <f>COUNTIF(Tabel152[Winnaar Groen],Tabel511[[#This Row],[Team]])</f>
        <v>0</v>
      </c>
      <c r="AT149" s="293">
        <f>COUNTIF(Tabel152[Winnaars],Tabel511[[#This Row],[Team]])</f>
        <v>0</v>
      </c>
      <c r="AU149" s="135">
        <f>Tabel511[[#This Row],[Aantal Games Rood]]-Tabel511[[#This Row],[Wins Rood]]</f>
        <v>0</v>
      </c>
      <c r="AV149" s="136">
        <f>Tabel511[[#This Row],[Aantal Games Groen]]-Tabel511[[#This Row],[Wins Groen]]</f>
        <v>0</v>
      </c>
      <c r="AW149" s="137">
        <f>Tabel511[[#This Row],[Aantal games Alg]]-Tabel511[[#This Row],[Wins Alg]]</f>
        <v>0</v>
      </c>
      <c r="AX149" s="138">
        <f>COUNTIF(Tabel152[Team Rood],Tabel511[[#This Row],[Team]])</f>
        <v>0</v>
      </c>
      <c r="AY149" s="136">
        <f>COUNTIF(Tabel152[Team Groen],Tabel511[[#This Row],[Team]])</f>
        <v>0</v>
      </c>
      <c r="AZ149" s="137">
        <f>Tabel511[[#This Row],[Aantal Games Rood]]+Tabel511[[#This Row],[Aantal Games Groen]]</f>
        <v>0</v>
      </c>
      <c r="BA149" s="138">
        <f>SUMIF(Tabel152[Team Rood],Tabel511[[#This Row],[Team]],Tabel152[Score])</f>
        <v>0</v>
      </c>
      <c r="BB149" s="138">
        <f>SUMIF(Tabel152[Team Rood],Tabel511[[#This Row],[Team]],Tabel152[Score2])</f>
        <v>0</v>
      </c>
      <c r="BC149" s="134">
        <f>SUMIF(Tabel152[Team Groen],Tabel511[[#This Row],[Team]],Tabel152[Score3])</f>
        <v>0</v>
      </c>
      <c r="BD149" s="136">
        <f>SUMIF(Tabel152[Team Groen],Tabel511[[#This Row],[Team]],Tabel152[Score4])</f>
        <v>0</v>
      </c>
      <c r="BE149" s="293">
        <f>SUM(Tabel511[[#This Row],[Goals Verdediger]]+Tabel511[[#This Row],[Goals DefG]])</f>
        <v>0</v>
      </c>
      <c r="BF149" s="293">
        <f>IF(Tabel511[[#This Row],[Aantal games Alg]]=0,0,Tabel511[[#This Row],[Goals DefA]]/Tabel511[[#This Row],[Aantal games Alg]])</f>
        <v>0</v>
      </c>
      <c r="BG149" s="293">
        <f>SUM(Tabel511[[#This Row],[Goals Aanvaller]]+Tabel511[[#This Row],[Goals OffG]])</f>
        <v>0</v>
      </c>
      <c r="BH149" s="293">
        <f>IF(Tabel511[[#This Row],[Aantal games Alg]]=0,0,Tabel511[[#This Row],[Goals OffA]]/Tabel511[[#This Row],[Aantal games Alg]])</f>
        <v>0</v>
      </c>
      <c r="BI149" s="214">
        <f>Tabel511[[#This Row],[Goals DefA]]+Tabel511[[#This Row],[Goals OffA]]</f>
        <v>0</v>
      </c>
      <c r="BJ149" s="214">
        <f>IF(Tabel511[[#This Row],[Aantal games Alg]]=0,0,Tabel511[[#This Row],[Goals Alg]]/Tabel511[[#This Row],[Aantal games Alg]])</f>
        <v>0</v>
      </c>
      <c r="BK149" s="148">
        <f>SUMIF(Tabel152[Team Rood],Tabel511[[#This Row],[Team]],Tabel152[ET])</f>
        <v>0</v>
      </c>
      <c r="BL149" s="150">
        <f>SUMIF(Tabel152[Team Groen],Tabel511[[#This Row],[Team]],Tabel152[ET])</f>
        <v>0</v>
      </c>
      <c r="BM149" s="153">
        <f>SUM(Tabel511[[#This Row],[ET Groen tot]],Tabel511[[#This Row],[ET Rood tot]])</f>
        <v>0</v>
      </c>
      <c r="BN149" s="155">
        <f>IF(Tabel511[[#This Row],[Aantal games Alg]]=0,0,Tabel511[[#This Row],[ET tot]]/Tabel511[[#This Row],[Aantal games Alg]])</f>
        <v>0</v>
      </c>
    </row>
    <row r="150" spans="1:66" x14ac:dyDescent="0.25">
      <c r="A150" s="215" t="str">
        <f ca="1">IF(Tabel152[[#This Row],[Rood Verdediging]]&lt;&gt;"",IF(A150="",NOW(),A150),"")</f>
        <v/>
      </c>
      <c r="B150" s="218" t="str">
        <f ca="1">IF(Tabel152[[#This Row],[Rood Verdediging]]&lt;&gt;"",IF(B150="",NOW(),B150),"")</f>
        <v/>
      </c>
      <c r="C150" s="216" t="str">
        <f ca="1">IF(Tabel152[[#This Row],[Score]]&lt;&gt;"",IF(C150="",NOW(),C150),"")</f>
        <v/>
      </c>
      <c r="D150" s="217" t="str">
        <f ca="1">IF(OR(Tabel152[[#This Row],[Starttijd]]="",Tabel152[[#This Row],[Eindtijd]]=""),"",Tabel152[[#This Row],[Eindtijd]]-Tabel152[[#This Row],[Starttijd]])</f>
        <v/>
      </c>
      <c r="E150" s="74">
        <v>149</v>
      </c>
      <c r="F150" s="205"/>
      <c r="G150" s="210"/>
      <c r="H150" s="205"/>
      <c r="I150" s="210"/>
      <c r="J150" s="206"/>
      <c r="K150" s="212"/>
      <c r="L150" s="206"/>
      <c r="M150" s="212"/>
      <c r="N150" s="79">
        <f>Tabel152[[#This Row],[Score]]+Tabel152[[#This Row],[Score2]]</f>
        <v>0</v>
      </c>
      <c r="O150" s="80">
        <f>Tabel152[[#This Row],[Score3]]+Tabel152[[#This Row],[Score4]]</f>
        <v>0</v>
      </c>
      <c r="P15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Row],[Score4]]&lt;&gt;""),IF(AND(N150&gt;O150,N150&gt;=11),"ROOD",IF(AND(O150&gt;=11,N150&lt;&gt;O150),"GROEN","")),"")</f>
        <v/>
      </c>
      <c r="Q150" s="84">
        <f t="shared" si="18"/>
        <v>0</v>
      </c>
      <c r="R150" s="85">
        <f t="shared" si="19"/>
        <v>0</v>
      </c>
      <c r="S150" s="293" t="str">
        <f>Tabel152[[#This Row],[Rood Verdediging]]&amp;Tabel152[[#This Row],[Rood Aanval]]</f>
        <v/>
      </c>
      <c r="T150" s="293" t="str">
        <f>Tabel152[[#This Row],[Groen Verdediging]]&amp;Tabel152[[#This Row],[Groen Aanval]]</f>
        <v/>
      </c>
      <c r="U150" s="293" t="str">
        <f>Tabel152[[#This Row],[Winnaar 1]]&amp;Tabel152[[#This Row],[Winnaar 2]]</f>
        <v>00</v>
      </c>
      <c r="V150" s="147" t="b">
        <f>IF(Tabel152[[#This Row],[Team Rood]]=Tabel152[[#This Row],[Winnaars]],Tabel152[[#This Row],[Team Rood]])</f>
        <v>0</v>
      </c>
      <c r="W150" s="147" t="b">
        <f>IF(Tabel152[[#This Row],[Team Groen]]=Tabel152[[#This Row],[Winnaars]],Tabel152[[#This Row],[Team Groen]])</f>
        <v>0</v>
      </c>
      <c r="X150" s="283"/>
      <c r="Y150" s="283"/>
      <c r="Z150" s="283"/>
      <c r="AA150" s="283"/>
      <c r="AL150" s="251" t="s">
        <v>157</v>
      </c>
      <c r="AM150" s="250" t="s">
        <v>164</v>
      </c>
      <c r="AN150" s="140" t="str">
        <f t="shared" si="17"/>
        <v>Tobi*Karel*</v>
      </c>
      <c r="AO150" s="160">
        <f>IF(Tabel511[[#This Row],[Aantal Games Rood]]=0,0,(Tabel511[[#This Row],[Wins Rood]])/Tabel511[[#This Row],[Aantal Games Rood]])</f>
        <v>0</v>
      </c>
      <c r="AP150" s="159">
        <f>IF(Tabel511[[#This Row],[Aantal Games Groen]]=0,0,(Tabel511[[#This Row],[Wins Groen]])/Tabel511[[#This Row],[Aantal Games Groen]])</f>
        <v>0</v>
      </c>
      <c r="AQ150" s="156">
        <f>IF(Tabel511[[#This Row],[Aantal games Alg]]=0,0,(Tabel511[[#This Row],[Wins Alg]])/Tabel511[[#This Row],[Aantal games Alg]])</f>
        <v>0</v>
      </c>
      <c r="AR150" s="135">
        <f>COUNTIF(Tabel152[Winaar rood],Tabel511[[#This Row],[Team]])</f>
        <v>0</v>
      </c>
      <c r="AS150" s="134">
        <f>COUNTIF(Tabel152[Winnaar Groen],Tabel511[[#This Row],[Team]])</f>
        <v>0</v>
      </c>
      <c r="AT150" s="293">
        <f>COUNTIF(Tabel152[Winnaars],Tabel511[[#This Row],[Team]])</f>
        <v>0</v>
      </c>
      <c r="AU150" s="135">
        <f>Tabel511[[#This Row],[Aantal Games Rood]]-Tabel511[[#This Row],[Wins Rood]]</f>
        <v>0</v>
      </c>
      <c r="AV150" s="136">
        <f>Tabel511[[#This Row],[Aantal Games Groen]]-Tabel511[[#This Row],[Wins Groen]]</f>
        <v>0</v>
      </c>
      <c r="AW150" s="137">
        <f>Tabel511[[#This Row],[Aantal games Alg]]-Tabel511[[#This Row],[Wins Alg]]</f>
        <v>0</v>
      </c>
      <c r="AX150" s="138">
        <f>COUNTIF(Tabel152[Team Rood],Tabel511[[#This Row],[Team]])</f>
        <v>0</v>
      </c>
      <c r="AY150" s="136">
        <f>COUNTIF(Tabel152[Team Groen],Tabel511[[#This Row],[Team]])</f>
        <v>0</v>
      </c>
      <c r="AZ150" s="137">
        <f>Tabel511[[#This Row],[Aantal Games Rood]]+Tabel511[[#This Row],[Aantal Games Groen]]</f>
        <v>0</v>
      </c>
      <c r="BA150" s="138">
        <f>SUMIF(Tabel152[Team Rood],Tabel511[[#This Row],[Team]],Tabel152[Score])</f>
        <v>0</v>
      </c>
      <c r="BB150" s="138">
        <f>SUMIF(Tabel152[Team Rood],Tabel511[[#This Row],[Team]],Tabel152[Score2])</f>
        <v>0</v>
      </c>
      <c r="BC150" s="134">
        <f>SUMIF(Tabel152[Team Groen],Tabel511[[#This Row],[Team]],Tabel152[Score3])</f>
        <v>0</v>
      </c>
      <c r="BD150" s="136">
        <f>SUMIF(Tabel152[Team Groen],Tabel511[[#This Row],[Team]],Tabel152[Score4])</f>
        <v>0</v>
      </c>
      <c r="BE150" s="293">
        <f>SUM(Tabel511[[#This Row],[Goals Verdediger]]+Tabel511[[#This Row],[Goals DefG]])</f>
        <v>0</v>
      </c>
      <c r="BF150" s="293">
        <f>IF(Tabel511[[#This Row],[Aantal games Alg]]=0,0,Tabel511[[#This Row],[Goals DefA]]/Tabel511[[#This Row],[Aantal games Alg]])</f>
        <v>0</v>
      </c>
      <c r="BG150" s="293">
        <f>SUM(Tabel511[[#This Row],[Goals Aanvaller]]+Tabel511[[#This Row],[Goals OffG]])</f>
        <v>0</v>
      </c>
      <c r="BH150" s="293">
        <f>IF(Tabel511[[#This Row],[Aantal games Alg]]=0,0,Tabel511[[#This Row],[Goals OffA]]/Tabel511[[#This Row],[Aantal games Alg]])</f>
        <v>0</v>
      </c>
      <c r="BI150" s="214">
        <f>Tabel511[[#This Row],[Goals DefA]]+Tabel511[[#This Row],[Goals OffA]]</f>
        <v>0</v>
      </c>
      <c r="BJ150" s="214">
        <f>IF(Tabel511[[#This Row],[Aantal games Alg]]=0,0,Tabel511[[#This Row],[Goals Alg]]/Tabel511[[#This Row],[Aantal games Alg]])</f>
        <v>0</v>
      </c>
      <c r="BK150" s="148">
        <f>SUMIF(Tabel152[Team Rood],Tabel511[[#This Row],[Team]],Tabel152[ET])</f>
        <v>0</v>
      </c>
      <c r="BL150" s="150">
        <f>SUMIF(Tabel152[Team Groen],Tabel511[[#This Row],[Team]],Tabel152[ET])</f>
        <v>0</v>
      </c>
      <c r="BM150" s="153">
        <f>SUM(Tabel511[[#This Row],[ET Groen tot]],Tabel511[[#This Row],[ET Rood tot]])</f>
        <v>0</v>
      </c>
      <c r="BN150" s="155">
        <f>IF(Tabel511[[#This Row],[Aantal games Alg]]=0,0,Tabel511[[#This Row],[ET tot]]/Tabel511[[#This Row],[Aantal games Alg]])</f>
        <v>0</v>
      </c>
    </row>
    <row r="151" spans="1:66" x14ac:dyDescent="0.25">
      <c r="A151" s="215" t="str">
        <f ca="1">IF(Tabel152[[#This Row],[Rood Verdediging]]&lt;&gt;"",IF(A151="",NOW(),A151),"")</f>
        <v/>
      </c>
      <c r="B151" s="218" t="str">
        <f ca="1">IF(Tabel152[[#This Row],[Rood Verdediging]]&lt;&gt;"",IF(B151="",NOW(),B151),"")</f>
        <v/>
      </c>
      <c r="C151" s="216" t="str">
        <f ca="1">IF(Tabel152[[#This Row],[Score]]&lt;&gt;"",IF(C151="",NOW(),C151),"")</f>
        <v/>
      </c>
      <c r="D151" s="217" t="str">
        <f ca="1">IF(OR(Tabel152[[#This Row],[Starttijd]]="",Tabel152[[#This Row],[Eindtijd]]=""),"",Tabel152[[#This Row],[Eindtijd]]-Tabel152[[#This Row],[Starttijd]])</f>
        <v/>
      </c>
      <c r="E151" s="74">
        <v>150</v>
      </c>
      <c r="F151" s="205"/>
      <c r="G151" s="210"/>
      <c r="H151" s="205"/>
      <c r="I151" s="210"/>
      <c r="J151" s="206"/>
      <c r="K151" s="212"/>
      <c r="L151" s="206"/>
      <c r="M151" s="212"/>
      <c r="N151" s="79">
        <f>Tabel152[[#This Row],[Score]]+Tabel152[[#This Row],[Score2]]</f>
        <v>0</v>
      </c>
      <c r="O151" s="80">
        <f>Tabel152[[#This Row],[Score3]]+Tabel152[[#This Row],[Score4]]</f>
        <v>0</v>
      </c>
      <c r="P15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Row],[Score4]]&lt;&gt;""),IF(AND(N151&gt;O151,N151&gt;=11),"ROOD",IF(AND(O151&gt;=11,N151&lt;&gt;O151),"GROEN","")),"")</f>
        <v/>
      </c>
      <c r="Q151" s="84">
        <f t="shared" si="18"/>
        <v>0</v>
      </c>
      <c r="R151" s="85">
        <f t="shared" si="19"/>
        <v>0</v>
      </c>
      <c r="S151" s="293" t="str">
        <f>Tabel152[[#This Row],[Rood Verdediging]]&amp;Tabel152[[#This Row],[Rood Aanval]]</f>
        <v/>
      </c>
      <c r="T151" s="293" t="str">
        <f>Tabel152[[#This Row],[Groen Verdediging]]&amp;Tabel152[[#This Row],[Groen Aanval]]</f>
        <v/>
      </c>
      <c r="U151" s="293" t="str">
        <f>Tabel152[[#This Row],[Winnaar 1]]&amp;Tabel152[[#This Row],[Winnaar 2]]</f>
        <v>00</v>
      </c>
      <c r="V151" s="147" t="b">
        <f>IF(Tabel152[[#This Row],[Team Rood]]=Tabel152[[#This Row],[Winnaars]],Tabel152[[#This Row],[Team Rood]])</f>
        <v>0</v>
      </c>
      <c r="W151" s="147" t="b">
        <f>IF(Tabel152[[#This Row],[Team Groen]]=Tabel152[[#This Row],[Winnaars]],Tabel152[[#This Row],[Team Groen]])</f>
        <v>0</v>
      </c>
      <c r="X151" s="283"/>
      <c r="Y151" s="283"/>
      <c r="Z151" s="283"/>
      <c r="AA151" s="283"/>
      <c r="AL151" s="251" t="s">
        <v>157</v>
      </c>
      <c r="AM151" s="250" t="s">
        <v>67</v>
      </c>
      <c r="AN151" s="140" t="str">
        <f t="shared" si="17"/>
        <v>Tobi*Lawrence</v>
      </c>
      <c r="AO151" s="160">
        <f>IF(Tabel511[[#This Row],[Aantal Games Rood]]=0,0,(Tabel511[[#This Row],[Wins Rood]])/Tabel511[[#This Row],[Aantal Games Rood]])</f>
        <v>0</v>
      </c>
      <c r="AP151" s="159">
        <f>IF(Tabel511[[#This Row],[Aantal Games Groen]]=0,0,(Tabel511[[#This Row],[Wins Groen]])/Tabel511[[#This Row],[Aantal Games Groen]])</f>
        <v>0</v>
      </c>
      <c r="AQ151" s="156">
        <f>IF(Tabel511[[#This Row],[Aantal games Alg]]=0,0,(Tabel511[[#This Row],[Wins Alg]])/Tabel511[[#This Row],[Aantal games Alg]])</f>
        <v>0</v>
      </c>
      <c r="AR151" s="135">
        <f>COUNTIF(Tabel152[Winaar rood],Tabel511[[#This Row],[Team]])</f>
        <v>0</v>
      </c>
      <c r="AS151" s="134">
        <f>COUNTIF(Tabel152[Winnaar Groen],Tabel511[[#This Row],[Team]])</f>
        <v>0</v>
      </c>
      <c r="AT151" s="293">
        <f>COUNTIF(Tabel152[Winnaars],Tabel511[[#This Row],[Team]])</f>
        <v>0</v>
      </c>
      <c r="AU151" s="135">
        <f>Tabel511[[#This Row],[Aantal Games Rood]]-Tabel511[[#This Row],[Wins Rood]]</f>
        <v>0</v>
      </c>
      <c r="AV151" s="136">
        <f>Tabel511[[#This Row],[Aantal Games Groen]]-Tabel511[[#This Row],[Wins Groen]]</f>
        <v>0</v>
      </c>
      <c r="AW151" s="137">
        <f>Tabel511[[#This Row],[Aantal games Alg]]-Tabel511[[#This Row],[Wins Alg]]</f>
        <v>0</v>
      </c>
      <c r="AX151" s="138">
        <f>COUNTIF(Tabel152[Team Rood],Tabel511[[#This Row],[Team]])</f>
        <v>0</v>
      </c>
      <c r="AY151" s="136">
        <f>COUNTIF(Tabel152[Team Groen],Tabel511[[#This Row],[Team]])</f>
        <v>0</v>
      </c>
      <c r="AZ151" s="137">
        <f>Tabel511[[#This Row],[Aantal Games Rood]]+Tabel511[[#This Row],[Aantal Games Groen]]</f>
        <v>0</v>
      </c>
      <c r="BA151" s="138">
        <f>SUMIF(Tabel152[Team Rood],Tabel511[[#This Row],[Team]],Tabel152[Score])</f>
        <v>0</v>
      </c>
      <c r="BB151" s="138">
        <f>SUMIF(Tabel152[Team Rood],Tabel511[[#This Row],[Team]],Tabel152[Score2])</f>
        <v>0</v>
      </c>
      <c r="BC151" s="134">
        <f>SUMIF(Tabel152[Team Groen],Tabel511[[#This Row],[Team]],Tabel152[Score3])</f>
        <v>0</v>
      </c>
      <c r="BD151" s="136">
        <f>SUMIF(Tabel152[Team Groen],Tabel511[[#This Row],[Team]],Tabel152[Score4])</f>
        <v>0</v>
      </c>
      <c r="BE151" s="293">
        <f>SUM(Tabel511[[#This Row],[Goals Verdediger]]+Tabel511[[#This Row],[Goals DefG]])</f>
        <v>0</v>
      </c>
      <c r="BF151" s="293">
        <f>IF(Tabel511[[#This Row],[Aantal games Alg]]=0,0,Tabel511[[#This Row],[Goals DefA]]/Tabel511[[#This Row],[Aantal games Alg]])</f>
        <v>0</v>
      </c>
      <c r="BG151" s="293">
        <f>SUM(Tabel511[[#This Row],[Goals Aanvaller]]+Tabel511[[#This Row],[Goals OffG]])</f>
        <v>0</v>
      </c>
      <c r="BH151" s="293">
        <f>IF(Tabel511[[#This Row],[Aantal games Alg]]=0,0,Tabel511[[#This Row],[Goals OffA]]/Tabel511[[#This Row],[Aantal games Alg]])</f>
        <v>0</v>
      </c>
      <c r="BI151" s="214">
        <f>Tabel511[[#This Row],[Goals DefA]]+Tabel511[[#This Row],[Goals OffA]]</f>
        <v>0</v>
      </c>
      <c r="BJ151" s="214">
        <f>IF(Tabel511[[#This Row],[Aantal games Alg]]=0,0,Tabel511[[#This Row],[Goals Alg]]/Tabel511[[#This Row],[Aantal games Alg]])</f>
        <v>0</v>
      </c>
      <c r="BK151" s="148">
        <f>SUMIF(Tabel152[Team Rood],Tabel511[[#This Row],[Team]],Tabel152[ET])</f>
        <v>0</v>
      </c>
      <c r="BL151" s="150">
        <f>SUMIF(Tabel152[Team Groen],Tabel511[[#This Row],[Team]],Tabel152[ET])</f>
        <v>0</v>
      </c>
      <c r="BM151" s="153">
        <f>SUM(Tabel511[[#This Row],[ET Groen tot]],Tabel511[[#This Row],[ET Rood tot]])</f>
        <v>0</v>
      </c>
      <c r="BN151" s="155">
        <f>IF(Tabel511[[#This Row],[Aantal games Alg]]=0,0,Tabel511[[#This Row],[ET tot]]/Tabel511[[#This Row],[Aantal games Alg]])</f>
        <v>0</v>
      </c>
    </row>
    <row r="152" spans="1:66" x14ac:dyDescent="0.25">
      <c r="A152" s="215" t="str">
        <f ca="1">IF(Tabel152[[#This Row],[Rood Verdediging]]&lt;&gt;"",IF(A152="",NOW(),A152),"")</f>
        <v/>
      </c>
      <c r="B152" s="218" t="str">
        <f ca="1">IF(Tabel152[[#This Row],[Rood Verdediging]]&lt;&gt;"",IF(B152="",NOW(),B152),"")</f>
        <v/>
      </c>
      <c r="C152" s="216" t="str">
        <f ca="1">IF(Tabel152[[#This Row],[Score]]&lt;&gt;"",IF(C152="",NOW(),C152),"")</f>
        <v/>
      </c>
      <c r="D152" s="217" t="str">
        <f ca="1">IF(OR(Tabel152[[#This Row],[Starttijd]]="",Tabel152[[#This Row],[Eindtijd]]=""),"",Tabel152[[#This Row],[Eindtijd]]-Tabel152[[#This Row],[Starttijd]])</f>
        <v/>
      </c>
      <c r="E152" s="74">
        <v>151</v>
      </c>
      <c r="F152" s="205"/>
      <c r="G152" s="210"/>
      <c r="H152" s="205"/>
      <c r="I152" s="210"/>
      <c r="J152" s="206"/>
      <c r="K152" s="212"/>
      <c r="L152" s="206"/>
      <c r="M152" s="212"/>
      <c r="N152" s="79">
        <f>Tabel152[[#This Row],[Score]]+Tabel152[[#This Row],[Score2]]</f>
        <v>0</v>
      </c>
      <c r="O152" s="80">
        <f>Tabel152[[#This Row],[Score3]]+Tabel152[[#This Row],[Score4]]</f>
        <v>0</v>
      </c>
      <c r="P15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Row],[Score4]]&lt;&gt;""),IF(AND(N152&gt;O152,N152&gt;=11),"ROOD",IF(AND(O152&gt;=11,N152&lt;&gt;O152),"GROEN","")),"")</f>
        <v/>
      </c>
      <c r="Q152" s="84">
        <f t="shared" si="18"/>
        <v>0</v>
      </c>
      <c r="R152" s="85">
        <f t="shared" si="19"/>
        <v>0</v>
      </c>
      <c r="S152" s="293" t="str">
        <f>Tabel152[[#This Row],[Rood Verdediging]]&amp;Tabel152[[#This Row],[Rood Aanval]]</f>
        <v/>
      </c>
      <c r="T152" s="293" t="str">
        <f>Tabel152[[#This Row],[Groen Verdediging]]&amp;Tabel152[[#This Row],[Groen Aanval]]</f>
        <v/>
      </c>
      <c r="U152" s="293" t="str">
        <f>Tabel152[[#This Row],[Winnaar 1]]&amp;Tabel152[[#This Row],[Winnaar 2]]</f>
        <v>00</v>
      </c>
      <c r="V152" s="147" t="b">
        <f>IF(Tabel152[[#This Row],[Team Rood]]=Tabel152[[#This Row],[Winnaars]],Tabel152[[#This Row],[Team Rood]])</f>
        <v>0</v>
      </c>
      <c r="W152" s="147" t="b">
        <f>IF(Tabel152[[#This Row],[Team Groen]]=Tabel152[[#This Row],[Winnaars]],Tabel152[[#This Row],[Team Groen]])</f>
        <v>0</v>
      </c>
      <c r="X152" s="283"/>
      <c r="Y152" s="283"/>
      <c r="Z152" s="283"/>
      <c r="AA152" s="283"/>
      <c r="AL152" s="251" t="s">
        <v>157</v>
      </c>
      <c r="AM152" s="250" t="s">
        <v>161</v>
      </c>
      <c r="AN152" s="140" t="str">
        <f t="shared" si="17"/>
        <v>Tobi*Louis*</v>
      </c>
      <c r="AO152" s="160">
        <f>IF(Tabel511[[#This Row],[Aantal Games Rood]]=0,0,(Tabel511[[#This Row],[Wins Rood]])/Tabel511[[#This Row],[Aantal Games Rood]])</f>
        <v>0</v>
      </c>
      <c r="AP152" s="159">
        <f>IF(Tabel511[[#This Row],[Aantal Games Groen]]=0,0,(Tabel511[[#This Row],[Wins Groen]])/Tabel511[[#This Row],[Aantal Games Groen]])</f>
        <v>0</v>
      </c>
      <c r="AQ152" s="156">
        <f>IF(Tabel511[[#This Row],[Aantal games Alg]]=0,0,(Tabel511[[#This Row],[Wins Alg]])/Tabel511[[#This Row],[Aantal games Alg]])</f>
        <v>0</v>
      </c>
      <c r="AR152" s="135">
        <f>COUNTIF(Tabel152[Winaar rood],Tabel511[[#This Row],[Team]])</f>
        <v>0</v>
      </c>
      <c r="AS152" s="134">
        <f>COUNTIF(Tabel152[Winnaar Groen],Tabel511[[#This Row],[Team]])</f>
        <v>0</v>
      </c>
      <c r="AT152" s="293">
        <f>COUNTIF(Tabel152[Winnaars],Tabel511[[#This Row],[Team]])</f>
        <v>0</v>
      </c>
      <c r="AU152" s="135">
        <f>Tabel511[[#This Row],[Aantal Games Rood]]-Tabel511[[#This Row],[Wins Rood]]</f>
        <v>0</v>
      </c>
      <c r="AV152" s="136">
        <f>Tabel511[[#This Row],[Aantal Games Groen]]-Tabel511[[#This Row],[Wins Groen]]</f>
        <v>0</v>
      </c>
      <c r="AW152" s="137">
        <f>Tabel511[[#This Row],[Aantal games Alg]]-Tabel511[[#This Row],[Wins Alg]]</f>
        <v>0</v>
      </c>
      <c r="AX152" s="138">
        <f>COUNTIF(Tabel152[Team Rood],Tabel511[[#This Row],[Team]])</f>
        <v>0</v>
      </c>
      <c r="AY152" s="136">
        <f>COUNTIF(Tabel152[Team Groen],Tabel511[[#This Row],[Team]])</f>
        <v>0</v>
      </c>
      <c r="AZ152" s="137">
        <f>Tabel511[[#This Row],[Aantal Games Rood]]+Tabel511[[#This Row],[Aantal Games Groen]]</f>
        <v>0</v>
      </c>
      <c r="BA152" s="138">
        <f>SUMIF(Tabel152[Team Rood],Tabel511[[#This Row],[Team]],Tabel152[Score])</f>
        <v>0</v>
      </c>
      <c r="BB152" s="138">
        <f>SUMIF(Tabel152[Team Rood],Tabel511[[#This Row],[Team]],Tabel152[Score2])</f>
        <v>0</v>
      </c>
      <c r="BC152" s="134">
        <f>SUMIF(Tabel152[Team Groen],Tabel511[[#This Row],[Team]],Tabel152[Score3])</f>
        <v>0</v>
      </c>
      <c r="BD152" s="136">
        <f>SUMIF(Tabel152[Team Groen],Tabel511[[#This Row],[Team]],Tabel152[Score4])</f>
        <v>0</v>
      </c>
      <c r="BE152" s="293">
        <f>SUM(Tabel511[[#This Row],[Goals Verdediger]]+Tabel511[[#This Row],[Goals DefG]])</f>
        <v>0</v>
      </c>
      <c r="BF152" s="293">
        <f>IF(Tabel511[[#This Row],[Aantal games Alg]]=0,0,Tabel511[[#This Row],[Goals DefA]]/Tabel511[[#This Row],[Aantal games Alg]])</f>
        <v>0</v>
      </c>
      <c r="BG152" s="293">
        <f>SUM(Tabel511[[#This Row],[Goals Aanvaller]]+Tabel511[[#This Row],[Goals OffG]])</f>
        <v>0</v>
      </c>
      <c r="BH152" s="293">
        <f>IF(Tabel511[[#This Row],[Aantal games Alg]]=0,0,Tabel511[[#This Row],[Goals OffA]]/Tabel511[[#This Row],[Aantal games Alg]])</f>
        <v>0</v>
      </c>
      <c r="BI152" s="214">
        <f>Tabel511[[#This Row],[Goals DefA]]+Tabel511[[#This Row],[Goals OffA]]</f>
        <v>0</v>
      </c>
      <c r="BJ152" s="214">
        <f>IF(Tabel511[[#This Row],[Aantal games Alg]]=0,0,Tabel511[[#This Row],[Goals Alg]]/Tabel511[[#This Row],[Aantal games Alg]])</f>
        <v>0</v>
      </c>
      <c r="BK152" s="148">
        <f>SUMIF(Tabel152[Team Rood],Tabel511[[#This Row],[Team]],Tabel152[ET])</f>
        <v>0</v>
      </c>
      <c r="BL152" s="150">
        <f>SUMIF(Tabel152[Team Groen],Tabel511[[#This Row],[Team]],Tabel152[ET])</f>
        <v>0</v>
      </c>
      <c r="BM152" s="153">
        <f>SUM(Tabel511[[#This Row],[ET Groen tot]],Tabel511[[#This Row],[ET Rood tot]])</f>
        <v>0</v>
      </c>
      <c r="BN152" s="155">
        <f>IF(Tabel511[[#This Row],[Aantal games Alg]]=0,0,Tabel511[[#This Row],[ET tot]]/Tabel511[[#This Row],[Aantal games Alg]])</f>
        <v>0</v>
      </c>
    </row>
    <row r="153" spans="1:66" x14ac:dyDescent="0.25">
      <c r="A153" s="215" t="str">
        <f ca="1">IF(Tabel152[[#This Row],[Rood Verdediging]]&lt;&gt;"",IF(A153="",NOW(),A153),"")</f>
        <v/>
      </c>
      <c r="B153" s="218" t="str">
        <f ca="1">IF(Tabel152[[#This Row],[Rood Verdediging]]&lt;&gt;"",IF(B153="",NOW(),B153),"")</f>
        <v/>
      </c>
      <c r="C153" s="216" t="str">
        <f ca="1">IF(Tabel152[[#This Row],[Score]]&lt;&gt;"",IF(C153="",NOW(),C153),"")</f>
        <v/>
      </c>
      <c r="D153" s="217" t="str">
        <f ca="1">IF(OR(Tabel152[[#This Row],[Starttijd]]="",Tabel152[[#This Row],[Eindtijd]]=""),"",Tabel152[[#This Row],[Eindtijd]]-Tabel152[[#This Row],[Starttijd]])</f>
        <v/>
      </c>
      <c r="E153" s="74">
        <v>152</v>
      </c>
      <c r="F153" s="205"/>
      <c r="G153" s="210"/>
      <c r="H153" s="205"/>
      <c r="I153" s="210"/>
      <c r="J153" s="206"/>
      <c r="K153" s="212"/>
      <c r="L153" s="206"/>
      <c r="M153" s="212"/>
      <c r="N153" s="79">
        <f>Tabel152[[#This Row],[Score]]+Tabel152[[#This Row],[Score2]]</f>
        <v>0</v>
      </c>
      <c r="O153" s="80">
        <f>Tabel152[[#This Row],[Score3]]+Tabel152[[#This Row],[Score4]]</f>
        <v>0</v>
      </c>
      <c r="P15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Row],[Score4]]&lt;&gt;""),IF(AND(N153&gt;O153,N153&gt;=11),"ROOD",IF(AND(O153&gt;=11,N153&lt;&gt;O153),"GROEN","")),"")</f>
        <v/>
      </c>
      <c r="Q153" s="84">
        <f t="shared" si="18"/>
        <v>0</v>
      </c>
      <c r="R153" s="85">
        <f t="shared" si="19"/>
        <v>0</v>
      </c>
      <c r="S153" s="293" t="str">
        <f>Tabel152[[#This Row],[Rood Verdediging]]&amp;Tabel152[[#This Row],[Rood Aanval]]</f>
        <v/>
      </c>
      <c r="T153" s="293" t="str">
        <f>Tabel152[[#This Row],[Groen Verdediging]]&amp;Tabel152[[#This Row],[Groen Aanval]]</f>
        <v/>
      </c>
      <c r="U153" s="293" t="str">
        <f>Tabel152[[#This Row],[Winnaar 1]]&amp;Tabel152[[#This Row],[Winnaar 2]]</f>
        <v>00</v>
      </c>
      <c r="V153" s="147" t="b">
        <f>IF(Tabel152[[#This Row],[Team Rood]]=Tabel152[[#This Row],[Winnaars]],Tabel152[[#This Row],[Team Rood]])</f>
        <v>0</v>
      </c>
      <c r="W153" s="147" t="b">
        <f>IF(Tabel152[[#This Row],[Team Groen]]=Tabel152[[#This Row],[Winnaars]],Tabel152[[#This Row],[Team Groen]])</f>
        <v>0</v>
      </c>
      <c r="X153" s="283"/>
      <c r="Y153" s="283"/>
      <c r="Z153" s="283"/>
      <c r="AA153" s="283"/>
      <c r="AL153" s="251" t="s">
        <v>157</v>
      </c>
      <c r="AM153" s="250" t="s">
        <v>162</v>
      </c>
      <c r="AN153" s="140" t="str">
        <f t="shared" si="17"/>
        <v>Tobi*Matthijs*</v>
      </c>
      <c r="AO153" s="160">
        <f>IF(Tabel511[[#This Row],[Aantal Games Rood]]=0,0,(Tabel511[[#This Row],[Wins Rood]])/Tabel511[[#This Row],[Aantal Games Rood]])</f>
        <v>0</v>
      </c>
      <c r="AP153" s="159">
        <f>IF(Tabel511[[#This Row],[Aantal Games Groen]]=0,0,(Tabel511[[#This Row],[Wins Groen]])/Tabel511[[#This Row],[Aantal Games Groen]])</f>
        <v>0</v>
      </c>
      <c r="AQ153" s="156">
        <f>IF(Tabel511[[#This Row],[Aantal games Alg]]=0,0,(Tabel511[[#This Row],[Wins Alg]])/Tabel511[[#This Row],[Aantal games Alg]])</f>
        <v>0</v>
      </c>
      <c r="AR153" s="135">
        <f>COUNTIF(Tabel152[Winaar rood],Tabel511[[#This Row],[Team]])</f>
        <v>0</v>
      </c>
      <c r="AS153" s="134">
        <f>COUNTIF(Tabel152[Winnaar Groen],Tabel511[[#This Row],[Team]])</f>
        <v>0</v>
      </c>
      <c r="AT153" s="293">
        <f>COUNTIF(Tabel152[Winnaars],Tabel511[[#This Row],[Team]])</f>
        <v>0</v>
      </c>
      <c r="AU153" s="135">
        <f>Tabel511[[#This Row],[Aantal Games Rood]]-Tabel511[[#This Row],[Wins Rood]]</f>
        <v>0</v>
      </c>
      <c r="AV153" s="136">
        <f>Tabel511[[#This Row],[Aantal Games Groen]]-Tabel511[[#This Row],[Wins Groen]]</f>
        <v>0</v>
      </c>
      <c r="AW153" s="137">
        <f>Tabel511[[#This Row],[Aantal games Alg]]-Tabel511[[#This Row],[Wins Alg]]</f>
        <v>0</v>
      </c>
      <c r="AX153" s="138">
        <f>COUNTIF(Tabel152[Team Rood],Tabel511[[#This Row],[Team]])</f>
        <v>0</v>
      </c>
      <c r="AY153" s="136">
        <f>COUNTIF(Tabel152[Team Groen],Tabel511[[#This Row],[Team]])</f>
        <v>0</v>
      </c>
      <c r="AZ153" s="137">
        <f>Tabel511[[#This Row],[Aantal Games Rood]]+Tabel511[[#This Row],[Aantal Games Groen]]</f>
        <v>0</v>
      </c>
      <c r="BA153" s="138">
        <f>SUMIF(Tabel152[Team Rood],Tabel511[[#This Row],[Team]],Tabel152[Score])</f>
        <v>0</v>
      </c>
      <c r="BB153" s="138">
        <f>SUMIF(Tabel152[Team Rood],Tabel511[[#This Row],[Team]],Tabel152[Score2])</f>
        <v>0</v>
      </c>
      <c r="BC153" s="134">
        <f>SUMIF(Tabel152[Team Groen],Tabel511[[#This Row],[Team]],Tabel152[Score3])</f>
        <v>0</v>
      </c>
      <c r="BD153" s="136">
        <f>SUMIF(Tabel152[Team Groen],Tabel511[[#This Row],[Team]],Tabel152[Score4])</f>
        <v>0</v>
      </c>
      <c r="BE153" s="293">
        <f>SUM(Tabel511[[#This Row],[Goals Verdediger]]+Tabel511[[#This Row],[Goals DefG]])</f>
        <v>0</v>
      </c>
      <c r="BF153" s="293">
        <f>IF(Tabel511[[#This Row],[Aantal games Alg]]=0,0,Tabel511[[#This Row],[Goals DefA]]/Tabel511[[#This Row],[Aantal games Alg]])</f>
        <v>0</v>
      </c>
      <c r="BG153" s="293">
        <f>SUM(Tabel511[[#This Row],[Goals Aanvaller]]+Tabel511[[#This Row],[Goals OffG]])</f>
        <v>0</v>
      </c>
      <c r="BH153" s="293">
        <f>IF(Tabel511[[#This Row],[Aantal games Alg]]=0,0,Tabel511[[#This Row],[Goals OffA]]/Tabel511[[#This Row],[Aantal games Alg]])</f>
        <v>0</v>
      </c>
      <c r="BI153" s="214">
        <f>Tabel511[[#This Row],[Goals DefA]]+Tabel511[[#This Row],[Goals OffA]]</f>
        <v>0</v>
      </c>
      <c r="BJ153" s="214">
        <f>IF(Tabel511[[#This Row],[Aantal games Alg]]=0,0,Tabel511[[#This Row],[Goals Alg]]/Tabel511[[#This Row],[Aantal games Alg]])</f>
        <v>0</v>
      </c>
      <c r="BK153" s="148">
        <f>SUMIF(Tabel152[Team Rood],Tabel511[[#This Row],[Team]],Tabel152[ET])</f>
        <v>0</v>
      </c>
      <c r="BL153" s="150">
        <f>SUMIF(Tabel152[Team Groen],Tabel511[[#This Row],[Team]],Tabel152[ET])</f>
        <v>0</v>
      </c>
      <c r="BM153" s="153">
        <f>SUM(Tabel511[[#This Row],[ET Groen tot]],Tabel511[[#This Row],[ET Rood tot]])</f>
        <v>0</v>
      </c>
      <c r="BN153" s="155">
        <f>IF(Tabel511[[#This Row],[Aantal games Alg]]=0,0,Tabel511[[#This Row],[ET tot]]/Tabel511[[#This Row],[Aantal games Alg]])</f>
        <v>0</v>
      </c>
    </row>
    <row r="154" spans="1:66" x14ac:dyDescent="0.25">
      <c r="A154" s="215" t="str">
        <f ca="1">IF(Tabel152[[#This Row],[Rood Verdediging]]&lt;&gt;"",IF(A154="",NOW(),A154),"")</f>
        <v/>
      </c>
      <c r="B154" s="218" t="str">
        <f ca="1">IF(Tabel152[[#This Row],[Rood Verdediging]]&lt;&gt;"",IF(B154="",NOW(),B154),"")</f>
        <v/>
      </c>
      <c r="C154" s="216" t="str">
        <f ca="1">IF(Tabel152[[#This Row],[Score]]&lt;&gt;"",IF(C154="",NOW(),C154),"")</f>
        <v/>
      </c>
      <c r="D154" s="217" t="str">
        <f ca="1">IF(OR(Tabel152[[#This Row],[Starttijd]]="",Tabel152[[#This Row],[Eindtijd]]=""),"",Tabel152[[#This Row],[Eindtijd]]-Tabel152[[#This Row],[Starttijd]])</f>
        <v/>
      </c>
      <c r="E154" s="74">
        <v>153</v>
      </c>
      <c r="F154" s="205"/>
      <c r="G154" s="210"/>
      <c r="H154" s="205"/>
      <c r="I154" s="210"/>
      <c r="J154" s="206"/>
      <c r="K154" s="212"/>
      <c r="L154" s="206"/>
      <c r="M154" s="212"/>
      <c r="N154" s="79">
        <f>Tabel152[[#This Row],[Score]]+Tabel152[[#This Row],[Score2]]</f>
        <v>0</v>
      </c>
      <c r="O154" s="80">
        <f>Tabel152[[#This Row],[Score3]]+Tabel152[[#This Row],[Score4]]</f>
        <v>0</v>
      </c>
      <c r="P15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Row],[Score4]]&lt;&gt;""),IF(AND(N154&gt;O154,N154&gt;=11),"ROOD",IF(AND(O154&gt;=11,N154&lt;&gt;O154),"GROEN","")),"")</f>
        <v/>
      </c>
      <c r="Q154" s="84">
        <f t="shared" si="18"/>
        <v>0</v>
      </c>
      <c r="R154" s="85">
        <f t="shared" si="19"/>
        <v>0</v>
      </c>
      <c r="S154" s="293" t="str">
        <f>Tabel152[[#This Row],[Rood Verdediging]]&amp;Tabel152[[#This Row],[Rood Aanval]]</f>
        <v/>
      </c>
      <c r="T154" s="293" t="str">
        <f>Tabel152[[#This Row],[Groen Verdediging]]&amp;Tabel152[[#This Row],[Groen Aanval]]</f>
        <v/>
      </c>
      <c r="U154" s="293" t="str">
        <f>Tabel152[[#This Row],[Winnaar 1]]&amp;Tabel152[[#This Row],[Winnaar 2]]</f>
        <v>00</v>
      </c>
      <c r="V154" s="147" t="b">
        <f>IF(Tabel152[[#This Row],[Team Rood]]=Tabel152[[#This Row],[Winnaars]],Tabel152[[#This Row],[Team Rood]])</f>
        <v>0</v>
      </c>
      <c r="W154" s="147" t="b">
        <f>IF(Tabel152[[#This Row],[Team Groen]]=Tabel152[[#This Row],[Winnaars]],Tabel152[[#This Row],[Team Groen]])</f>
        <v>0</v>
      </c>
      <c r="X154" s="283"/>
      <c r="Y154" s="283"/>
      <c r="Z154" s="283"/>
      <c r="AA154" s="283"/>
      <c r="AL154" s="251" t="s">
        <v>157</v>
      </c>
      <c r="AM154" s="250" t="s">
        <v>170</v>
      </c>
      <c r="AN154" s="140" t="str">
        <f t="shared" si="17"/>
        <v>Tobi*Nico*</v>
      </c>
      <c r="AO154" s="160">
        <f>IF(Tabel511[[#This Row],[Aantal Games Rood]]=0,0,(Tabel511[[#This Row],[Wins Rood]])/Tabel511[[#This Row],[Aantal Games Rood]])</f>
        <v>0</v>
      </c>
      <c r="AP154" s="159">
        <f>IF(Tabel511[[#This Row],[Aantal Games Groen]]=0,0,(Tabel511[[#This Row],[Wins Groen]])/Tabel511[[#This Row],[Aantal Games Groen]])</f>
        <v>0</v>
      </c>
      <c r="AQ154" s="156">
        <f>IF(Tabel511[[#This Row],[Aantal games Alg]]=0,0,(Tabel511[[#This Row],[Wins Alg]])/Tabel511[[#This Row],[Aantal games Alg]])</f>
        <v>0</v>
      </c>
      <c r="AR154" s="163">
        <f>COUNTIF(Tabel152[Winaar rood],Tabel511[[#This Row],[Team]])</f>
        <v>0</v>
      </c>
      <c r="AS154" s="169">
        <f>COUNTIF(Tabel152[Winnaar Groen],Tabel511[[#This Row],[Team]])</f>
        <v>0</v>
      </c>
      <c r="AT154" s="170">
        <f>COUNTIF(Tabel152[Winnaars],Tabel511[[#This Row],[Team]])</f>
        <v>0</v>
      </c>
      <c r="AU154" s="163">
        <f>Tabel511[[#This Row],[Aantal Games Rood]]-Tabel511[[#This Row],[Wins Rood]]</f>
        <v>0</v>
      </c>
      <c r="AV154" s="169">
        <f>Tabel511[[#This Row],[Aantal Games Groen]]-Tabel511[[#This Row],[Wins Groen]]</f>
        <v>0</v>
      </c>
      <c r="AW154" s="165">
        <f>Tabel511[[#This Row],[Aantal games Alg]]-Tabel511[[#This Row],[Wins Alg]]</f>
        <v>0</v>
      </c>
      <c r="AX154" s="171">
        <f>COUNTIF(Tabel152[Team Rood],Tabel511[[#This Row],[Team]])</f>
        <v>0</v>
      </c>
      <c r="AY154" s="169">
        <f>COUNTIF(Tabel152[Team Groen],Tabel511[[#This Row],[Team]])</f>
        <v>0</v>
      </c>
      <c r="AZ154" s="165">
        <f>Tabel511[[#This Row],[Aantal Games Rood]]+Tabel511[[#This Row],[Aantal Games Groen]]</f>
        <v>0</v>
      </c>
      <c r="BA154" s="171">
        <f>SUMIF(Tabel152[Team Rood],Tabel511[[#This Row],[Team]],Tabel152[Score])</f>
        <v>0</v>
      </c>
      <c r="BB154" s="171">
        <f>SUMIF(Tabel152[Team Rood],Tabel511[[#This Row],[Team]],Tabel152[Score2])</f>
        <v>0</v>
      </c>
      <c r="BC154" s="136">
        <f>SUMIF(Tabel152[Team Groen],Tabel511[[#This Row],[Team]],Tabel152[Score3])</f>
        <v>0</v>
      </c>
      <c r="BD154" s="169">
        <f>SUMIF(Tabel152[Team Groen],Tabel511[[#This Row],[Team]],Tabel152[Score4])</f>
        <v>0</v>
      </c>
      <c r="BE154" s="172">
        <f>SUM(Tabel511[[#This Row],[Goals Verdediger]]+Tabel511[[#This Row],[Goals DefG]])</f>
        <v>0</v>
      </c>
      <c r="BF154" s="170">
        <f>IF(Tabel511[[#This Row],[Aantal games Alg]]=0,0,Tabel511[[#This Row],[Goals DefA]]/Tabel511[[#This Row],[Aantal games Alg]])</f>
        <v>0</v>
      </c>
      <c r="BG154" s="172">
        <f>SUM(Tabel511[[#This Row],[Goals Aanvaller]]+Tabel511[[#This Row],[Goals OffG]])</f>
        <v>0</v>
      </c>
      <c r="BH154" s="170">
        <f>IF(Tabel511[[#This Row],[Aantal games Alg]]=0,0,Tabel511[[#This Row],[Goals OffA]]/Tabel511[[#This Row],[Aantal games Alg]])</f>
        <v>0</v>
      </c>
      <c r="BI154" s="170">
        <f>Tabel511[[#This Row],[Goals DefA]]+Tabel511[[#This Row],[Goals OffA]]</f>
        <v>0</v>
      </c>
      <c r="BJ154" s="170">
        <f>IF(Tabel511[[#This Row],[Aantal games Alg]]=0,0,Tabel511[[#This Row],[Goals Alg]]/Tabel511[[#This Row],[Aantal games Alg]])</f>
        <v>0</v>
      </c>
      <c r="BK154" s="148">
        <f>SUMIF(Tabel152[Team Rood],Tabel511[[#This Row],[Team]],Tabel152[ET])</f>
        <v>0</v>
      </c>
      <c r="BL154" s="150">
        <f>SUMIF(Tabel152[Team Groen],Tabel511[[#This Row],[Team]],Tabel152[ET])</f>
        <v>0</v>
      </c>
      <c r="BM154" s="153">
        <f>SUM(Tabel511[[#This Row],[ET Groen tot]],Tabel511[[#This Row],[ET Rood tot]])</f>
        <v>0</v>
      </c>
      <c r="BN154" s="155">
        <f>IF(Tabel511[[#This Row],[Aantal games Alg]]=0,0,Tabel511[[#This Row],[ET tot]]/Tabel511[[#This Row],[Aantal games Alg]])</f>
        <v>0</v>
      </c>
    </row>
    <row r="155" spans="1:66" x14ac:dyDescent="0.25">
      <c r="A155" s="215" t="str">
        <f ca="1">IF(Tabel152[[#This Row],[Rood Verdediging]]&lt;&gt;"",IF(A155="",NOW(),A155),"")</f>
        <v/>
      </c>
      <c r="B155" s="218" t="str">
        <f ca="1">IF(Tabel152[[#This Row],[Rood Verdediging]]&lt;&gt;"",IF(B155="",NOW(),B155),"")</f>
        <v/>
      </c>
      <c r="C155" s="216" t="str">
        <f ca="1">IF(Tabel152[[#This Row],[Score]]&lt;&gt;"",IF(C155="",NOW(),C155),"")</f>
        <v/>
      </c>
      <c r="D155" s="217" t="str">
        <f ca="1">IF(OR(Tabel152[[#This Row],[Starttijd]]="",Tabel152[[#This Row],[Eindtijd]]=""),"",Tabel152[[#This Row],[Eindtijd]]-Tabel152[[#This Row],[Starttijd]])</f>
        <v/>
      </c>
      <c r="E155" s="74">
        <v>154</v>
      </c>
      <c r="F155" s="205"/>
      <c r="G155" s="210"/>
      <c r="H155" s="205"/>
      <c r="I155" s="210"/>
      <c r="J155" s="206"/>
      <c r="K155" s="212"/>
      <c r="L155" s="206"/>
      <c r="M155" s="212"/>
      <c r="N155" s="79">
        <f>Tabel152[[#This Row],[Score]]+Tabel152[[#This Row],[Score2]]</f>
        <v>0</v>
      </c>
      <c r="O155" s="80">
        <f>Tabel152[[#This Row],[Score3]]+Tabel152[[#This Row],[Score4]]</f>
        <v>0</v>
      </c>
      <c r="P15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Row],[Score4]]&lt;&gt;""),IF(AND(N155&gt;O155,N155&gt;=11),"ROOD",IF(AND(O155&gt;=11,N155&lt;&gt;O155),"GROEN","")),"")</f>
        <v/>
      </c>
      <c r="Q155" s="84">
        <f t="shared" si="18"/>
        <v>0</v>
      </c>
      <c r="R155" s="85">
        <f t="shared" si="19"/>
        <v>0</v>
      </c>
      <c r="S155" s="293" t="str">
        <f>Tabel152[[#This Row],[Rood Verdediging]]&amp;Tabel152[[#This Row],[Rood Aanval]]</f>
        <v/>
      </c>
      <c r="T155" s="293" t="str">
        <f>Tabel152[[#This Row],[Groen Verdediging]]&amp;Tabel152[[#This Row],[Groen Aanval]]</f>
        <v/>
      </c>
      <c r="U155" s="293" t="str">
        <f>Tabel152[[#This Row],[Winnaar 1]]&amp;Tabel152[[#This Row],[Winnaar 2]]</f>
        <v>00</v>
      </c>
      <c r="V155" s="147" t="b">
        <f>IF(Tabel152[[#This Row],[Team Rood]]=Tabel152[[#This Row],[Winnaars]],Tabel152[[#This Row],[Team Rood]])</f>
        <v>0</v>
      </c>
      <c r="W155" s="147" t="b">
        <f>IF(Tabel152[[#This Row],[Team Groen]]=Tabel152[[#This Row],[Winnaars]],Tabel152[[#This Row],[Team Groen]])</f>
        <v>0</v>
      </c>
      <c r="X155" s="283"/>
      <c r="Y155" s="283"/>
      <c r="Z155" s="283"/>
      <c r="AA155" s="283"/>
      <c r="AL155" s="251" t="s">
        <v>157</v>
      </c>
      <c r="AM155" s="250" t="s">
        <v>169</v>
      </c>
      <c r="AN155" s="140" t="str">
        <f t="shared" si="17"/>
        <v>Tobi*Stef*</v>
      </c>
      <c r="AO155" s="160">
        <f>IF(Tabel511[[#This Row],[Aantal Games Rood]]=0,0,(Tabel511[[#This Row],[Wins Rood]])/Tabel511[[#This Row],[Aantal Games Rood]])</f>
        <v>0</v>
      </c>
      <c r="AP155" s="159">
        <f>IF(Tabel511[[#This Row],[Aantal Games Groen]]=0,0,(Tabel511[[#This Row],[Wins Groen]])/Tabel511[[#This Row],[Aantal Games Groen]])</f>
        <v>0</v>
      </c>
      <c r="AQ155" s="156">
        <f>IF(Tabel511[[#This Row],[Aantal games Alg]]=0,0,(Tabel511[[#This Row],[Wins Alg]])/Tabel511[[#This Row],[Aantal games Alg]])</f>
        <v>0</v>
      </c>
      <c r="AR155" s="135">
        <f>COUNTIF(Tabel152[Winaar rood],Tabel511[[#This Row],[Team]])</f>
        <v>0</v>
      </c>
      <c r="AS155" s="134">
        <f>COUNTIF(Tabel152[Winnaar Groen],Tabel511[[#This Row],[Team]])</f>
        <v>0</v>
      </c>
      <c r="AT155" s="293">
        <f>COUNTIF(Tabel152[Winnaars],Tabel511[[#This Row],[Team]])</f>
        <v>0</v>
      </c>
      <c r="AU155" s="135">
        <f>Tabel511[[#This Row],[Aantal Games Rood]]-Tabel511[[#This Row],[Wins Rood]]</f>
        <v>0</v>
      </c>
      <c r="AV155" s="136">
        <f>Tabel511[[#This Row],[Aantal Games Groen]]-Tabel511[[#This Row],[Wins Groen]]</f>
        <v>0</v>
      </c>
      <c r="AW155" s="137">
        <f>Tabel511[[#This Row],[Aantal games Alg]]-Tabel511[[#This Row],[Wins Alg]]</f>
        <v>0</v>
      </c>
      <c r="AX155" s="138">
        <f>COUNTIF(Tabel152[Team Rood],Tabel511[[#This Row],[Team]])</f>
        <v>0</v>
      </c>
      <c r="AY155" s="136">
        <f>COUNTIF(Tabel152[Team Groen],Tabel511[[#This Row],[Team]])</f>
        <v>0</v>
      </c>
      <c r="AZ155" s="137">
        <f>Tabel511[[#This Row],[Aantal Games Rood]]+Tabel511[[#This Row],[Aantal Games Groen]]</f>
        <v>0</v>
      </c>
      <c r="BA155" s="138">
        <f>SUMIF(Tabel152[Team Rood],Tabel511[[#This Row],[Team]],Tabel152[Score])</f>
        <v>0</v>
      </c>
      <c r="BB155" s="138">
        <f>SUMIF(Tabel152[Team Rood],Tabel511[[#This Row],[Team]],Tabel152[Score2])</f>
        <v>0</v>
      </c>
      <c r="BC155" s="134">
        <f>SUMIF(Tabel152[Team Groen],Tabel511[[#This Row],[Team]],Tabel152[Score3])</f>
        <v>0</v>
      </c>
      <c r="BD155" s="136">
        <f>SUMIF(Tabel152[Team Groen],Tabel511[[#This Row],[Team]],Tabel152[Score4])</f>
        <v>0</v>
      </c>
      <c r="BE155" s="293">
        <f>SUM(Tabel511[[#This Row],[Goals Verdediger]]+Tabel511[[#This Row],[Goals DefG]])</f>
        <v>0</v>
      </c>
      <c r="BF155" s="293">
        <f>IF(Tabel511[[#This Row],[Aantal games Alg]]=0,0,Tabel511[[#This Row],[Goals DefA]]/Tabel511[[#This Row],[Aantal games Alg]])</f>
        <v>0</v>
      </c>
      <c r="BG155" s="293">
        <f>SUM(Tabel511[[#This Row],[Goals Aanvaller]]+Tabel511[[#This Row],[Goals OffG]])</f>
        <v>0</v>
      </c>
      <c r="BH155" s="293">
        <f>IF(Tabel511[[#This Row],[Aantal games Alg]]=0,0,Tabel511[[#This Row],[Goals OffA]]/Tabel511[[#This Row],[Aantal games Alg]])</f>
        <v>0</v>
      </c>
      <c r="BI155" s="214">
        <f>Tabel511[[#This Row],[Goals DefA]]+Tabel511[[#This Row],[Goals OffA]]</f>
        <v>0</v>
      </c>
      <c r="BJ155" s="214">
        <f>IF(Tabel511[[#This Row],[Aantal games Alg]]=0,0,Tabel511[[#This Row],[Goals Alg]]/Tabel511[[#This Row],[Aantal games Alg]])</f>
        <v>0</v>
      </c>
      <c r="BK155" s="148">
        <f>SUMIF(Tabel152[Team Rood],Tabel511[[#This Row],[Team]],Tabel152[ET])</f>
        <v>0</v>
      </c>
      <c r="BL155" s="150">
        <f>SUMIF(Tabel152[Team Groen],Tabel511[[#This Row],[Team]],Tabel152[ET])</f>
        <v>0</v>
      </c>
      <c r="BM155" s="153">
        <f>SUM(Tabel511[[#This Row],[ET Groen tot]],Tabel511[[#This Row],[ET Rood tot]])</f>
        <v>0</v>
      </c>
      <c r="BN155" s="155">
        <f>IF(Tabel511[[#This Row],[Aantal games Alg]]=0,0,Tabel511[[#This Row],[ET tot]]/Tabel511[[#This Row],[Aantal games Alg]])</f>
        <v>0</v>
      </c>
    </row>
    <row r="156" spans="1:66" x14ac:dyDescent="0.25">
      <c r="A156" s="215" t="str">
        <f ca="1">IF(Tabel152[[#This Row],[Rood Verdediging]]&lt;&gt;"",IF(A156="",NOW(),A156),"")</f>
        <v/>
      </c>
      <c r="B156" s="218" t="str">
        <f ca="1">IF(Tabel152[[#This Row],[Rood Verdediging]]&lt;&gt;"",IF(B156="",NOW(),B156),"")</f>
        <v/>
      </c>
      <c r="C156" s="216" t="str">
        <f ca="1">IF(Tabel152[[#This Row],[Score]]&lt;&gt;"",IF(C156="",NOW(),C156),"")</f>
        <v/>
      </c>
      <c r="D156" s="217" t="str">
        <f ca="1">IF(OR(Tabel152[[#This Row],[Starttijd]]="",Tabel152[[#This Row],[Eindtijd]]=""),"",Tabel152[[#This Row],[Eindtijd]]-Tabel152[[#This Row],[Starttijd]])</f>
        <v/>
      </c>
      <c r="E156" s="74">
        <v>155</v>
      </c>
      <c r="F156" s="205"/>
      <c r="G156" s="210"/>
      <c r="H156" s="205"/>
      <c r="I156" s="210"/>
      <c r="J156" s="206"/>
      <c r="K156" s="212"/>
      <c r="L156" s="206"/>
      <c r="M156" s="212"/>
      <c r="N156" s="79">
        <f>Tabel152[[#This Row],[Score]]+Tabel152[[#This Row],[Score2]]</f>
        <v>0</v>
      </c>
      <c r="O156" s="80">
        <f>Tabel152[[#This Row],[Score3]]+Tabel152[[#This Row],[Score4]]</f>
        <v>0</v>
      </c>
      <c r="P15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Row],[Score4]]&lt;&gt;""),IF(AND(N156&gt;O156,N156&gt;=11),"ROOD",IF(AND(O156&gt;=11,N156&lt;&gt;O156),"GROEN","")),"")</f>
        <v/>
      </c>
      <c r="Q156" s="84">
        <f t="shared" si="18"/>
        <v>0</v>
      </c>
      <c r="R156" s="85">
        <f t="shared" si="19"/>
        <v>0</v>
      </c>
      <c r="S156" s="293" t="str">
        <f>Tabel152[[#This Row],[Rood Verdediging]]&amp;Tabel152[[#This Row],[Rood Aanval]]</f>
        <v/>
      </c>
      <c r="T156" s="293" t="str">
        <f>Tabel152[[#This Row],[Groen Verdediging]]&amp;Tabel152[[#This Row],[Groen Aanval]]</f>
        <v/>
      </c>
      <c r="U156" s="293" t="str">
        <f>Tabel152[[#This Row],[Winnaar 1]]&amp;Tabel152[[#This Row],[Winnaar 2]]</f>
        <v>00</v>
      </c>
      <c r="V156" s="147" t="b">
        <f>IF(Tabel152[[#This Row],[Team Rood]]=Tabel152[[#This Row],[Winnaars]],Tabel152[[#This Row],[Team Rood]])</f>
        <v>0</v>
      </c>
      <c r="W156" s="147" t="b">
        <f>IF(Tabel152[[#This Row],[Team Groen]]=Tabel152[[#This Row],[Winnaars]],Tabel152[[#This Row],[Team Groen]])</f>
        <v>0</v>
      </c>
      <c r="X156" s="283"/>
      <c r="Y156" s="283"/>
      <c r="Z156" s="283"/>
      <c r="AA156" s="283"/>
      <c r="AL156" s="251" t="s">
        <v>157</v>
      </c>
      <c r="AM156" s="250" t="s">
        <v>166</v>
      </c>
      <c r="AN156" s="140" t="str">
        <f t="shared" si="17"/>
        <v>Tobi*Stijn*</v>
      </c>
      <c r="AO156" s="160">
        <f>IF(Tabel511[[#This Row],[Aantal Games Rood]]=0,0,(Tabel511[[#This Row],[Wins Rood]])/Tabel511[[#This Row],[Aantal Games Rood]])</f>
        <v>0</v>
      </c>
      <c r="AP156" s="159">
        <f>IF(Tabel511[[#This Row],[Aantal Games Groen]]=0,0,(Tabel511[[#This Row],[Wins Groen]])/Tabel511[[#This Row],[Aantal Games Groen]])</f>
        <v>0</v>
      </c>
      <c r="AQ156" s="156">
        <f>IF(Tabel511[[#This Row],[Aantal games Alg]]=0,0,(Tabel511[[#This Row],[Wins Alg]])/Tabel511[[#This Row],[Aantal games Alg]])</f>
        <v>0</v>
      </c>
      <c r="AR156" s="135">
        <f>COUNTIF(Tabel152[Winaar rood],Tabel511[[#This Row],[Team]])</f>
        <v>0</v>
      </c>
      <c r="AS156" s="134">
        <f>COUNTIF(Tabel152[Winnaar Groen],Tabel511[[#This Row],[Team]])</f>
        <v>0</v>
      </c>
      <c r="AT156" s="293">
        <f>COUNTIF(Tabel152[Winnaars],Tabel511[[#This Row],[Team]])</f>
        <v>0</v>
      </c>
      <c r="AU156" s="135">
        <f>Tabel511[[#This Row],[Aantal Games Rood]]-Tabel511[[#This Row],[Wins Rood]]</f>
        <v>0</v>
      </c>
      <c r="AV156" s="136">
        <f>Tabel511[[#This Row],[Aantal Games Groen]]-Tabel511[[#This Row],[Wins Groen]]</f>
        <v>0</v>
      </c>
      <c r="AW156" s="137">
        <f>Tabel511[[#This Row],[Aantal games Alg]]-Tabel511[[#This Row],[Wins Alg]]</f>
        <v>0</v>
      </c>
      <c r="AX156" s="138">
        <f>COUNTIF(Tabel152[Team Rood],Tabel511[[#This Row],[Team]])</f>
        <v>0</v>
      </c>
      <c r="AY156" s="136">
        <f>COUNTIF(Tabel152[Team Groen],Tabel511[[#This Row],[Team]])</f>
        <v>0</v>
      </c>
      <c r="AZ156" s="137">
        <f>Tabel511[[#This Row],[Aantal Games Rood]]+Tabel511[[#This Row],[Aantal Games Groen]]</f>
        <v>0</v>
      </c>
      <c r="BA156" s="138">
        <f>SUMIF(Tabel152[Team Rood],Tabel511[[#This Row],[Team]],Tabel152[Score])</f>
        <v>0</v>
      </c>
      <c r="BB156" s="138">
        <f>SUMIF(Tabel152[Team Rood],Tabel511[[#This Row],[Team]],Tabel152[Score2])</f>
        <v>0</v>
      </c>
      <c r="BC156" s="134">
        <f>SUMIF(Tabel152[Team Groen],Tabel511[[#This Row],[Team]],Tabel152[Score3])</f>
        <v>0</v>
      </c>
      <c r="BD156" s="136">
        <f>SUMIF(Tabel152[Team Groen],Tabel511[[#This Row],[Team]],Tabel152[Score4])</f>
        <v>0</v>
      </c>
      <c r="BE156" s="293">
        <f>SUM(Tabel511[[#This Row],[Goals Verdediger]]+Tabel511[[#This Row],[Goals DefG]])</f>
        <v>0</v>
      </c>
      <c r="BF156" s="293">
        <f>IF(Tabel511[[#This Row],[Aantal games Alg]]=0,0,Tabel511[[#This Row],[Goals DefA]]/Tabel511[[#This Row],[Aantal games Alg]])</f>
        <v>0</v>
      </c>
      <c r="BG156" s="293">
        <f>SUM(Tabel511[[#This Row],[Goals Aanvaller]]+Tabel511[[#This Row],[Goals OffG]])</f>
        <v>0</v>
      </c>
      <c r="BH156" s="293">
        <f>IF(Tabel511[[#This Row],[Aantal games Alg]]=0,0,Tabel511[[#This Row],[Goals OffA]]/Tabel511[[#This Row],[Aantal games Alg]])</f>
        <v>0</v>
      </c>
      <c r="BI156" s="214">
        <f>Tabel511[[#This Row],[Goals DefA]]+Tabel511[[#This Row],[Goals OffA]]</f>
        <v>0</v>
      </c>
      <c r="BJ156" s="214">
        <f>IF(Tabel511[[#This Row],[Aantal games Alg]]=0,0,Tabel511[[#This Row],[Goals Alg]]/Tabel511[[#This Row],[Aantal games Alg]])</f>
        <v>0</v>
      </c>
      <c r="BK156" s="148">
        <f>SUMIF(Tabel152[Team Rood],Tabel511[[#This Row],[Team]],Tabel152[ET])</f>
        <v>0</v>
      </c>
      <c r="BL156" s="150">
        <f>SUMIF(Tabel152[Team Groen],Tabel511[[#This Row],[Team]],Tabel152[ET])</f>
        <v>0</v>
      </c>
      <c r="BM156" s="153">
        <f>SUM(Tabel511[[#This Row],[ET Groen tot]],Tabel511[[#This Row],[ET Rood tot]])</f>
        <v>0</v>
      </c>
      <c r="BN156" s="155">
        <f>IF(Tabel511[[#This Row],[Aantal games Alg]]=0,0,Tabel511[[#This Row],[ET tot]]/Tabel511[[#This Row],[Aantal games Alg]])</f>
        <v>0</v>
      </c>
    </row>
    <row r="157" spans="1:66" x14ac:dyDescent="0.25">
      <c r="A157" s="215" t="str">
        <f ca="1">IF(Tabel152[[#This Row],[Rood Verdediging]]&lt;&gt;"",IF(A157="",NOW(),A157),"")</f>
        <v/>
      </c>
      <c r="B157" s="218" t="str">
        <f ca="1">IF(Tabel152[[#This Row],[Rood Verdediging]]&lt;&gt;"",IF(B157="",NOW(),B157),"")</f>
        <v/>
      </c>
      <c r="C157" s="216" t="str">
        <f ca="1">IF(Tabel152[[#This Row],[Score]]&lt;&gt;"",IF(C157="",NOW(),C157),"")</f>
        <v/>
      </c>
      <c r="D157" s="217" t="str">
        <f ca="1">IF(OR(Tabel152[[#This Row],[Starttijd]]="",Tabel152[[#This Row],[Eindtijd]]=""),"",Tabel152[[#This Row],[Eindtijd]]-Tabel152[[#This Row],[Starttijd]])</f>
        <v/>
      </c>
      <c r="E157" s="74">
        <v>156</v>
      </c>
      <c r="F157" s="205"/>
      <c r="G157" s="210"/>
      <c r="H157" s="205"/>
      <c r="I157" s="210"/>
      <c r="J157" s="206"/>
      <c r="K157" s="212"/>
      <c r="L157" s="206"/>
      <c r="M157" s="212"/>
      <c r="N157" s="79">
        <f>Tabel152[[#This Row],[Score]]+Tabel152[[#This Row],[Score2]]</f>
        <v>0</v>
      </c>
      <c r="O157" s="80">
        <f>Tabel152[[#This Row],[Score3]]+Tabel152[[#This Row],[Score4]]</f>
        <v>0</v>
      </c>
      <c r="P15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Row],[Score4]]&lt;&gt;""),IF(AND(N157&gt;O157,N157&gt;=11),"ROOD",IF(AND(O157&gt;=11,N157&lt;&gt;O157),"GROEN","")),"")</f>
        <v/>
      </c>
      <c r="Q157" s="84">
        <f t="shared" si="18"/>
        <v>0</v>
      </c>
      <c r="R157" s="85">
        <f t="shared" si="19"/>
        <v>0</v>
      </c>
      <c r="S157" s="293" t="str">
        <f>Tabel152[[#This Row],[Rood Verdediging]]&amp;Tabel152[[#This Row],[Rood Aanval]]</f>
        <v/>
      </c>
      <c r="T157" s="293" t="str">
        <f>Tabel152[[#This Row],[Groen Verdediging]]&amp;Tabel152[[#This Row],[Groen Aanval]]</f>
        <v/>
      </c>
      <c r="U157" s="293" t="str">
        <f>Tabel152[[#This Row],[Winnaar 1]]&amp;Tabel152[[#This Row],[Winnaar 2]]</f>
        <v>00</v>
      </c>
      <c r="V157" s="147" t="b">
        <f>IF(Tabel152[[#This Row],[Team Rood]]=Tabel152[[#This Row],[Winnaars]],Tabel152[[#This Row],[Team Rood]])</f>
        <v>0</v>
      </c>
      <c r="W157" s="147" t="b">
        <f>IF(Tabel152[[#This Row],[Team Groen]]=Tabel152[[#This Row],[Winnaars]],Tabel152[[#This Row],[Team Groen]])</f>
        <v>0</v>
      </c>
      <c r="X157" s="283"/>
      <c r="Y157" s="283"/>
      <c r="Z157" s="283"/>
      <c r="AA157" s="283"/>
      <c r="AL157" s="258" t="s">
        <v>157</v>
      </c>
      <c r="AM157" s="258" t="s">
        <v>160</v>
      </c>
      <c r="AN157" s="140" t="str">
        <f t="shared" si="17"/>
        <v>Tobi*Tiemen*</v>
      </c>
      <c r="AO157" s="160">
        <f>IF(Tabel511[[#This Row],[Aantal Games Rood]]=0,0,(Tabel511[[#This Row],[Wins Rood]])/Tabel511[[#This Row],[Aantal Games Rood]])</f>
        <v>0</v>
      </c>
      <c r="AP157" s="159">
        <f>IF(Tabel511[[#This Row],[Aantal Games Groen]]=0,0,(Tabel511[[#This Row],[Wins Groen]])/Tabel511[[#This Row],[Aantal Games Groen]])</f>
        <v>0</v>
      </c>
      <c r="AQ157" s="156">
        <f>IF(Tabel511[[#This Row],[Aantal games Alg]]=0,0,(Tabel511[[#This Row],[Wins Alg]])/Tabel511[[#This Row],[Aantal games Alg]])</f>
        <v>0</v>
      </c>
      <c r="AR157" s="135">
        <f>COUNTIF(Tabel152[Winaar rood],Tabel511[[#This Row],[Team]])</f>
        <v>0</v>
      </c>
      <c r="AS157" s="134">
        <f>COUNTIF(Tabel152[Winnaar Groen],Tabel511[[#This Row],[Team]])</f>
        <v>0</v>
      </c>
      <c r="AT157" s="293">
        <f>COUNTIF(Tabel152[Winnaars],Tabel511[[#This Row],[Team]])</f>
        <v>0</v>
      </c>
      <c r="AU157" s="135">
        <f>Tabel511[[#This Row],[Aantal Games Rood]]-Tabel511[[#This Row],[Wins Rood]]</f>
        <v>0</v>
      </c>
      <c r="AV157" s="136">
        <f>Tabel511[[#This Row],[Aantal Games Groen]]-Tabel511[[#This Row],[Wins Groen]]</f>
        <v>0</v>
      </c>
      <c r="AW157" s="137">
        <f>Tabel511[[#This Row],[Aantal games Alg]]-Tabel511[[#This Row],[Wins Alg]]</f>
        <v>0</v>
      </c>
      <c r="AX157" s="138">
        <f>COUNTIF(Tabel152[Team Rood],Tabel511[[#This Row],[Team]])</f>
        <v>0</v>
      </c>
      <c r="AY157" s="136">
        <f>COUNTIF(Tabel152[Team Groen],Tabel511[[#This Row],[Team]])</f>
        <v>0</v>
      </c>
      <c r="AZ157" s="137">
        <f>Tabel511[[#This Row],[Aantal Games Rood]]+Tabel511[[#This Row],[Aantal Games Groen]]</f>
        <v>0</v>
      </c>
      <c r="BA157" s="138">
        <f>SUMIF(Tabel152[Team Rood],Tabel511[[#This Row],[Team]],Tabel152[Score])</f>
        <v>0</v>
      </c>
      <c r="BB157" s="138">
        <f>SUMIF(Tabel152[Team Rood],Tabel511[[#This Row],[Team]],Tabel152[Score2])</f>
        <v>0</v>
      </c>
      <c r="BC157" s="134">
        <f>SUMIF(Tabel152[Team Groen],Tabel511[[#This Row],[Team]],Tabel152[Score3])</f>
        <v>0</v>
      </c>
      <c r="BD157" s="136">
        <f>SUMIF(Tabel152[Team Groen],Tabel511[[#This Row],[Team]],Tabel152[Score4])</f>
        <v>0</v>
      </c>
      <c r="BE157" s="293">
        <f>SUM(Tabel511[[#This Row],[Goals Verdediger]]+Tabel511[[#This Row],[Goals DefG]])</f>
        <v>0</v>
      </c>
      <c r="BF157" s="293">
        <f>IF(Tabel511[[#This Row],[Aantal games Alg]]=0,0,Tabel511[[#This Row],[Goals DefA]]/Tabel511[[#This Row],[Aantal games Alg]])</f>
        <v>0</v>
      </c>
      <c r="BG157" s="293">
        <f>SUM(Tabel511[[#This Row],[Goals Aanvaller]]+Tabel511[[#This Row],[Goals OffG]])</f>
        <v>0</v>
      </c>
      <c r="BH157" s="293">
        <f>IF(Tabel511[[#This Row],[Aantal games Alg]]=0,0,Tabel511[[#This Row],[Goals OffA]]/Tabel511[[#This Row],[Aantal games Alg]])</f>
        <v>0</v>
      </c>
      <c r="BI157" s="214">
        <f>Tabel511[[#This Row],[Goals DefA]]+Tabel511[[#This Row],[Goals OffA]]</f>
        <v>0</v>
      </c>
      <c r="BJ157" s="214">
        <f>IF(Tabel511[[#This Row],[Aantal games Alg]]=0,0,Tabel511[[#This Row],[Goals Alg]]/Tabel511[[#This Row],[Aantal games Alg]])</f>
        <v>0</v>
      </c>
      <c r="BK157" s="148">
        <f>SUMIF(Tabel152[Team Rood],Tabel511[[#This Row],[Team]],Tabel152[ET])</f>
        <v>0</v>
      </c>
      <c r="BL157" s="150">
        <f>SUMIF(Tabel152[Team Groen],Tabel511[[#This Row],[Team]],Tabel152[ET])</f>
        <v>0</v>
      </c>
      <c r="BM157" s="153">
        <f>SUM(Tabel511[[#This Row],[ET Groen tot]],Tabel511[[#This Row],[ET Rood tot]])</f>
        <v>0</v>
      </c>
      <c r="BN157" s="155">
        <f>IF(Tabel511[[#This Row],[Aantal games Alg]]=0,0,Tabel511[[#This Row],[ET tot]]/Tabel511[[#This Row],[Aantal games Alg]])</f>
        <v>0</v>
      </c>
    </row>
    <row r="158" spans="1:66" x14ac:dyDescent="0.25">
      <c r="A158" s="215" t="str">
        <f ca="1">IF(Tabel152[[#This Row],[Rood Verdediging]]&lt;&gt;"",IF(A158="",NOW(),A158),"")</f>
        <v/>
      </c>
      <c r="B158" s="218" t="str">
        <f ca="1">IF(Tabel152[[#This Row],[Rood Verdediging]]&lt;&gt;"",IF(B158="",NOW(),B158),"")</f>
        <v/>
      </c>
      <c r="C158" s="216" t="str">
        <f ca="1">IF(Tabel152[[#This Row],[Score]]&lt;&gt;"",IF(C158="",NOW(),C158),"")</f>
        <v/>
      </c>
      <c r="D158" s="217" t="str">
        <f ca="1">IF(OR(Tabel152[[#This Row],[Starttijd]]="",Tabel152[[#This Row],[Eindtijd]]=""),"",Tabel152[[#This Row],[Eindtijd]]-Tabel152[[#This Row],[Starttijd]])</f>
        <v/>
      </c>
      <c r="E158" s="74">
        <v>157</v>
      </c>
      <c r="F158" s="205"/>
      <c r="G158" s="210"/>
      <c r="H158" s="205"/>
      <c r="I158" s="210"/>
      <c r="J158" s="206"/>
      <c r="K158" s="212"/>
      <c r="L158" s="206"/>
      <c r="M158" s="212"/>
      <c r="N158" s="79">
        <f>Tabel152[[#This Row],[Score]]+Tabel152[[#This Row],[Score2]]</f>
        <v>0</v>
      </c>
      <c r="O158" s="80">
        <f>Tabel152[[#This Row],[Score3]]+Tabel152[[#This Row],[Score4]]</f>
        <v>0</v>
      </c>
      <c r="P15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Row],[Score4]]&lt;&gt;""),IF(AND(N158&gt;O158,N158&gt;=11),"ROOD",IF(AND(O158&gt;=11,N158&lt;&gt;O158),"GROEN","")),"")</f>
        <v/>
      </c>
      <c r="Q158" s="84">
        <f t="shared" si="18"/>
        <v>0</v>
      </c>
      <c r="R158" s="85">
        <f t="shared" si="19"/>
        <v>0</v>
      </c>
      <c r="S158" s="293" t="str">
        <f>Tabel152[[#This Row],[Rood Verdediging]]&amp;Tabel152[[#This Row],[Rood Aanval]]</f>
        <v/>
      </c>
      <c r="T158" s="293" t="str">
        <f>Tabel152[[#This Row],[Groen Verdediging]]&amp;Tabel152[[#This Row],[Groen Aanval]]</f>
        <v/>
      </c>
      <c r="U158" s="293" t="str">
        <f>Tabel152[[#This Row],[Winnaar 1]]&amp;Tabel152[[#This Row],[Winnaar 2]]</f>
        <v>00</v>
      </c>
      <c r="V158" s="147" t="b">
        <f>IF(Tabel152[[#This Row],[Team Rood]]=Tabel152[[#This Row],[Winnaars]],Tabel152[[#This Row],[Team Rood]])</f>
        <v>0</v>
      </c>
      <c r="W158" s="147" t="b">
        <f>IF(Tabel152[[#This Row],[Team Groen]]=Tabel152[[#This Row],[Winnaars]],Tabel152[[#This Row],[Team Groen]])</f>
        <v>0</v>
      </c>
      <c r="X158" s="283"/>
      <c r="Y158" s="283"/>
      <c r="Z158" s="283"/>
      <c r="AA158" s="283"/>
    </row>
    <row r="159" spans="1:66" x14ac:dyDescent="0.25">
      <c r="A159" s="215" t="str">
        <f ca="1">IF(Tabel152[[#This Row],[Rood Verdediging]]&lt;&gt;"",IF(A159="",NOW(),A159),"")</f>
        <v/>
      </c>
      <c r="B159" s="218" t="str">
        <f ca="1">IF(Tabel152[[#This Row],[Rood Verdediging]]&lt;&gt;"",IF(B159="",NOW(),B159),"")</f>
        <v/>
      </c>
      <c r="C159" s="216" t="str">
        <f ca="1">IF(Tabel152[[#This Row],[Score]]&lt;&gt;"",IF(C159="",NOW(),C159),"")</f>
        <v/>
      </c>
      <c r="D159" s="217" t="str">
        <f ca="1">IF(OR(Tabel152[[#This Row],[Starttijd]]="",Tabel152[[#This Row],[Eindtijd]]=""),"",Tabel152[[#This Row],[Eindtijd]]-Tabel152[[#This Row],[Starttijd]])</f>
        <v/>
      </c>
      <c r="E159" s="74">
        <v>158</v>
      </c>
      <c r="F159" s="205"/>
      <c r="G159" s="210"/>
      <c r="H159" s="205"/>
      <c r="I159" s="210"/>
      <c r="J159" s="206"/>
      <c r="K159" s="212"/>
      <c r="L159" s="206"/>
      <c r="M159" s="212"/>
      <c r="N159" s="79">
        <f>Tabel152[[#This Row],[Score]]+Tabel152[[#This Row],[Score2]]</f>
        <v>0</v>
      </c>
      <c r="O159" s="80">
        <f>Tabel152[[#This Row],[Score3]]+Tabel152[[#This Row],[Score4]]</f>
        <v>0</v>
      </c>
      <c r="P15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Row],[Score4]]&lt;&gt;""),IF(AND(N159&gt;O159,N159&gt;=11),"ROOD",IF(AND(O159&gt;=11,N159&lt;&gt;O159),"GROEN","")),"")</f>
        <v/>
      </c>
      <c r="Q159" s="84">
        <f t="shared" si="18"/>
        <v>0</v>
      </c>
      <c r="R159" s="85">
        <f t="shared" si="19"/>
        <v>0</v>
      </c>
      <c r="S159" s="293" t="str">
        <f>Tabel152[[#This Row],[Rood Verdediging]]&amp;Tabel152[[#This Row],[Rood Aanval]]</f>
        <v/>
      </c>
      <c r="T159" s="293" t="str">
        <f>Tabel152[[#This Row],[Groen Verdediging]]&amp;Tabel152[[#This Row],[Groen Aanval]]</f>
        <v/>
      </c>
      <c r="U159" s="293" t="str">
        <f>Tabel152[[#This Row],[Winnaar 1]]&amp;Tabel152[[#This Row],[Winnaar 2]]</f>
        <v>00</v>
      </c>
      <c r="V159" s="147" t="b">
        <f>IF(Tabel152[[#This Row],[Team Rood]]=Tabel152[[#This Row],[Winnaars]],Tabel152[[#This Row],[Team Rood]])</f>
        <v>0</v>
      </c>
      <c r="W159" s="147" t="b">
        <f>IF(Tabel152[[#This Row],[Team Groen]]=Tabel152[[#This Row],[Winnaars]],Tabel152[[#This Row],[Team Groen]])</f>
        <v>0</v>
      </c>
      <c r="X159" s="283"/>
      <c r="Y159" s="283"/>
      <c r="Z159" s="283"/>
      <c r="AA159" s="283"/>
    </row>
    <row r="160" spans="1:66" x14ac:dyDescent="0.25">
      <c r="A160" s="215" t="str">
        <f ca="1">IF(Tabel152[[#This Row],[Rood Verdediging]]&lt;&gt;"",IF(A160="",NOW(),A160),"")</f>
        <v/>
      </c>
      <c r="B160" s="218" t="str">
        <f ca="1">IF(Tabel152[[#This Row],[Rood Verdediging]]&lt;&gt;"",IF(B160="",NOW(),B160),"")</f>
        <v/>
      </c>
      <c r="C160" s="216" t="str">
        <f ca="1">IF(Tabel152[[#This Row],[Score]]&lt;&gt;"",IF(C160="",NOW(),C160),"")</f>
        <v/>
      </c>
      <c r="D160" s="217" t="str">
        <f ca="1">IF(OR(Tabel152[[#This Row],[Starttijd]]="",Tabel152[[#This Row],[Eindtijd]]=""),"",Tabel152[[#This Row],[Eindtijd]]-Tabel152[[#This Row],[Starttijd]])</f>
        <v/>
      </c>
      <c r="E160" s="74">
        <v>159</v>
      </c>
      <c r="F160" s="205"/>
      <c r="G160" s="210"/>
      <c r="H160" s="205"/>
      <c r="I160" s="210"/>
      <c r="J160" s="206"/>
      <c r="K160" s="212"/>
      <c r="L160" s="206"/>
      <c r="M160" s="212"/>
      <c r="N160" s="79">
        <f>Tabel152[[#This Row],[Score]]+Tabel152[[#This Row],[Score2]]</f>
        <v>0</v>
      </c>
      <c r="O160" s="80">
        <f>Tabel152[[#This Row],[Score3]]+Tabel152[[#This Row],[Score4]]</f>
        <v>0</v>
      </c>
      <c r="P16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Row],[Score4]]&lt;&gt;""),IF(AND(N160&gt;O160,N160&gt;=11),"ROOD",IF(AND(O160&gt;=11,N160&lt;&gt;O160),"GROEN","")),"")</f>
        <v/>
      </c>
      <c r="Q160" s="84">
        <f t="shared" si="18"/>
        <v>0</v>
      </c>
      <c r="R160" s="85">
        <f t="shared" si="19"/>
        <v>0</v>
      </c>
      <c r="S160" s="293" t="str">
        <f>Tabel152[[#This Row],[Rood Verdediging]]&amp;Tabel152[[#This Row],[Rood Aanval]]</f>
        <v/>
      </c>
      <c r="T160" s="293" t="str">
        <f>Tabel152[[#This Row],[Groen Verdediging]]&amp;Tabel152[[#This Row],[Groen Aanval]]</f>
        <v/>
      </c>
      <c r="U160" s="293" t="str">
        <f>Tabel152[[#This Row],[Winnaar 1]]&amp;Tabel152[[#This Row],[Winnaar 2]]</f>
        <v>00</v>
      </c>
      <c r="V160" s="147" t="b">
        <f>IF(Tabel152[[#This Row],[Team Rood]]=Tabel152[[#This Row],[Winnaars]],Tabel152[[#This Row],[Team Rood]])</f>
        <v>0</v>
      </c>
      <c r="W160" s="147" t="b">
        <f>IF(Tabel152[[#This Row],[Team Groen]]=Tabel152[[#This Row],[Winnaars]],Tabel152[[#This Row],[Team Groen]])</f>
        <v>0</v>
      </c>
      <c r="X160" s="283"/>
      <c r="Y160" s="283"/>
      <c r="Z160" s="283"/>
      <c r="AA160" s="283"/>
    </row>
    <row r="161" spans="1:27" x14ac:dyDescent="0.25">
      <c r="A161" s="215" t="str">
        <f ca="1">IF(Tabel152[[#This Row],[Rood Verdediging]]&lt;&gt;"",IF(A161="",NOW(),A161),"")</f>
        <v/>
      </c>
      <c r="B161" s="218" t="str">
        <f ca="1">IF(Tabel152[[#This Row],[Rood Verdediging]]&lt;&gt;"",IF(B161="",NOW(),B161),"")</f>
        <v/>
      </c>
      <c r="C161" s="216" t="str">
        <f ca="1">IF(Tabel152[[#This Row],[Score]]&lt;&gt;"",IF(C161="",NOW(),C161),"")</f>
        <v/>
      </c>
      <c r="D161" s="217" t="str">
        <f ca="1">IF(OR(Tabel152[[#This Row],[Starttijd]]="",Tabel152[[#This Row],[Eindtijd]]=""),"",Tabel152[[#This Row],[Eindtijd]]-Tabel152[[#This Row],[Starttijd]])</f>
        <v/>
      </c>
      <c r="E161" s="74">
        <v>160</v>
      </c>
      <c r="F161" s="205"/>
      <c r="G161" s="210"/>
      <c r="H161" s="205"/>
      <c r="I161" s="210"/>
      <c r="J161" s="206"/>
      <c r="K161" s="212"/>
      <c r="L161" s="206"/>
      <c r="M161" s="212"/>
      <c r="N161" s="79">
        <f>Tabel152[[#This Row],[Score]]+Tabel152[[#This Row],[Score2]]</f>
        <v>0</v>
      </c>
      <c r="O161" s="80">
        <f>Tabel152[[#This Row],[Score3]]+Tabel152[[#This Row],[Score4]]</f>
        <v>0</v>
      </c>
      <c r="P16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Row],[Score4]]&lt;&gt;""),IF(AND(N161&gt;O161,N161&gt;=11),"ROOD",IF(AND(O161&gt;=11,N161&lt;&gt;O161),"GROEN","")),"")</f>
        <v/>
      </c>
      <c r="Q161" s="84">
        <f t="shared" si="18"/>
        <v>0</v>
      </c>
      <c r="R161" s="85">
        <f t="shared" si="19"/>
        <v>0</v>
      </c>
      <c r="S161" s="293" t="str">
        <f>Tabel152[[#This Row],[Rood Verdediging]]&amp;Tabel152[[#This Row],[Rood Aanval]]</f>
        <v/>
      </c>
      <c r="T161" s="293" t="str">
        <f>Tabel152[[#This Row],[Groen Verdediging]]&amp;Tabel152[[#This Row],[Groen Aanval]]</f>
        <v/>
      </c>
      <c r="U161" s="293" t="str">
        <f>Tabel152[[#This Row],[Winnaar 1]]&amp;Tabel152[[#This Row],[Winnaar 2]]</f>
        <v>00</v>
      </c>
      <c r="V161" s="147" t="b">
        <f>IF(Tabel152[[#This Row],[Team Rood]]=Tabel152[[#This Row],[Winnaars]],Tabel152[[#This Row],[Team Rood]])</f>
        <v>0</v>
      </c>
      <c r="W161" s="147" t="b">
        <f>IF(Tabel152[[#This Row],[Team Groen]]=Tabel152[[#This Row],[Winnaars]],Tabel152[[#This Row],[Team Groen]])</f>
        <v>0</v>
      </c>
      <c r="X161" s="283"/>
      <c r="Y161" s="283"/>
      <c r="Z161" s="283"/>
      <c r="AA161" s="283"/>
    </row>
    <row r="162" spans="1:27" x14ac:dyDescent="0.25">
      <c r="A162" s="215" t="str">
        <f ca="1">IF(Tabel152[[#This Row],[Rood Verdediging]]&lt;&gt;"",IF(A162="",NOW(),A162),"")</f>
        <v/>
      </c>
      <c r="B162" s="218" t="str">
        <f ca="1">IF(Tabel152[[#This Row],[Rood Verdediging]]&lt;&gt;"",IF(B162="",NOW(),B162),"")</f>
        <v/>
      </c>
      <c r="C162" s="216" t="str">
        <f ca="1">IF(Tabel152[[#This Row],[Score]]&lt;&gt;"",IF(C162="",NOW(),C162),"")</f>
        <v/>
      </c>
      <c r="D162" s="217" t="str">
        <f ca="1">IF(OR(Tabel152[[#This Row],[Starttijd]]="",Tabel152[[#This Row],[Eindtijd]]=""),"",Tabel152[[#This Row],[Eindtijd]]-Tabel152[[#This Row],[Starttijd]])</f>
        <v/>
      </c>
      <c r="E162" s="74">
        <v>161</v>
      </c>
      <c r="F162" s="205"/>
      <c r="G162" s="210"/>
      <c r="H162" s="205"/>
      <c r="I162" s="210"/>
      <c r="J162" s="206"/>
      <c r="K162" s="212"/>
      <c r="L162" s="206"/>
      <c r="M162" s="212"/>
      <c r="N162" s="79">
        <f>Tabel152[[#This Row],[Score]]+Tabel152[[#This Row],[Score2]]</f>
        <v>0</v>
      </c>
      <c r="O162" s="80">
        <f>Tabel152[[#This Row],[Score3]]+Tabel152[[#This Row],[Score4]]</f>
        <v>0</v>
      </c>
      <c r="P16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Row],[Score4]]&lt;&gt;""),IF(AND(N162&gt;O162,N162&gt;=11),"ROOD",IF(AND(O162&gt;=11,N162&lt;&gt;O162),"GROEN","")),"")</f>
        <v/>
      </c>
      <c r="Q162" s="84">
        <f t="shared" si="18"/>
        <v>0</v>
      </c>
      <c r="R162" s="85">
        <f t="shared" si="19"/>
        <v>0</v>
      </c>
      <c r="S162" s="293" t="str">
        <f>Tabel152[[#This Row],[Rood Verdediging]]&amp;Tabel152[[#This Row],[Rood Aanval]]</f>
        <v/>
      </c>
      <c r="T162" s="293" t="str">
        <f>Tabel152[[#This Row],[Groen Verdediging]]&amp;Tabel152[[#This Row],[Groen Aanval]]</f>
        <v/>
      </c>
      <c r="U162" s="293" t="str">
        <f>Tabel152[[#This Row],[Winnaar 1]]&amp;Tabel152[[#This Row],[Winnaar 2]]</f>
        <v>00</v>
      </c>
      <c r="V162" s="147" t="b">
        <f>IF(Tabel152[[#This Row],[Team Rood]]=Tabel152[[#This Row],[Winnaars]],Tabel152[[#This Row],[Team Rood]])</f>
        <v>0</v>
      </c>
      <c r="W162" s="147" t="b">
        <f>IF(Tabel152[[#This Row],[Team Groen]]=Tabel152[[#This Row],[Winnaars]],Tabel152[[#This Row],[Team Groen]])</f>
        <v>0</v>
      </c>
      <c r="X162" s="283"/>
      <c r="Y162" s="283"/>
      <c r="Z162" s="283"/>
      <c r="AA162" s="283"/>
    </row>
    <row r="163" spans="1:27" x14ac:dyDescent="0.25">
      <c r="A163" s="215" t="str">
        <f ca="1">IF(Tabel152[[#This Row],[Rood Verdediging]]&lt;&gt;"",IF(A163="",NOW(),A163),"")</f>
        <v/>
      </c>
      <c r="B163" s="218" t="str">
        <f ca="1">IF(Tabel152[[#This Row],[Rood Verdediging]]&lt;&gt;"",IF(B163="",NOW(),B163),"")</f>
        <v/>
      </c>
      <c r="C163" s="216" t="str">
        <f ca="1">IF(Tabel152[[#This Row],[Score]]&lt;&gt;"",IF(C163="",NOW(),C163),"")</f>
        <v/>
      </c>
      <c r="D163" s="217" t="str">
        <f ca="1">IF(OR(Tabel152[[#This Row],[Starttijd]]="",Tabel152[[#This Row],[Eindtijd]]=""),"",Tabel152[[#This Row],[Eindtijd]]-Tabel152[[#This Row],[Starttijd]])</f>
        <v/>
      </c>
      <c r="E163" s="74">
        <v>162</v>
      </c>
      <c r="F163" s="205"/>
      <c r="G163" s="210"/>
      <c r="H163" s="205"/>
      <c r="I163" s="210"/>
      <c r="J163" s="206"/>
      <c r="K163" s="212"/>
      <c r="L163" s="206"/>
      <c r="M163" s="212"/>
      <c r="N163" s="79">
        <f>Tabel152[[#This Row],[Score]]+Tabel152[[#This Row],[Score2]]</f>
        <v>0</v>
      </c>
      <c r="O163" s="80">
        <f>Tabel152[[#This Row],[Score3]]+Tabel152[[#This Row],[Score4]]</f>
        <v>0</v>
      </c>
      <c r="P16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Row],[Score4]]&lt;&gt;""),IF(AND(N163&gt;O163,N163&gt;=11),"ROOD",IF(AND(O163&gt;=11,N163&lt;&gt;O163),"GROEN","")),"")</f>
        <v/>
      </c>
      <c r="Q163" s="84">
        <f t="shared" si="18"/>
        <v>0</v>
      </c>
      <c r="R163" s="85">
        <f t="shared" si="19"/>
        <v>0</v>
      </c>
      <c r="S163" s="293" t="str">
        <f>Tabel152[[#This Row],[Rood Verdediging]]&amp;Tabel152[[#This Row],[Rood Aanval]]</f>
        <v/>
      </c>
      <c r="T163" s="293" t="str">
        <f>Tabel152[[#This Row],[Groen Verdediging]]&amp;Tabel152[[#This Row],[Groen Aanval]]</f>
        <v/>
      </c>
      <c r="U163" s="293" t="str">
        <f>Tabel152[[#This Row],[Winnaar 1]]&amp;Tabel152[[#This Row],[Winnaar 2]]</f>
        <v>00</v>
      </c>
      <c r="V163" s="147" t="b">
        <f>IF(Tabel152[[#This Row],[Team Rood]]=Tabel152[[#This Row],[Winnaars]],Tabel152[[#This Row],[Team Rood]])</f>
        <v>0</v>
      </c>
      <c r="W163" s="147" t="b">
        <f>IF(Tabel152[[#This Row],[Team Groen]]=Tabel152[[#This Row],[Winnaars]],Tabel152[[#This Row],[Team Groen]])</f>
        <v>0</v>
      </c>
      <c r="X163" s="283"/>
      <c r="Y163" s="283"/>
      <c r="Z163" s="283"/>
      <c r="AA163" s="283"/>
    </row>
    <row r="164" spans="1:27" x14ac:dyDescent="0.25">
      <c r="A164" s="215" t="str">
        <f ca="1">IF(Tabel152[[#This Row],[Rood Verdediging]]&lt;&gt;"",IF(A164="",NOW(),A164),"")</f>
        <v/>
      </c>
      <c r="B164" s="218" t="str">
        <f ca="1">IF(Tabel152[[#This Row],[Rood Verdediging]]&lt;&gt;"",IF(B164="",NOW(),B164),"")</f>
        <v/>
      </c>
      <c r="C164" s="216" t="str">
        <f ca="1">IF(Tabel152[[#This Row],[Score]]&lt;&gt;"",IF(C164="",NOW(),C164),"")</f>
        <v/>
      </c>
      <c r="D164" s="217" t="str">
        <f ca="1">IF(OR(Tabel152[[#This Row],[Starttijd]]="",Tabel152[[#This Row],[Eindtijd]]=""),"",Tabel152[[#This Row],[Eindtijd]]-Tabel152[[#This Row],[Starttijd]])</f>
        <v/>
      </c>
      <c r="E164" s="74">
        <v>163</v>
      </c>
      <c r="F164" s="205"/>
      <c r="G164" s="210"/>
      <c r="H164" s="205"/>
      <c r="I164" s="210"/>
      <c r="J164" s="206"/>
      <c r="K164" s="212"/>
      <c r="L164" s="206"/>
      <c r="M164" s="212"/>
      <c r="N164" s="79">
        <f>Tabel152[[#This Row],[Score]]+Tabel152[[#This Row],[Score2]]</f>
        <v>0</v>
      </c>
      <c r="O164" s="80">
        <f>Tabel152[[#This Row],[Score3]]+Tabel152[[#This Row],[Score4]]</f>
        <v>0</v>
      </c>
      <c r="P16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Row],[Score4]]&lt;&gt;""),IF(AND(N164&gt;O164,N164&gt;=11),"ROOD",IF(AND(O164&gt;=11,N164&lt;&gt;O164),"GROEN","")),"")</f>
        <v/>
      </c>
      <c r="Q164" s="84">
        <f t="shared" si="18"/>
        <v>0</v>
      </c>
      <c r="R164" s="85">
        <f t="shared" si="19"/>
        <v>0</v>
      </c>
      <c r="S164" s="293" t="str">
        <f>Tabel152[[#This Row],[Rood Verdediging]]&amp;Tabel152[[#This Row],[Rood Aanval]]</f>
        <v/>
      </c>
      <c r="T164" s="293" t="str">
        <f>Tabel152[[#This Row],[Groen Verdediging]]&amp;Tabel152[[#This Row],[Groen Aanval]]</f>
        <v/>
      </c>
      <c r="U164" s="293" t="str">
        <f>Tabel152[[#This Row],[Winnaar 1]]&amp;Tabel152[[#This Row],[Winnaar 2]]</f>
        <v>00</v>
      </c>
      <c r="V164" s="147" t="b">
        <f>IF(Tabel152[[#This Row],[Team Rood]]=Tabel152[[#This Row],[Winnaars]],Tabel152[[#This Row],[Team Rood]])</f>
        <v>0</v>
      </c>
      <c r="W164" s="147" t="b">
        <f>IF(Tabel152[[#This Row],[Team Groen]]=Tabel152[[#This Row],[Winnaars]],Tabel152[[#This Row],[Team Groen]])</f>
        <v>0</v>
      </c>
      <c r="X164" s="283"/>
      <c r="Y164" s="283"/>
      <c r="Z164" s="283"/>
      <c r="AA164" s="283"/>
    </row>
    <row r="165" spans="1:27" x14ac:dyDescent="0.25">
      <c r="A165" s="215" t="str">
        <f ca="1">IF(Tabel152[[#This Row],[Rood Verdediging]]&lt;&gt;"",IF(A165="",NOW(),A165),"")</f>
        <v/>
      </c>
      <c r="B165" s="218" t="str">
        <f ca="1">IF(Tabel152[[#This Row],[Rood Verdediging]]&lt;&gt;"",IF(B165="",NOW(),B165),"")</f>
        <v/>
      </c>
      <c r="C165" s="216" t="str">
        <f ca="1">IF(Tabel152[[#This Row],[Score]]&lt;&gt;"",IF(C165="",NOW(),C165),"")</f>
        <v/>
      </c>
      <c r="D165" s="217" t="str">
        <f ca="1">IF(OR(Tabel152[[#This Row],[Starttijd]]="",Tabel152[[#This Row],[Eindtijd]]=""),"",Tabel152[[#This Row],[Eindtijd]]-Tabel152[[#This Row],[Starttijd]])</f>
        <v/>
      </c>
      <c r="E165" s="74">
        <v>164</v>
      </c>
      <c r="F165" s="205"/>
      <c r="G165" s="210"/>
      <c r="H165" s="205"/>
      <c r="I165" s="210"/>
      <c r="J165" s="206"/>
      <c r="K165" s="212"/>
      <c r="L165" s="206"/>
      <c r="M165" s="212"/>
      <c r="N165" s="79">
        <f>Tabel152[[#This Row],[Score]]+Tabel152[[#This Row],[Score2]]</f>
        <v>0</v>
      </c>
      <c r="O165" s="80">
        <f>Tabel152[[#This Row],[Score3]]+Tabel152[[#This Row],[Score4]]</f>
        <v>0</v>
      </c>
      <c r="P16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Row],[Score4]]&lt;&gt;""),IF(AND(N165&gt;O165,N165&gt;=11),"ROOD",IF(AND(O165&gt;=11,N165&lt;&gt;O165),"GROEN","")),"")</f>
        <v/>
      </c>
      <c r="Q165" s="84">
        <f t="shared" si="18"/>
        <v>0</v>
      </c>
      <c r="R165" s="85">
        <f t="shared" si="19"/>
        <v>0</v>
      </c>
      <c r="S165" s="293" t="str">
        <f>Tabel152[[#This Row],[Rood Verdediging]]&amp;Tabel152[[#This Row],[Rood Aanval]]</f>
        <v/>
      </c>
      <c r="T165" s="293" t="str">
        <f>Tabel152[[#This Row],[Groen Verdediging]]&amp;Tabel152[[#This Row],[Groen Aanval]]</f>
        <v/>
      </c>
      <c r="U165" s="293" t="str">
        <f>Tabel152[[#This Row],[Winnaar 1]]&amp;Tabel152[[#This Row],[Winnaar 2]]</f>
        <v>00</v>
      </c>
      <c r="V165" s="147" t="b">
        <f>IF(Tabel152[[#This Row],[Team Rood]]=Tabel152[[#This Row],[Winnaars]],Tabel152[[#This Row],[Team Rood]])</f>
        <v>0</v>
      </c>
      <c r="W165" s="147" t="b">
        <f>IF(Tabel152[[#This Row],[Team Groen]]=Tabel152[[#This Row],[Winnaars]],Tabel152[[#This Row],[Team Groen]])</f>
        <v>0</v>
      </c>
      <c r="X165" s="283"/>
      <c r="Y165" s="283"/>
      <c r="Z165" s="283"/>
      <c r="AA165" s="283"/>
    </row>
    <row r="166" spans="1:27" x14ac:dyDescent="0.25">
      <c r="A166" s="215" t="str">
        <f ca="1">IF(Tabel152[[#This Row],[Rood Verdediging]]&lt;&gt;"",IF(A166="",NOW(),A166),"")</f>
        <v/>
      </c>
      <c r="B166" s="218" t="str">
        <f ca="1">IF(Tabel152[[#This Row],[Rood Verdediging]]&lt;&gt;"",IF(B166="",NOW(),B166),"")</f>
        <v/>
      </c>
      <c r="C166" s="216" t="str">
        <f ca="1">IF(Tabel152[[#This Row],[Score]]&lt;&gt;"",IF(C166="",NOW(),C166),"")</f>
        <v/>
      </c>
      <c r="D166" s="217" t="str">
        <f ca="1">IF(OR(Tabel152[[#This Row],[Starttijd]]="",Tabel152[[#This Row],[Eindtijd]]=""),"",Tabel152[[#This Row],[Eindtijd]]-Tabel152[[#This Row],[Starttijd]])</f>
        <v/>
      </c>
      <c r="E166" s="74">
        <v>165</v>
      </c>
      <c r="F166" s="205"/>
      <c r="G166" s="210"/>
      <c r="H166" s="205"/>
      <c r="I166" s="210"/>
      <c r="J166" s="206"/>
      <c r="K166" s="212"/>
      <c r="L166" s="206"/>
      <c r="M166" s="212"/>
      <c r="N166" s="79">
        <f>Tabel152[[#This Row],[Score]]+Tabel152[[#This Row],[Score2]]</f>
        <v>0</v>
      </c>
      <c r="O166" s="80">
        <f>Tabel152[[#This Row],[Score3]]+Tabel152[[#This Row],[Score4]]</f>
        <v>0</v>
      </c>
      <c r="P16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Row],[Score4]]&lt;&gt;""),IF(AND(N166&gt;O166,N166&gt;=11),"ROOD",IF(AND(O166&gt;=11,N166&lt;&gt;O166),"GROEN","")),"")</f>
        <v/>
      </c>
      <c r="Q166" s="84">
        <f t="shared" si="18"/>
        <v>0</v>
      </c>
      <c r="R166" s="85">
        <f t="shared" si="19"/>
        <v>0</v>
      </c>
      <c r="S166" s="293" t="str">
        <f>Tabel152[[#This Row],[Rood Verdediging]]&amp;Tabel152[[#This Row],[Rood Aanval]]</f>
        <v/>
      </c>
      <c r="T166" s="293" t="str">
        <f>Tabel152[[#This Row],[Groen Verdediging]]&amp;Tabel152[[#This Row],[Groen Aanval]]</f>
        <v/>
      </c>
      <c r="U166" s="293" t="str">
        <f>Tabel152[[#This Row],[Winnaar 1]]&amp;Tabel152[[#This Row],[Winnaar 2]]</f>
        <v>00</v>
      </c>
      <c r="V166" s="147" t="b">
        <f>IF(Tabel152[[#This Row],[Team Rood]]=Tabel152[[#This Row],[Winnaars]],Tabel152[[#This Row],[Team Rood]])</f>
        <v>0</v>
      </c>
      <c r="W166" s="147" t="b">
        <f>IF(Tabel152[[#This Row],[Team Groen]]=Tabel152[[#This Row],[Winnaars]],Tabel152[[#This Row],[Team Groen]])</f>
        <v>0</v>
      </c>
      <c r="X166" s="283"/>
      <c r="Y166" s="283"/>
      <c r="Z166" s="283"/>
      <c r="AA166" s="283"/>
    </row>
    <row r="167" spans="1:27" x14ac:dyDescent="0.25">
      <c r="A167" s="215" t="str">
        <f ca="1">IF(Tabel152[[#This Row],[Rood Verdediging]]&lt;&gt;"",IF(A167="",NOW(),A167),"")</f>
        <v/>
      </c>
      <c r="B167" s="218" t="str">
        <f ca="1">IF(Tabel152[[#This Row],[Rood Verdediging]]&lt;&gt;"",IF(B167="",NOW(),B167),"")</f>
        <v/>
      </c>
      <c r="C167" s="216" t="str">
        <f ca="1">IF(Tabel152[[#This Row],[Score]]&lt;&gt;"",IF(C167="",NOW(),C167),"")</f>
        <v/>
      </c>
      <c r="D167" s="217" t="str">
        <f ca="1">IF(OR(Tabel152[[#This Row],[Starttijd]]="",Tabel152[[#This Row],[Eindtijd]]=""),"",Tabel152[[#This Row],[Eindtijd]]-Tabel152[[#This Row],[Starttijd]])</f>
        <v/>
      </c>
      <c r="E167" s="74">
        <v>166</v>
      </c>
      <c r="F167" s="205"/>
      <c r="G167" s="210"/>
      <c r="H167" s="205"/>
      <c r="I167" s="210"/>
      <c r="J167" s="206"/>
      <c r="K167" s="212"/>
      <c r="L167" s="206"/>
      <c r="M167" s="212"/>
      <c r="N167" s="79">
        <f>Tabel152[[#This Row],[Score]]+Tabel152[[#This Row],[Score2]]</f>
        <v>0</v>
      </c>
      <c r="O167" s="80">
        <f>Tabel152[[#This Row],[Score3]]+Tabel152[[#This Row],[Score4]]</f>
        <v>0</v>
      </c>
      <c r="P16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Row],[Score4]]&lt;&gt;""),IF(AND(N167&gt;O167,N167&gt;=11),"ROOD",IF(AND(O167&gt;=11,N167&lt;&gt;O167),"GROEN","")),"")</f>
        <v/>
      </c>
      <c r="Q167" s="84">
        <f t="shared" si="18"/>
        <v>0</v>
      </c>
      <c r="R167" s="85">
        <f t="shared" si="19"/>
        <v>0</v>
      </c>
      <c r="S167" s="293" t="str">
        <f>Tabel152[[#This Row],[Rood Verdediging]]&amp;Tabel152[[#This Row],[Rood Aanval]]</f>
        <v/>
      </c>
      <c r="T167" s="293" t="str">
        <f>Tabel152[[#This Row],[Groen Verdediging]]&amp;Tabel152[[#This Row],[Groen Aanval]]</f>
        <v/>
      </c>
      <c r="U167" s="293" t="str">
        <f>Tabel152[[#This Row],[Winnaar 1]]&amp;Tabel152[[#This Row],[Winnaar 2]]</f>
        <v>00</v>
      </c>
      <c r="V167" s="147" t="b">
        <f>IF(Tabel152[[#This Row],[Team Rood]]=Tabel152[[#This Row],[Winnaars]],Tabel152[[#This Row],[Team Rood]])</f>
        <v>0</v>
      </c>
      <c r="W167" s="147" t="b">
        <f>IF(Tabel152[[#This Row],[Team Groen]]=Tabel152[[#This Row],[Winnaars]],Tabel152[[#This Row],[Team Groen]])</f>
        <v>0</v>
      </c>
      <c r="X167" s="283"/>
      <c r="Y167" s="283"/>
      <c r="Z167" s="283"/>
      <c r="AA167" s="283"/>
    </row>
    <row r="168" spans="1:27" x14ac:dyDescent="0.25">
      <c r="A168" s="215" t="str">
        <f ca="1">IF(Tabel152[[#This Row],[Rood Verdediging]]&lt;&gt;"",IF(A168="",NOW(),A168),"")</f>
        <v/>
      </c>
      <c r="B168" s="218" t="str">
        <f ca="1">IF(Tabel152[[#This Row],[Rood Verdediging]]&lt;&gt;"",IF(B168="",NOW(),B168),"")</f>
        <v/>
      </c>
      <c r="C168" s="216" t="str">
        <f ca="1">IF(Tabel152[[#This Row],[Score]]&lt;&gt;"",IF(C168="",NOW(),C168),"")</f>
        <v/>
      </c>
      <c r="D168" s="217" t="str">
        <f ca="1">IF(OR(Tabel152[[#This Row],[Starttijd]]="",Tabel152[[#This Row],[Eindtijd]]=""),"",Tabel152[[#This Row],[Eindtijd]]-Tabel152[[#This Row],[Starttijd]])</f>
        <v/>
      </c>
      <c r="E168" s="74">
        <v>167</v>
      </c>
      <c r="F168" s="205"/>
      <c r="G168" s="210"/>
      <c r="H168" s="205"/>
      <c r="I168" s="210"/>
      <c r="J168" s="206"/>
      <c r="K168" s="212"/>
      <c r="L168" s="206"/>
      <c r="M168" s="212"/>
      <c r="N168" s="79">
        <f>Tabel152[[#This Row],[Score]]+Tabel152[[#This Row],[Score2]]</f>
        <v>0</v>
      </c>
      <c r="O168" s="80">
        <f>Tabel152[[#This Row],[Score3]]+Tabel152[[#This Row],[Score4]]</f>
        <v>0</v>
      </c>
      <c r="P16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Row],[Score4]]&lt;&gt;""),IF(AND(N168&gt;O168,N168&gt;=11),"ROOD",IF(AND(O168&gt;=11,N168&lt;&gt;O168),"GROEN","")),"")</f>
        <v/>
      </c>
      <c r="Q168" s="84">
        <f t="shared" si="18"/>
        <v>0</v>
      </c>
      <c r="R168" s="85">
        <f t="shared" si="19"/>
        <v>0</v>
      </c>
      <c r="S168" s="293" t="str">
        <f>Tabel152[[#This Row],[Rood Verdediging]]&amp;Tabel152[[#This Row],[Rood Aanval]]</f>
        <v/>
      </c>
      <c r="T168" s="293" t="str">
        <f>Tabel152[[#This Row],[Groen Verdediging]]&amp;Tabel152[[#This Row],[Groen Aanval]]</f>
        <v/>
      </c>
      <c r="U168" s="293" t="str">
        <f>Tabel152[[#This Row],[Winnaar 1]]&amp;Tabel152[[#This Row],[Winnaar 2]]</f>
        <v>00</v>
      </c>
      <c r="V168" s="147" t="b">
        <f>IF(Tabel152[[#This Row],[Team Rood]]=Tabel152[[#This Row],[Winnaars]],Tabel152[[#This Row],[Team Rood]])</f>
        <v>0</v>
      </c>
      <c r="W168" s="147" t="b">
        <f>IF(Tabel152[[#This Row],[Team Groen]]=Tabel152[[#This Row],[Winnaars]],Tabel152[[#This Row],[Team Groen]])</f>
        <v>0</v>
      </c>
      <c r="X168" s="283"/>
      <c r="Y168" s="283"/>
      <c r="Z168" s="283"/>
      <c r="AA168" s="283"/>
    </row>
    <row r="169" spans="1:27" x14ac:dyDescent="0.25">
      <c r="A169" s="215" t="str">
        <f ca="1">IF(Tabel152[[#This Row],[Rood Verdediging]]&lt;&gt;"",IF(A169="",NOW(),A169),"")</f>
        <v/>
      </c>
      <c r="B169" s="218" t="str">
        <f ca="1">IF(Tabel152[[#This Row],[Rood Verdediging]]&lt;&gt;"",IF(B169="",NOW(),B169),"")</f>
        <v/>
      </c>
      <c r="C169" s="216" t="str">
        <f ca="1">IF(Tabel152[[#This Row],[Score]]&lt;&gt;"",IF(C169="",NOW(),C169),"")</f>
        <v/>
      </c>
      <c r="D169" s="217" t="str">
        <f ca="1">IF(OR(Tabel152[[#This Row],[Starttijd]]="",Tabel152[[#This Row],[Eindtijd]]=""),"",Tabel152[[#This Row],[Eindtijd]]-Tabel152[[#This Row],[Starttijd]])</f>
        <v/>
      </c>
      <c r="E169" s="74">
        <v>168</v>
      </c>
      <c r="F169" s="205"/>
      <c r="G169" s="210"/>
      <c r="H169" s="205"/>
      <c r="I169" s="210"/>
      <c r="J169" s="206"/>
      <c r="K169" s="212"/>
      <c r="L169" s="206"/>
      <c r="M169" s="212"/>
      <c r="N169" s="79">
        <f>Tabel152[[#This Row],[Score]]+Tabel152[[#This Row],[Score2]]</f>
        <v>0</v>
      </c>
      <c r="O169" s="80">
        <f>Tabel152[[#This Row],[Score3]]+Tabel152[[#This Row],[Score4]]</f>
        <v>0</v>
      </c>
      <c r="P16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Row],[Score4]]&lt;&gt;""),IF(AND(N169&gt;O169,N169&gt;=11),"ROOD",IF(AND(O169&gt;=11,N169&lt;&gt;O169),"GROEN","")),"")</f>
        <v/>
      </c>
      <c r="Q169" s="84">
        <f t="shared" si="18"/>
        <v>0</v>
      </c>
      <c r="R169" s="85">
        <f t="shared" si="19"/>
        <v>0</v>
      </c>
      <c r="S169" s="293" t="str">
        <f>Tabel152[[#This Row],[Rood Verdediging]]&amp;Tabel152[[#This Row],[Rood Aanval]]</f>
        <v/>
      </c>
      <c r="T169" s="293" t="str">
        <f>Tabel152[[#This Row],[Groen Verdediging]]&amp;Tabel152[[#This Row],[Groen Aanval]]</f>
        <v/>
      </c>
      <c r="U169" s="293" t="str">
        <f>Tabel152[[#This Row],[Winnaar 1]]&amp;Tabel152[[#This Row],[Winnaar 2]]</f>
        <v>00</v>
      </c>
      <c r="V169" s="147" t="b">
        <f>IF(Tabel152[[#This Row],[Team Rood]]=Tabel152[[#This Row],[Winnaars]],Tabel152[[#This Row],[Team Rood]])</f>
        <v>0</v>
      </c>
      <c r="W169" s="147" t="b">
        <f>IF(Tabel152[[#This Row],[Team Groen]]=Tabel152[[#This Row],[Winnaars]],Tabel152[[#This Row],[Team Groen]])</f>
        <v>0</v>
      </c>
      <c r="X169" s="283"/>
      <c r="Y169" s="283"/>
      <c r="Z169" s="283"/>
      <c r="AA169" s="283"/>
    </row>
    <row r="170" spans="1:27" x14ac:dyDescent="0.25">
      <c r="A170" s="215" t="str">
        <f ca="1">IF(Tabel152[[#This Row],[Rood Verdediging]]&lt;&gt;"",IF(A170="",NOW(),A170),"")</f>
        <v/>
      </c>
      <c r="B170" s="218" t="str">
        <f ca="1">IF(Tabel152[[#This Row],[Rood Verdediging]]&lt;&gt;"",IF(B170="",NOW(),B170),"")</f>
        <v/>
      </c>
      <c r="C170" s="216" t="str">
        <f ca="1">IF(Tabel152[[#This Row],[Score]]&lt;&gt;"",IF(C170="",NOW(),C170),"")</f>
        <v/>
      </c>
      <c r="D170" s="217" t="str">
        <f ca="1">IF(OR(Tabel152[[#This Row],[Starttijd]]="",Tabel152[[#This Row],[Eindtijd]]=""),"",Tabel152[[#This Row],[Eindtijd]]-Tabel152[[#This Row],[Starttijd]])</f>
        <v/>
      </c>
      <c r="E170" s="74">
        <v>169</v>
      </c>
      <c r="F170" s="205"/>
      <c r="G170" s="210"/>
      <c r="H170" s="205"/>
      <c r="I170" s="210"/>
      <c r="J170" s="206"/>
      <c r="K170" s="212"/>
      <c r="L170" s="206"/>
      <c r="M170" s="212"/>
      <c r="N170" s="79">
        <f>Tabel152[[#This Row],[Score]]+Tabel152[[#This Row],[Score2]]</f>
        <v>0</v>
      </c>
      <c r="O170" s="80">
        <f>Tabel152[[#This Row],[Score3]]+Tabel152[[#This Row],[Score4]]</f>
        <v>0</v>
      </c>
      <c r="P17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Row],[Score4]]&lt;&gt;""),IF(AND(N170&gt;O170,N170&gt;=11),"ROOD",IF(AND(O170&gt;=11,N170&lt;&gt;O170),"GROEN","")),"")</f>
        <v/>
      </c>
      <c r="Q170" s="84">
        <f t="shared" si="18"/>
        <v>0</v>
      </c>
      <c r="R170" s="85">
        <f t="shared" si="19"/>
        <v>0</v>
      </c>
      <c r="S170" s="293" t="str">
        <f>Tabel152[[#This Row],[Rood Verdediging]]&amp;Tabel152[[#This Row],[Rood Aanval]]</f>
        <v/>
      </c>
      <c r="T170" s="293" t="str">
        <f>Tabel152[[#This Row],[Groen Verdediging]]&amp;Tabel152[[#This Row],[Groen Aanval]]</f>
        <v/>
      </c>
      <c r="U170" s="293" t="str">
        <f>Tabel152[[#This Row],[Winnaar 1]]&amp;Tabel152[[#This Row],[Winnaar 2]]</f>
        <v>00</v>
      </c>
      <c r="V170" s="147" t="b">
        <f>IF(Tabel152[[#This Row],[Team Rood]]=Tabel152[[#This Row],[Winnaars]],Tabel152[[#This Row],[Team Rood]])</f>
        <v>0</v>
      </c>
      <c r="W170" s="147" t="b">
        <f>IF(Tabel152[[#This Row],[Team Groen]]=Tabel152[[#This Row],[Winnaars]],Tabel152[[#This Row],[Team Groen]])</f>
        <v>0</v>
      </c>
      <c r="X170" s="283"/>
      <c r="Y170" s="283"/>
      <c r="Z170" s="283"/>
      <c r="AA170" s="283"/>
    </row>
    <row r="171" spans="1:27" x14ac:dyDescent="0.25">
      <c r="A171" s="215" t="str">
        <f ca="1">IF(Tabel152[[#This Row],[Rood Verdediging]]&lt;&gt;"",IF(A171="",NOW(),A171),"")</f>
        <v/>
      </c>
      <c r="B171" s="218" t="str">
        <f ca="1">IF(Tabel152[[#This Row],[Rood Verdediging]]&lt;&gt;"",IF(B171="",NOW(),B171),"")</f>
        <v/>
      </c>
      <c r="C171" s="216" t="str">
        <f ca="1">IF(Tabel152[[#This Row],[Score]]&lt;&gt;"",IF(C171="",NOW(),C171),"")</f>
        <v/>
      </c>
      <c r="D171" s="217" t="str">
        <f ca="1">IF(OR(Tabel152[[#This Row],[Starttijd]]="",Tabel152[[#This Row],[Eindtijd]]=""),"",Tabel152[[#This Row],[Eindtijd]]-Tabel152[[#This Row],[Starttijd]])</f>
        <v/>
      </c>
      <c r="E171" s="74">
        <v>170</v>
      </c>
      <c r="F171" s="205"/>
      <c r="G171" s="210"/>
      <c r="H171" s="205"/>
      <c r="I171" s="210"/>
      <c r="J171" s="206"/>
      <c r="K171" s="212"/>
      <c r="L171" s="206"/>
      <c r="M171" s="212"/>
      <c r="N171" s="79">
        <f>Tabel152[[#This Row],[Score]]+Tabel152[[#This Row],[Score2]]</f>
        <v>0</v>
      </c>
      <c r="O171" s="80">
        <f>Tabel152[[#This Row],[Score3]]+Tabel152[[#This Row],[Score4]]</f>
        <v>0</v>
      </c>
      <c r="P17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Row],[Score4]]&lt;&gt;""),IF(AND(N171&gt;O171,N171&gt;=11),"ROOD",IF(AND(O171&gt;=11,N171&lt;&gt;O171),"GROEN","")),"")</f>
        <v/>
      </c>
      <c r="Q171" s="84">
        <f t="shared" si="18"/>
        <v>0</v>
      </c>
      <c r="R171" s="85">
        <f t="shared" si="19"/>
        <v>0</v>
      </c>
      <c r="S171" s="293" t="str">
        <f>Tabel152[[#This Row],[Rood Verdediging]]&amp;Tabel152[[#This Row],[Rood Aanval]]</f>
        <v/>
      </c>
      <c r="T171" s="293" t="str">
        <f>Tabel152[[#This Row],[Groen Verdediging]]&amp;Tabel152[[#This Row],[Groen Aanval]]</f>
        <v/>
      </c>
      <c r="U171" s="293" t="str">
        <f>Tabel152[[#This Row],[Winnaar 1]]&amp;Tabel152[[#This Row],[Winnaar 2]]</f>
        <v>00</v>
      </c>
      <c r="V171" s="147" t="b">
        <f>IF(Tabel152[[#This Row],[Team Rood]]=Tabel152[[#This Row],[Winnaars]],Tabel152[[#This Row],[Team Rood]])</f>
        <v>0</v>
      </c>
      <c r="W171" s="147" t="b">
        <f>IF(Tabel152[[#This Row],[Team Groen]]=Tabel152[[#This Row],[Winnaars]],Tabel152[[#This Row],[Team Groen]])</f>
        <v>0</v>
      </c>
      <c r="X171" s="283"/>
      <c r="Y171" s="283"/>
      <c r="Z171" s="283"/>
      <c r="AA171" s="283"/>
    </row>
    <row r="172" spans="1:27" x14ac:dyDescent="0.25">
      <c r="A172" s="215" t="str">
        <f ca="1">IF(Tabel152[[#This Row],[Rood Verdediging]]&lt;&gt;"",IF(A172="",NOW(),A172),"")</f>
        <v/>
      </c>
      <c r="B172" s="218" t="str">
        <f ca="1">IF(Tabel152[[#This Row],[Rood Verdediging]]&lt;&gt;"",IF(B172="",NOW(),B172),"")</f>
        <v/>
      </c>
      <c r="C172" s="216" t="str">
        <f ca="1">IF(Tabel152[[#This Row],[Score]]&lt;&gt;"",IF(C172="",NOW(),C172),"")</f>
        <v/>
      </c>
      <c r="D172" s="217" t="str">
        <f ca="1">IF(OR(Tabel152[[#This Row],[Starttijd]]="",Tabel152[[#This Row],[Eindtijd]]=""),"",Tabel152[[#This Row],[Eindtijd]]-Tabel152[[#This Row],[Starttijd]])</f>
        <v/>
      </c>
      <c r="E172" s="74">
        <v>171</v>
      </c>
      <c r="F172" s="205"/>
      <c r="G172" s="210"/>
      <c r="H172" s="205"/>
      <c r="I172" s="210"/>
      <c r="J172" s="206"/>
      <c r="K172" s="212"/>
      <c r="L172" s="206"/>
      <c r="M172" s="212"/>
      <c r="N172" s="79">
        <f>Tabel152[[#This Row],[Score]]+Tabel152[[#This Row],[Score2]]</f>
        <v>0</v>
      </c>
      <c r="O172" s="80">
        <f>Tabel152[[#This Row],[Score3]]+Tabel152[[#This Row],[Score4]]</f>
        <v>0</v>
      </c>
      <c r="P17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Row],[Score4]]&lt;&gt;""),IF(AND(N172&gt;O172,N172&gt;=11),"ROOD",IF(AND(O172&gt;=11,N172&lt;&gt;O172),"GROEN","")),"")</f>
        <v/>
      </c>
      <c r="Q172" s="84">
        <f t="shared" si="18"/>
        <v>0</v>
      </c>
      <c r="R172" s="85">
        <f t="shared" si="19"/>
        <v>0</v>
      </c>
      <c r="S172" s="293" t="str">
        <f>Tabel152[[#This Row],[Rood Verdediging]]&amp;Tabel152[[#This Row],[Rood Aanval]]</f>
        <v/>
      </c>
      <c r="T172" s="293" t="str">
        <f>Tabel152[[#This Row],[Groen Verdediging]]&amp;Tabel152[[#This Row],[Groen Aanval]]</f>
        <v/>
      </c>
      <c r="U172" s="293" t="str">
        <f>Tabel152[[#This Row],[Winnaar 1]]&amp;Tabel152[[#This Row],[Winnaar 2]]</f>
        <v>00</v>
      </c>
      <c r="V172" s="147" t="b">
        <f>IF(Tabel152[[#This Row],[Team Rood]]=Tabel152[[#This Row],[Winnaars]],Tabel152[[#This Row],[Team Rood]])</f>
        <v>0</v>
      </c>
      <c r="W172" s="147" t="b">
        <f>IF(Tabel152[[#This Row],[Team Groen]]=Tabel152[[#This Row],[Winnaars]],Tabel152[[#This Row],[Team Groen]])</f>
        <v>0</v>
      </c>
      <c r="X172" s="283"/>
      <c r="Y172" s="283"/>
      <c r="Z172" s="283"/>
      <c r="AA172" s="283"/>
    </row>
    <row r="173" spans="1:27" x14ac:dyDescent="0.25">
      <c r="A173" s="215" t="str">
        <f ca="1">IF(Tabel152[[#This Row],[Rood Verdediging]]&lt;&gt;"",IF(A173="",NOW(),A173),"")</f>
        <v/>
      </c>
      <c r="B173" s="218" t="str">
        <f ca="1">IF(Tabel152[[#This Row],[Rood Verdediging]]&lt;&gt;"",IF(B173="",NOW(),B173),"")</f>
        <v/>
      </c>
      <c r="C173" s="216" t="str">
        <f ca="1">IF(Tabel152[[#This Row],[Score]]&lt;&gt;"",IF(C173="",NOW(),C173),"")</f>
        <v/>
      </c>
      <c r="D173" s="217" t="str">
        <f ca="1">IF(OR(Tabel152[[#This Row],[Starttijd]]="",Tabel152[[#This Row],[Eindtijd]]=""),"",Tabel152[[#This Row],[Eindtijd]]-Tabel152[[#This Row],[Starttijd]])</f>
        <v/>
      </c>
      <c r="E173" s="74">
        <v>172</v>
      </c>
      <c r="F173" s="205"/>
      <c r="G173" s="210"/>
      <c r="H173" s="205"/>
      <c r="I173" s="210"/>
      <c r="J173" s="206"/>
      <c r="K173" s="212"/>
      <c r="L173" s="206"/>
      <c r="M173" s="212"/>
      <c r="N173" s="79">
        <f>Tabel152[[#This Row],[Score]]+Tabel152[[#This Row],[Score2]]</f>
        <v>0</v>
      </c>
      <c r="O173" s="80">
        <f>Tabel152[[#This Row],[Score3]]+Tabel152[[#This Row],[Score4]]</f>
        <v>0</v>
      </c>
      <c r="P17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Row],[Score4]]&lt;&gt;""),IF(AND(N173&gt;O173,N173&gt;=11),"ROOD",IF(AND(O173&gt;=11,N173&lt;&gt;O173),"GROEN","")),"")</f>
        <v/>
      </c>
      <c r="Q173" s="84">
        <f t="shared" si="18"/>
        <v>0</v>
      </c>
      <c r="R173" s="85">
        <f t="shared" si="19"/>
        <v>0</v>
      </c>
      <c r="S173" s="293" t="str">
        <f>Tabel152[[#This Row],[Rood Verdediging]]&amp;Tabel152[[#This Row],[Rood Aanval]]</f>
        <v/>
      </c>
      <c r="T173" s="293" t="str">
        <f>Tabel152[[#This Row],[Groen Verdediging]]&amp;Tabel152[[#This Row],[Groen Aanval]]</f>
        <v/>
      </c>
      <c r="U173" s="293" t="str">
        <f>Tabel152[[#This Row],[Winnaar 1]]&amp;Tabel152[[#This Row],[Winnaar 2]]</f>
        <v>00</v>
      </c>
      <c r="V173" s="147" t="b">
        <f>IF(Tabel152[[#This Row],[Team Rood]]=Tabel152[[#This Row],[Winnaars]],Tabel152[[#This Row],[Team Rood]])</f>
        <v>0</v>
      </c>
      <c r="W173" s="147" t="b">
        <f>IF(Tabel152[[#This Row],[Team Groen]]=Tabel152[[#This Row],[Winnaars]],Tabel152[[#This Row],[Team Groen]])</f>
        <v>0</v>
      </c>
      <c r="X173" s="283"/>
      <c r="Y173" s="283"/>
      <c r="Z173" s="283"/>
      <c r="AA173" s="283"/>
    </row>
    <row r="174" spans="1:27" x14ac:dyDescent="0.25">
      <c r="A174" s="215" t="str">
        <f ca="1">IF(Tabel152[[#This Row],[Rood Verdediging]]&lt;&gt;"",IF(A174="",NOW(),A174),"")</f>
        <v/>
      </c>
      <c r="B174" s="218" t="str">
        <f ca="1">IF(Tabel152[[#This Row],[Rood Verdediging]]&lt;&gt;"",IF(B174="",NOW(),B174),"")</f>
        <v/>
      </c>
      <c r="C174" s="216" t="str">
        <f ca="1">IF(Tabel152[[#This Row],[Score]]&lt;&gt;"",IF(C174="",NOW(),C174),"")</f>
        <v/>
      </c>
      <c r="D174" s="217" t="str">
        <f ca="1">IF(OR(Tabel152[[#This Row],[Starttijd]]="",Tabel152[[#This Row],[Eindtijd]]=""),"",Tabel152[[#This Row],[Eindtijd]]-Tabel152[[#This Row],[Starttijd]])</f>
        <v/>
      </c>
      <c r="E174" s="74">
        <v>173</v>
      </c>
      <c r="F174" s="205"/>
      <c r="G174" s="210"/>
      <c r="H174" s="205"/>
      <c r="I174" s="210"/>
      <c r="J174" s="206"/>
      <c r="K174" s="212"/>
      <c r="L174" s="206"/>
      <c r="M174" s="212"/>
      <c r="N174" s="79">
        <f>Tabel152[[#This Row],[Score]]+Tabel152[[#This Row],[Score2]]</f>
        <v>0</v>
      </c>
      <c r="O174" s="80">
        <f>Tabel152[[#This Row],[Score3]]+Tabel152[[#This Row],[Score4]]</f>
        <v>0</v>
      </c>
      <c r="P17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Row],[Score4]]&lt;&gt;""),IF(AND(N174&gt;O174,N174&gt;=11),"ROOD",IF(AND(O174&gt;=11,N174&lt;&gt;O174),"GROEN","")),"")</f>
        <v/>
      </c>
      <c r="Q174" s="84">
        <f t="shared" si="18"/>
        <v>0</v>
      </c>
      <c r="R174" s="85">
        <f t="shared" si="19"/>
        <v>0</v>
      </c>
      <c r="S174" s="293" t="str">
        <f>Tabel152[[#This Row],[Rood Verdediging]]&amp;Tabel152[[#This Row],[Rood Aanval]]</f>
        <v/>
      </c>
      <c r="T174" s="293" t="str">
        <f>Tabel152[[#This Row],[Groen Verdediging]]&amp;Tabel152[[#This Row],[Groen Aanval]]</f>
        <v/>
      </c>
      <c r="U174" s="293" t="str">
        <f>Tabel152[[#This Row],[Winnaar 1]]&amp;Tabel152[[#This Row],[Winnaar 2]]</f>
        <v>00</v>
      </c>
      <c r="V174" s="147" t="b">
        <f>IF(Tabel152[[#This Row],[Team Rood]]=Tabel152[[#This Row],[Winnaars]],Tabel152[[#This Row],[Team Rood]])</f>
        <v>0</v>
      </c>
      <c r="W174" s="147" t="b">
        <f>IF(Tabel152[[#This Row],[Team Groen]]=Tabel152[[#This Row],[Winnaars]],Tabel152[[#This Row],[Team Groen]])</f>
        <v>0</v>
      </c>
      <c r="X174" s="283"/>
      <c r="Y174" s="283"/>
      <c r="Z174" s="283"/>
      <c r="AA174" s="283"/>
    </row>
    <row r="175" spans="1:27" x14ac:dyDescent="0.25">
      <c r="A175" s="215" t="str">
        <f ca="1">IF(Tabel152[[#This Row],[Rood Verdediging]]&lt;&gt;"",IF(A175="",NOW(),A175),"")</f>
        <v/>
      </c>
      <c r="B175" s="218" t="str">
        <f ca="1">IF(Tabel152[[#This Row],[Rood Verdediging]]&lt;&gt;"",IF(B175="",NOW(),B175),"")</f>
        <v/>
      </c>
      <c r="C175" s="216" t="str">
        <f ca="1">IF(Tabel152[[#This Row],[Score]]&lt;&gt;"",IF(C175="",NOW(),C175),"")</f>
        <v/>
      </c>
      <c r="D175" s="217" t="str">
        <f ca="1">IF(OR(Tabel152[[#This Row],[Starttijd]]="",Tabel152[[#This Row],[Eindtijd]]=""),"",Tabel152[[#This Row],[Eindtijd]]-Tabel152[[#This Row],[Starttijd]])</f>
        <v/>
      </c>
      <c r="E175" s="74">
        <v>174</v>
      </c>
      <c r="F175" s="205"/>
      <c r="G175" s="210"/>
      <c r="H175" s="205"/>
      <c r="I175" s="210"/>
      <c r="J175" s="206"/>
      <c r="K175" s="212"/>
      <c r="L175" s="206"/>
      <c r="M175" s="212"/>
      <c r="N175" s="79">
        <f>Tabel152[[#This Row],[Score]]+Tabel152[[#This Row],[Score2]]</f>
        <v>0</v>
      </c>
      <c r="O175" s="80">
        <f>Tabel152[[#This Row],[Score3]]+Tabel152[[#This Row],[Score4]]</f>
        <v>0</v>
      </c>
      <c r="P17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Row],[Score4]]&lt;&gt;""),IF(AND(N175&gt;O175,N175&gt;=11),"ROOD",IF(AND(O175&gt;=11,N175&lt;&gt;O175),"GROEN","")),"")</f>
        <v/>
      </c>
      <c r="Q175" s="84">
        <f t="shared" si="18"/>
        <v>0</v>
      </c>
      <c r="R175" s="85">
        <f t="shared" si="19"/>
        <v>0</v>
      </c>
      <c r="S175" s="293" t="str">
        <f>Tabel152[[#This Row],[Rood Verdediging]]&amp;Tabel152[[#This Row],[Rood Aanval]]</f>
        <v/>
      </c>
      <c r="T175" s="293" t="str">
        <f>Tabel152[[#This Row],[Groen Verdediging]]&amp;Tabel152[[#This Row],[Groen Aanval]]</f>
        <v/>
      </c>
      <c r="U175" s="293" t="str">
        <f>Tabel152[[#This Row],[Winnaar 1]]&amp;Tabel152[[#This Row],[Winnaar 2]]</f>
        <v>00</v>
      </c>
      <c r="V175" s="147" t="b">
        <f>IF(Tabel152[[#This Row],[Team Rood]]=Tabel152[[#This Row],[Winnaars]],Tabel152[[#This Row],[Team Rood]])</f>
        <v>0</v>
      </c>
      <c r="W175" s="147" t="b">
        <f>IF(Tabel152[[#This Row],[Team Groen]]=Tabel152[[#This Row],[Winnaars]],Tabel152[[#This Row],[Team Groen]])</f>
        <v>0</v>
      </c>
      <c r="X175" s="283"/>
      <c r="Y175" s="283"/>
      <c r="Z175" s="283"/>
      <c r="AA175" s="283"/>
    </row>
    <row r="176" spans="1:27" x14ac:dyDescent="0.25">
      <c r="A176" s="215" t="str">
        <f ca="1">IF(Tabel152[[#This Row],[Rood Verdediging]]&lt;&gt;"",IF(A176="",NOW(),A176),"")</f>
        <v/>
      </c>
      <c r="B176" s="218" t="str">
        <f ca="1">IF(Tabel152[[#This Row],[Rood Verdediging]]&lt;&gt;"",IF(B176="",NOW(),B176),"")</f>
        <v/>
      </c>
      <c r="C176" s="216" t="str">
        <f ca="1">IF(Tabel152[[#This Row],[Score]]&lt;&gt;"",IF(C176="",NOW(),C176),"")</f>
        <v/>
      </c>
      <c r="D176" s="217" t="str">
        <f ca="1">IF(OR(Tabel152[[#This Row],[Starttijd]]="",Tabel152[[#This Row],[Eindtijd]]=""),"",Tabel152[[#This Row],[Eindtijd]]-Tabel152[[#This Row],[Starttijd]])</f>
        <v/>
      </c>
      <c r="E176" s="74">
        <v>175</v>
      </c>
      <c r="F176" s="205"/>
      <c r="G176" s="210"/>
      <c r="H176" s="205"/>
      <c r="I176" s="210"/>
      <c r="J176" s="206"/>
      <c r="K176" s="212"/>
      <c r="L176" s="206"/>
      <c r="M176" s="212"/>
      <c r="N176" s="79">
        <f>Tabel152[[#This Row],[Score]]+Tabel152[[#This Row],[Score2]]</f>
        <v>0</v>
      </c>
      <c r="O176" s="80">
        <f>Tabel152[[#This Row],[Score3]]+Tabel152[[#This Row],[Score4]]</f>
        <v>0</v>
      </c>
      <c r="P17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Row],[Score4]]&lt;&gt;""),IF(AND(N176&gt;O176,N176&gt;=11),"ROOD",IF(AND(O176&gt;=11,N176&lt;&gt;O176),"GROEN","")),"")</f>
        <v/>
      </c>
      <c r="Q176" s="84">
        <f t="shared" si="18"/>
        <v>0</v>
      </c>
      <c r="R176" s="85">
        <f t="shared" si="19"/>
        <v>0</v>
      </c>
      <c r="S176" s="293" t="str">
        <f>Tabel152[[#This Row],[Rood Verdediging]]&amp;Tabel152[[#This Row],[Rood Aanval]]</f>
        <v/>
      </c>
      <c r="T176" s="293" t="str">
        <f>Tabel152[[#This Row],[Groen Verdediging]]&amp;Tabel152[[#This Row],[Groen Aanval]]</f>
        <v/>
      </c>
      <c r="U176" s="293" t="str">
        <f>Tabel152[[#This Row],[Winnaar 1]]&amp;Tabel152[[#This Row],[Winnaar 2]]</f>
        <v>00</v>
      </c>
      <c r="V176" s="147" t="b">
        <f>IF(Tabel152[[#This Row],[Team Rood]]=Tabel152[[#This Row],[Winnaars]],Tabel152[[#This Row],[Team Rood]])</f>
        <v>0</v>
      </c>
      <c r="W176" s="147" t="b">
        <f>IF(Tabel152[[#This Row],[Team Groen]]=Tabel152[[#This Row],[Winnaars]],Tabel152[[#This Row],[Team Groen]])</f>
        <v>0</v>
      </c>
      <c r="X176" s="283"/>
      <c r="Y176" s="283"/>
      <c r="Z176" s="283"/>
      <c r="AA176" s="283"/>
    </row>
    <row r="177" spans="1:27" x14ac:dyDescent="0.25">
      <c r="A177" s="215" t="str">
        <f ca="1">IF(Tabel152[[#This Row],[Rood Verdediging]]&lt;&gt;"",IF(A177="",NOW(),A177),"")</f>
        <v/>
      </c>
      <c r="B177" s="218" t="str">
        <f ca="1">IF(Tabel152[[#This Row],[Rood Verdediging]]&lt;&gt;"",IF(B177="",NOW(),B177),"")</f>
        <v/>
      </c>
      <c r="C177" s="216" t="str">
        <f ca="1">IF(Tabel152[[#This Row],[Score]]&lt;&gt;"",IF(C177="",NOW(),C177),"")</f>
        <v/>
      </c>
      <c r="D177" s="217" t="str">
        <f ca="1">IF(OR(Tabel152[[#This Row],[Starttijd]]="",Tabel152[[#This Row],[Eindtijd]]=""),"",Tabel152[[#This Row],[Eindtijd]]-Tabel152[[#This Row],[Starttijd]])</f>
        <v/>
      </c>
      <c r="E177" s="74">
        <v>176</v>
      </c>
      <c r="F177" s="105"/>
      <c r="G177" s="106"/>
      <c r="H177" s="105"/>
      <c r="I177" s="106"/>
      <c r="J177" s="107"/>
      <c r="K177" s="108"/>
      <c r="L177" s="107"/>
      <c r="M177" s="108"/>
      <c r="N177" s="79">
        <f>Tabel152[[#This Row],[Score]]+Tabel152[[#This Row],[Score2]]</f>
        <v>0</v>
      </c>
      <c r="O177" s="80">
        <f>Tabel152[[#This Row],[Score3]]+Tabel152[[#This Row],[Score4]]</f>
        <v>0</v>
      </c>
      <c r="P17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Row],[Score4]]&lt;&gt;""),IF(AND(N177&gt;O177,N177&gt;=11),"ROOD",IF(AND(O177&gt;=11,N177&lt;&gt;O177),"GROEN","")),"")</f>
        <v/>
      </c>
      <c r="Q177" s="84">
        <f t="shared" si="18"/>
        <v>0</v>
      </c>
      <c r="R177" s="85">
        <f t="shared" si="19"/>
        <v>0</v>
      </c>
      <c r="S177" s="293" t="str">
        <f>Tabel152[[#This Row],[Rood Verdediging]]&amp;Tabel152[[#This Row],[Rood Aanval]]</f>
        <v/>
      </c>
      <c r="T177" s="293" t="str">
        <f>Tabel152[[#This Row],[Groen Verdediging]]&amp;Tabel152[[#This Row],[Groen Aanval]]</f>
        <v/>
      </c>
      <c r="U177" s="293" t="str">
        <f>Tabel152[[#This Row],[Winnaar 1]]&amp;Tabel152[[#This Row],[Winnaar 2]]</f>
        <v>00</v>
      </c>
      <c r="V177" s="147" t="b">
        <f>IF(Tabel152[[#This Row],[Team Rood]]=Tabel152[[#This Row],[Winnaars]],Tabel152[[#This Row],[Team Rood]])</f>
        <v>0</v>
      </c>
      <c r="W177" s="147" t="b">
        <f>IF(Tabel152[[#This Row],[Team Groen]]=Tabel152[[#This Row],[Winnaars]],Tabel152[[#This Row],[Team Groen]])</f>
        <v>0</v>
      </c>
      <c r="X177" s="283"/>
      <c r="Y177" s="283"/>
      <c r="Z177" s="283"/>
      <c r="AA177" s="283"/>
    </row>
    <row r="178" spans="1:27" x14ac:dyDescent="0.25">
      <c r="A178" s="215" t="str">
        <f ca="1">IF(Tabel152[[#This Row],[Rood Verdediging]]&lt;&gt;"",IF(A178="",NOW(),A178),"")</f>
        <v/>
      </c>
      <c r="B178" s="218" t="str">
        <f ca="1">IF(Tabel152[[#This Row],[Rood Verdediging]]&lt;&gt;"",IF(B178="",NOW(),B178),"")</f>
        <v/>
      </c>
      <c r="C178" s="216" t="str">
        <f ca="1">IF(Tabel152[[#This Row],[Score]]&lt;&gt;"",IF(C178="",NOW(),C178),"")</f>
        <v/>
      </c>
      <c r="D178" s="217" t="str">
        <f ca="1">IF(OR(Tabel152[[#This Row],[Starttijd]]="",Tabel152[[#This Row],[Eindtijd]]=""),"",Tabel152[[#This Row],[Eindtijd]]-Tabel152[[#This Row],[Starttijd]])</f>
        <v/>
      </c>
      <c r="E178" s="74">
        <v>177</v>
      </c>
      <c r="F178" s="205"/>
      <c r="G178" s="210"/>
      <c r="H178" s="205"/>
      <c r="I178" s="210"/>
      <c r="J178" s="206"/>
      <c r="K178" s="212"/>
      <c r="L178" s="206"/>
      <c r="M178" s="212"/>
      <c r="N178" s="79">
        <f>Tabel152[[#This Row],[Score]]+Tabel152[[#This Row],[Score2]]</f>
        <v>0</v>
      </c>
      <c r="O178" s="80">
        <f>Tabel152[[#This Row],[Score3]]+Tabel152[[#This Row],[Score4]]</f>
        <v>0</v>
      </c>
      <c r="P17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Row],[Score4]]&lt;&gt;""),IF(AND(N178&gt;O178,N178&gt;=11),"ROOD",IF(AND(O178&gt;=11,N178&lt;&gt;O178),"GROEN","")),"")</f>
        <v/>
      </c>
      <c r="Q178" s="84">
        <f t="shared" si="18"/>
        <v>0</v>
      </c>
      <c r="R178" s="85">
        <f t="shared" si="19"/>
        <v>0</v>
      </c>
      <c r="S178" s="293" t="str">
        <f>Tabel152[[#This Row],[Rood Verdediging]]&amp;Tabel152[[#This Row],[Rood Aanval]]</f>
        <v/>
      </c>
      <c r="T178" s="293" t="str">
        <f>Tabel152[[#This Row],[Groen Verdediging]]&amp;Tabel152[[#This Row],[Groen Aanval]]</f>
        <v/>
      </c>
      <c r="U178" s="293" t="str">
        <f>Tabel152[[#This Row],[Winnaar 1]]&amp;Tabel152[[#This Row],[Winnaar 2]]</f>
        <v>00</v>
      </c>
      <c r="V178" s="147" t="b">
        <f>IF(Tabel152[[#This Row],[Team Rood]]=Tabel152[[#This Row],[Winnaars]],Tabel152[[#This Row],[Team Rood]])</f>
        <v>0</v>
      </c>
      <c r="W178" s="147" t="b">
        <f>IF(Tabel152[[#This Row],[Team Groen]]=Tabel152[[#This Row],[Winnaars]],Tabel152[[#This Row],[Team Groen]])</f>
        <v>0</v>
      </c>
      <c r="X178" s="283"/>
      <c r="Y178" s="283"/>
      <c r="Z178" s="283"/>
      <c r="AA178" s="283"/>
    </row>
    <row r="179" spans="1:27" x14ac:dyDescent="0.25">
      <c r="A179" s="215" t="str">
        <f ca="1">IF(Tabel152[[#This Row],[Rood Verdediging]]&lt;&gt;"",IF(A179="",NOW(),A179),"")</f>
        <v/>
      </c>
      <c r="B179" s="218" t="str">
        <f ca="1">IF(Tabel152[[#This Row],[Rood Verdediging]]&lt;&gt;"",IF(B179="",NOW(),B179),"")</f>
        <v/>
      </c>
      <c r="C179" s="216" t="str">
        <f ca="1">IF(Tabel152[[#This Row],[Score]]&lt;&gt;"",IF(C179="",NOW(),C179),"")</f>
        <v/>
      </c>
      <c r="D179" s="217" t="str">
        <f ca="1">IF(OR(Tabel152[[#This Row],[Starttijd]]="",Tabel152[[#This Row],[Eindtijd]]=""),"",Tabel152[[#This Row],[Eindtijd]]-Tabel152[[#This Row],[Starttijd]])</f>
        <v/>
      </c>
      <c r="E179" s="74">
        <v>178</v>
      </c>
      <c r="F179" s="205"/>
      <c r="G179" s="210"/>
      <c r="H179" s="205"/>
      <c r="I179" s="210"/>
      <c r="J179" s="206"/>
      <c r="K179" s="212"/>
      <c r="L179" s="206"/>
      <c r="M179" s="212"/>
      <c r="N179" s="79">
        <f>Tabel152[[#This Row],[Score]]+Tabel152[[#This Row],[Score2]]</f>
        <v>0</v>
      </c>
      <c r="O179" s="80">
        <f>Tabel152[[#This Row],[Score3]]+Tabel152[[#This Row],[Score4]]</f>
        <v>0</v>
      </c>
      <c r="P17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Row],[Score4]]&lt;&gt;""),IF(AND(N179&gt;O179,N179&gt;=11),"ROOD",IF(AND(O179&gt;=11,N179&lt;&gt;O179),"GROEN","")),"")</f>
        <v/>
      </c>
      <c r="Q179" s="84">
        <f t="shared" si="18"/>
        <v>0</v>
      </c>
      <c r="R179" s="85">
        <f t="shared" si="19"/>
        <v>0</v>
      </c>
      <c r="S179" s="293" t="str">
        <f>Tabel152[[#This Row],[Rood Verdediging]]&amp;Tabel152[[#This Row],[Rood Aanval]]</f>
        <v/>
      </c>
      <c r="T179" s="293" t="str">
        <f>Tabel152[[#This Row],[Groen Verdediging]]&amp;Tabel152[[#This Row],[Groen Aanval]]</f>
        <v/>
      </c>
      <c r="U179" s="293" t="str">
        <f>Tabel152[[#This Row],[Winnaar 1]]&amp;Tabel152[[#This Row],[Winnaar 2]]</f>
        <v>00</v>
      </c>
      <c r="V179" s="147" t="b">
        <f>IF(Tabel152[[#This Row],[Team Rood]]=Tabel152[[#This Row],[Winnaars]],Tabel152[[#This Row],[Team Rood]])</f>
        <v>0</v>
      </c>
      <c r="W179" s="147" t="b">
        <f>IF(Tabel152[[#This Row],[Team Groen]]=Tabel152[[#This Row],[Winnaars]],Tabel152[[#This Row],[Team Groen]])</f>
        <v>0</v>
      </c>
      <c r="X179" s="283"/>
      <c r="Y179" s="283"/>
      <c r="Z179" s="283"/>
      <c r="AA179" s="283"/>
    </row>
    <row r="180" spans="1:27" x14ac:dyDescent="0.25">
      <c r="A180" s="215" t="str">
        <f ca="1">IF(Tabel152[[#This Row],[Rood Verdediging]]&lt;&gt;"",IF(A180="",NOW(),A180),"")</f>
        <v/>
      </c>
      <c r="B180" s="218" t="str">
        <f ca="1">IF(Tabel152[[#This Row],[Rood Verdediging]]&lt;&gt;"",IF(B180="",NOW(),B180),"")</f>
        <v/>
      </c>
      <c r="C180" s="216" t="str">
        <f ca="1">IF(Tabel152[[#This Row],[Score]]&lt;&gt;"",IF(C180="",NOW(),C180),"")</f>
        <v/>
      </c>
      <c r="D180" s="217" t="str">
        <f ca="1">IF(OR(Tabel152[[#This Row],[Starttijd]]="",Tabel152[[#This Row],[Eindtijd]]=""),"",Tabel152[[#This Row],[Eindtijd]]-Tabel152[[#This Row],[Starttijd]])</f>
        <v/>
      </c>
      <c r="E180" s="74">
        <v>179</v>
      </c>
      <c r="F180" s="205"/>
      <c r="G180" s="210"/>
      <c r="H180" s="205"/>
      <c r="I180" s="210"/>
      <c r="J180" s="206"/>
      <c r="K180" s="212"/>
      <c r="L180" s="206"/>
      <c r="M180" s="212"/>
      <c r="N180" s="79">
        <f>Tabel152[[#This Row],[Score]]+Tabel152[[#This Row],[Score2]]</f>
        <v>0</v>
      </c>
      <c r="O180" s="80">
        <f>Tabel152[[#This Row],[Score3]]+Tabel152[[#This Row],[Score4]]</f>
        <v>0</v>
      </c>
      <c r="P18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Row],[Score4]]&lt;&gt;""),IF(AND(N180&gt;O180,N180&gt;=11),"ROOD",IF(AND(O180&gt;=11,N180&lt;&gt;O180),"GROEN","")),"")</f>
        <v/>
      </c>
      <c r="Q180" s="84">
        <f t="shared" si="18"/>
        <v>0</v>
      </c>
      <c r="R180" s="85">
        <f t="shared" si="19"/>
        <v>0</v>
      </c>
      <c r="S180" s="293" t="str">
        <f>Tabel152[[#This Row],[Rood Verdediging]]&amp;Tabel152[[#This Row],[Rood Aanval]]</f>
        <v/>
      </c>
      <c r="T180" s="293" t="str">
        <f>Tabel152[[#This Row],[Groen Verdediging]]&amp;Tabel152[[#This Row],[Groen Aanval]]</f>
        <v/>
      </c>
      <c r="U180" s="293" t="str">
        <f>Tabel152[[#This Row],[Winnaar 1]]&amp;Tabel152[[#This Row],[Winnaar 2]]</f>
        <v>00</v>
      </c>
      <c r="V180" s="147" t="b">
        <f>IF(Tabel152[[#This Row],[Team Rood]]=Tabel152[[#This Row],[Winnaars]],Tabel152[[#This Row],[Team Rood]])</f>
        <v>0</v>
      </c>
      <c r="W180" s="147" t="b">
        <f>IF(Tabel152[[#This Row],[Team Groen]]=Tabel152[[#This Row],[Winnaars]],Tabel152[[#This Row],[Team Groen]])</f>
        <v>0</v>
      </c>
      <c r="X180" s="283"/>
      <c r="Y180" s="283"/>
      <c r="Z180" s="283"/>
      <c r="AA180" s="283"/>
    </row>
    <row r="181" spans="1:27" x14ac:dyDescent="0.25">
      <c r="A181" s="215" t="str">
        <f ca="1">IF(Tabel152[[#This Row],[Rood Verdediging]]&lt;&gt;"",IF(A181="",NOW(),A181),"")</f>
        <v/>
      </c>
      <c r="B181" s="218" t="str">
        <f ca="1">IF(Tabel152[[#This Row],[Rood Verdediging]]&lt;&gt;"",IF(B181="",NOW(),B181),"")</f>
        <v/>
      </c>
      <c r="C181" s="216" t="str">
        <f ca="1">IF(Tabel152[[#This Row],[Score]]&lt;&gt;"",IF(C181="",NOW(),C181),"")</f>
        <v/>
      </c>
      <c r="D181" s="217" t="str">
        <f ca="1">IF(OR(Tabel152[[#This Row],[Starttijd]]="",Tabel152[[#This Row],[Eindtijd]]=""),"",Tabel152[[#This Row],[Eindtijd]]-Tabel152[[#This Row],[Starttijd]])</f>
        <v/>
      </c>
      <c r="E181" s="74">
        <v>180</v>
      </c>
      <c r="F181" s="205"/>
      <c r="G181" s="210"/>
      <c r="H181" s="205"/>
      <c r="I181" s="210"/>
      <c r="J181" s="206"/>
      <c r="K181" s="212"/>
      <c r="L181" s="206"/>
      <c r="M181" s="212"/>
      <c r="N181" s="79">
        <f>Tabel152[[#This Row],[Score]]+Tabel152[[#This Row],[Score2]]</f>
        <v>0</v>
      </c>
      <c r="O181" s="80">
        <f>Tabel152[[#This Row],[Score3]]+Tabel152[[#This Row],[Score4]]</f>
        <v>0</v>
      </c>
      <c r="P18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Row],[Score4]]&lt;&gt;""),IF(AND(N181&gt;O181,N181&gt;=11),"ROOD",IF(AND(O181&gt;=11,N181&lt;&gt;O181),"GROEN","")),"")</f>
        <v/>
      </c>
      <c r="Q181" s="84">
        <f t="shared" si="18"/>
        <v>0</v>
      </c>
      <c r="R181" s="85">
        <f t="shared" si="19"/>
        <v>0</v>
      </c>
      <c r="S181" s="293" t="str">
        <f>Tabel152[[#This Row],[Rood Verdediging]]&amp;Tabel152[[#This Row],[Rood Aanval]]</f>
        <v/>
      </c>
      <c r="T181" s="293" t="str">
        <f>Tabel152[[#This Row],[Groen Verdediging]]&amp;Tabel152[[#This Row],[Groen Aanval]]</f>
        <v/>
      </c>
      <c r="U181" s="293" t="str">
        <f>Tabel152[[#This Row],[Winnaar 1]]&amp;Tabel152[[#This Row],[Winnaar 2]]</f>
        <v>00</v>
      </c>
      <c r="V181" s="147" t="b">
        <f>IF(Tabel152[[#This Row],[Team Rood]]=Tabel152[[#This Row],[Winnaars]],Tabel152[[#This Row],[Team Rood]])</f>
        <v>0</v>
      </c>
      <c r="W181" s="147" t="b">
        <f>IF(Tabel152[[#This Row],[Team Groen]]=Tabel152[[#This Row],[Winnaars]],Tabel152[[#This Row],[Team Groen]])</f>
        <v>0</v>
      </c>
      <c r="X181" s="283"/>
      <c r="Y181" s="283"/>
      <c r="Z181" s="283"/>
      <c r="AA181" s="283"/>
    </row>
    <row r="182" spans="1:27" x14ac:dyDescent="0.25">
      <c r="A182" s="215" t="str">
        <f ca="1">IF(Tabel152[[#This Row],[Rood Verdediging]]&lt;&gt;"",IF(A182="",NOW(),A182),"")</f>
        <v/>
      </c>
      <c r="B182" s="218" t="str">
        <f ca="1">IF(Tabel152[[#This Row],[Rood Verdediging]]&lt;&gt;"",IF(B182="",NOW(),B182),"")</f>
        <v/>
      </c>
      <c r="C182" s="216" t="str">
        <f ca="1">IF(Tabel152[[#This Row],[Score]]&lt;&gt;"",IF(C182="",NOW(),C182),"")</f>
        <v/>
      </c>
      <c r="D182" s="217" t="str">
        <f ca="1">IF(OR(Tabel152[[#This Row],[Starttijd]]="",Tabel152[[#This Row],[Eindtijd]]=""),"",Tabel152[[#This Row],[Eindtijd]]-Tabel152[[#This Row],[Starttijd]])</f>
        <v/>
      </c>
      <c r="E182" s="74">
        <v>181</v>
      </c>
      <c r="F182" s="205"/>
      <c r="G182" s="210"/>
      <c r="H182" s="205"/>
      <c r="I182" s="210"/>
      <c r="J182" s="206"/>
      <c r="K182" s="212"/>
      <c r="L182" s="206"/>
      <c r="M182" s="212"/>
      <c r="N182" s="79">
        <f>Tabel152[[#This Row],[Score]]+Tabel152[[#This Row],[Score2]]</f>
        <v>0</v>
      </c>
      <c r="O182" s="80">
        <f>Tabel152[[#This Row],[Score3]]+Tabel152[[#This Row],[Score4]]</f>
        <v>0</v>
      </c>
      <c r="P18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Row],[Score4]]&lt;&gt;""),IF(AND(N182&gt;O182,N182&gt;=11),"ROOD",IF(AND(O182&gt;=11,N182&lt;&gt;O182),"GROEN","")),"")</f>
        <v/>
      </c>
      <c r="Q182" s="84">
        <f t="shared" si="18"/>
        <v>0</v>
      </c>
      <c r="R182" s="85">
        <f t="shared" si="19"/>
        <v>0</v>
      </c>
      <c r="S182" s="293" t="str">
        <f>Tabel152[[#This Row],[Rood Verdediging]]&amp;Tabel152[[#This Row],[Rood Aanval]]</f>
        <v/>
      </c>
      <c r="T182" s="293" t="str">
        <f>Tabel152[[#This Row],[Groen Verdediging]]&amp;Tabel152[[#This Row],[Groen Aanval]]</f>
        <v/>
      </c>
      <c r="U182" s="293" t="str">
        <f>Tabel152[[#This Row],[Winnaar 1]]&amp;Tabel152[[#This Row],[Winnaar 2]]</f>
        <v>00</v>
      </c>
      <c r="V182" s="147" t="b">
        <f>IF(Tabel152[[#This Row],[Team Rood]]=Tabel152[[#This Row],[Winnaars]],Tabel152[[#This Row],[Team Rood]])</f>
        <v>0</v>
      </c>
      <c r="W182" s="147" t="b">
        <f>IF(Tabel152[[#This Row],[Team Groen]]=Tabel152[[#This Row],[Winnaars]],Tabel152[[#This Row],[Team Groen]])</f>
        <v>0</v>
      </c>
      <c r="X182" s="283"/>
      <c r="Y182" s="283"/>
      <c r="Z182" s="283"/>
      <c r="AA182" s="283"/>
    </row>
    <row r="183" spans="1:27" x14ac:dyDescent="0.25">
      <c r="A183" s="215" t="str">
        <f ca="1">IF(Tabel152[[#This Row],[Rood Verdediging]]&lt;&gt;"",IF(A183="",NOW(),A183),"")</f>
        <v/>
      </c>
      <c r="B183" s="218" t="str">
        <f ca="1">IF(Tabel152[[#This Row],[Rood Verdediging]]&lt;&gt;"",IF(B183="",NOW(),B183),"")</f>
        <v/>
      </c>
      <c r="C183" s="216" t="str">
        <f ca="1">IF(Tabel152[[#This Row],[Score]]&lt;&gt;"",IF(C183="",NOW(),C183),"")</f>
        <v/>
      </c>
      <c r="D183" s="217" t="str">
        <f ca="1">IF(OR(Tabel152[[#This Row],[Starttijd]]="",Tabel152[[#This Row],[Eindtijd]]=""),"",Tabel152[[#This Row],[Eindtijd]]-Tabel152[[#This Row],[Starttijd]])</f>
        <v/>
      </c>
      <c r="E183" s="74">
        <v>182</v>
      </c>
      <c r="F183" s="205"/>
      <c r="G183" s="210"/>
      <c r="H183" s="205"/>
      <c r="I183" s="210"/>
      <c r="J183" s="206"/>
      <c r="K183" s="212"/>
      <c r="L183" s="206"/>
      <c r="M183" s="212"/>
      <c r="N183" s="79">
        <f>Tabel152[[#This Row],[Score]]+Tabel152[[#This Row],[Score2]]</f>
        <v>0</v>
      </c>
      <c r="O183" s="80">
        <f>Tabel152[[#This Row],[Score3]]+Tabel152[[#This Row],[Score4]]</f>
        <v>0</v>
      </c>
      <c r="P18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Row],[Score4]]&lt;&gt;""),IF(AND(N183&gt;O183,N183&gt;=11),"ROOD",IF(AND(O183&gt;=11,N183&lt;&gt;O183),"GROEN","")),"")</f>
        <v/>
      </c>
      <c r="Q183" s="84">
        <f t="shared" si="18"/>
        <v>0</v>
      </c>
      <c r="R183" s="85">
        <f t="shared" si="19"/>
        <v>0</v>
      </c>
      <c r="S183" s="293" t="str">
        <f>Tabel152[[#This Row],[Rood Verdediging]]&amp;Tabel152[[#This Row],[Rood Aanval]]</f>
        <v/>
      </c>
      <c r="T183" s="293" t="str">
        <f>Tabel152[[#This Row],[Groen Verdediging]]&amp;Tabel152[[#This Row],[Groen Aanval]]</f>
        <v/>
      </c>
      <c r="U183" s="293" t="str">
        <f>Tabel152[[#This Row],[Winnaar 1]]&amp;Tabel152[[#This Row],[Winnaar 2]]</f>
        <v>00</v>
      </c>
      <c r="V183" s="147" t="b">
        <f>IF(Tabel152[[#This Row],[Team Rood]]=Tabel152[[#This Row],[Winnaars]],Tabel152[[#This Row],[Team Rood]])</f>
        <v>0</v>
      </c>
      <c r="W183" s="147" t="b">
        <f>IF(Tabel152[[#This Row],[Team Groen]]=Tabel152[[#This Row],[Winnaars]],Tabel152[[#This Row],[Team Groen]])</f>
        <v>0</v>
      </c>
      <c r="X183" s="283"/>
      <c r="Y183" s="283"/>
      <c r="Z183" s="283"/>
      <c r="AA183" s="283"/>
    </row>
    <row r="184" spans="1:27" x14ac:dyDescent="0.25">
      <c r="A184" s="215" t="str">
        <f ca="1">IF(Tabel152[[#This Row],[Rood Verdediging]]&lt;&gt;"",IF(A184="",NOW(),A184),"")</f>
        <v/>
      </c>
      <c r="B184" s="218" t="str">
        <f ca="1">IF(Tabel152[[#This Row],[Rood Verdediging]]&lt;&gt;"",IF(B184="",NOW(),B184),"")</f>
        <v/>
      </c>
      <c r="C184" s="216" t="str">
        <f ca="1">IF(Tabel152[[#This Row],[Score]]&lt;&gt;"",IF(C184="",NOW(),C184),"")</f>
        <v/>
      </c>
      <c r="D184" s="217" t="str">
        <f ca="1">IF(OR(Tabel152[[#This Row],[Starttijd]]="",Tabel152[[#This Row],[Eindtijd]]=""),"",Tabel152[[#This Row],[Eindtijd]]-Tabel152[[#This Row],[Starttijd]])</f>
        <v/>
      </c>
      <c r="E184" s="74">
        <v>183</v>
      </c>
      <c r="F184" s="205"/>
      <c r="G184" s="210"/>
      <c r="H184" s="205"/>
      <c r="I184" s="210"/>
      <c r="J184" s="206"/>
      <c r="K184" s="212"/>
      <c r="L184" s="206"/>
      <c r="M184" s="212"/>
      <c r="N184" s="79">
        <f>Tabel152[[#This Row],[Score]]+Tabel152[[#This Row],[Score2]]</f>
        <v>0</v>
      </c>
      <c r="O184" s="80">
        <f>Tabel152[[#This Row],[Score3]]+Tabel152[[#This Row],[Score4]]</f>
        <v>0</v>
      </c>
      <c r="P18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Row],[Score4]]&lt;&gt;""),IF(AND(N184&gt;O184,N184&gt;=11),"ROOD",IF(AND(O184&gt;=11,N184&lt;&gt;O184),"GROEN","")),"")</f>
        <v/>
      </c>
      <c r="Q184" s="84">
        <f t="shared" si="18"/>
        <v>0</v>
      </c>
      <c r="R184" s="85">
        <f t="shared" si="19"/>
        <v>0</v>
      </c>
      <c r="S184" s="293" t="str">
        <f>Tabel152[[#This Row],[Rood Verdediging]]&amp;Tabel152[[#This Row],[Rood Aanval]]</f>
        <v/>
      </c>
      <c r="T184" s="293" t="str">
        <f>Tabel152[[#This Row],[Groen Verdediging]]&amp;Tabel152[[#This Row],[Groen Aanval]]</f>
        <v/>
      </c>
      <c r="U184" s="293" t="str">
        <f>Tabel152[[#This Row],[Winnaar 1]]&amp;Tabel152[[#This Row],[Winnaar 2]]</f>
        <v>00</v>
      </c>
      <c r="V184" s="147" t="b">
        <f>IF(Tabel152[[#This Row],[Team Rood]]=Tabel152[[#This Row],[Winnaars]],Tabel152[[#This Row],[Team Rood]])</f>
        <v>0</v>
      </c>
      <c r="W184" s="147" t="b">
        <f>IF(Tabel152[[#This Row],[Team Groen]]=Tabel152[[#This Row],[Winnaars]],Tabel152[[#This Row],[Team Groen]])</f>
        <v>0</v>
      </c>
      <c r="X184" s="283"/>
      <c r="Y184" s="283"/>
      <c r="Z184" s="283"/>
      <c r="AA184" s="283"/>
    </row>
    <row r="185" spans="1:27" x14ac:dyDescent="0.25">
      <c r="A185" s="215" t="str">
        <f ca="1">IF(Tabel152[[#This Row],[Rood Verdediging]]&lt;&gt;"",IF(A185="",NOW(),A185),"")</f>
        <v/>
      </c>
      <c r="B185" s="218" t="str">
        <f ca="1">IF(Tabel152[[#This Row],[Rood Verdediging]]&lt;&gt;"",IF(B185="",NOW(),B185),"")</f>
        <v/>
      </c>
      <c r="C185" s="216" t="str">
        <f ca="1">IF(Tabel152[[#This Row],[Score]]&lt;&gt;"",IF(C185="",NOW(),C185),"")</f>
        <v/>
      </c>
      <c r="D185" s="217" t="str">
        <f ca="1">IF(OR(Tabel152[[#This Row],[Starttijd]]="",Tabel152[[#This Row],[Eindtijd]]=""),"",Tabel152[[#This Row],[Eindtijd]]-Tabel152[[#This Row],[Starttijd]])</f>
        <v/>
      </c>
      <c r="E185" s="74">
        <v>184</v>
      </c>
      <c r="F185" s="205"/>
      <c r="G185" s="210"/>
      <c r="H185" s="205"/>
      <c r="I185" s="210"/>
      <c r="J185" s="206"/>
      <c r="K185" s="212"/>
      <c r="L185" s="206"/>
      <c r="M185" s="212"/>
      <c r="N185" s="79">
        <f>Tabel152[[#This Row],[Score]]+Tabel152[[#This Row],[Score2]]</f>
        <v>0</v>
      </c>
      <c r="O185" s="80">
        <f>Tabel152[[#This Row],[Score3]]+Tabel152[[#This Row],[Score4]]</f>
        <v>0</v>
      </c>
      <c r="P18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Row],[Score4]]&lt;&gt;""),IF(AND(N185&gt;O185,N185&gt;=11),"ROOD",IF(AND(O185&gt;=11,N185&lt;&gt;O185),"GROEN","")),"")</f>
        <v/>
      </c>
      <c r="Q185" s="84">
        <f t="shared" si="18"/>
        <v>0</v>
      </c>
      <c r="R185" s="85">
        <f t="shared" si="19"/>
        <v>0</v>
      </c>
      <c r="S185" s="293" t="str">
        <f>Tabel152[[#This Row],[Rood Verdediging]]&amp;Tabel152[[#This Row],[Rood Aanval]]</f>
        <v/>
      </c>
      <c r="T185" s="293" t="str">
        <f>Tabel152[[#This Row],[Groen Verdediging]]&amp;Tabel152[[#This Row],[Groen Aanval]]</f>
        <v/>
      </c>
      <c r="U185" s="293" t="str">
        <f>Tabel152[[#This Row],[Winnaar 1]]&amp;Tabel152[[#This Row],[Winnaar 2]]</f>
        <v>00</v>
      </c>
      <c r="V185" s="147" t="b">
        <f>IF(Tabel152[[#This Row],[Team Rood]]=Tabel152[[#This Row],[Winnaars]],Tabel152[[#This Row],[Team Rood]])</f>
        <v>0</v>
      </c>
      <c r="W185" s="147" t="b">
        <f>IF(Tabel152[[#This Row],[Team Groen]]=Tabel152[[#This Row],[Winnaars]],Tabel152[[#This Row],[Team Groen]])</f>
        <v>0</v>
      </c>
      <c r="X185" s="283"/>
      <c r="Y185" s="283"/>
      <c r="Z185" s="283"/>
      <c r="AA185" s="283"/>
    </row>
    <row r="186" spans="1:27" x14ac:dyDescent="0.25">
      <c r="A186" s="215" t="str">
        <f ca="1">IF(Tabel152[[#This Row],[Rood Verdediging]]&lt;&gt;"",IF(A186="",NOW(),A186),"")</f>
        <v/>
      </c>
      <c r="B186" s="218" t="str">
        <f ca="1">IF(Tabel152[[#This Row],[Rood Verdediging]]&lt;&gt;"",IF(B186="",NOW(),B186),"")</f>
        <v/>
      </c>
      <c r="C186" s="216" t="str">
        <f ca="1">IF(Tabel152[[#This Row],[Score]]&lt;&gt;"",IF(C186="",NOW(),C186),"")</f>
        <v/>
      </c>
      <c r="D186" s="217" t="str">
        <f ca="1">IF(OR(Tabel152[[#This Row],[Starttijd]]="",Tabel152[[#This Row],[Eindtijd]]=""),"",Tabel152[[#This Row],[Eindtijd]]-Tabel152[[#This Row],[Starttijd]])</f>
        <v/>
      </c>
      <c r="E186" s="74">
        <v>185</v>
      </c>
      <c r="F186" s="205"/>
      <c r="G186" s="210"/>
      <c r="H186" s="205"/>
      <c r="I186" s="210"/>
      <c r="J186" s="206"/>
      <c r="K186" s="212"/>
      <c r="L186" s="206"/>
      <c r="M186" s="212"/>
      <c r="N186" s="79">
        <f>Tabel152[[#This Row],[Score]]+Tabel152[[#This Row],[Score2]]</f>
        <v>0</v>
      </c>
      <c r="O186" s="80">
        <f>Tabel152[[#This Row],[Score3]]+Tabel152[[#This Row],[Score4]]</f>
        <v>0</v>
      </c>
      <c r="P18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Row],[Score4]]&lt;&gt;""),IF(AND(N186&gt;O186,N186&gt;=11),"ROOD",IF(AND(O186&gt;=11,N186&lt;&gt;O186),"GROEN","")),"")</f>
        <v/>
      </c>
      <c r="Q186" s="84">
        <f t="shared" si="18"/>
        <v>0</v>
      </c>
      <c r="R186" s="85">
        <f t="shared" si="19"/>
        <v>0</v>
      </c>
      <c r="S186" s="293" t="str">
        <f>Tabel152[[#This Row],[Rood Verdediging]]&amp;Tabel152[[#This Row],[Rood Aanval]]</f>
        <v/>
      </c>
      <c r="T186" s="293" t="str">
        <f>Tabel152[[#This Row],[Groen Verdediging]]&amp;Tabel152[[#This Row],[Groen Aanval]]</f>
        <v/>
      </c>
      <c r="U186" s="293" t="str">
        <f>Tabel152[[#This Row],[Winnaar 1]]&amp;Tabel152[[#This Row],[Winnaar 2]]</f>
        <v>00</v>
      </c>
      <c r="V186" s="147" t="b">
        <f>IF(Tabel152[[#This Row],[Team Rood]]=Tabel152[[#This Row],[Winnaars]],Tabel152[[#This Row],[Team Rood]])</f>
        <v>0</v>
      </c>
      <c r="W186" s="147" t="b">
        <f>IF(Tabel152[[#This Row],[Team Groen]]=Tabel152[[#This Row],[Winnaars]],Tabel152[[#This Row],[Team Groen]])</f>
        <v>0</v>
      </c>
      <c r="X186" s="283"/>
      <c r="Y186" s="283"/>
      <c r="Z186" s="283"/>
      <c r="AA186" s="283"/>
    </row>
    <row r="187" spans="1:27" x14ac:dyDescent="0.25">
      <c r="A187" s="215" t="str">
        <f ca="1">IF(Tabel152[[#This Row],[Rood Verdediging]]&lt;&gt;"",IF(A187="",NOW(),A187),"")</f>
        <v/>
      </c>
      <c r="B187" s="218" t="str">
        <f ca="1">IF(Tabel152[[#This Row],[Rood Verdediging]]&lt;&gt;"",IF(B187="",NOW(),B187),"")</f>
        <v/>
      </c>
      <c r="C187" s="216" t="str">
        <f ca="1">IF(Tabel152[[#This Row],[Score]]&lt;&gt;"",IF(C187="",NOW(),C187),"")</f>
        <v/>
      </c>
      <c r="D187" s="217" t="str">
        <f ca="1">IF(OR(Tabel152[[#This Row],[Starttijd]]="",Tabel152[[#This Row],[Eindtijd]]=""),"",Tabel152[[#This Row],[Eindtijd]]-Tabel152[[#This Row],[Starttijd]])</f>
        <v/>
      </c>
      <c r="E187" s="74">
        <v>186</v>
      </c>
      <c r="F187" s="205"/>
      <c r="G187" s="210"/>
      <c r="H187" s="205"/>
      <c r="I187" s="210"/>
      <c r="J187" s="206"/>
      <c r="K187" s="212"/>
      <c r="L187" s="206"/>
      <c r="M187" s="212"/>
      <c r="N187" s="79">
        <f>Tabel152[[#This Row],[Score]]+Tabel152[[#This Row],[Score2]]</f>
        <v>0</v>
      </c>
      <c r="O187" s="80">
        <f>Tabel152[[#This Row],[Score3]]+Tabel152[[#This Row],[Score4]]</f>
        <v>0</v>
      </c>
      <c r="P18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Row],[Score4]]&lt;&gt;""),IF(AND(N187&gt;O187,N187&gt;=11),"ROOD",IF(AND(O187&gt;=11,N187&lt;&gt;O187),"GROEN","")),"")</f>
        <v/>
      </c>
      <c r="Q187" s="84">
        <f t="shared" si="18"/>
        <v>0</v>
      </c>
      <c r="R187" s="85">
        <f t="shared" si="19"/>
        <v>0</v>
      </c>
      <c r="S187" s="293" t="str">
        <f>Tabel152[[#This Row],[Rood Verdediging]]&amp;Tabel152[[#This Row],[Rood Aanval]]</f>
        <v/>
      </c>
      <c r="T187" s="293" t="str">
        <f>Tabel152[[#This Row],[Groen Verdediging]]&amp;Tabel152[[#This Row],[Groen Aanval]]</f>
        <v/>
      </c>
      <c r="U187" s="293" t="str">
        <f>Tabel152[[#This Row],[Winnaar 1]]&amp;Tabel152[[#This Row],[Winnaar 2]]</f>
        <v>00</v>
      </c>
      <c r="V187" s="147" t="b">
        <f>IF(Tabel152[[#This Row],[Team Rood]]=Tabel152[[#This Row],[Winnaars]],Tabel152[[#This Row],[Team Rood]])</f>
        <v>0</v>
      </c>
      <c r="W187" s="147" t="b">
        <f>IF(Tabel152[[#This Row],[Team Groen]]=Tabel152[[#This Row],[Winnaars]],Tabel152[[#This Row],[Team Groen]])</f>
        <v>0</v>
      </c>
      <c r="X187" s="283"/>
      <c r="Y187" s="283"/>
      <c r="Z187" s="283"/>
      <c r="AA187" s="283"/>
    </row>
    <row r="188" spans="1:27" x14ac:dyDescent="0.25">
      <c r="A188" s="215" t="str">
        <f ca="1">IF(Tabel152[[#This Row],[Rood Verdediging]]&lt;&gt;"",IF(A188="",NOW(),A188),"")</f>
        <v/>
      </c>
      <c r="B188" s="218" t="str">
        <f ca="1">IF(Tabel152[[#This Row],[Rood Verdediging]]&lt;&gt;"",IF(B188="",NOW(),B188),"")</f>
        <v/>
      </c>
      <c r="C188" s="216" t="str">
        <f ca="1">IF(Tabel152[[#This Row],[Score]]&lt;&gt;"",IF(C188="",NOW(),C188),"")</f>
        <v/>
      </c>
      <c r="D188" s="217" t="str">
        <f ca="1">IF(OR(Tabel152[[#This Row],[Starttijd]]="",Tabel152[[#This Row],[Eindtijd]]=""),"",Tabel152[[#This Row],[Eindtijd]]-Tabel152[[#This Row],[Starttijd]])</f>
        <v/>
      </c>
      <c r="E188" s="74">
        <v>187</v>
      </c>
      <c r="F188" s="205"/>
      <c r="G188" s="210"/>
      <c r="H188" s="205"/>
      <c r="I188" s="210"/>
      <c r="J188" s="206"/>
      <c r="K188" s="212"/>
      <c r="L188" s="206"/>
      <c r="M188" s="212"/>
      <c r="N188" s="79">
        <f>Tabel152[[#This Row],[Score]]+Tabel152[[#This Row],[Score2]]</f>
        <v>0</v>
      </c>
      <c r="O188" s="80">
        <f>Tabel152[[#This Row],[Score3]]+Tabel152[[#This Row],[Score4]]</f>
        <v>0</v>
      </c>
      <c r="P18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Row],[Score4]]&lt;&gt;""),IF(AND(N188&gt;O188,N188&gt;=11),"ROOD",IF(AND(O188&gt;=11,N188&lt;&gt;O188),"GROEN","")),"")</f>
        <v/>
      </c>
      <c r="Q188" s="84">
        <f t="shared" si="18"/>
        <v>0</v>
      </c>
      <c r="R188" s="85">
        <f t="shared" si="19"/>
        <v>0</v>
      </c>
      <c r="S188" s="293" t="str">
        <f>Tabel152[[#This Row],[Rood Verdediging]]&amp;Tabel152[[#This Row],[Rood Aanval]]</f>
        <v/>
      </c>
      <c r="T188" s="293" t="str">
        <f>Tabel152[[#This Row],[Groen Verdediging]]&amp;Tabel152[[#This Row],[Groen Aanval]]</f>
        <v/>
      </c>
      <c r="U188" s="293" t="str">
        <f>Tabel152[[#This Row],[Winnaar 1]]&amp;Tabel152[[#This Row],[Winnaar 2]]</f>
        <v>00</v>
      </c>
      <c r="V188" s="147" t="b">
        <f>IF(Tabel152[[#This Row],[Team Rood]]=Tabel152[[#This Row],[Winnaars]],Tabel152[[#This Row],[Team Rood]])</f>
        <v>0</v>
      </c>
      <c r="W188" s="147" t="b">
        <f>IF(Tabel152[[#This Row],[Team Groen]]=Tabel152[[#This Row],[Winnaars]],Tabel152[[#This Row],[Team Groen]])</f>
        <v>0</v>
      </c>
      <c r="X188" s="283"/>
      <c r="Y188" s="283"/>
      <c r="Z188" s="283"/>
      <c r="AA188" s="283"/>
    </row>
    <row r="189" spans="1:27" x14ac:dyDescent="0.25">
      <c r="A189" s="215" t="str">
        <f ca="1">IF(Tabel152[[#This Row],[Rood Verdediging]]&lt;&gt;"",IF(A189="",NOW(),A189),"")</f>
        <v/>
      </c>
      <c r="B189" s="218" t="str">
        <f ca="1">IF(Tabel152[[#This Row],[Rood Verdediging]]&lt;&gt;"",IF(B189="",NOW(),B189),"")</f>
        <v/>
      </c>
      <c r="C189" s="216" t="str">
        <f ca="1">IF(Tabel152[[#This Row],[Score]]&lt;&gt;"",IF(C189="",NOW(),C189),"")</f>
        <v/>
      </c>
      <c r="D189" s="217" t="str">
        <f ca="1">IF(OR(Tabel152[[#This Row],[Starttijd]]="",Tabel152[[#This Row],[Eindtijd]]=""),"",Tabel152[[#This Row],[Eindtijd]]-Tabel152[[#This Row],[Starttijd]])</f>
        <v/>
      </c>
      <c r="E189" s="74">
        <v>188</v>
      </c>
      <c r="F189" s="205"/>
      <c r="G189" s="210"/>
      <c r="H189" s="205"/>
      <c r="I189" s="210"/>
      <c r="J189" s="206"/>
      <c r="K189" s="212"/>
      <c r="L189" s="206"/>
      <c r="M189" s="212"/>
      <c r="N189" s="79">
        <f>Tabel152[[#This Row],[Score]]+Tabel152[[#This Row],[Score2]]</f>
        <v>0</v>
      </c>
      <c r="O189" s="80">
        <f>Tabel152[[#This Row],[Score3]]+Tabel152[[#This Row],[Score4]]</f>
        <v>0</v>
      </c>
      <c r="P18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Row],[Score4]]&lt;&gt;""),IF(AND(N189&gt;O189,N189&gt;=11),"ROOD",IF(AND(O189&gt;=11,N189&lt;&gt;O189),"GROEN","")),"")</f>
        <v/>
      </c>
      <c r="Q189" s="84">
        <f t="shared" si="18"/>
        <v>0</v>
      </c>
      <c r="R189" s="85">
        <f t="shared" si="19"/>
        <v>0</v>
      </c>
      <c r="S189" s="293" t="str">
        <f>Tabel152[[#This Row],[Rood Verdediging]]&amp;Tabel152[[#This Row],[Rood Aanval]]</f>
        <v/>
      </c>
      <c r="T189" s="293" t="str">
        <f>Tabel152[[#This Row],[Groen Verdediging]]&amp;Tabel152[[#This Row],[Groen Aanval]]</f>
        <v/>
      </c>
      <c r="U189" s="293" t="str">
        <f>Tabel152[[#This Row],[Winnaar 1]]&amp;Tabel152[[#This Row],[Winnaar 2]]</f>
        <v>00</v>
      </c>
      <c r="V189" s="147" t="b">
        <f>IF(Tabel152[[#This Row],[Team Rood]]=Tabel152[[#This Row],[Winnaars]],Tabel152[[#This Row],[Team Rood]])</f>
        <v>0</v>
      </c>
      <c r="W189" s="147" t="b">
        <f>IF(Tabel152[[#This Row],[Team Groen]]=Tabel152[[#This Row],[Winnaars]],Tabel152[[#This Row],[Team Groen]])</f>
        <v>0</v>
      </c>
      <c r="X189" s="283"/>
      <c r="Y189" s="283"/>
      <c r="Z189" s="283"/>
      <c r="AA189" s="283"/>
    </row>
    <row r="190" spans="1:27" x14ac:dyDescent="0.25">
      <c r="A190" s="215" t="str">
        <f ca="1">IF(Tabel152[[#This Row],[Rood Verdediging]]&lt;&gt;"",IF(A190="",NOW(),A190),"")</f>
        <v/>
      </c>
      <c r="B190" s="218" t="str">
        <f ca="1">IF(Tabel152[[#This Row],[Rood Verdediging]]&lt;&gt;"",IF(B190="",NOW(),B190),"")</f>
        <v/>
      </c>
      <c r="C190" s="216" t="str">
        <f ca="1">IF(Tabel152[[#This Row],[Score]]&lt;&gt;"",IF(C190="",NOW(),C190),"")</f>
        <v/>
      </c>
      <c r="D190" s="217" t="str">
        <f ca="1">IF(OR(Tabel152[[#This Row],[Starttijd]]="",Tabel152[[#This Row],[Eindtijd]]=""),"",Tabel152[[#This Row],[Eindtijd]]-Tabel152[[#This Row],[Starttijd]])</f>
        <v/>
      </c>
      <c r="E190" s="74">
        <v>189</v>
      </c>
      <c r="F190" s="205"/>
      <c r="G190" s="210"/>
      <c r="H190" s="205"/>
      <c r="I190" s="210"/>
      <c r="J190" s="206"/>
      <c r="K190" s="212"/>
      <c r="L190" s="206"/>
      <c r="M190" s="212"/>
      <c r="N190" s="79">
        <f>Tabel152[[#This Row],[Score]]+Tabel152[[#This Row],[Score2]]</f>
        <v>0</v>
      </c>
      <c r="O190" s="80">
        <f>Tabel152[[#This Row],[Score3]]+Tabel152[[#This Row],[Score4]]</f>
        <v>0</v>
      </c>
      <c r="P19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Row],[Score4]]&lt;&gt;""),IF(AND(N190&gt;O190,N190&gt;=11),"ROOD",IF(AND(O190&gt;=11,N190&lt;&gt;O190),"GROEN","")),"")</f>
        <v/>
      </c>
      <c r="Q190" s="84">
        <f t="shared" si="18"/>
        <v>0</v>
      </c>
      <c r="R190" s="85">
        <f t="shared" si="19"/>
        <v>0</v>
      </c>
      <c r="S190" s="293" t="str">
        <f>Tabel152[[#This Row],[Rood Verdediging]]&amp;Tabel152[[#This Row],[Rood Aanval]]</f>
        <v/>
      </c>
      <c r="T190" s="293" t="str">
        <f>Tabel152[[#This Row],[Groen Verdediging]]&amp;Tabel152[[#This Row],[Groen Aanval]]</f>
        <v/>
      </c>
      <c r="U190" s="293" t="str">
        <f>Tabel152[[#This Row],[Winnaar 1]]&amp;Tabel152[[#This Row],[Winnaar 2]]</f>
        <v>00</v>
      </c>
      <c r="V190" s="147" t="b">
        <f>IF(Tabel152[[#This Row],[Team Rood]]=Tabel152[[#This Row],[Winnaars]],Tabel152[[#This Row],[Team Rood]])</f>
        <v>0</v>
      </c>
      <c r="W190" s="147" t="b">
        <f>IF(Tabel152[[#This Row],[Team Groen]]=Tabel152[[#This Row],[Winnaars]],Tabel152[[#This Row],[Team Groen]])</f>
        <v>0</v>
      </c>
      <c r="X190" s="283"/>
      <c r="Y190" s="283"/>
      <c r="Z190" s="283"/>
      <c r="AA190" s="283"/>
    </row>
    <row r="191" spans="1:27" x14ac:dyDescent="0.25">
      <c r="A191" s="215" t="str">
        <f ca="1">IF(Tabel152[[#This Row],[Rood Verdediging]]&lt;&gt;"",IF(A191="",NOW(),A191),"")</f>
        <v/>
      </c>
      <c r="B191" s="218" t="str">
        <f ca="1">IF(Tabel152[[#This Row],[Rood Verdediging]]&lt;&gt;"",IF(B191="",NOW(),B191),"")</f>
        <v/>
      </c>
      <c r="C191" s="216" t="str">
        <f ca="1">IF(Tabel152[[#This Row],[Score]]&lt;&gt;"",IF(C191="",NOW(),C191),"")</f>
        <v/>
      </c>
      <c r="D191" s="217" t="str">
        <f ca="1">IF(OR(Tabel152[[#This Row],[Starttijd]]="",Tabel152[[#This Row],[Eindtijd]]=""),"",Tabel152[[#This Row],[Eindtijd]]-Tabel152[[#This Row],[Starttijd]])</f>
        <v/>
      </c>
      <c r="E191" s="74">
        <v>190</v>
      </c>
      <c r="F191" s="205"/>
      <c r="G191" s="210"/>
      <c r="H191" s="205"/>
      <c r="I191" s="210"/>
      <c r="J191" s="206"/>
      <c r="K191" s="212"/>
      <c r="L191" s="206"/>
      <c r="M191" s="212"/>
      <c r="N191" s="79">
        <f>Tabel152[[#This Row],[Score]]+Tabel152[[#This Row],[Score2]]</f>
        <v>0</v>
      </c>
      <c r="O191" s="80">
        <f>Tabel152[[#This Row],[Score3]]+Tabel152[[#This Row],[Score4]]</f>
        <v>0</v>
      </c>
      <c r="P19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Row],[Score4]]&lt;&gt;""),IF(AND(N191&gt;O191,N191&gt;=11),"ROOD",IF(AND(O191&gt;=11,N191&lt;&gt;O191),"GROEN","")),"")</f>
        <v/>
      </c>
      <c r="Q191" s="84">
        <f t="shared" si="18"/>
        <v>0</v>
      </c>
      <c r="R191" s="85">
        <f t="shared" si="19"/>
        <v>0</v>
      </c>
      <c r="S191" s="293" t="str">
        <f>Tabel152[[#This Row],[Rood Verdediging]]&amp;Tabel152[[#This Row],[Rood Aanval]]</f>
        <v/>
      </c>
      <c r="T191" s="293" t="str">
        <f>Tabel152[[#This Row],[Groen Verdediging]]&amp;Tabel152[[#This Row],[Groen Aanval]]</f>
        <v/>
      </c>
      <c r="U191" s="293" t="str">
        <f>Tabel152[[#This Row],[Winnaar 1]]&amp;Tabel152[[#This Row],[Winnaar 2]]</f>
        <v>00</v>
      </c>
      <c r="V191" s="147" t="b">
        <f>IF(Tabel152[[#This Row],[Team Rood]]=Tabel152[[#This Row],[Winnaars]],Tabel152[[#This Row],[Team Rood]])</f>
        <v>0</v>
      </c>
      <c r="W191" s="147" t="b">
        <f>IF(Tabel152[[#This Row],[Team Groen]]=Tabel152[[#This Row],[Winnaars]],Tabel152[[#This Row],[Team Groen]])</f>
        <v>0</v>
      </c>
      <c r="X191" s="283"/>
      <c r="Y191" s="283"/>
      <c r="Z191" s="283"/>
      <c r="AA191" s="283"/>
    </row>
    <row r="192" spans="1:27" x14ac:dyDescent="0.25">
      <c r="A192" s="215" t="str">
        <f ca="1">IF(Tabel152[[#This Row],[Rood Verdediging]]&lt;&gt;"",IF(A192="",NOW(),A192),"")</f>
        <v/>
      </c>
      <c r="B192" s="218" t="str">
        <f ca="1">IF(Tabel152[[#This Row],[Rood Verdediging]]&lt;&gt;"",IF(B192="",NOW(),B192),"")</f>
        <v/>
      </c>
      <c r="C192" s="216" t="str">
        <f ca="1">IF(Tabel152[[#This Row],[Score]]&lt;&gt;"",IF(C192="",NOW(),C192),"")</f>
        <v/>
      </c>
      <c r="D192" s="217" t="str">
        <f ca="1">IF(OR(Tabel152[[#This Row],[Starttijd]]="",Tabel152[[#This Row],[Eindtijd]]=""),"",Tabel152[[#This Row],[Eindtijd]]-Tabel152[[#This Row],[Starttijd]])</f>
        <v/>
      </c>
      <c r="E192" s="74">
        <v>191</v>
      </c>
      <c r="F192" s="205"/>
      <c r="G192" s="210"/>
      <c r="H192" s="205"/>
      <c r="I192" s="210"/>
      <c r="J192" s="206"/>
      <c r="K192" s="212"/>
      <c r="L192" s="206"/>
      <c r="M192" s="212"/>
      <c r="N192" s="79">
        <f>Tabel152[[#This Row],[Score]]+Tabel152[[#This Row],[Score2]]</f>
        <v>0</v>
      </c>
      <c r="O192" s="80">
        <f>Tabel152[[#This Row],[Score3]]+Tabel152[[#This Row],[Score4]]</f>
        <v>0</v>
      </c>
      <c r="P19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Row],[Score4]]&lt;&gt;""),IF(AND(N192&gt;O192,N192&gt;=11),"ROOD",IF(AND(O192&gt;=11,N192&lt;&gt;O192),"GROEN","")),"")</f>
        <v/>
      </c>
      <c r="Q192" s="84">
        <f t="shared" si="18"/>
        <v>0</v>
      </c>
      <c r="R192" s="85">
        <f t="shared" si="19"/>
        <v>0</v>
      </c>
      <c r="S192" s="293" t="str">
        <f>Tabel152[[#This Row],[Rood Verdediging]]&amp;Tabel152[[#This Row],[Rood Aanval]]</f>
        <v/>
      </c>
      <c r="T192" s="293" t="str">
        <f>Tabel152[[#This Row],[Groen Verdediging]]&amp;Tabel152[[#This Row],[Groen Aanval]]</f>
        <v/>
      </c>
      <c r="U192" s="293" t="str">
        <f>Tabel152[[#This Row],[Winnaar 1]]&amp;Tabel152[[#This Row],[Winnaar 2]]</f>
        <v>00</v>
      </c>
      <c r="V192" s="147" t="b">
        <f>IF(Tabel152[[#This Row],[Team Rood]]=Tabel152[[#This Row],[Winnaars]],Tabel152[[#This Row],[Team Rood]])</f>
        <v>0</v>
      </c>
      <c r="W192" s="147" t="b">
        <f>IF(Tabel152[[#This Row],[Team Groen]]=Tabel152[[#This Row],[Winnaars]],Tabel152[[#This Row],[Team Groen]])</f>
        <v>0</v>
      </c>
      <c r="X192" s="283"/>
      <c r="Y192" s="283"/>
      <c r="Z192" s="283"/>
      <c r="AA192" s="283"/>
    </row>
    <row r="193" spans="1:27" x14ac:dyDescent="0.25">
      <c r="A193" s="215" t="str">
        <f ca="1">IF(Tabel152[[#This Row],[Rood Verdediging]]&lt;&gt;"",IF(A193="",NOW(),A193),"")</f>
        <v/>
      </c>
      <c r="B193" s="218" t="str">
        <f ca="1">IF(Tabel152[[#This Row],[Rood Verdediging]]&lt;&gt;"",IF(B193="",NOW(),B193),"")</f>
        <v/>
      </c>
      <c r="C193" s="216" t="str">
        <f ca="1">IF(Tabel152[[#This Row],[Score]]&lt;&gt;"",IF(C193="",NOW(),C193),"")</f>
        <v/>
      </c>
      <c r="D193" s="217" t="str">
        <f ca="1">IF(OR(Tabel152[[#This Row],[Starttijd]]="",Tabel152[[#This Row],[Eindtijd]]=""),"",Tabel152[[#This Row],[Eindtijd]]-Tabel152[[#This Row],[Starttijd]])</f>
        <v/>
      </c>
      <c r="E193" s="74">
        <v>192</v>
      </c>
      <c r="F193" s="205"/>
      <c r="G193" s="210"/>
      <c r="H193" s="205"/>
      <c r="I193" s="210"/>
      <c r="J193" s="206"/>
      <c r="K193" s="212"/>
      <c r="L193" s="206"/>
      <c r="M193" s="212"/>
      <c r="N193" s="79">
        <f>Tabel152[[#This Row],[Score]]+Tabel152[[#This Row],[Score2]]</f>
        <v>0</v>
      </c>
      <c r="O193" s="80">
        <f>Tabel152[[#This Row],[Score3]]+Tabel152[[#This Row],[Score4]]</f>
        <v>0</v>
      </c>
      <c r="P19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Row],[Score4]]&lt;&gt;""),IF(AND(N193&gt;O193,N193&gt;=11),"ROOD",IF(AND(O193&gt;=11,N193&lt;&gt;O193),"GROEN","")),"")</f>
        <v/>
      </c>
      <c r="Q193" s="84">
        <f t="shared" si="18"/>
        <v>0</v>
      </c>
      <c r="R193" s="85">
        <f t="shared" si="19"/>
        <v>0</v>
      </c>
      <c r="S193" s="293" t="str">
        <f>Tabel152[[#This Row],[Rood Verdediging]]&amp;Tabel152[[#This Row],[Rood Aanval]]</f>
        <v/>
      </c>
      <c r="T193" s="293" t="str">
        <f>Tabel152[[#This Row],[Groen Verdediging]]&amp;Tabel152[[#This Row],[Groen Aanval]]</f>
        <v/>
      </c>
      <c r="U193" s="293" t="str">
        <f>Tabel152[[#This Row],[Winnaar 1]]&amp;Tabel152[[#This Row],[Winnaar 2]]</f>
        <v>00</v>
      </c>
      <c r="V193" s="147" t="b">
        <f>IF(Tabel152[[#This Row],[Team Rood]]=Tabel152[[#This Row],[Winnaars]],Tabel152[[#This Row],[Team Rood]])</f>
        <v>0</v>
      </c>
      <c r="W193" s="147" t="b">
        <f>IF(Tabel152[[#This Row],[Team Groen]]=Tabel152[[#This Row],[Winnaars]],Tabel152[[#This Row],[Team Groen]])</f>
        <v>0</v>
      </c>
      <c r="X193" s="283"/>
      <c r="Y193" s="283"/>
      <c r="Z193" s="283"/>
      <c r="AA193" s="283"/>
    </row>
    <row r="194" spans="1:27" x14ac:dyDescent="0.25">
      <c r="A194" s="215" t="str">
        <f ca="1">IF(Tabel152[[#This Row],[Rood Verdediging]]&lt;&gt;"",IF(A194="",NOW(),A194),"")</f>
        <v/>
      </c>
      <c r="B194" s="218" t="str">
        <f ca="1">IF(Tabel152[[#This Row],[Rood Verdediging]]&lt;&gt;"",IF(B194="",NOW(),B194),"")</f>
        <v/>
      </c>
      <c r="C194" s="216" t="str">
        <f ca="1">IF(Tabel152[[#This Row],[Score]]&lt;&gt;"",IF(C194="",NOW(),C194),"")</f>
        <v/>
      </c>
      <c r="D194" s="217" t="str">
        <f ca="1">IF(OR(Tabel152[[#This Row],[Starttijd]]="",Tabel152[[#This Row],[Eindtijd]]=""),"",Tabel152[[#This Row],[Eindtijd]]-Tabel152[[#This Row],[Starttijd]])</f>
        <v/>
      </c>
      <c r="E194" s="74">
        <v>193</v>
      </c>
      <c r="F194" s="205"/>
      <c r="G194" s="210"/>
      <c r="H194" s="205"/>
      <c r="I194" s="210"/>
      <c r="J194" s="206"/>
      <c r="K194" s="212"/>
      <c r="L194" s="206"/>
      <c r="M194" s="212"/>
      <c r="N194" s="79">
        <f>Tabel152[[#This Row],[Score]]+Tabel152[[#This Row],[Score2]]</f>
        <v>0</v>
      </c>
      <c r="O194" s="80">
        <f>Tabel152[[#This Row],[Score3]]+Tabel152[[#This Row],[Score4]]</f>
        <v>0</v>
      </c>
      <c r="P19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Row],[Score4]]&lt;&gt;""),IF(AND(N194&gt;O194,N194&gt;=11),"ROOD",IF(AND(O194&gt;=11,N194&lt;&gt;O194),"GROEN","")),"")</f>
        <v/>
      </c>
      <c r="Q194" s="84">
        <f t="shared" si="18"/>
        <v>0</v>
      </c>
      <c r="R194" s="85">
        <f t="shared" si="19"/>
        <v>0</v>
      </c>
      <c r="S194" s="293" t="str">
        <f>Tabel152[[#This Row],[Rood Verdediging]]&amp;Tabel152[[#This Row],[Rood Aanval]]</f>
        <v/>
      </c>
      <c r="T194" s="293" t="str">
        <f>Tabel152[[#This Row],[Groen Verdediging]]&amp;Tabel152[[#This Row],[Groen Aanval]]</f>
        <v/>
      </c>
      <c r="U194" s="293" t="str">
        <f>Tabel152[[#This Row],[Winnaar 1]]&amp;Tabel152[[#This Row],[Winnaar 2]]</f>
        <v>00</v>
      </c>
      <c r="V194" s="147" t="b">
        <f>IF(Tabel152[[#This Row],[Team Rood]]=Tabel152[[#This Row],[Winnaars]],Tabel152[[#This Row],[Team Rood]])</f>
        <v>0</v>
      </c>
      <c r="W194" s="147" t="b">
        <f>IF(Tabel152[[#This Row],[Team Groen]]=Tabel152[[#This Row],[Winnaars]],Tabel152[[#This Row],[Team Groen]])</f>
        <v>0</v>
      </c>
      <c r="X194" s="283"/>
      <c r="Y194" s="283"/>
      <c r="Z194" s="283"/>
      <c r="AA194" s="283"/>
    </row>
    <row r="195" spans="1:27" x14ac:dyDescent="0.25">
      <c r="A195" s="215" t="str">
        <f ca="1">IF(Tabel152[[#This Row],[Rood Verdediging]]&lt;&gt;"",IF(A195="",NOW(),A195),"")</f>
        <v/>
      </c>
      <c r="B195" s="218" t="str">
        <f ca="1">IF(Tabel152[[#This Row],[Rood Verdediging]]&lt;&gt;"",IF(B195="",NOW(),B195),"")</f>
        <v/>
      </c>
      <c r="C195" s="216" t="str">
        <f ca="1">IF(Tabel152[[#This Row],[Score]]&lt;&gt;"",IF(C195="",NOW(),C195),"")</f>
        <v/>
      </c>
      <c r="D195" s="217" t="str">
        <f ca="1">IF(OR(Tabel152[[#This Row],[Starttijd]]="",Tabel152[[#This Row],[Eindtijd]]=""),"",Tabel152[[#This Row],[Eindtijd]]-Tabel152[[#This Row],[Starttijd]])</f>
        <v/>
      </c>
      <c r="E195" s="74">
        <v>194</v>
      </c>
      <c r="F195" s="205"/>
      <c r="G195" s="210"/>
      <c r="H195" s="205"/>
      <c r="I195" s="210"/>
      <c r="J195" s="206"/>
      <c r="K195" s="212"/>
      <c r="L195" s="206"/>
      <c r="M195" s="212"/>
      <c r="N195" s="79">
        <f>Tabel152[[#This Row],[Score]]+Tabel152[[#This Row],[Score2]]</f>
        <v>0</v>
      </c>
      <c r="O195" s="80">
        <f>Tabel152[[#This Row],[Score3]]+Tabel152[[#This Row],[Score4]]</f>
        <v>0</v>
      </c>
      <c r="P19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Row],[Score4]]&lt;&gt;""),IF(AND(N195&gt;O195,N195&gt;=11),"ROOD",IF(AND(O195&gt;=11,N195&lt;&gt;O195),"GROEN","")),"")</f>
        <v/>
      </c>
      <c r="Q195" s="84">
        <f t="shared" si="18"/>
        <v>0</v>
      </c>
      <c r="R195" s="85">
        <f t="shared" si="19"/>
        <v>0</v>
      </c>
      <c r="S195" s="293" t="str">
        <f>Tabel152[[#This Row],[Rood Verdediging]]&amp;Tabel152[[#This Row],[Rood Aanval]]</f>
        <v/>
      </c>
      <c r="T195" s="293" t="str">
        <f>Tabel152[[#This Row],[Groen Verdediging]]&amp;Tabel152[[#This Row],[Groen Aanval]]</f>
        <v/>
      </c>
      <c r="U195" s="293" t="str">
        <f>Tabel152[[#This Row],[Winnaar 1]]&amp;Tabel152[[#This Row],[Winnaar 2]]</f>
        <v>00</v>
      </c>
      <c r="V195" s="147" t="b">
        <f>IF(Tabel152[[#This Row],[Team Rood]]=Tabel152[[#This Row],[Winnaars]],Tabel152[[#This Row],[Team Rood]])</f>
        <v>0</v>
      </c>
      <c r="W195" s="147" t="b">
        <f>IF(Tabel152[[#This Row],[Team Groen]]=Tabel152[[#This Row],[Winnaars]],Tabel152[[#This Row],[Team Groen]])</f>
        <v>0</v>
      </c>
      <c r="X195" s="283"/>
      <c r="Y195" s="283"/>
      <c r="Z195" s="283"/>
      <c r="AA195" s="283"/>
    </row>
    <row r="196" spans="1:27" x14ac:dyDescent="0.25">
      <c r="A196" s="215" t="str">
        <f ca="1">IF(Tabel152[[#This Row],[Rood Verdediging]]&lt;&gt;"",IF(A196="",NOW(),A196),"")</f>
        <v/>
      </c>
      <c r="B196" s="218" t="str">
        <f ca="1">IF(Tabel152[[#This Row],[Rood Verdediging]]&lt;&gt;"",IF(B196="",NOW(),B196),"")</f>
        <v/>
      </c>
      <c r="C196" s="216" t="str">
        <f ca="1">IF(Tabel152[[#This Row],[Score]]&lt;&gt;"",IF(C196="",NOW(),C196),"")</f>
        <v/>
      </c>
      <c r="D196" s="217" t="str">
        <f ca="1">IF(OR(Tabel152[[#This Row],[Starttijd]]="",Tabel152[[#This Row],[Eindtijd]]=""),"",Tabel152[[#This Row],[Eindtijd]]-Tabel152[[#This Row],[Starttijd]])</f>
        <v/>
      </c>
      <c r="E196" s="74">
        <v>195</v>
      </c>
      <c r="F196" s="205"/>
      <c r="G196" s="210"/>
      <c r="H196" s="205"/>
      <c r="I196" s="210"/>
      <c r="J196" s="206"/>
      <c r="K196" s="212"/>
      <c r="L196" s="206"/>
      <c r="M196" s="212"/>
      <c r="N196" s="79">
        <f>Tabel152[[#This Row],[Score]]+Tabel152[[#This Row],[Score2]]</f>
        <v>0</v>
      </c>
      <c r="O196" s="80">
        <f>Tabel152[[#This Row],[Score3]]+Tabel152[[#This Row],[Score4]]</f>
        <v>0</v>
      </c>
      <c r="P19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Row],[Score4]]&lt;&gt;""),IF(AND(N196&gt;O196,N196&gt;=11),"ROOD",IF(AND(O196&gt;=11,N196&lt;&gt;O196),"GROEN","")),"")</f>
        <v/>
      </c>
      <c r="Q196" s="84">
        <f t="shared" si="18"/>
        <v>0</v>
      </c>
      <c r="R196" s="85">
        <f t="shared" si="19"/>
        <v>0</v>
      </c>
      <c r="S196" s="293" t="str">
        <f>Tabel152[[#This Row],[Rood Verdediging]]&amp;Tabel152[[#This Row],[Rood Aanval]]</f>
        <v/>
      </c>
      <c r="T196" s="293" t="str">
        <f>Tabel152[[#This Row],[Groen Verdediging]]&amp;Tabel152[[#This Row],[Groen Aanval]]</f>
        <v/>
      </c>
      <c r="U196" s="293" t="str">
        <f>Tabel152[[#This Row],[Winnaar 1]]&amp;Tabel152[[#This Row],[Winnaar 2]]</f>
        <v>00</v>
      </c>
      <c r="V196" s="147" t="b">
        <f>IF(Tabel152[[#This Row],[Team Rood]]=Tabel152[[#This Row],[Winnaars]],Tabel152[[#This Row],[Team Rood]])</f>
        <v>0</v>
      </c>
      <c r="W196" s="147" t="b">
        <f>IF(Tabel152[[#This Row],[Team Groen]]=Tabel152[[#This Row],[Winnaars]],Tabel152[[#This Row],[Team Groen]])</f>
        <v>0</v>
      </c>
      <c r="X196" s="283"/>
      <c r="Y196" s="283"/>
      <c r="Z196" s="283"/>
      <c r="AA196" s="283"/>
    </row>
    <row r="197" spans="1:27" x14ac:dyDescent="0.25">
      <c r="A197" s="215" t="str">
        <f ca="1">IF(Tabel152[[#This Row],[Rood Verdediging]]&lt;&gt;"",IF(A197="",NOW(),A197),"")</f>
        <v/>
      </c>
      <c r="B197" s="218" t="str">
        <f ca="1">IF(Tabel152[[#This Row],[Rood Verdediging]]&lt;&gt;"",IF(B197="",NOW(),B197),"")</f>
        <v/>
      </c>
      <c r="C197" s="216" t="str">
        <f ca="1">IF(Tabel152[[#This Row],[Score]]&lt;&gt;"",IF(C197="",NOW(),C197),"")</f>
        <v/>
      </c>
      <c r="D197" s="217" t="str">
        <f ca="1">IF(OR(Tabel152[[#This Row],[Starttijd]]="",Tabel152[[#This Row],[Eindtijd]]=""),"",Tabel152[[#This Row],[Eindtijd]]-Tabel152[[#This Row],[Starttijd]])</f>
        <v/>
      </c>
      <c r="E197" s="74">
        <v>196</v>
      </c>
      <c r="F197" s="205"/>
      <c r="G197" s="210"/>
      <c r="H197" s="205"/>
      <c r="I197" s="210"/>
      <c r="J197" s="206"/>
      <c r="K197" s="212"/>
      <c r="L197" s="206"/>
      <c r="M197" s="212"/>
      <c r="N197" s="79">
        <f>Tabel152[[#This Row],[Score]]+Tabel152[[#This Row],[Score2]]</f>
        <v>0</v>
      </c>
      <c r="O197" s="80">
        <f>Tabel152[[#This Row],[Score3]]+Tabel152[[#This Row],[Score4]]</f>
        <v>0</v>
      </c>
      <c r="P19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Row],[Score4]]&lt;&gt;""),IF(AND(N197&gt;O197,N197&gt;=11),"ROOD",IF(AND(O197&gt;=11,N197&lt;&gt;O197),"GROEN","")),"")</f>
        <v/>
      </c>
      <c r="Q197" s="84">
        <f t="shared" ref="Q197:Q260" si="20">IF(N197&gt;O197,F197,IF(N197="","",J197))</f>
        <v>0</v>
      </c>
      <c r="R197" s="85">
        <f t="shared" ref="R197:R260" si="21">IF(N197&gt;O197,H197,IF(N197="","",L197))</f>
        <v>0</v>
      </c>
      <c r="S197" s="293" t="str">
        <f>Tabel152[[#This Row],[Rood Verdediging]]&amp;Tabel152[[#This Row],[Rood Aanval]]</f>
        <v/>
      </c>
      <c r="T197" s="293" t="str">
        <f>Tabel152[[#This Row],[Groen Verdediging]]&amp;Tabel152[[#This Row],[Groen Aanval]]</f>
        <v/>
      </c>
      <c r="U197" s="293" t="str">
        <f>Tabel152[[#This Row],[Winnaar 1]]&amp;Tabel152[[#This Row],[Winnaar 2]]</f>
        <v>00</v>
      </c>
      <c r="V197" s="147" t="b">
        <f>IF(Tabel152[[#This Row],[Team Rood]]=Tabel152[[#This Row],[Winnaars]],Tabel152[[#This Row],[Team Rood]])</f>
        <v>0</v>
      </c>
      <c r="W197" s="147" t="b">
        <f>IF(Tabel152[[#This Row],[Team Groen]]=Tabel152[[#This Row],[Winnaars]],Tabel152[[#This Row],[Team Groen]])</f>
        <v>0</v>
      </c>
      <c r="X197" s="283"/>
      <c r="Y197" s="283"/>
      <c r="Z197" s="283"/>
      <c r="AA197" s="283"/>
    </row>
    <row r="198" spans="1:27" x14ac:dyDescent="0.25">
      <c r="A198" s="215" t="str">
        <f ca="1">IF(Tabel152[[#This Row],[Rood Verdediging]]&lt;&gt;"",IF(A198="",NOW(),A198),"")</f>
        <v/>
      </c>
      <c r="B198" s="218" t="str">
        <f ca="1">IF(Tabel152[[#This Row],[Rood Verdediging]]&lt;&gt;"",IF(B198="",NOW(),B198),"")</f>
        <v/>
      </c>
      <c r="C198" s="216" t="str">
        <f ca="1">IF(Tabel152[[#This Row],[Score]]&lt;&gt;"",IF(C198="",NOW(),C198),"")</f>
        <v/>
      </c>
      <c r="D198" s="217" t="str">
        <f ca="1">IF(OR(Tabel152[[#This Row],[Starttijd]]="",Tabel152[[#This Row],[Eindtijd]]=""),"",Tabel152[[#This Row],[Eindtijd]]-Tabel152[[#This Row],[Starttijd]])</f>
        <v/>
      </c>
      <c r="E198" s="74">
        <v>197</v>
      </c>
      <c r="F198" s="205"/>
      <c r="G198" s="210"/>
      <c r="H198" s="205"/>
      <c r="I198" s="210"/>
      <c r="J198" s="206"/>
      <c r="K198" s="212"/>
      <c r="L198" s="206"/>
      <c r="M198" s="212"/>
      <c r="N198" s="79">
        <f>Tabel152[[#This Row],[Score]]+Tabel152[[#This Row],[Score2]]</f>
        <v>0</v>
      </c>
      <c r="O198" s="80">
        <f>Tabel152[[#This Row],[Score3]]+Tabel152[[#This Row],[Score4]]</f>
        <v>0</v>
      </c>
      <c r="P19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Row],[Score4]]&lt;&gt;""),IF(AND(N198&gt;O198,N198&gt;=11),"ROOD",IF(AND(O198&gt;=11,N198&lt;&gt;O198),"GROEN","")),"")</f>
        <v/>
      </c>
      <c r="Q198" s="84">
        <f t="shared" si="20"/>
        <v>0</v>
      </c>
      <c r="R198" s="85">
        <f t="shared" si="21"/>
        <v>0</v>
      </c>
      <c r="S198" s="293" t="str">
        <f>Tabel152[[#This Row],[Rood Verdediging]]&amp;Tabel152[[#This Row],[Rood Aanval]]</f>
        <v/>
      </c>
      <c r="T198" s="293" t="str">
        <f>Tabel152[[#This Row],[Groen Verdediging]]&amp;Tabel152[[#This Row],[Groen Aanval]]</f>
        <v/>
      </c>
      <c r="U198" s="293" t="str">
        <f>Tabel152[[#This Row],[Winnaar 1]]&amp;Tabel152[[#This Row],[Winnaar 2]]</f>
        <v>00</v>
      </c>
      <c r="V198" s="147" t="b">
        <f>IF(Tabel152[[#This Row],[Team Rood]]=Tabel152[[#This Row],[Winnaars]],Tabel152[[#This Row],[Team Rood]])</f>
        <v>0</v>
      </c>
      <c r="W198" s="147" t="b">
        <f>IF(Tabel152[[#This Row],[Team Groen]]=Tabel152[[#This Row],[Winnaars]],Tabel152[[#This Row],[Team Groen]])</f>
        <v>0</v>
      </c>
      <c r="X198" s="283"/>
      <c r="Y198" s="283"/>
      <c r="Z198" s="283"/>
      <c r="AA198" s="283"/>
    </row>
    <row r="199" spans="1:27" x14ac:dyDescent="0.25">
      <c r="A199" s="215" t="str">
        <f ca="1">IF(Tabel152[[#This Row],[Rood Verdediging]]&lt;&gt;"",IF(A199="",NOW(),A199),"")</f>
        <v/>
      </c>
      <c r="B199" s="218" t="str">
        <f ca="1">IF(Tabel152[[#This Row],[Rood Verdediging]]&lt;&gt;"",IF(B199="",NOW(),B199),"")</f>
        <v/>
      </c>
      <c r="C199" s="216" t="str">
        <f ca="1">IF(Tabel152[[#This Row],[Score]]&lt;&gt;"",IF(C199="",NOW(),C199),"")</f>
        <v/>
      </c>
      <c r="D199" s="217" t="str">
        <f ca="1">IF(OR(Tabel152[[#This Row],[Starttijd]]="",Tabel152[[#This Row],[Eindtijd]]=""),"",Tabel152[[#This Row],[Eindtijd]]-Tabel152[[#This Row],[Starttijd]])</f>
        <v/>
      </c>
      <c r="E199" s="74">
        <v>198</v>
      </c>
      <c r="F199" s="205"/>
      <c r="G199" s="210"/>
      <c r="H199" s="205"/>
      <c r="I199" s="210"/>
      <c r="J199" s="206"/>
      <c r="K199" s="212"/>
      <c r="L199" s="206"/>
      <c r="M199" s="212"/>
      <c r="N199" s="79">
        <f>Tabel152[[#This Row],[Score]]+Tabel152[[#This Row],[Score2]]</f>
        <v>0</v>
      </c>
      <c r="O199" s="80">
        <f>Tabel152[[#This Row],[Score3]]+Tabel152[[#This Row],[Score4]]</f>
        <v>0</v>
      </c>
      <c r="P19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Row],[Score4]]&lt;&gt;""),IF(AND(N199&gt;O199,N199&gt;=11),"ROOD",IF(AND(O199&gt;=11,N199&lt;&gt;O199),"GROEN","")),"")</f>
        <v/>
      </c>
      <c r="Q199" s="84">
        <f t="shared" si="20"/>
        <v>0</v>
      </c>
      <c r="R199" s="85">
        <f t="shared" si="21"/>
        <v>0</v>
      </c>
      <c r="S199" s="293" t="str">
        <f>Tabel152[[#This Row],[Rood Verdediging]]&amp;Tabel152[[#This Row],[Rood Aanval]]</f>
        <v/>
      </c>
      <c r="T199" s="293" t="str">
        <f>Tabel152[[#This Row],[Groen Verdediging]]&amp;Tabel152[[#This Row],[Groen Aanval]]</f>
        <v/>
      </c>
      <c r="U199" s="293" t="str">
        <f>Tabel152[[#This Row],[Winnaar 1]]&amp;Tabel152[[#This Row],[Winnaar 2]]</f>
        <v>00</v>
      </c>
      <c r="V199" s="147" t="b">
        <f>IF(Tabel152[[#This Row],[Team Rood]]=Tabel152[[#This Row],[Winnaars]],Tabel152[[#This Row],[Team Rood]])</f>
        <v>0</v>
      </c>
      <c r="W199" s="147" t="b">
        <f>IF(Tabel152[[#This Row],[Team Groen]]=Tabel152[[#This Row],[Winnaars]],Tabel152[[#This Row],[Team Groen]])</f>
        <v>0</v>
      </c>
      <c r="X199" s="283"/>
      <c r="Y199" s="283"/>
      <c r="Z199" s="283"/>
      <c r="AA199" s="283"/>
    </row>
    <row r="200" spans="1:27" x14ac:dyDescent="0.25">
      <c r="A200" s="215" t="str">
        <f ca="1">IF(Tabel152[[#This Row],[Rood Verdediging]]&lt;&gt;"",IF(A200="",NOW(),A200),"")</f>
        <v/>
      </c>
      <c r="B200" s="218" t="str">
        <f ca="1">IF(Tabel152[[#This Row],[Rood Verdediging]]&lt;&gt;"",IF(B200="",NOW(),B200),"")</f>
        <v/>
      </c>
      <c r="C200" s="216" t="str">
        <f ca="1">IF(Tabel152[[#This Row],[Score]]&lt;&gt;"",IF(C200="",NOW(),C200),"")</f>
        <v/>
      </c>
      <c r="D200" s="217" t="str">
        <f ca="1">IF(OR(Tabel152[[#This Row],[Starttijd]]="",Tabel152[[#This Row],[Eindtijd]]=""),"",Tabel152[[#This Row],[Eindtijd]]-Tabel152[[#This Row],[Starttijd]])</f>
        <v/>
      </c>
      <c r="E200" s="74">
        <v>199</v>
      </c>
      <c r="F200" s="205"/>
      <c r="G200" s="210"/>
      <c r="H200" s="205"/>
      <c r="I200" s="210"/>
      <c r="J200" s="206"/>
      <c r="K200" s="212"/>
      <c r="L200" s="206"/>
      <c r="M200" s="212"/>
      <c r="N200" s="79">
        <f>Tabel152[[#This Row],[Score]]+Tabel152[[#This Row],[Score2]]</f>
        <v>0</v>
      </c>
      <c r="O200" s="80">
        <f>Tabel152[[#This Row],[Score3]]+Tabel152[[#This Row],[Score4]]</f>
        <v>0</v>
      </c>
      <c r="P20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Row],[Score4]]&lt;&gt;""),IF(AND(N200&gt;O200,N200&gt;=11),"ROOD",IF(AND(O200&gt;=11,N200&lt;&gt;O200),"GROEN","")),"")</f>
        <v/>
      </c>
      <c r="Q200" s="84">
        <f t="shared" si="20"/>
        <v>0</v>
      </c>
      <c r="R200" s="85">
        <f t="shared" si="21"/>
        <v>0</v>
      </c>
      <c r="S200" s="293" t="str">
        <f>Tabel152[[#This Row],[Rood Verdediging]]&amp;Tabel152[[#This Row],[Rood Aanval]]</f>
        <v/>
      </c>
      <c r="T200" s="293" t="str">
        <f>Tabel152[[#This Row],[Groen Verdediging]]&amp;Tabel152[[#This Row],[Groen Aanval]]</f>
        <v/>
      </c>
      <c r="U200" s="293" t="str">
        <f>Tabel152[[#This Row],[Winnaar 1]]&amp;Tabel152[[#This Row],[Winnaar 2]]</f>
        <v>00</v>
      </c>
      <c r="V200" s="147" t="b">
        <f>IF(Tabel152[[#This Row],[Team Rood]]=Tabel152[[#This Row],[Winnaars]],Tabel152[[#This Row],[Team Rood]])</f>
        <v>0</v>
      </c>
      <c r="W200" s="147" t="b">
        <f>IF(Tabel152[[#This Row],[Team Groen]]=Tabel152[[#This Row],[Winnaars]],Tabel152[[#This Row],[Team Groen]])</f>
        <v>0</v>
      </c>
      <c r="X200" s="283"/>
      <c r="Y200" s="283"/>
      <c r="Z200" s="283"/>
      <c r="AA200" s="283"/>
    </row>
    <row r="201" spans="1:27" x14ac:dyDescent="0.25">
      <c r="A201" s="215" t="str">
        <f ca="1">IF(Tabel152[[#This Row],[Rood Verdediging]]&lt;&gt;"",IF(A201="",NOW(),A201),"")</f>
        <v/>
      </c>
      <c r="B201" s="218" t="str">
        <f ca="1">IF(Tabel152[[#This Row],[Rood Verdediging]]&lt;&gt;"",IF(B201="",NOW(),B201),"")</f>
        <v/>
      </c>
      <c r="C201" s="216" t="str">
        <f ca="1">IF(Tabel152[[#This Row],[Score]]&lt;&gt;"",IF(C201="",NOW(),C201),"")</f>
        <v/>
      </c>
      <c r="D201" s="217" t="str">
        <f ca="1">IF(OR(Tabel152[[#This Row],[Starttijd]]="",Tabel152[[#This Row],[Eindtijd]]=""),"",Tabel152[[#This Row],[Eindtijd]]-Tabel152[[#This Row],[Starttijd]])</f>
        <v/>
      </c>
      <c r="E201" s="74">
        <v>200</v>
      </c>
      <c r="F201" s="205"/>
      <c r="G201" s="210"/>
      <c r="H201" s="205"/>
      <c r="I201" s="210"/>
      <c r="J201" s="206"/>
      <c r="K201" s="212"/>
      <c r="L201" s="206"/>
      <c r="M201" s="212"/>
      <c r="N201" s="79">
        <f>Tabel152[[#This Row],[Score]]+Tabel152[[#This Row],[Score2]]</f>
        <v>0</v>
      </c>
      <c r="O201" s="80">
        <f>Tabel152[[#This Row],[Score3]]+Tabel152[[#This Row],[Score4]]</f>
        <v>0</v>
      </c>
      <c r="P20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Row],[Score4]]&lt;&gt;""),IF(AND(N201&gt;O201,N201&gt;=11),"ROOD",IF(AND(O201&gt;=11,N201&lt;&gt;O201),"GROEN","")),"")</f>
        <v/>
      </c>
      <c r="Q201" s="84">
        <f t="shared" si="20"/>
        <v>0</v>
      </c>
      <c r="R201" s="85">
        <f t="shared" si="21"/>
        <v>0</v>
      </c>
      <c r="S201" s="293" t="str">
        <f>Tabel152[[#This Row],[Rood Verdediging]]&amp;Tabel152[[#This Row],[Rood Aanval]]</f>
        <v/>
      </c>
      <c r="T201" s="293" t="str">
        <f>Tabel152[[#This Row],[Groen Verdediging]]&amp;Tabel152[[#This Row],[Groen Aanval]]</f>
        <v/>
      </c>
      <c r="U201" s="293" t="str">
        <f>Tabel152[[#This Row],[Winnaar 1]]&amp;Tabel152[[#This Row],[Winnaar 2]]</f>
        <v>00</v>
      </c>
      <c r="V201" s="147" t="b">
        <f>IF(Tabel152[[#This Row],[Team Rood]]=Tabel152[[#This Row],[Winnaars]],Tabel152[[#This Row],[Team Rood]])</f>
        <v>0</v>
      </c>
      <c r="W201" s="147" t="b">
        <f>IF(Tabel152[[#This Row],[Team Groen]]=Tabel152[[#This Row],[Winnaars]],Tabel152[[#This Row],[Team Groen]])</f>
        <v>0</v>
      </c>
      <c r="X201" s="283"/>
      <c r="Y201" s="283"/>
      <c r="Z201" s="283"/>
      <c r="AA201" s="283"/>
    </row>
    <row r="202" spans="1:27" x14ac:dyDescent="0.25">
      <c r="A202" s="215" t="str">
        <f ca="1">IF(Tabel152[[#This Row],[Rood Verdediging]]&lt;&gt;"",IF(A202="",NOW(),A202),"")</f>
        <v/>
      </c>
      <c r="B202" s="218" t="str">
        <f ca="1">IF(Tabel152[[#This Row],[Rood Verdediging]]&lt;&gt;"",IF(B202="",NOW(),B202),"")</f>
        <v/>
      </c>
      <c r="C202" s="216" t="str">
        <f ca="1">IF(Tabel152[[#This Row],[Score]]&lt;&gt;"",IF(C202="",NOW(),C202),"")</f>
        <v/>
      </c>
      <c r="D202" s="217" t="str">
        <f ca="1">IF(OR(Tabel152[[#This Row],[Starttijd]]="",Tabel152[[#This Row],[Eindtijd]]=""),"",Tabel152[[#This Row],[Eindtijd]]-Tabel152[[#This Row],[Starttijd]])</f>
        <v/>
      </c>
      <c r="E202" s="74">
        <v>201</v>
      </c>
      <c r="F202" s="205"/>
      <c r="G202" s="210"/>
      <c r="H202" s="205"/>
      <c r="I202" s="210"/>
      <c r="J202" s="206"/>
      <c r="K202" s="212"/>
      <c r="L202" s="206"/>
      <c r="M202" s="212"/>
      <c r="N202" s="79">
        <f>Tabel152[[#This Row],[Score]]+Tabel152[[#This Row],[Score2]]</f>
        <v>0</v>
      </c>
      <c r="O202" s="80">
        <f>Tabel152[[#This Row],[Score3]]+Tabel152[[#This Row],[Score4]]</f>
        <v>0</v>
      </c>
      <c r="P20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Row],[Score4]]&lt;&gt;""),IF(AND(N202&gt;O202,N202&gt;=11),"ROOD",IF(AND(O202&gt;=11,N202&lt;&gt;O202),"GROEN","")),"")</f>
        <v/>
      </c>
      <c r="Q202" s="84">
        <f t="shared" si="20"/>
        <v>0</v>
      </c>
      <c r="R202" s="85">
        <f t="shared" si="21"/>
        <v>0</v>
      </c>
      <c r="S202" s="293" t="str">
        <f>Tabel152[[#This Row],[Rood Verdediging]]&amp;Tabel152[[#This Row],[Rood Aanval]]</f>
        <v/>
      </c>
      <c r="T202" s="293" t="str">
        <f>Tabel152[[#This Row],[Groen Verdediging]]&amp;Tabel152[[#This Row],[Groen Aanval]]</f>
        <v/>
      </c>
      <c r="U202" s="293" t="str">
        <f>Tabel152[[#This Row],[Winnaar 1]]&amp;Tabel152[[#This Row],[Winnaar 2]]</f>
        <v>00</v>
      </c>
      <c r="V202" s="147" t="b">
        <f>IF(Tabel152[[#This Row],[Team Rood]]=Tabel152[[#This Row],[Winnaars]],Tabel152[[#This Row],[Team Rood]])</f>
        <v>0</v>
      </c>
      <c r="W202" s="147" t="b">
        <f>IF(Tabel152[[#This Row],[Team Groen]]=Tabel152[[#This Row],[Winnaars]],Tabel152[[#This Row],[Team Groen]])</f>
        <v>0</v>
      </c>
      <c r="X202" s="283"/>
      <c r="Y202" s="283"/>
      <c r="Z202" s="283"/>
      <c r="AA202" s="283"/>
    </row>
    <row r="203" spans="1:27" x14ac:dyDescent="0.25">
      <c r="A203" s="215" t="str">
        <f ca="1">IF(Tabel152[[#This Row],[Rood Verdediging]]&lt;&gt;"",IF(A203="",NOW(),A203),"")</f>
        <v/>
      </c>
      <c r="B203" s="218" t="str">
        <f ca="1">IF(Tabel152[[#This Row],[Rood Verdediging]]&lt;&gt;"",IF(B203="",NOW(),B203),"")</f>
        <v/>
      </c>
      <c r="C203" s="216" t="str">
        <f ca="1">IF(Tabel152[[#This Row],[Score]]&lt;&gt;"",IF(C203="",NOW(),C203),"")</f>
        <v/>
      </c>
      <c r="D203" s="217" t="str">
        <f ca="1">IF(OR(Tabel152[[#This Row],[Starttijd]]="",Tabel152[[#This Row],[Eindtijd]]=""),"",Tabel152[[#This Row],[Eindtijd]]-Tabel152[[#This Row],[Starttijd]])</f>
        <v/>
      </c>
      <c r="E203" s="74">
        <v>202</v>
      </c>
      <c r="F203" s="205"/>
      <c r="G203" s="210"/>
      <c r="H203" s="205"/>
      <c r="I203" s="210"/>
      <c r="J203" s="206"/>
      <c r="K203" s="212"/>
      <c r="L203" s="206"/>
      <c r="M203" s="212"/>
      <c r="N203" s="79">
        <f>Tabel152[[#This Row],[Score]]+Tabel152[[#This Row],[Score2]]</f>
        <v>0</v>
      </c>
      <c r="O203" s="80">
        <f>Tabel152[[#This Row],[Score3]]+Tabel152[[#This Row],[Score4]]</f>
        <v>0</v>
      </c>
      <c r="P20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Row],[Score4]]&lt;&gt;""),IF(AND(N203&gt;O203,N203&gt;=11),"ROOD",IF(AND(O203&gt;=11,N203&lt;&gt;O203),"GROEN","")),"")</f>
        <v/>
      </c>
      <c r="Q203" s="84">
        <f t="shared" si="20"/>
        <v>0</v>
      </c>
      <c r="R203" s="85">
        <f t="shared" si="21"/>
        <v>0</v>
      </c>
      <c r="S203" s="293" t="str">
        <f>Tabel152[[#This Row],[Rood Verdediging]]&amp;Tabel152[[#This Row],[Rood Aanval]]</f>
        <v/>
      </c>
      <c r="T203" s="293" t="str">
        <f>Tabel152[[#This Row],[Groen Verdediging]]&amp;Tabel152[[#This Row],[Groen Aanval]]</f>
        <v/>
      </c>
      <c r="U203" s="293" t="str">
        <f>Tabel152[[#This Row],[Winnaar 1]]&amp;Tabel152[[#This Row],[Winnaar 2]]</f>
        <v>00</v>
      </c>
      <c r="V203" s="147" t="b">
        <f>IF(Tabel152[[#This Row],[Team Rood]]=Tabel152[[#This Row],[Winnaars]],Tabel152[[#This Row],[Team Rood]])</f>
        <v>0</v>
      </c>
      <c r="W203" s="147" t="b">
        <f>IF(Tabel152[[#This Row],[Team Groen]]=Tabel152[[#This Row],[Winnaars]],Tabel152[[#This Row],[Team Groen]])</f>
        <v>0</v>
      </c>
      <c r="X203" s="283"/>
      <c r="Y203" s="283"/>
      <c r="Z203" s="283"/>
      <c r="AA203" s="283"/>
    </row>
    <row r="204" spans="1:27" x14ac:dyDescent="0.25">
      <c r="A204" s="215" t="str">
        <f ca="1">IF(Tabel152[[#This Row],[Rood Verdediging]]&lt;&gt;"",IF(A204="",NOW(),A204),"")</f>
        <v/>
      </c>
      <c r="B204" s="218" t="str">
        <f ca="1">IF(Tabel152[[#This Row],[Rood Verdediging]]&lt;&gt;"",IF(B204="",NOW(),B204),"")</f>
        <v/>
      </c>
      <c r="C204" s="216" t="str">
        <f ca="1">IF(Tabel152[[#This Row],[Score]]&lt;&gt;"",IF(C204="",NOW(),C204),"")</f>
        <v/>
      </c>
      <c r="D204" s="217" t="str">
        <f ca="1">IF(OR(Tabel152[[#This Row],[Starttijd]]="",Tabel152[[#This Row],[Eindtijd]]=""),"",Tabel152[[#This Row],[Eindtijd]]-Tabel152[[#This Row],[Starttijd]])</f>
        <v/>
      </c>
      <c r="E204" s="74">
        <v>203</v>
      </c>
      <c r="F204" s="205"/>
      <c r="G204" s="210"/>
      <c r="H204" s="205"/>
      <c r="I204" s="210"/>
      <c r="J204" s="206"/>
      <c r="K204" s="212"/>
      <c r="L204" s="206"/>
      <c r="M204" s="212"/>
      <c r="N204" s="79">
        <f>Tabel152[[#This Row],[Score]]+Tabel152[[#This Row],[Score2]]</f>
        <v>0</v>
      </c>
      <c r="O204" s="80">
        <f>Tabel152[[#This Row],[Score3]]+Tabel152[[#This Row],[Score4]]</f>
        <v>0</v>
      </c>
      <c r="P20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Row],[Score4]]&lt;&gt;""),IF(AND(N204&gt;O204,N204&gt;=11),"ROOD",IF(AND(O204&gt;=11,N204&lt;&gt;O204),"GROEN","")),"")</f>
        <v/>
      </c>
      <c r="Q204" s="84">
        <f t="shared" si="20"/>
        <v>0</v>
      </c>
      <c r="R204" s="85">
        <f t="shared" si="21"/>
        <v>0</v>
      </c>
      <c r="S204" s="293" t="str">
        <f>Tabel152[[#This Row],[Rood Verdediging]]&amp;Tabel152[[#This Row],[Rood Aanval]]</f>
        <v/>
      </c>
      <c r="T204" s="293" t="str">
        <f>Tabel152[[#This Row],[Groen Verdediging]]&amp;Tabel152[[#This Row],[Groen Aanval]]</f>
        <v/>
      </c>
      <c r="U204" s="293" t="str">
        <f>Tabel152[[#This Row],[Winnaar 1]]&amp;Tabel152[[#This Row],[Winnaar 2]]</f>
        <v>00</v>
      </c>
      <c r="V204" s="147" t="b">
        <f>IF(Tabel152[[#This Row],[Team Rood]]=Tabel152[[#This Row],[Winnaars]],Tabel152[[#This Row],[Team Rood]])</f>
        <v>0</v>
      </c>
      <c r="W204" s="147" t="b">
        <f>IF(Tabel152[[#This Row],[Team Groen]]=Tabel152[[#This Row],[Winnaars]],Tabel152[[#This Row],[Team Groen]])</f>
        <v>0</v>
      </c>
      <c r="X204" s="283"/>
      <c r="Y204" s="283"/>
      <c r="Z204" s="283"/>
      <c r="AA204" s="283"/>
    </row>
    <row r="205" spans="1:27" x14ac:dyDescent="0.25">
      <c r="A205" s="215" t="str">
        <f ca="1">IF(Tabel152[[#This Row],[Rood Verdediging]]&lt;&gt;"",IF(A205="",NOW(),A205),"")</f>
        <v/>
      </c>
      <c r="B205" s="218" t="str">
        <f ca="1">IF(Tabel152[[#This Row],[Rood Verdediging]]&lt;&gt;"",IF(B205="",NOW(),B205),"")</f>
        <v/>
      </c>
      <c r="C205" s="216" t="str">
        <f ca="1">IF(Tabel152[[#This Row],[Score]]&lt;&gt;"",IF(C205="",NOW(),C205),"")</f>
        <v/>
      </c>
      <c r="D205" s="217" t="str">
        <f ca="1">IF(OR(Tabel152[[#This Row],[Starttijd]]="",Tabel152[[#This Row],[Eindtijd]]=""),"",Tabel152[[#This Row],[Eindtijd]]-Tabel152[[#This Row],[Starttijd]])</f>
        <v/>
      </c>
      <c r="E205" s="74">
        <v>204</v>
      </c>
      <c r="F205" s="205"/>
      <c r="G205" s="210"/>
      <c r="H205" s="205"/>
      <c r="I205" s="210"/>
      <c r="J205" s="206"/>
      <c r="K205" s="212"/>
      <c r="L205" s="206"/>
      <c r="M205" s="212"/>
      <c r="N205" s="79">
        <f>Tabel152[[#This Row],[Score]]+Tabel152[[#This Row],[Score2]]</f>
        <v>0</v>
      </c>
      <c r="O205" s="80">
        <f>Tabel152[[#This Row],[Score3]]+Tabel152[[#This Row],[Score4]]</f>
        <v>0</v>
      </c>
      <c r="P20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Row],[Score4]]&lt;&gt;""),IF(AND(N205&gt;O205,N205&gt;=11),"ROOD",IF(AND(O205&gt;=11,N205&lt;&gt;O205),"GROEN","")),"")</f>
        <v/>
      </c>
      <c r="Q205" s="84">
        <f t="shared" si="20"/>
        <v>0</v>
      </c>
      <c r="R205" s="85">
        <f t="shared" si="21"/>
        <v>0</v>
      </c>
      <c r="S205" s="293" t="str">
        <f>Tabel152[[#This Row],[Rood Verdediging]]&amp;Tabel152[[#This Row],[Rood Aanval]]</f>
        <v/>
      </c>
      <c r="T205" s="293" t="str">
        <f>Tabel152[[#This Row],[Groen Verdediging]]&amp;Tabel152[[#This Row],[Groen Aanval]]</f>
        <v/>
      </c>
      <c r="U205" s="293" t="str">
        <f>Tabel152[[#This Row],[Winnaar 1]]&amp;Tabel152[[#This Row],[Winnaar 2]]</f>
        <v>00</v>
      </c>
      <c r="V205" s="147" t="b">
        <f>IF(Tabel152[[#This Row],[Team Rood]]=Tabel152[[#This Row],[Winnaars]],Tabel152[[#This Row],[Team Rood]])</f>
        <v>0</v>
      </c>
      <c r="W205" s="147" t="b">
        <f>IF(Tabel152[[#This Row],[Team Groen]]=Tabel152[[#This Row],[Winnaars]],Tabel152[[#This Row],[Team Groen]])</f>
        <v>0</v>
      </c>
      <c r="X205" s="283"/>
      <c r="Y205" s="283"/>
      <c r="Z205" s="283"/>
      <c r="AA205" s="283"/>
    </row>
    <row r="206" spans="1:27" x14ac:dyDescent="0.25">
      <c r="A206" s="215" t="str">
        <f ca="1">IF(Tabel152[[#This Row],[Rood Verdediging]]&lt;&gt;"",IF(A206="",NOW(),A206),"")</f>
        <v/>
      </c>
      <c r="B206" s="218" t="str">
        <f ca="1">IF(Tabel152[[#This Row],[Rood Verdediging]]&lt;&gt;"",IF(B206="",NOW(),B206),"")</f>
        <v/>
      </c>
      <c r="C206" s="216" t="str">
        <f ca="1">IF(Tabel152[[#This Row],[Score]]&lt;&gt;"",IF(C206="",NOW(),C206),"")</f>
        <v/>
      </c>
      <c r="D206" s="217" t="str">
        <f ca="1">IF(OR(Tabel152[[#This Row],[Starttijd]]="",Tabel152[[#This Row],[Eindtijd]]=""),"",Tabel152[[#This Row],[Eindtijd]]-Tabel152[[#This Row],[Starttijd]])</f>
        <v/>
      </c>
      <c r="E206" s="74">
        <v>205</v>
      </c>
      <c r="F206" s="205"/>
      <c r="G206" s="210"/>
      <c r="H206" s="205"/>
      <c r="I206" s="210"/>
      <c r="J206" s="206"/>
      <c r="K206" s="212"/>
      <c r="L206" s="206"/>
      <c r="M206" s="212"/>
      <c r="N206" s="79">
        <f>Tabel152[[#This Row],[Score]]+Tabel152[[#This Row],[Score2]]</f>
        <v>0</v>
      </c>
      <c r="O206" s="80">
        <f>Tabel152[[#This Row],[Score3]]+Tabel152[[#This Row],[Score4]]</f>
        <v>0</v>
      </c>
      <c r="P20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Row],[Score4]]&lt;&gt;""),IF(AND(N206&gt;O206,N206&gt;=11),"ROOD",IF(AND(O206&gt;=11,N206&lt;&gt;O206),"GROEN","")),"")</f>
        <v/>
      </c>
      <c r="Q206" s="84">
        <f t="shared" si="20"/>
        <v>0</v>
      </c>
      <c r="R206" s="85">
        <f t="shared" si="21"/>
        <v>0</v>
      </c>
      <c r="S206" s="293" t="str">
        <f>Tabel152[[#This Row],[Rood Verdediging]]&amp;Tabel152[[#This Row],[Rood Aanval]]</f>
        <v/>
      </c>
      <c r="T206" s="293" t="str">
        <f>Tabel152[[#This Row],[Groen Verdediging]]&amp;Tabel152[[#This Row],[Groen Aanval]]</f>
        <v/>
      </c>
      <c r="U206" s="293" t="str">
        <f>Tabel152[[#This Row],[Winnaar 1]]&amp;Tabel152[[#This Row],[Winnaar 2]]</f>
        <v>00</v>
      </c>
      <c r="V206" s="147" t="b">
        <f>IF(Tabel152[[#This Row],[Team Rood]]=Tabel152[[#This Row],[Winnaars]],Tabel152[[#This Row],[Team Rood]])</f>
        <v>0</v>
      </c>
      <c r="W206" s="147" t="b">
        <f>IF(Tabel152[[#This Row],[Team Groen]]=Tabel152[[#This Row],[Winnaars]],Tabel152[[#This Row],[Team Groen]])</f>
        <v>0</v>
      </c>
      <c r="X206" s="283"/>
      <c r="Y206" s="283"/>
      <c r="Z206" s="283"/>
      <c r="AA206" s="283"/>
    </row>
    <row r="207" spans="1:27" x14ac:dyDescent="0.25">
      <c r="A207" s="215" t="str">
        <f ca="1">IF(Tabel152[[#This Row],[Rood Verdediging]]&lt;&gt;"",IF(A207="",NOW(),A207),"")</f>
        <v/>
      </c>
      <c r="B207" s="218" t="str">
        <f ca="1">IF(Tabel152[[#This Row],[Rood Verdediging]]&lt;&gt;"",IF(B207="",NOW(),B207),"")</f>
        <v/>
      </c>
      <c r="C207" s="216" t="str">
        <f ca="1">IF(Tabel152[[#This Row],[Score]]&lt;&gt;"",IF(C207="",NOW(),C207),"")</f>
        <v/>
      </c>
      <c r="D207" s="217" t="str">
        <f ca="1">IF(OR(Tabel152[[#This Row],[Starttijd]]="",Tabel152[[#This Row],[Eindtijd]]=""),"",Tabel152[[#This Row],[Eindtijd]]-Tabel152[[#This Row],[Starttijd]])</f>
        <v/>
      </c>
      <c r="E207" s="74">
        <v>206</v>
      </c>
      <c r="F207" s="205"/>
      <c r="G207" s="210"/>
      <c r="H207" s="205"/>
      <c r="I207" s="210"/>
      <c r="J207" s="206"/>
      <c r="K207" s="212"/>
      <c r="L207" s="206"/>
      <c r="M207" s="212"/>
      <c r="N207" s="79">
        <f>Tabel152[[#This Row],[Score]]+Tabel152[[#This Row],[Score2]]</f>
        <v>0</v>
      </c>
      <c r="O207" s="80">
        <f>Tabel152[[#This Row],[Score3]]+Tabel152[[#This Row],[Score4]]</f>
        <v>0</v>
      </c>
      <c r="P20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Row],[Score4]]&lt;&gt;""),IF(AND(N207&gt;O207,N207&gt;=11),"ROOD",IF(AND(O207&gt;=11,N207&lt;&gt;O207),"GROEN","")),"")</f>
        <v/>
      </c>
      <c r="Q207" s="84">
        <f t="shared" si="20"/>
        <v>0</v>
      </c>
      <c r="R207" s="85">
        <f t="shared" si="21"/>
        <v>0</v>
      </c>
      <c r="S207" s="293" t="str">
        <f>Tabel152[[#This Row],[Rood Verdediging]]&amp;Tabel152[[#This Row],[Rood Aanval]]</f>
        <v/>
      </c>
      <c r="T207" s="293" t="str">
        <f>Tabel152[[#This Row],[Groen Verdediging]]&amp;Tabel152[[#This Row],[Groen Aanval]]</f>
        <v/>
      </c>
      <c r="U207" s="293" t="str">
        <f>Tabel152[[#This Row],[Winnaar 1]]&amp;Tabel152[[#This Row],[Winnaar 2]]</f>
        <v>00</v>
      </c>
      <c r="V207" s="147" t="b">
        <f>IF(Tabel152[[#This Row],[Team Rood]]=Tabel152[[#This Row],[Winnaars]],Tabel152[[#This Row],[Team Rood]])</f>
        <v>0</v>
      </c>
      <c r="W207" s="147" t="b">
        <f>IF(Tabel152[[#This Row],[Team Groen]]=Tabel152[[#This Row],[Winnaars]],Tabel152[[#This Row],[Team Groen]])</f>
        <v>0</v>
      </c>
      <c r="X207" s="283"/>
      <c r="Y207" s="283"/>
      <c r="Z207" s="283"/>
      <c r="AA207" s="283"/>
    </row>
    <row r="208" spans="1:27" x14ac:dyDescent="0.25">
      <c r="A208" s="215" t="str">
        <f ca="1">IF(Tabel152[[#This Row],[Rood Verdediging]]&lt;&gt;"",IF(A208="",NOW(),A208),"")</f>
        <v/>
      </c>
      <c r="B208" s="218" t="str">
        <f ca="1">IF(Tabel152[[#This Row],[Rood Verdediging]]&lt;&gt;"",IF(B208="",NOW(),B208),"")</f>
        <v/>
      </c>
      <c r="C208" s="216" t="str">
        <f ca="1">IF(Tabel152[[#This Row],[Score]]&lt;&gt;"",IF(C208="",NOW(),C208),"")</f>
        <v/>
      </c>
      <c r="D208" s="217" t="str">
        <f ca="1">IF(OR(Tabel152[[#This Row],[Starttijd]]="",Tabel152[[#This Row],[Eindtijd]]=""),"",Tabel152[[#This Row],[Eindtijd]]-Tabel152[[#This Row],[Starttijd]])</f>
        <v/>
      </c>
      <c r="E208" s="74">
        <v>207</v>
      </c>
      <c r="F208" s="205"/>
      <c r="G208" s="210"/>
      <c r="H208" s="205"/>
      <c r="I208" s="210"/>
      <c r="J208" s="206"/>
      <c r="K208" s="212"/>
      <c r="L208" s="206"/>
      <c r="M208" s="212"/>
      <c r="N208" s="79">
        <f>Tabel152[[#This Row],[Score]]+Tabel152[[#This Row],[Score2]]</f>
        <v>0</v>
      </c>
      <c r="O208" s="80">
        <f>Tabel152[[#This Row],[Score3]]+Tabel152[[#This Row],[Score4]]</f>
        <v>0</v>
      </c>
      <c r="P20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Row],[Score4]]&lt;&gt;""),IF(AND(N208&gt;O208,N208&gt;=11),"ROOD",IF(AND(O208&gt;=11,N208&lt;&gt;O208),"GROEN","")),"")</f>
        <v/>
      </c>
      <c r="Q208" s="84">
        <f t="shared" si="20"/>
        <v>0</v>
      </c>
      <c r="R208" s="85">
        <f t="shared" si="21"/>
        <v>0</v>
      </c>
      <c r="S208" s="293" t="str">
        <f>Tabel152[[#This Row],[Rood Verdediging]]&amp;Tabel152[[#This Row],[Rood Aanval]]</f>
        <v/>
      </c>
      <c r="T208" s="293" t="str">
        <f>Tabel152[[#This Row],[Groen Verdediging]]&amp;Tabel152[[#This Row],[Groen Aanval]]</f>
        <v/>
      </c>
      <c r="U208" s="293" t="str">
        <f>Tabel152[[#This Row],[Winnaar 1]]&amp;Tabel152[[#This Row],[Winnaar 2]]</f>
        <v>00</v>
      </c>
      <c r="V208" s="147" t="b">
        <f>IF(Tabel152[[#This Row],[Team Rood]]=Tabel152[[#This Row],[Winnaars]],Tabel152[[#This Row],[Team Rood]])</f>
        <v>0</v>
      </c>
      <c r="W208" s="147" t="b">
        <f>IF(Tabel152[[#This Row],[Team Groen]]=Tabel152[[#This Row],[Winnaars]],Tabel152[[#This Row],[Team Groen]])</f>
        <v>0</v>
      </c>
      <c r="X208" s="283"/>
      <c r="Y208" s="283"/>
      <c r="Z208" s="283"/>
      <c r="AA208" s="283"/>
    </row>
    <row r="209" spans="1:27" x14ac:dyDescent="0.25">
      <c r="A209" s="215" t="str">
        <f ca="1">IF(Tabel152[[#This Row],[Rood Verdediging]]&lt;&gt;"",IF(A209="",NOW(),A209),"")</f>
        <v/>
      </c>
      <c r="B209" s="218" t="str">
        <f ca="1">IF(Tabel152[[#This Row],[Rood Verdediging]]&lt;&gt;"",IF(B209="",NOW(),B209),"")</f>
        <v/>
      </c>
      <c r="C209" s="216" t="str">
        <f ca="1">IF(Tabel152[[#This Row],[Score]]&lt;&gt;"",IF(C209="",NOW(),C209),"")</f>
        <v/>
      </c>
      <c r="D209" s="217" t="str">
        <f ca="1">IF(OR(Tabel152[[#This Row],[Starttijd]]="",Tabel152[[#This Row],[Eindtijd]]=""),"",Tabel152[[#This Row],[Eindtijd]]-Tabel152[[#This Row],[Starttijd]])</f>
        <v/>
      </c>
      <c r="E209" s="74">
        <v>208</v>
      </c>
      <c r="F209" s="205"/>
      <c r="G209" s="210"/>
      <c r="H209" s="205"/>
      <c r="I209" s="210"/>
      <c r="J209" s="206"/>
      <c r="K209" s="212"/>
      <c r="L209" s="206"/>
      <c r="M209" s="212"/>
      <c r="N209" s="79">
        <f>Tabel152[[#This Row],[Score]]+Tabel152[[#This Row],[Score2]]</f>
        <v>0</v>
      </c>
      <c r="O209" s="80">
        <f>Tabel152[[#This Row],[Score3]]+Tabel152[[#This Row],[Score4]]</f>
        <v>0</v>
      </c>
      <c r="P20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Row],[Score4]]&lt;&gt;""),IF(AND(N209&gt;O209,N209&gt;=11),"ROOD",IF(AND(O209&gt;=11,N209&lt;&gt;O209),"GROEN","")),"")</f>
        <v/>
      </c>
      <c r="Q209" s="84">
        <f t="shared" si="20"/>
        <v>0</v>
      </c>
      <c r="R209" s="85">
        <f t="shared" si="21"/>
        <v>0</v>
      </c>
      <c r="S209" s="293" t="str">
        <f>Tabel152[[#This Row],[Rood Verdediging]]&amp;Tabel152[[#This Row],[Rood Aanval]]</f>
        <v/>
      </c>
      <c r="T209" s="293" t="str">
        <f>Tabel152[[#This Row],[Groen Verdediging]]&amp;Tabel152[[#This Row],[Groen Aanval]]</f>
        <v/>
      </c>
      <c r="U209" s="293" t="str">
        <f>Tabel152[[#This Row],[Winnaar 1]]&amp;Tabel152[[#This Row],[Winnaar 2]]</f>
        <v>00</v>
      </c>
      <c r="V209" s="147" t="b">
        <f>IF(Tabel152[[#This Row],[Team Rood]]=Tabel152[[#This Row],[Winnaars]],Tabel152[[#This Row],[Team Rood]])</f>
        <v>0</v>
      </c>
      <c r="W209" s="147" t="b">
        <f>IF(Tabel152[[#This Row],[Team Groen]]=Tabel152[[#This Row],[Winnaars]],Tabel152[[#This Row],[Team Groen]])</f>
        <v>0</v>
      </c>
      <c r="X209" s="283"/>
      <c r="Y209" s="283"/>
      <c r="Z209" s="283"/>
      <c r="AA209" s="283"/>
    </row>
    <row r="210" spans="1:27" x14ac:dyDescent="0.25">
      <c r="A210" s="215" t="str">
        <f ca="1">IF(Tabel152[[#This Row],[Rood Verdediging]]&lt;&gt;"",IF(A210="",NOW(),A210),"")</f>
        <v/>
      </c>
      <c r="B210" s="218" t="str">
        <f ca="1">IF(Tabel152[[#This Row],[Rood Verdediging]]&lt;&gt;"",IF(B210="",NOW(),B210),"")</f>
        <v/>
      </c>
      <c r="C210" s="216" t="str">
        <f ca="1">IF(Tabel152[[#This Row],[Score]]&lt;&gt;"",IF(C210="",NOW(),C210),"")</f>
        <v/>
      </c>
      <c r="D210" s="217" t="str">
        <f ca="1">IF(OR(Tabel152[[#This Row],[Starttijd]]="",Tabel152[[#This Row],[Eindtijd]]=""),"",Tabel152[[#This Row],[Eindtijd]]-Tabel152[[#This Row],[Starttijd]])</f>
        <v/>
      </c>
      <c r="E210" s="74">
        <v>209</v>
      </c>
      <c r="F210" s="205"/>
      <c r="G210" s="210"/>
      <c r="H210" s="205"/>
      <c r="I210" s="210"/>
      <c r="J210" s="206"/>
      <c r="K210" s="212"/>
      <c r="L210" s="206"/>
      <c r="M210" s="212"/>
      <c r="N210" s="79">
        <f>Tabel152[[#This Row],[Score]]+Tabel152[[#This Row],[Score2]]</f>
        <v>0</v>
      </c>
      <c r="O210" s="80">
        <f>Tabel152[[#This Row],[Score3]]+Tabel152[[#This Row],[Score4]]</f>
        <v>0</v>
      </c>
      <c r="P21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Row],[Score4]]&lt;&gt;""),IF(AND(N210&gt;O210,N210&gt;=11),"ROOD",IF(AND(O210&gt;=11,N210&lt;&gt;O210),"GROEN","")),"")</f>
        <v/>
      </c>
      <c r="Q210" s="84">
        <f t="shared" si="20"/>
        <v>0</v>
      </c>
      <c r="R210" s="85">
        <f t="shared" si="21"/>
        <v>0</v>
      </c>
      <c r="S210" s="293" t="str">
        <f>Tabel152[[#This Row],[Rood Verdediging]]&amp;Tabel152[[#This Row],[Rood Aanval]]</f>
        <v/>
      </c>
      <c r="T210" s="293" t="str">
        <f>Tabel152[[#This Row],[Groen Verdediging]]&amp;Tabel152[[#This Row],[Groen Aanval]]</f>
        <v/>
      </c>
      <c r="U210" s="293" t="str">
        <f>Tabel152[[#This Row],[Winnaar 1]]&amp;Tabel152[[#This Row],[Winnaar 2]]</f>
        <v>00</v>
      </c>
      <c r="V210" s="147" t="b">
        <f>IF(Tabel152[[#This Row],[Team Rood]]=Tabel152[[#This Row],[Winnaars]],Tabel152[[#This Row],[Team Rood]])</f>
        <v>0</v>
      </c>
      <c r="W210" s="147" t="b">
        <f>IF(Tabel152[[#This Row],[Team Groen]]=Tabel152[[#This Row],[Winnaars]],Tabel152[[#This Row],[Team Groen]])</f>
        <v>0</v>
      </c>
      <c r="X210" s="283"/>
      <c r="Y210" s="283"/>
      <c r="Z210" s="283"/>
      <c r="AA210" s="283"/>
    </row>
    <row r="211" spans="1:27" x14ac:dyDescent="0.25">
      <c r="A211" s="215" t="str">
        <f ca="1">IF(Tabel152[[#This Row],[Rood Verdediging]]&lt;&gt;"",IF(A211="",NOW(),A211),"")</f>
        <v/>
      </c>
      <c r="B211" s="218" t="str">
        <f ca="1">IF(Tabel152[[#This Row],[Rood Verdediging]]&lt;&gt;"",IF(B211="",NOW(),B211),"")</f>
        <v/>
      </c>
      <c r="C211" s="216" t="str">
        <f ca="1">IF(Tabel152[[#This Row],[Score]]&lt;&gt;"",IF(C211="",NOW(),C211),"")</f>
        <v/>
      </c>
      <c r="D211" s="217" t="str">
        <f ca="1">IF(OR(Tabel152[[#This Row],[Starttijd]]="",Tabel152[[#This Row],[Eindtijd]]=""),"",Tabel152[[#This Row],[Eindtijd]]-Tabel152[[#This Row],[Starttijd]])</f>
        <v/>
      </c>
      <c r="E211" s="74">
        <v>210</v>
      </c>
      <c r="F211" s="205"/>
      <c r="G211" s="210"/>
      <c r="H211" s="205"/>
      <c r="I211" s="210"/>
      <c r="J211" s="206"/>
      <c r="K211" s="212"/>
      <c r="L211" s="206"/>
      <c r="M211" s="212"/>
      <c r="N211" s="79">
        <f>Tabel152[[#This Row],[Score]]+Tabel152[[#This Row],[Score2]]</f>
        <v>0</v>
      </c>
      <c r="O211" s="80">
        <f>Tabel152[[#This Row],[Score3]]+Tabel152[[#This Row],[Score4]]</f>
        <v>0</v>
      </c>
      <c r="P21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Row],[Score4]]&lt;&gt;""),IF(AND(N211&gt;O211,N211&gt;=11),"ROOD",IF(AND(O211&gt;=11,N211&lt;&gt;O211),"GROEN","")),"")</f>
        <v/>
      </c>
      <c r="Q211" s="84">
        <f t="shared" si="20"/>
        <v>0</v>
      </c>
      <c r="R211" s="85">
        <f t="shared" si="21"/>
        <v>0</v>
      </c>
      <c r="S211" s="293" t="str">
        <f>Tabel152[[#This Row],[Rood Verdediging]]&amp;Tabel152[[#This Row],[Rood Aanval]]</f>
        <v/>
      </c>
      <c r="T211" s="293" t="str">
        <f>Tabel152[[#This Row],[Groen Verdediging]]&amp;Tabel152[[#This Row],[Groen Aanval]]</f>
        <v/>
      </c>
      <c r="U211" s="293" t="str">
        <f>Tabel152[[#This Row],[Winnaar 1]]&amp;Tabel152[[#This Row],[Winnaar 2]]</f>
        <v>00</v>
      </c>
      <c r="V211" s="147" t="b">
        <f>IF(Tabel152[[#This Row],[Team Rood]]=Tabel152[[#This Row],[Winnaars]],Tabel152[[#This Row],[Team Rood]])</f>
        <v>0</v>
      </c>
      <c r="W211" s="147" t="b">
        <f>IF(Tabel152[[#This Row],[Team Groen]]=Tabel152[[#This Row],[Winnaars]],Tabel152[[#This Row],[Team Groen]])</f>
        <v>0</v>
      </c>
      <c r="X211" s="283"/>
      <c r="Y211" s="283"/>
      <c r="Z211" s="283"/>
      <c r="AA211" s="283"/>
    </row>
    <row r="212" spans="1:27" x14ac:dyDescent="0.25">
      <c r="A212" s="215" t="str">
        <f ca="1">IF(Tabel152[[#This Row],[Rood Verdediging]]&lt;&gt;"",IF(A212="",NOW(),A212),"")</f>
        <v/>
      </c>
      <c r="B212" s="218" t="str">
        <f ca="1">IF(Tabel152[[#This Row],[Rood Verdediging]]&lt;&gt;"",IF(B212="",NOW(),B212),"")</f>
        <v/>
      </c>
      <c r="C212" s="216" t="str">
        <f ca="1">IF(Tabel152[[#This Row],[Score]]&lt;&gt;"",IF(C212="",NOW(),C212),"")</f>
        <v/>
      </c>
      <c r="D212" s="217" t="str">
        <f ca="1">IF(OR(Tabel152[[#This Row],[Starttijd]]="",Tabel152[[#This Row],[Eindtijd]]=""),"",Tabel152[[#This Row],[Eindtijd]]-Tabel152[[#This Row],[Starttijd]])</f>
        <v/>
      </c>
      <c r="E212" s="74">
        <v>211</v>
      </c>
      <c r="F212" s="205"/>
      <c r="G212" s="210"/>
      <c r="H212" s="205"/>
      <c r="I212" s="210"/>
      <c r="J212" s="206"/>
      <c r="K212" s="212"/>
      <c r="L212" s="206"/>
      <c r="M212" s="212"/>
      <c r="N212" s="79">
        <f>Tabel152[[#This Row],[Score]]+Tabel152[[#This Row],[Score2]]</f>
        <v>0</v>
      </c>
      <c r="O212" s="80">
        <f>Tabel152[[#This Row],[Score3]]+Tabel152[[#This Row],[Score4]]</f>
        <v>0</v>
      </c>
      <c r="P21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Row],[Score4]]&lt;&gt;""),IF(AND(N212&gt;O212,N212&gt;=11),"ROOD",IF(AND(O212&gt;=11,N212&lt;&gt;O212),"GROEN","")),"")</f>
        <v/>
      </c>
      <c r="Q212" s="84">
        <f t="shared" si="20"/>
        <v>0</v>
      </c>
      <c r="R212" s="85">
        <f t="shared" si="21"/>
        <v>0</v>
      </c>
      <c r="S212" s="293" t="str">
        <f>Tabel152[[#This Row],[Rood Verdediging]]&amp;Tabel152[[#This Row],[Rood Aanval]]</f>
        <v/>
      </c>
      <c r="T212" s="293" t="str">
        <f>Tabel152[[#This Row],[Groen Verdediging]]&amp;Tabel152[[#This Row],[Groen Aanval]]</f>
        <v/>
      </c>
      <c r="U212" s="293" t="str">
        <f>Tabel152[[#This Row],[Winnaar 1]]&amp;Tabel152[[#This Row],[Winnaar 2]]</f>
        <v>00</v>
      </c>
      <c r="V212" s="147" t="b">
        <f>IF(Tabel152[[#This Row],[Team Rood]]=Tabel152[[#This Row],[Winnaars]],Tabel152[[#This Row],[Team Rood]])</f>
        <v>0</v>
      </c>
      <c r="W212" s="147" t="b">
        <f>IF(Tabel152[[#This Row],[Team Groen]]=Tabel152[[#This Row],[Winnaars]],Tabel152[[#This Row],[Team Groen]])</f>
        <v>0</v>
      </c>
      <c r="X212" s="283"/>
      <c r="Y212" s="283"/>
      <c r="Z212" s="283"/>
      <c r="AA212" s="283"/>
    </row>
    <row r="213" spans="1:27" x14ac:dyDescent="0.25">
      <c r="A213" s="215" t="str">
        <f ca="1">IF(Tabel152[[#This Row],[Rood Verdediging]]&lt;&gt;"",IF(A213="",NOW(),A213),"")</f>
        <v/>
      </c>
      <c r="B213" s="218" t="str">
        <f ca="1">IF(Tabel152[[#This Row],[Rood Verdediging]]&lt;&gt;"",IF(B213="",NOW(),B213),"")</f>
        <v/>
      </c>
      <c r="C213" s="216" t="str">
        <f ca="1">IF(Tabel152[[#This Row],[Score]]&lt;&gt;"",IF(C213="",NOW(),C213),"")</f>
        <v/>
      </c>
      <c r="D213" s="217" t="str">
        <f ca="1">IF(OR(Tabel152[[#This Row],[Starttijd]]="",Tabel152[[#This Row],[Eindtijd]]=""),"",Tabel152[[#This Row],[Eindtijd]]-Tabel152[[#This Row],[Starttijd]])</f>
        <v/>
      </c>
      <c r="E213" s="74">
        <v>212</v>
      </c>
      <c r="F213" s="205"/>
      <c r="G213" s="210"/>
      <c r="H213" s="205"/>
      <c r="I213" s="210"/>
      <c r="J213" s="206"/>
      <c r="K213" s="212"/>
      <c r="L213" s="206"/>
      <c r="M213" s="212"/>
      <c r="N213" s="79">
        <f>Tabel152[[#This Row],[Score]]+Tabel152[[#This Row],[Score2]]</f>
        <v>0</v>
      </c>
      <c r="O213" s="80">
        <f>Tabel152[[#This Row],[Score3]]+Tabel152[[#This Row],[Score4]]</f>
        <v>0</v>
      </c>
      <c r="P21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Row],[Score4]]&lt;&gt;""),IF(AND(N213&gt;O213,N213&gt;=11),"ROOD",IF(AND(O213&gt;=11,N213&lt;&gt;O213),"GROEN","")),"")</f>
        <v/>
      </c>
      <c r="Q213" s="84">
        <f t="shared" si="20"/>
        <v>0</v>
      </c>
      <c r="R213" s="85">
        <f t="shared" si="21"/>
        <v>0</v>
      </c>
      <c r="S213" s="293" t="str">
        <f>Tabel152[[#This Row],[Rood Verdediging]]&amp;Tabel152[[#This Row],[Rood Aanval]]</f>
        <v/>
      </c>
      <c r="T213" s="293" t="str">
        <f>Tabel152[[#This Row],[Groen Verdediging]]&amp;Tabel152[[#This Row],[Groen Aanval]]</f>
        <v/>
      </c>
      <c r="U213" s="293" t="str">
        <f>Tabel152[[#This Row],[Winnaar 1]]&amp;Tabel152[[#This Row],[Winnaar 2]]</f>
        <v>00</v>
      </c>
      <c r="V213" s="147" t="b">
        <f>IF(Tabel152[[#This Row],[Team Rood]]=Tabel152[[#This Row],[Winnaars]],Tabel152[[#This Row],[Team Rood]])</f>
        <v>0</v>
      </c>
      <c r="W213" s="147" t="b">
        <f>IF(Tabel152[[#This Row],[Team Groen]]=Tabel152[[#This Row],[Winnaars]],Tabel152[[#This Row],[Team Groen]])</f>
        <v>0</v>
      </c>
      <c r="X213" s="283"/>
      <c r="Y213" s="283"/>
      <c r="Z213" s="283"/>
      <c r="AA213" s="283"/>
    </row>
    <row r="214" spans="1:27" x14ac:dyDescent="0.25">
      <c r="A214" s="215" t="str">
        <f ca="1">IF(Tabel152[[#This Row],[Rood Verdediging]]&lt;&gt;"",IF(A214="",NOW(),A214),"")</f>
        <v/>
      </c>
      <c r="B214" s="218" t="str">
        <f ca="1">IF(Tabel152[[#This Row],[Rood Verdediging]]&lt;&gt;"",IF(B214="",NOW(),B214),"")</f>
        <v/>
      </c>
      <c r="C214" s="216" t="str">
        <f ca="1">IF(Tabel152[[#This Row],[Score]]&lt;&gt;"",IF(C214="",NOW(),C214),"")</f>
        <v/>
      </c>
      <c r="D214" s="217" t="str">
        <f ca="1">IF(OR(Tabel152[[#This Row],[Starttijd]]="",Tabel152[[#This Row],[Eindtijd]]=""),"",Tabel152[[#This Row],[Eindtijd]]-Tabel152[[#This Row],[Starttijd]])</f>
        <v/>
      </c>
      <c r="E214" s="74">
        <v>213</v>
      </c>
      <c r="F214" s="205"/>
      <c r="G214" s="210"/>
      <c r="H214" s="205"/>
      <c r="I214" s="210"/>
      <c r="J214" s="206"/>
      <c r="K214" s="212"/>
      <c r="L214" s="206"/>
      <c r="M214" s="212"/>
      <c r="N214" s="79">
        <f>Tabel152[[#This Row],[Score]]+Tabel152[[#This Row],[Score2]]</f>
        <v>0</v>
      </c>
      <c r="O214" s="80">
        <f>Tabel152[[#This Row],[Score3]]+Tabel152[[#This Row],[Score4]]</f>
        <v>0</v>
      </c>
      <c r="P21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Row],[Score4]]&lt;&gt;""),IF(AND(N214&gt;O214,N214&gt;=11),"ROOD",IF(AND(O214&gt;=11,N214&lt;&gt;O214),"GROEN","")),"")</f>
        <v/>
      </c>
      <c r="Q214" s="84">
        <f t="shared" si="20"/>
        <v>0</v>
      </c>
      <c r="R214" s="85">
        <f t="shared" si="21"/>
        <v>0</v>
      </c>
      <c r="S214" s="293" t="str">
        <f>Tabel152[[#This Row],[Rood Verdediging]]&amp;Tabel152[[#This Row],[Rood Aanval]]</f>
        <v/>
      </c>
      <c r="T214" s="293" t="str">
        <f>Tabel152[[#This Row],[Groen Verdediging]]&amp;Tabel152[[#This Row],[Groen Aanval]]</f>
        <v/>
      </c>
      <c r="U214" s="293" t="str">
        <f>Tabel152[[#This Row],[Winnaar 1]]&amp;Tabel152[[#This Row],[Winnaar 2]]</f>
        <v>00</v>
      </c>
      <c r="V214" s="147" t="b">
        <f>IF(Tabel152[[#This Row],[Team Rood]]=Tabel152[[#This Row],[Winnaars]],Tabel152[[#This Row],[Team Rood]])</f>
        <v>0</v>
      </c>
      <c r="W214" s="147" t="b">
        <f>IF(Tabel152[[#This Row],[Team Groen]]=Tabel152[[#This Row],[Winnaars]],Tabel152[[#This Row],[Team Groen]])</f>
        <v>0</v>
      </c>
      <c r="X214" s="283"/>
      <c r="Y214" s="283"/>
      <c r="Z214" s="283"/>
      <c r="AA214" s="283"/>
    </row>
    <row r="215" spans="1:27" x14ac:dyDescent="0.25">
      <c r="A215" s="215" t="str">
        <f ca="1">IF(Tabel152[[#This Row],[Rood Verdediging]]&lt;&gt;"",IF(A215="",NOW(),A215),"")</f>
        <v/>
      </c>
      <c r="B215" s="218" t="str">
        <f ca="1">IF(Tabel152[[#This Row],[Rood Verdediging]]&lt;&gt;"",IF(B215="",NOW(),B215),"")</f>
        <v/>
      </c>
      <c r="C215" s="216" t="str">
        <f ca="1">IF(Tabel152[[#This Row],[Score]]&lt;&gt;"",IF(C215="",NOW(),C215),"")</f>
        <v/>
      </c>
      <c r="D215" s="217" t="str">
        <f ca="1">IF(OR(Tabel152[[#This Row],[Starttijd]]="",Tabel152[[#This Row],[Eindtijd]]=""),"",Tabel152[[#This Row],[Eindtijd]]-Tabel152[[#This Row],[Starttijd]])</f>
        <v/>
      </c>
      <c r="E215" s="74">
        <v>214</v>
      </c>
      <c r="F215" s="205"/>
      <c r="G215" s="210"/>
      <c r="H215" s="205"/>
      <c r="I215" s="210"/>
      <c r="J215" s="206"/>
      <c r="K215" s="212"/>
      <c r="L215" s="206"/>
      <c r="M215" s="212"/>
      <c r="N215" s="79">
        <f>Tabel152[[#This Row],[Score]]+Tabel152[[#This Row],[Score2]]</f>
        <v>0</v>
      </c>
      <c r="O215" s="80">
        <f>Tabel152[[#This Row],[Score3]]+Tabel152[[#This Row],[Score4]]</f>
        <v>0</v>
      </c>
      <c r="P21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Row],[Score4]]&lt;&gt;""),IF(AND(N215&gt;O215,N215&gt;=11),"ROOD",IF(AND(O215&gt;=11,N215&lt;&gt;O215),"GROEN","")),"")</f>
        <v/>
      </c>
      <c r="Q215" s="84">
        <f t="shared" si="20"/>
        <v>0</v>
      </c>
      <c r="R215" s="85">
        <f t="shared" si="21"/>
        <v>0</v>
      </c>
      <c r="S215" s="293" t="str">
        <f>Tabel152[[#This Row],[Rood Verdediging]]&amp;Tabel152[[#This Row],[Rood Aanval]]</f>
        <v/>
      </c>
      <c r="T215" s="293" t="str">
        <f>Tabel152[[#This Row],[Groen Verdediging]]&amp;Tabel152[[#This Row],[Groen Aanval]]</f>
        <v/>
      </c>
      <c r="U215" s="293" t="str">
        <f>Tabel152[[#This Row],[Winnaar 1]]&amp;Tabel152[[#This Row],[Winnaar 2]]</f>
        <v>00</v>
      </c>
      <c r="V215" s="147" t="b">
        <f>IF(Tabel152[[#This Row],[Team Rood]]=Tabel152[[#This Row],[Winnaars]],Tabel152[[#This Row],[Team Rood]])</f>
        <v>0</v>
      </c>
      <c r="W215" s="147" t="b">
        <f>IF(Tabel152[[#This Row],[Team Groen]]=Tabel152[[#This Row],[Winnaars]],Tabel152[[#This Row],[Team Groen]])</f>
        <v>0</v>
      </c>
      <c r="X215" s="283"/>
      <c r="Y215" s="283"/>
      <c r="Z215" s="283"/>
      <c r="AA215" s="283"/>
    </row>
    <row r="216" spans="1:27" x14ac:dyDescent="0.25">
      <c r="A216" s="215" t="str">
        <f ca="1">IF(Tabel152[[#This Row],[Rood Verdediging]]&lt;&gt;"",IF(A216="",NOW(),A216),"")</f>
        <v/>
      </c>
      <c r="B216" s="218" t="str">
        <f ca="1">IF(Tabel152[[#This Row],[Rood Verdediging]]&lt;&gt;"",IF(B216="",NOW(),B216),"")</f>
        <v/>
      </c>
      <c r="C216" s="216" t="str">
        <f ca="1">IF(Tabel152[[#This Row],[Score]]&lt;&gt;"",IF(C216="",NOW(),C216),"")</f>
        <v/>
      </c>
      <c r="D216" s="217" t="str">
        <f ca="1">IF(OR(Tabel152[[#This Row],[Starttijd]]="",Tabel152[[#This Row],[Eindtijd]]=""),"",Tabel152[[#This Row],[Eindtijd]]-Tabel152[[#This Row],[Starttijd]])</f>
        <v/>
      </c>
      <c r="E216" s="74">
        <v>215</v>
      </c>
      <c r="F216" s="205"/>
      <c r="G216" s="210"/>
      <c r="H216" s="205"/>
      <c r="I216" s="210"/>
      <c r="J216" s="206"/>
      <c r="K216" s="212"/>
      <c r="L216" s="206"/>
      <c r="M216" s="212"/>
      <c r="N216" s="79">
        <f>Tabel152[[#This Row],[Score]]+Tabel152[[#This Row],[Score2]]</f>
        <v>0</v>
      </c>
      <c r="O216" s="80">
        <f>Tabel152[[#This Row],[Score3]]+Tabel152[[#This Row],[Score4]]</f>
        <v>0</v>
      </c>
      <c r="P21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Row],[Score4]]&lt;&gt;""),IF(AND(N216&gt;O216,N216&gt;=11),"ROOD",IF(AND(O216&gt;=11,N216&lt;&gt;O216),"GROEN","")),"")</f>
        <v/>
      </c>
      <c r="Q216" s="84">
        <f t="shared" si="20"/>
        <v>0</v>
      </c>
      <c r="R216" s="85">
        <f t="shared" si="21"/>
        <v>0</v>
      </c>
      <c r="S216" s="293" t="str">
        <f>Tabel152[[#This Row],[Rood Verdediging]]&amp;Tabel152[[#This Row],[Rood Aanval]]</f>
        <v/>
      </c>
      <c r="T216" s="293" t="str">
        <f>Tabel152[[#This Row],[Groen Verdediging]]&amp;Tabel152[[#This Row],[Groen Aanval]]</f>
        <v/>
      </c>
      <c r="U216" s="293" t="str">
        <f>Tabel152[[#This Row],[Winnaar 1]]&amp;Tabel152[[#This Row],[Winnaar 2]]</f>
        <v>00</v>
      </c>
      <c r="V216" s="147" t="b">
        <f>IF(Tabel152[[#This Row],[Team Rood]]=Tabel152[[#This Row],[Winnaars]],Tabel152[[#This Row],[Team Rood]])</f>
        <v>0</v>
      </c>
      <c r="W216" s="147" t="b">
        <f>IF(Tabel152[[#This Row],[Team Groen]]=Tabel152[[#This Row],[Winnaars]],Tabel152[[#This Row],[Team Groen]])</f>
        <v>0</v>
      </c>
      <c r="X216" s="283"/>
      <c r="Y216" s="283"/>
      <c r="Z216" s="283"/>
      <c r="AA216" s="283"/>
    </row>
    <row r="217" spans="1:27" x14ac:dyDescent="0.25">
      <c r="A217" s="215" t="str">
        <f ca="1">IF(Tabel152[[#This Row],[Rood Verdediging]]&lt;&gt;"",IF(A217="",NOW(),A217),"")</f>
        <v/>
      </c>
      <c r="B217" s="218" t="str">
        <f ca="1">IF(Tabel152[[#This Row],[Rood Verdediging]]&lt;&gt;"",IF(B217="",NOW(),B217),"")</f>
        <v/>
      </c>
      <c r="C217" s="216" t="str">
        <f ca="1">IF(Tabel152[[#This Row],[Score]]&lt;&gt;"",IF(C217="",NOW(),C217),"")</f>
        <v/>
      </c>
      <c r="D217" s="217" t="str">
        <f ca="1">IF(OR(Tabel152[[#This Row],[Starttijd]]="",Tabel152[[#This Row],[Eindtijd]]=""),"",Tabel152[[#This Row],[Eindtijd]]-Tabel152[[#This Row],[Starttijd]])</f>
        <v/>
      </c>
      <c r="E217" s="74">
        <v>216</v>
      </c>
      <c r="F217" s="205"/>
      <c r="G217" s="210"/>
      <c r="H217" s="205"/>
      <c r="I217" s="210"/>
      <c r="J217" s="206"/>
      <c r="K217" s="212"/>
      <c r="L217" s="206"/>
      <c r="M217" s="212"/>
      <c r="N217" s="79">
        <f>Tabel152[[#This Row],[Score]]+Tabel152[[#This Row],[Score2]]</f>
        <v>0</v>
      </c>
      <c r="O217" s="80">
        <f>Tabel152[[#This Row],[Score3]]+Tabel152[[#This Row],[Score4]]</f>
        <v>0</v>
      </c>
      <c r="P21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Row],[Score4]]&lt;&gt;""),IF(AND(N217&gt;O217,N217&gt;=11),"ROOD",IF(AND(O217&gt;=11,N217&lt;&gt;O217),"GROEN","")),"")</f>
        <v/>
      </c>
      <c r="Q217" s="84">
        <f t="shared" si="20"/>
        <v>0</v>
      </c>
      <c r="R217" s="85">
        <f t="shared" si="21"/>
        <v>0</v>
      </c>
      <c r="S217" s="293" t="str">
        <f>Tabel152[[#This Row],[Rood Verdediging]]&amp;Tabel152[[#This Row],[Rood Aanval]]</f>
        <v/>
      </c>
      <c r="T217" s="293" t="str">
        <f>Tabel152[[#This Row],[Groen Verdediging]]&amp;Tabel152[[#This Row],[Groen Aanval]]</f>
        <v/>
      </c>
      <c r="U217" s="293" t="str">
        <f>Tabel152[[#This Row],[Winnaar 1]]&amp;Tabel152[[#This Row],[Winnaar 2]]</f>
        <v>00</v>
      </c>
      <c r="V217" s="147" t="b">
        <f>IF(Tabel152[[#This Row],[Team Rood]]=Tabel152[[#This Row],[Winnaars]],Tabel152[[#This Row],[Team Rood]])</f>
        <v>0</v>
      </c>
      <c r="W217" s="147" t="b">
        <f>IF(Tabel152[[#This Row],[Team Groen]]=Tabel152[[#This Row],[Winnaars]],Tabel152[[#This Row],[Team Groen]])</f>
        <v>0</v>
      </c>
      <c r="X217" s="283"/>
      <c r="Y217" s="283"/>
      <c r="Z217" s="283"/>
      <c r="AA217" s="283"/>
    </row>
    <row r="218" spans="1:27" x14ac:dyDescent="0.25">
      <c r="A218" s="215" t="str">
        <f ca="1">IF(Tabel152[[#This Row],[Rood Verdediging]]&lt;&gt;"",IF(A218="",NOW(),A218),"")</f>
        <v/>
      </c>
      <c r="B218" s="218" t="str">
        <f ca="1">IF(Tabel152[[#This Row],[Rood Verdediging]]&lt;&gt;"",IF(B218="",NOW(),B218),"")</f>
        <v/>
      </c>
      <c r="C218" s="216" t="str">
        <f ca="1">IF(Tabel152[[#This Row],[Score]]&lt;&gt;"",IF(C218="",NOW(),C218),"")</f>
        <v/>
      </c>
      <c r="D218" s="217" t="str">
        <f ca="1">IF(OR(Tabel152[[#This Row],[Starttijd]]="",Tabel152[[#This Row],[Eindtijd]]=""),"",Tabel152[[#This Row],[Eindtijd]]-Tabel152[[#This Row],[Starttijd]])</f>
        <v/>
      </c>
      <c r="E218" s="74">
        <v>217</v>
      </c>
      <c r="F218" s="205"/>
      <c r="G218" s="210"/>
      <c r="H218" s="205"/>
      <c r="I218" s="210"/>
      <c r="J218" s="206"/>
      <c r="K218" s="212"/>
      <c r="L218" s="206"/>
      <c r="M218" s="212"/>
      <c r="N218" s="79">
        <f>Tabel152[[#This Row],[Score]]+Tabel152[[#This Row],[Score2]]</f>
        <v>0</v>
      </c>
      <c r="O218" s="80">
        <f>Tabel152[[#This Row],[Score3]]+Tabel152[[#This Row],[Score4]]</f>
        <v>0</v>
      </c>
      <c r="P21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Row],[Score4]]&lt;&gt;""),IF(AND(N218&gt;O218,N218&gt;=11),"ROOD",IF(AND(O218&gt;=11,N218&lt;&gt;O218),"GROEN","")),"")</f>
        <v/>
      </c>
      <c r="Q218" s="84">
        <f t="shared" si="20"/>
        <v>0</v>
      </c>
      <c r="R218" s="85">
        <f t="shared" si="21"/>
        <v>0</v>
      </c>
      <c r="S218" s="293" t="str">
        <f>Tabel152[[#This Row],[Rood Verdediging]]&amp;Tabel152[[#This Row],[Rood Aanval]]</f>
        <v/>
      </c>
      <c r="T218" s="293" t="str">
        <f>Tabel152[[#This Row],[Groen Verdediging]]&amp;Tabel152[[#This Row],[Groen Aanval]]</f>
        <v/>
      </c>
      <c r="U218" s="293" t="str">
        <f>Tabel152[[#This Row],[Winnaar 1]]&amp;Tabel152[[#This Row],[Winnaar 2]]</f>
        <v>00</v>
      </c>
      <c r="V218" s="147" t="b">
        <f>IF(Tabel152[[#This Row],[Team Rood]]=Tabel152[[#This Row],[Winnaars]],Tabel152[[#This Row],[Team Rood]])</f>
        <v>0</v>
      </c>
      <c r="W218" s="147" t="b">
        <f>IF(Tabel152[[#This Row],[Team Groen]]=Tabel152[[#This Row],[Winnaars]],Tabel152[[#This Row],[Team Groen]])</f>
        <v>0</v>
      </c>
      <c r="X218" s="283"/>
      <c r="Y218" s="283"/>
      <c r="Z218" s="283"/>
      <c r="AA218" s="283"/>
    </row>
    <row r="219" spans="1:27" x14ac:dyDescent="0.25">
      <c r="A219" s="215" t="str">
        <f ca="1">IF(Tabel152[[#This Row],[Rood Verdediging]]&lt;&gt;"",IF(A219="",NOW(),A219),"")</f>
        <v/>
      </c>
      <c r="B219" s="218" t="str">
        <f ca="1">IF(Tabel152[[#This Row],[Rood Verdediging]]&lt;&gt;"",IF(B219="",NOW(),B219),"")</f>
        <v/>
      </c>
      <c r="C219" s="216" t="str">
        <f ca="1">IF(Tabel152[[#This Row],[Score]]&lt;&gt;"",IF(C219="",NOW(),C219),"")</f>
        <v/>
      </c>
      <c r="D219" s="217" t="str">
        <f ca="1">IF(OR(Tabel152[[#This Row],[Starttijd]]="",Tabel152[[#This Row],[Eindtijd]]=""),"",Tabel152[[#This Row],[Eindtijd]]-Tabel152[[#This Row],[Starttijd]])</f>
        <v/>
      </c>
      <c r="E219" s="74">
        <v>218</v>
      </c>
      <c r="F219" s="205"/>
      <c r="G219" s="210"/>
      <c r="H219" s="205"/>
      <c r="I219" s="210"/>
      <c r="J219" s="206"/>
      <c r="K219" s="212"/>
      <c r="L219" s="206"/>
      <c r="M219" s="212"/>
      <c r="N219" s="79">
        <f>Tabel152[[#This Row],[Score]]+Tabel152[[#This Row],[Score2]]</f>
        <v>0</v>
      </c>
      <c r="O219" s="80">
        <f>Tabel152[[#This Row],[Score3]]+Tabel152[[#This Row],[Score4]]</f>
        <v>0</v>
      </c>
      <c r="P21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Row],[Score4]]&lt;&gt;""),IF(AND(N219&gt;O219,N219&gt;=11),"ROOD",IF(AND(O219&gt;=11,N219&lt;&gt;O219),"GROEN","")),"")</f>
        <v/>
      </c>
      <c r="Q219" s="84">
        <f t="shared" si="20"/>
        <v>0</v>
      </c>
      <c r="R219" s="85">
        <f t="shared" si="21"/>
        <v>0</v>
      </c>
      <c r="S219" s="293" t="str">
        <f>Tabel152[[#This Row],[Rood Verdediging]]&amp;Tabel152[[#This Row],[Rood Aanval]]</f>
        <v/>
      </c>
      <c r="T219" s="293" t="str">
        <f>Tabel152[[#This Row],[Groen Verdediging]]&amp;Tabel152[[#This Row],[Groen Aanval]]</f>
        <v/>
      </c>
      <c r="U219" s="293" t="str">
        <f>Tabel152[[#This Row],[Winnaar 1]]&amp;Tabel152[[#This Row],[Winnaar 2]]</f>
        <v>00</v>
      </c>
      <c r="V219" s="147" t="b">
        <f>IF(Tabel152[[#This Row],[Team Rood]]=Tabel152[[#This Row],[Winnaars]],Tabel152[[#This Row],[Team Rood]])</f>
        <v>0</v>
      </c>
      <c r="W219" s="147" t="b">
        <f>IF(Tabel152[[#This Row],[Team Groen]]=Tabel152[[#This Row],[Winnaars]],Tabel152[[#This Row],[Team Groen]])</f>
        <v>0</v>
      </c>
      <c r="X219" s="283"/>
      <c r="Y219" s="283"/>
      <c r="Z219" s="283"/>
      <c r="AA219" s="283"/>
    </row>
    <row r="220" spans="1:27" x14ac:dyDescent="0.25">
      <c r="A220" s="215" t="str">
        <f ca="1">IF(Tabel152[[#This Row],[Rood Verdediging]]&lt;&gt;"",IF(A220="",NOW(),A220),"")</f>
        <v/>
      </c>
      <c r="B220" s="218" t="str">
        <f ca="1">IF(Tabel152[[#This Row],[Rood Verdediging]]&lt;&gt;"",IF(B220="",NOW(),B220),"")</f>
        <v/>
      </c>
      <c r="C220" s="216" t="str">
        <f ca="1">IF(Tabel152[[#This Row],[Score]]&lt;&gt;"",IF(C220="",NOW(),C220),"")</f>
        <v/>
      </c>
      <c r="D220" s="217" t="str">
        <f ca="1">IF(OR(Tabel152[[#This Row],[Starttijd]]="",Tabel152[[#This Row],[Eindtijd]]=""),"",Tabel152[[#This Row],[Eindtijd]]-Tabel152[[#This Row],[Starttijd]])</f>
        <v/>
      </c>
      <c r="E220" s="74">
        <v>219</v>
      </c>
      <c r="F220" s="205"/>
      <c r="G220" s="210"/>
      <c r="H220" s="205"/>
      <c r="I220" s="210"/>
      <c r="J220" s="206"/>
      <c r="K220" s="212"/>
      <c r="L220" s="206"/>
      <c r="M220" s="212"/>
      <c r="N220" s="79">
        <f>Tabel152[[#This Row],[Score]]+Tabel152[[#This Row],[Score2]]</f>
        <v>0</v>
      </c>
      <c r="O220" s="80">
        <f>Tabel152[[#This Row],[Score3]]+Tabel152[[#This Row],[Score4]]</f>
        <v>0</v>
      </c>
      <c r="P22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Row],[Score4]]&lt;&gt;""),IF(AND(N220&gt;O220,N220&gt;=11),"ROOD",IF(AND(O220&gt;=11,N220&lt;&gt;O220),"GROEN","")),"")</f>
        <v/>
      </c>
      <c r="Q220" s="84">
        <f t="shared" si="20"/>
        <v>0</v>
      </c>
      <c r="R220" s="85">
        <f t="shared" si="21"/>
        <v>0</v>
      </c>
      <c r="S220" s="293" t="str">
        <f>Tabel152[[#This Row],[Rood Verdediging]]&amp;Tabel152[[#This Row],[Rood Aanval]]</f>
        <v/>
      </c>
      <c r="T220" s="293" t="str">
        <f>Tabel152[[#This Row],[Groen Verdediging]]&amp;Tabel152[[#This Row],[Groen Aanval]]</f>
        <v/>
      </c>
      <c r="U220" s="293" t="str">
        <f>Tabel152[[#This Row],[Winnaar 1]]&amp;Tabel152[[#This Row],[Winnaar 2]]</f>
        <v>00</v>
      </c>
      <c r="V220" s="147" t="b">
        <f>IF(Tabel152[[#This Row],[Team Rood]]=Tabel152[[#This Row],[Winnaars]],Tabel152[[#This Row],[Team Rood]])</f>
        <v>0</v>
      </c>
      <c r="W220" s="147" t="b">
        <f>IF(Tabel152[[#This Row],[Team Groen]]=Tabel152[[#This Row],[Winnaars]],Tabel152[[#This Row],[Team Groen]])</f>
        <v>0</v>
      </c>
      <c r="X220" s="283"/>
      <c r="Y220" s="283"/>
      <c r="Z220" s="283"/>
      <c r="AA220" s="283"/>
    </row>
    <row r="221" spans="1:27" x14ac:dyDescent="0.25">
      <c r="A221" s="215" t="str">
        <f ca="1">IF(Tabel152[[#This Row],[Rood Verdediging]]&lt;&gt;"",IF(A221="",NOW(),A221),"")</f>
        <v/>
      </c>
      <c r="B221" s="218" t="str">
        <f ca="1">IF(Tabel152[[#This Row],[Rood Verdediging]]&lt;&gt;"",IF(B221="",NOW(),B221),"")</f>
        <v/>
      </c>
      <c r="C221" s="216" t="str">
        <f ca="1">IF(Tabel152[[#This Row],[Score]]&lt;&gt;"",IF(C221="",NOW(),C221),"")</f>
        <v/>
      </c>
      <c r="D221" s="217" t="str">
        <f ca="1">IF(OR(Tabel152[[#This Row],[Starttijd]]="",Tabel152[[#This Row],[Eindtijd]]=""),"",Tabel152[[#This Row],[Eindtijd]]-Tabel152[[#This Row],[Starttijd]])</f>
        <v/>
      </c>
      <c r="E221" s="74">
        <v>220</v>
      </c>
      <c r="F221" s="205"/>
      <c r="G221" s="210"/>
      <c r="H221" s="205"/>
      <c r="I221" s="210"/>
      <c r="J221" s="206"/>
      <c r="K221" s="212"/>
      <c r="L221" s="206"/>
      <c r="M221" s="212"/>
      <c r="N221" s="79">
        <f>Tabel152[[#This Row],[Score]]+Tabel152[[#This Row],[Score2]]</f>
        <v>0</v>
      </c>
      <c r="O221" s="80">
        <f>Tabel152[[#This Row],[Score3]]+Tabel152[[#This Row],[Score4]]</f>
        <v>0</v>
      </c>
      <c r="P22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Row],[Score4]]&lt;&gt;""),IF(AND(N221&gt;O221,N221&gt;=11),"ROOD",IF(AND(O221&gt;=11,N221&lt;&gt;O221),"GROEN","")),"")</f>
        <v/>
      </c>
      <c r="Q221" s="84">
        <f t="shared" si="20"/>
        <v>0</v>
      </c>
      <c r="R221" s="85">
        <f t="shared" si="21"/>
        <v>0</v>
      </c>
      <c r="S221" s="293" t="str">
        <f>Tabel152[[#This Row],[Rood Verdediging]]&amp;Tabel152[[#This Row],[Rood Aanval]]</f>
        <v/>
      </c>
      <c r="T221" s="293" t="str">
        <f>Tabel152[[#This Row],[Groen Verdediging]]&amp;Tabel152[[#This Row],[Groen Aanval]]</f>
        <v/>
      </c>
      <c r="U221" s="293" t="str">
        <f>Tabel152[[#This Row],[Winnaar 1]]&amp;Tabel152[[#This Row],[Winnaar 2]]</f>
        <v>00</v>
      </c>
      <c r="V221" s="147" t="b">
        <f>IF(Tabel152[[#This Row],[Team Rood]]=Tabel152[[#This Row],[Winnaars]],Tabel152[[#This Row],[Team Rood]])</f>
        <v>0</v>
      </c>
      <c r="W221" s="147" t="b">
        <f>IF(Tabel152[[#This Row],[Team Groen]]=Tabel152[[#This Row],[Winnaars]],Tabel152[[#This Row],[Team Groen]])</f>
        <v>0</v>
      </c>
      <c r="X221" s="283"/>
      <c r="Y221" s="283"/>
      <c r="Z221" s="283"/>
      <c r="AA221" s="283"/>
    </row>
    <row r="222" spans="1:27" x14ac:dyDescent="0.25">
      <c r="A222" s="215" t="str">
        <f ca="1">IF(Tabel152[[#This Row],[Rood Verdediging]]&lt;&gt;"",IF(A222="",NOW(),A222),"")</f>
        <v/>
      </c>
      <c r="B222" s="218" t="str">
        <f ca="1">IF(Tabel152[[#This Row],[Rood Verdediging]]&lt;&gt;"",IF(B222="",NOW(),B222),"")</f>
        <v/>
      </c>
      <c r="C222" s="216" t="str">
        <f ca="1">IF(Tabel152[[#This Row],[Score]]&lt;&gt;"",IF(C222="",NOW(),C222),"")</f>
        <v/>
      </c>
      <c r="D222" s="217" t="str">
        <f ca="1">IF(OR(Tabel152[[#This Row],[Starttijd]]="",Tabel152[[#This Row],[Eindtijd]]=""),"",Tabel152[[#This Row],[Eindtijd]]-Tabel152[[#This Row],[Starttijd]])</f>
        <v/>
      </c>
      <c r="E222" s="74">
        <v>221</v>
      </c>
      <c r="F222" s="205"/>
      <c r="G222" s="210"/>
      <c r="H222" s="205"/>
      <c r="I222" s="210"/>
      <c r="J222" s="206"/>
      <c r="K222" s="212"/>
      <c r="L222" s="206"/>
      <c r="M222" s="212"/>
      <c r="N222" s="79">
        <f>Tabel152[[#This Row],[Score]]+Tabel152[[#This Row],[Score2]]</f>
        <v>0</v>
      </c>
      <c r="O222" s="80">
        <f>Tabel152[[#This Row],[Score3]]+Tabel152[[#This Row],[Score4]]</f>
        <v>0</v>
      </c>
      <c r="P22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Row],[Score4]]&lt;&gt;""),IF(AND(N222&gt;O222,N222&gt;=11),"ROOD",IF(AND(O222&gt;=11,N222&lt;&gt;O222),"GROEN","")),"")</f>
        <v/>
      </c>
      <c r="Q222" s="84">
        <f t="shared" si="20"/>
        <v>0</v>
      </c>
      <c r="R222" s="85">
        <f t="shared" si="21"/>
        <v>0</v>
      </c>
      <c r="S222" s="293" t="str">
        <f>Tabel152[[#This Row],[Rood Verdediging]]&amp;Tabel152[[#This Row],[Rood Aanval]]</f>
        <v/>
      </c>
      <c r="T222" s="293" t="str">
        <f>Tabel152[[#This Row],[Groen Verdediging]]&amp;Tabel152[[#This Row],[Groen Aanval]]</f>
        <v/>
      </c>
      <c r="U222" s="293" t="str">
        <f>Tabel152[[#This Row],[Winnaar 1]]&amp;Tabel152[[#This Row],[Winnaar 2]]</f>
        <v>00</v>
      </c>
      <c r="V222" s="147" t="b">
        <f>IF(Tabel152[[#This Row],[Team Rood]]=Tabel152[[#This Row],[Winnaars]],Tabel152[[#This Row],[Team Rood]])</f>
        <v>0</v>
      </c>
      <c r="W222" s="147" t="b">
        <f>IF(Tabel152[[#This Row],[Team Groen]]=Tabel152[[#This Row],[Winnaars]],Tabel152[[#This Row],[Team Groen]])</f>
        <v>0</v>
      </c>
      <c r="X222" s="283"/>
      <c r="Y222" s="283"/>
      <c r="Z222" s="283"/>
      <c r="AA222" s="283"/>
    </row>
    <row r="223" spans="1:27" x14ac:dyDescent="0.25">
      <c r="A223" s="215" t="str">
        <f ca="1">IF(Tabel152[[#This Row],[Rood Verdediging]]&lt;&gt;"",IF(A223="",NOW(),A223),"")</f>
        <v/>
      </c>
      <c r="B223" s="218" t="str">
        <f ca="1">IF(Tabel152[[#This Row],[Rood Verdediging]]&lt;&gt;"",IF(B223="",NOW(),B223),"")</f>
        <v/>
      </c>
      <c r="C223" s="216" t="str">
        <f ca="1">IF(Tabel152[[#This Row],[Score]]&lt;&gt;"",IF(C223="",NOW(),C223),"")</f>
        <v/>
      </c>
      <c r="D223" s="217" t="str">
        <f ca="1">IF(OR(Tabel152[[#This Row],[Starttijd]]="",Tabel152[[#This Row],[Eindtijd]]=""),"",Tabel152[[#This Row],[Eindtijd]]-Tabel152[[#This Row],[Starttijd]])</f>
        <v/>
      </c>
      <c r="E223" s="74">
        <v>222</v>
      </c>
      <c r="F223" s="205"/>
      <c r="G223" s="210"/>
      <c r="H223" s="205"/>
      <c r="I223" s="210"/>
      <c r="J223" s="206"/>
      <c r="K223" s="212"/>
      <c r="L223" s="206"/>
      <c r="M223" s="212"/>
      <c r="N223" s="79">
        <f>Tabel152[[#This Row],[Score]]+Tabel152[[#This Row],[Score2]]</f>
        <v>0</v>
      </c>
      <c r="O223" s="80">
        <f>Tabel152[[#This Row],[Score3]]+Tabel152[[#This Row],[Score4]]</f>
        <v>0</v>
      </c>
      <c r="P22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Row],[Score4]]&lt;&gt;""),IF(AND(N223&gt;O223,N223&gt;=11),"ROOD",IF(AND(O223&gt;=11,N223&lt;&gt;O223),"GROEN","")),"")</f>
        <v/>
      </c>
      <c r="Q223" s="84">
        <f t="shared" si="20"/>
        <v>0</v>
      </c>
      <c r="R223" s="85">
        <f t="shared" si="21"/>
        <v>0</v>
      </c>
      <c r="S223" s="293" t="str">
        <f>Tabel152[[#This Row],[Rood Verdediging]]&amp;Tabel152[[#This Row],[Rood Aanval]]</f>
        <v/>
      </c>
      <c r="T223" s="293" t="str">
        <f>Tabel152[[#This Row],[Groen Verdediging]]&amp;Tabel152[[#This Row],[Groen Aanval]]</f>
        <v/>
      </c>
      <c r="U223" s="293" t="str">
        <f>Tabel152[[#This Row],[Winnaar 1]]&amp;Tabel152[[#This Row],[Winnaar 2]]</f>
        <v>00</v>
      </c>
      <c r="V223" s="147" t="b">
        <f>IF(Tabel152[[#This Row],[Team Rood]]=Tabel152[[#This Row],[Winnaars]],Tabel152[[#This Row],[Team Rood]])</f>
        <v>0</v>
      </c>
      <c r="W223" s="147" t="b">
        <f>IF(Tabel152[[#This Row],[Team Groen]]=Tabel152[[#This Row],[Winnaars]],Tabel152[[#This Row],[Team Groen]])</f>
        <v>0</v>
      </c>
      <c r="X223" s="283"/>
      <c r="Y223" s="283"/>
      <c r="Z223" s="283"/>
      <c r="AA223" s="283"/>
    </row>
    <row r="224" spans="1:27" x14ac:dyDescent="0.25">
      <c r="A224" s="215" t="str">
        <f ca="1">IF(Tabel152[[#This Row],[Rood Verdediging]]&lt;&gt;"",IF(A224="",NOW(),A224),"")</f>
        <v/>
      </c>
      <c r="B224" s="218" t="str">
        <f ca="1">IF(Tabel152[[#This Row],[Rood Verdediging]]&lt;&gt;"",IF(B224="",NOW(),B224),"")</f>
        <v/>
      </c>
      <c r="C224" s="216" t="str">
        <f ca="1">IF(Tabel152[[#This Row],[Score]]&lt;&gt;"",IF(C224="",NOW(),C224),"")</f>
        <v/>
      </c>
      <c r="D224" s="217" t="str">
        <f ca="1">IF(OR(Tabel152[[#This Row],[Starttijd]]="",Tabel152[[#This Row],[Eindtijd]]=""),"",Tabel152[[#This Row],[Eindtijd]]-Tabel152[[#This Row],[Starttijd]])</f>
        <v/>
      </c>
      <c r="E224" s="74">
        <v>223</v>
      </c>
      <c r="F224" s="205"/>
      <c r="G224" s="210"/>
      <c r="H224" s="205"/>
      <c r="I224" s="210"/>
      <c r="J224" s="206"/>
      <c r="K224" s="212"/>
      <c r="L224" s="206"/>
      <c r="M224" s="212"/>
      <c r="N224" s="79">
        <f>Tabel152[[#This Row],[Score]]+Tabel152[[#This Row],[Score2]]</f>
        <v>0</v>
      </c>
      <c r="O224" s="80">
        <f>Tabel152[[#This Row],[Score3]]+Tabel152[[#This Row],[Score4]]</f>
        <v>0</v>
      </c>
      <c r="P22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Row],[Score4]]&lt;&gt;""),IF(AND(N224&gt;O224,N224&gt;=11),"ROOD",IF(AND(O224&gt;=11,N224&lt;&gt;O224),"GROEN","")),"")</f>
        <v/>
      </c>
      <c r="Q224" s="84">
        <f t="shared" si="20"/>
        <v>0</v>
      </c>
      <c r="R224" s="85">
        <f t="shared" si="21"/>
        <v>0</v>
      </c>
      <c r="S224" s="293" t="str">
        <f>Tabel152[[#This Row],[Rood Verdediging]]&amp;Tabel152[[#This Row],[Rood Aanval]]</f>
        <v/>
      </c>
      <c r="T224" s="293" t="str">
        <f>Tabel152[[#This Row],[Groen Verdediging]]&amp;Tabel152[[#This Row],[Groen Aanval]]</f>
        <v/>
      </c>
      <c r="U224" s="293" t="str">
        <f>Tabel152[[#This Row],[Winnaar 1]]&amp;Tabel152[[#This Row],[Winnaar 2]]</f>
        <v>00</v>
      </c>
      <c r="V224" s="147" t="b">
        <f>IF(Tabel152[[#This Row],[Team Rood]]=Tabel152[[#This Row],[Winnaars]],Tabel152[[#This Row],[Team Rood]])</f>
        <v>0</v>
      </c>
      <c r="W224" s="147" t="b">
        <f>IF(Tabel152[[#This Row],[Team Groen]]=Tabel152[[#This Row],[Winnaars]],Tabel152[[#This Row],[Team Groen]])</f>
        <v>0</v>
      </c>
      <c r="X224" s="283"/>
      <c r="Y224" s="283"/>
      <c r="Z224" s="283"/>
      <c r="AA224" s="283"/>
    </row>
    <row r="225" spans="1:27" x14ac:dyDescent="0.25">
      <c r="A225" s="215" t="str">
        <f ca="1">IF(Tabel152[[#This Row],[Rood Verdediging]]&lt;&gt;"",IF(A225="",NOW(),A225),"")</f>
        <v/>
      </c>
      <c r="B225" s="218" t="str">
        <f ca="1">IF(Tabel152[[#This Row],[Rood Verdediging]]&lt;&gt;"",IF(B225="",NOW(),B225),"")</f>
        <v/>
      </c>
      <c r="C225" s="216" t="str">
        <f ca="1">IF(Tabel152[[#This Row],[Score]]&lt;&gt;"",IF(C225="",NOW(),C225),"")</f>
        <v/>
      </c>
      <c r="D225" s="217" t="str">
        <f ca="1">IF(OR(Tabel152[[#This Row],[Starttijd]]="",Tabel152[[#This Row],[Eindtijd]]=""),"",Tabel152[[#This Row],[Eindtijd]]-Tabel152[[#This Row],[Starttijd]])</f>
        <v/>
      </c>
      <c r="E225" s="74">
        <v>224</v>
      </c>
      <c r="F225" s="205"/>
      <c r="G225" s="210"/>
      <c r="H225" s="205"/>
      <c r="I225" s="210"/>
      <c r="J225" s="206"/>
      <c r="K225" s="212"/>
      <c r="L225" s="206"/>
      <c r="M225" s="212"/>
      <c r="N225" s="79">
        <f>Tabel152[[#This Row],[Score]]+Tabel152[[#This Row],[Score2]]</f>
        <v>0</v>
      </c>
      <c r="O225" s="80">
        <f>Tabel152[[#This Row],[Score3]]+Tabel152[[#This Row],[Score4]]</f>
        <v>0</v>
      </c>
      <c r="P22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Row],[Score4]]&lt;&gt;""),IF(AND(N225&gt;O225,N225&gt;=11),"ROOD",IF(AND(O225&gt;=11,N225&lt;&gt;O225),"GROEN","")),"")</f>
        <v/>
      </c>
      <c r="Q225" s="84">
        <f t="shared" si="20"/>
        <v>0</v>
      </c>
      <c r="R225" s="85">
        <f t="shared" si="21"/>
        <v>0</v>
      </c>
      <c r="S225" s="293" t="str">
        <f>Tabel152[[#This Row],[Rood Verdediging]]&amp;Tabel152[[#This Row],[Rood Aanval]]</f>
        <v/>
      </c>
      <c r="T225" s="293" t="str">
        <f>Tabel152[[#This Row],[Groen Verdediging]]&amp;Tabel152[[#This Row],[Groen Aanval]]</f>
        <v/>
      </c>
      <c r="U225" s="293" t="str">
        <f>Tabel152[[#This Row],[Winnaar 1]]&amp;Tabel152[[#This Row],[Winnaar 2]]</f>
        <v>00</v>
      </c>
      <c r="V225" s="147" t="b">
        <f>IF(Tabel152[[#This Row],[Team Rood]]=Tabel152[[#This Row],[Winnaars]],Tabel152[[#This Row],[Team Rood]])</f>
        <v>0</v>
      </c>
      <c r="W225" s="147" t="b">
        <f>IF(Tabel152[[#This Row],[Team Groen]]=Tabel152[[#This Row],[Winnaars]],Tabel152[[#This Row],[Team Groen]])</f>
        <v>0</v>
      </c>
      <c r="X225" s="283"/>
      <c r="Y225" s="283"/>
      <c r="Z225" s="283"/>
      <c r="AA225" s="283"/>
    </row>
    <row r="226" spans="1:27" x14ac:dyDescent="0.25">
      <c r="A226" s="215" t="str">
        <f ca="1">IF(Tabel152[[#This Row],[Rood Verdediging]]&lt;&gt;"",IF(A226="",NOW(),A226),"")</f>
        <v/>
      </c>
      <c r="B226" s="218" t="str">
        <f ca="1">IF(Tabel152[[#This Row],[Rood Verdediging]]&lt;&gt;"",IF(B226="",NOW(),B226),"")</f>
        <v/>
      </c>
      <c r="C226" s="216" t="str">
        <f ca="1">IF(Tabel152[[#This Row],[Score]]&lt;&gt;"",IF(C226="",NOW(),C226),"")</f>
        <v/>
      </c>
      <c r="D226" s="217" t="str">
        <f ca="1">IF(OR(Tabel152[[#This Row],[Starttijd]]="",Tabel152[[#This Row],[Eindtijd]]=""),"",Tabel152[[#This Row],[Eindtijd]]-Tabel152[[#This Row],[Starttijd]])</f>
        <v/>
      </c>
      <c r="E226" s="74">
        <v>225</v>
      </c>
      <c r="F226" s="205"/>
      <c r="G226" s="210"/>
      <c r="H226" s="205"/>
      <c r="I226" s="210"/>
      <c r="J226" s="206"/>
      <c r="K226" s="212"/>
      <c r="L226" s="206"/>
      <c r="M226" s="212"/>
      <c r="N226" s="79">
        <f>Tabel152[[#This Row],[Score]]+Tabel152[[#This Row],[Score2]]</f>
        <v>0</v>
      </c>
      <c r="O226" s="80">
        <f>Tabel152[[#This Row],[Score3]]+Tabel152[[#This Row],[Score4]]</f>
        <v>0</v>
      </c>
      <c r="P22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Row],[Score4]]&lt;&gt;""),IF(AND(N226&gt;O226,N226&gt;=11),"ROOD",IF(AND(O226&gt;=11,N226&lt;&gt;O226),"GROEN","")),"")</f>
        <v/>
      </c>
      <c r="Q226" s="84">
        <f t="shared" si="20"/>
        <v>0</v>
      </c>
      <c r="R226" s="85">
        <f t="shared" si="21"/>
        <v>0</v>
      </c>
      <c r="S226" s="293" t="str">
        <f>Tabel152[[#This Row],[Rood Verdediging]]&amp;Tabel152[[#This Row],[Rood Aanval]]</f>
        <v/>
      </c>
      <c r="T226" s="293" t="str">
        <f>Tabel152[[#This Row],[Groen Verdediging]]&amp;Tabel152[[#This Row],[Groen Aanval]]</f>
        <v/>
      </c>
      <c r="U226" s="293" t="str">
        <f>Tabel152[[#This Row],[Winnaar 1]]&amp;Tabel152[[#This Row],[Winnaar 2]]</f>
        <v>00</v>
      </c>
      <c r="V226" s="147" t="b">
        <f>IF(Tabel152[[#This Row],[Team Rood]]=Tabel152[[#This Row],[Winnaars]],Tabel152[[#This Row],[Team Rood]])</f>
        <v>0</v>
      </c>
      <c r="W226" s="147" t="b">
        <f>IF(Tabel152[[#This Row],[Team Groen]]=Tabel152[[#This Row],[Winnaars]],Tabel152[[#This Row],[Team Groen]])</f>
        <v>0</v>
      </c>
      <c r="X226" s="283"/>
      <c r="Y226" s="283"/>
      <c r="Z226" s="283"/>
      <c r="AA226" s="283"/>
    </row>
    <row r="227" spans="1:27" x14ac:dyDescent="0.25">
      <c r="A227" s="215" t="str">
        <f ca="1">IF(Tabel152[[#This Row],[Rood Verdediging]]&lt;&gt;"",IF(A227="",NOW(),A227),"")</f>
        <v/>
      </c>
      <c r="B227" s="218" t="str">
        <f ca="1">IF(Tabel152[[#This Row],[Rood Verdediging]]&lt;&gt;"",IF(B227="",NOW(),B227),"")</f>
        <v/>
      </c>
      <c r="C227" s="216" t="str">
        <f ca="1">IF(Tabel152[[#This Row],[Score]]&lt;&gt;"",IF(C227="",NOW(),C227),"")</f>
        <v/>
      </c>
      <c r="D227" s="217" t="str">
        <f ca="1">IF(OR(Tabel152[[#This Row],[Starttijd]]="",Tabel152[[#This Row],[Eindtijd]]=""),"",Tabel152[[#This Row],[Eindtijd]]-Tabel152[[#This Row],[Starttijd]])</f>
        <v/>
      </c>
      <c r="E227" s="74">
        <v>226</v>
      </c>
      <c r="F227" s="205"/>
      <c r="G227" s="210"/>
      <c r="H227" s="205"/>
      <c r="I227" s="210"/>
      <c r="J227" s="206"/>
      <c r="K227" s="212"/>
      <c r="L227" s="206"/>
      <c r="M227" s="212"/>
      <c r="N227" s="79">
        <f>Tabel152[[#This Row],[Score]]+Tabel152[[#This Row],[Score2]]</f>
        <v>0</v>
      </c>
      <c r="O227" s="80">
        <f>Tabel152[[#This Row],[Score3]]+Tabel152[[#This Row],[Score4]]</f>
        <v>0</v>
      </c>
      <c r="P22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Row],[Score4]]&lt;&gt;""),IF(AND(N227&gt;O227,N227&gt;=11),"ROOD",IF(AND(O227&gt;=11,N227&lt;&gt;O227),"GROEN","")),"")</f>
        <v/>
      </c>
      <c r="Q227" s="84">
        <f t="shared" si="20"/>
        <v>0</v>
      </c>
      <c r="R227" s="85">
        <f t="shared" si="21"/>
        <v>0</v>
      </c>
      <c r="S227" s="293" t="str">
        <f>Tabel152[[#This Row],[Rood Verdediging]]&amp;Tabel152[[#This Row],[Rood Aanval]]</f>
        <v/>
      </c>
      <c r="T227" s="293" t="str">
        <f>Tabel152[[#This Row],[Groen Verdediging]]&amp;Tabel152[[#This Row],[Groen Aanval]]</f>
        <v/>
      </c>
      <c r="U227" s="293" t="str">
        <f>Tabel152[[#This Row],[Winnaar 1]]&amp;Tabel152[[#This Row],[Winnaar 2]]</f>
        <v>00</v>
      </c>
      <c r="V227" s="147" t="b">
        <f>IF(Tabel152[[#This Row],[Team Rood]]=Tabel152[[#This Row],[Winnaars]],Tabel152[[#This Row],[Team Rood]])</f>
        <v>0</v>
      </c>
      <c r="W227" s="147" t="b">
        <f>IF(Tabel152[[#This Row],[Team Groen]]=Tabel152[[#This Row],[Winnaars]],Tabel152[[#This Row],[Team Groen]])</f>
        <v>0</v>
      </c>
      <c r="X227" s="283"/>
      <c r="Y227" s="283"/>
      <c r="Z227" s="283"/>
      <c r="AA227" s="283"/>
    </row>
    <row r="228" spans="1:27" x14ac:dyDescent="0.25">
      <c r="A228" s="215" t="str">
        <f ca="1">IF(Tabel152[[#This Row],[Rood Verdediging]]&lt;&gt;"",IF(A228="",NOW(),A228),"")</f>
        <v/>
      </c>
      <c r="B228" s="218" t="str">
        <f ca="1">IF(Tabel152[[#This Row],[Rood Verdediging]]&lt;&gt;"",IF(B228="",NOW(),B228),"")</f>
        <v/>
      </c>
      <c r="C228" s="216" t="str">
        <f ca="1">IF(Tabel152[[#This Row],[Score]]&lt;&gt;"",IF(C228="",NOW(),C228),"")</f>
        <v/>
      </c>
      <c r="D228" s="217" t="str">
        <f ca="1">IF(OR(Tabel152[[#This Row],[Starttijd]]="",Tabel152[[#This Row],[Eindtijd]]=""),"",Tabel152[[#This Row],[Eindtijd]]-Tabel152[[#This Row],[Starttijd]])</f>
        <v/>
      </c>
      <c r="E228" s="74">
        <v>227</v>
      </c>
      <c r="F228" s="205"/>
      <c r="G228" s="210"/>
      <c r="H228" s="205"/>
      <c r="I228" s="210"/>
      <c r="J228" s="206"/>
      <c r="K228" s="212"/>
      <c r="L228" s="206"/>
      <c r="M228" s="212"/>
      <c r="N228" s="79">
        <f>Tabel152[[#This Row],[Score]]+Tabel152[[#This Row],[Score2]]</f>
        <v>0</v>
      </c>
      <c r="O228" s="80">
        <f>Tabel152[[#This Row],[Score3]]+Tabel152[[#This Row],[Score4]]</f>
        <v>0</v>
      </c>
      <c r="P22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Row],[Score4]]&lt;&gt;""),IF(AND(N228&gt;O228,N228&gt;=11),"ROOD",IF(AND(O228&gt;=11,N228&lt;&gt;O228),"GROEN","")),"")</f>
        <v/>
      </c>
      <c r="Q228" s="84">
        <f t="shared" si="20"/>
        <v>0</v>
      </c>
      <c r="R228" s="85">
        <f t="shared" si="21"/>
        <v>0</v>
      </c>
      <c r="S228" s="293" t="str">
        <f>Tabel152[[#This Row],[Rood Verdediging]]&amp;Tabel152[[#This Row],[Rood Aanval]]</f>
        <v/>
      </c>
      <c r="T228" s="293" t="str">
        <f>Tabel152[[#This Row],[Groen Verdediging]]&amp;Tabel152[[#This Row],[Groen Aanval]]</f>
        <v/>
      </c>
      <c r="U228" s="293" t="str">
        <f>Tabel152[[#This Row],[Winnaar 1]]&amp;Tabel152[[#This Row],[Winnaar 2]]</f>
        <v>00</v>
      </c>
      <c r="V228" s="147" t="b">
        <f>IF(Tabel152[[#This Row],[Team Rood]]=Tabel152[[#This Row],[Winnaars]],Tabel152[[#This Row],[Team Rood]])</f>
        <v>0</v>
      </c>
      <c r="W228" s="147" t="b">
        <f>IF(Tabel152[[#This Row],[Team Groen]]=Tabel152[[#This Row],[Winnaars]],Tabel152[[#This Row],[Team Groen]])</f>
        <v>0</v>
      </c>
      <c r="X228" s="283"/>
      <c r="Y228" s="283"/>
      <c r="Z228" s="283"/>
      <c r="AA228" s="283"/>
    </row>
    <row r="229" spans="1:27" x14ac:dyDescent="0.25">
      <c r="A229" s="215" t="str">
        <f ca="1">IF(Tabel152[[#This Row],[Rood Verdediging]]&lt;&gt;"",IF(A229="",NOW(),A229),"")</f>
        <v/>
      </c>
      <c r="B229" s="218" t="str">
        <f ca="1">IF(Tabel152[[#This Row],[Rood Verdediging]]&lt;&gt;"",IF(B229="",NOW(),B229),"")</f>
        <v/>
      </c>
      <c r="C229" s="216" t="str">
        <f ca="1">IF(Tabel152[[#This Row],[Score]]&lt;&gt;"",IF(C229="",NOW(),C229),"")</f>
        <v/>
      </c>
      <c r="D229" s="217" t="str">
        <f ca="1">IF(OR(Tabel152[[#This Row],[Starttijd]]="",Tabel152[[#This Row],[Eindtijd]]=""),"",Tabel152[[#This Row],[Eindtijd]]-Tabel152[[#This Row],[Starttijd]])</f>
        <v/>
      </c>
      <c r="E229" s="74">
        <v>228</v>
      </c>
      <c r="F229" s="205"/>
      <c r="G229" s="210"/>
      <c r="H229" s="205"/>
      <c r="I229" s="210"/>
      <c r="J229" s="206"/>
      <c r="K229" s="212"/>
      <c r="L229" s="206"/>
      <c r="M229" s="212"/>
      <c r="N229" s="79">
        <f>Tabel152[[#This Row],[Score]]+Tabel152[[#This Row],[Score2]]</f>
        <v>0</v>
      </c>
      <c r="O229" s="80">
        <f>Tabel152[[#This Row],[Score3]]+Tabel152[[#This Row],[Score4]]</f>
        <v>0</v>
      </c>
      <c r="P22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Row],[Score4]]&lt;&gt;""),IF(AND(N229&gt;O229,N229&gt;=11),"ROOD",IF(AND(O229&gt;=11,N229&lt;&gt;O229),"GROEN","")),"")</f>
        <v/>
      </c>
      <c r="Q229" s="84">
        <f t="shared" si="20"/>
        <v>0</v>
      </c>
      <c r="R229" s="85">
        <f t="shared" si="21"/>
        <v>0</v>
      </c>
      <c r="S229" s="293" t="str">
        <f>Tabel152[[#This Row],[Rood Verdediging]]&amp;Tabel152[[#This Row],[Rood Aanval]]</f>
        <v/>
      </c>
      <c r="T229" s="293" t="str">
        <f>Tabel152[[#This Row],[Groen Verdediging]]&amp;Tabel152[[#This Row],[Groen Aanval]]</f>
        <v/>
      </c>
      <c r="U229" s="293" t="str">
        <f>Tabel152[[#This Row],[Winnaar 1]]&amp;Tabel152[[#This Row],[Winnaar 2]]</f>
        <v>00</v>
      </c>
      <c r="V229" s="147" t="b">
        <f>IF(Tabel152[[#This Row],[Team Rood]]=Tabel152[[#This Row],[Winnaars]],Tabel152[[#This Row],[Team Rood]])</f>
        <v>0</v>
      </c>
      <c r="W229" s="147" t="b">
        <f>IF(Tabel152[[#This Row],[Team Groen]]=Tabel152[[#This Row],[Winnaars]],Tabel152[[#This Row],[Team Groen]])</f>
        <v>0</v>
      </c>
      <c r="X229" s="283"/>
      <c r="Y229" s="283"/>
      <c r="Z229" s="283"/>
      <c r="AA229" s="283"/>
    </row>
    <row r="230" spans="1:27" x14ac:dyDescent="0.25">
      <c r="A230" s="215" t="str">
        <f ca="1">IF(Tabel152[[#This Row],[Rood Verdediging]]&lt;&gt;"",IF(A230="",NOW(),A230),"")</f>
        <v/>
      </c>
      <c r="B230" s="218" t="str">
        <f ca="1">IF(Tabel152[[#This Row],[Rood Verdediging]]&lt;&gt;"",IF(B230="",NOW(),B230),"")</f>
        <v/>
      </c>
      <c r="C230" s="216" t="str">
        <f ca="1">IF(Tabel152[[#This Row],[Score]]&lt;&gt;"",IF(C230="",NOW(),C230),"")</f>
        <v/>
      </c>
      <c r="D230" s="217" t="str">
        <f ca="1">IF(OR(Tabel152[[#This Row],[Starttijd]]="",Tabel152[[#This Row],[Eindtijd]]=""),"",Tabel152[[#This Row],[Eindtijd]]-Tabel152[[#This Row],[Starttijd]])</f>
        <v/>
      </c>
      <c r="E230" s="74">
        <v>229</v>
      </c>
      <c r="F230" s="205"/>
      <c r="G230" s="210"/>
      <c r="H230" s="205"/>
      <c r="I230" s="210"/>
      <c r="J230" s="206"/>
      <c r="K230" s="212"/>
      <c r="L230" s="206"/>
      <c r="M230" s="212"/>
      <c r="N230" s="79">
        <f>Tabel152[[#This Row],[Score]]+Tabel152[[#This Row],[Score2]]</f>
        <v>0</v>
      </c>
      <c r="O230" s="80">
        <f>Tabel152[[#This Row],[Score3]]+Tabel152[[#This Row],[Score4]]</f>
        <v>0</v>
      </c>
      <c r="P23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Row],[Score4]]&lt;&gt;""),IF(AND(N230&gt;O230,N230&gt;=11),"ROOD",IF(AND(O230&gt;=11,N230&lt;&gt;O230),"GROEN","")),"")</f>
        <v/>
      </c>
      <c r="Q230" s="84">
        <f t="shared" si="20"/>
        <v>0</v>
      </c>
      <c r="R230" s="85">
        <f t="shared" si="21"/>
        <v>0</v>
      </c>
      <c r="S230" s="293" t="str">
        <f>Tabel152[[#This Row],[Rood Verdediging]]&amp;Tabel152[[#This Row],[Rood Aanval]]</f>
        <v/>
      </c>
      <c r="T230" s="293" t="str">
        <f>Tabel152[[#This Row],[Groen Verdediging]]&amp;Tabel152[[#This Row],[Groen Aanval]]</f>
        <v/>
      </c>
      <c r="U230" s="293" t="str">
        <f>Tabel152[[#This Row],[Winnaar 1]]&amp;Tabel152[[#This Row],[Winnaar 2]]</f>
        <v>00</v>
      </c>
      <c r="V230" s="147" t="b">
        <f>IF(Tabel152[[#This Row],[Team Rood]]=Tabel152[[#This Row],[Winnaars]],Tabel152[[#This Row],[Team Rood]])</f>
        <v>0</v>
      </c>
      <c r="W230" s="147" t="b">
        <f>IF(Tabel152[[#This Row],[Team Groen]]=Tabel152[[#This Row],[Winnaars]],Tabel152[[#This Row],[Team Groen]])</f>
        <v>0</v>
      </c>
      <c r="X230" s="283"/>
      <c r="Y230" s="283"/>
      <c r="Z230" s="283"/>
      <c r="AA230" s="283"/>
    </row>
    <row r="231" spans="1:27" x14ac:dyDescent="0.25">
      <c r="A231" s="215" t="str">
        <f ca="1">IF(Tabel152[[#This Row],[Rood Verdediging]]&lt;&gt;"",IF(A231="",NOW(),A231),"")</f>
        <v/>
      </c>
      <c r="B231" s="218" t="str">
        <f ca="1">IF(Tabel152[[#This Row],[Rood Verdediging]]&lt;&gt;"",IF(B231="",NOW(),B231),"")</f>
        <v/>
      </c>
      <c r="C231" s="216" t="str">
        <f ca="1">IF(Tabel152[[#This Row],[Score]]&lt;&gt;"",IF(C231="",NOW(),C231),"")</f>
        <v/>
      </c>
      <c r="D231" s="217" t="str">
        <f ca="1">IF(OR(Tabel152[[#This Row],[Starttijd]]="",Tabel152[[#This Row],[Eindtijd]]=""),"",Tabel152[[#This Row],[Eindtijd]]-Tabel152[[#This Row],[Starttijd]])</f>
        <v/>
      </c>
      <c r="E231" s="74">
        <v>230</v>
      </c>
      <c r="F231" s="205"/>
      <c r="G231" s="210"/>
      <c r="H231" s="205"/>
      <c r="I231" s="210"/>
      <c r="J231" s="206"/>
      <c r="K231" s="212"/>
      <c r="L231" s="206"/>
      <c r="M231" s="212"/>
      <c r="N231" s="79">
        <f>Tabel152[[#This Row],[Score]]+Tabel152[[#This Row],[Score2]]</f>
        <v>0</v>
      </c>
      <c r="O231" s="80">
        <f>Tabel152[[#This Row],[Score3]]+Tabel152[[#This Row],[Score4]]</f>
        <v>0</v>
      </c>
      <c r="P23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Row],[Score4]]&lt;&gt;""),IF(AND(N231&gt;O231,N231&gt;=11),"ROOD",IF(AND(O231&gt;=11,N231&lt;&gt;O231),"GROEN","")),"")</f>
        <v/>
      </c>
      <c r="Q231" s="84">
        <f t="shared" si="20"/>
        <v>0</v>
      </c>
      <c r="R231" s="85">
        <f t="shared" si="21"/>
        <v>0</v>
      </c>
      <c r="S231" s="293" t="str">
        <f>Tabel152[[#This Row],[Rood Verdediging]]&amp;Tabel152[[#This Row],[Rood Aanval]]</f>
        <v/>
      </c>
      <c r="T231" s="293" t="str">
        <f>Tabel152[[#This Row],[Groen Verdediging]]&amp;Tabel152[[#This Row],[Groen Aanval]]</f>
        <v/>
      </c>
      <c r="U231" s="293" t="str">
        <f>Tabel152[[#This Row],[Winnaar 1]]&amp;Tabel152[[#This Row],[Winnaar 2]]</f>
        <v>00</v>
      </c>
      <c r="V231" s="147" t="b">
        <f>IF(Tabel152[[#This Row],[Team Rood]]=Tabel152[[#This Row],[Winnaars]],Tabel152[[#This Row],[Team Rood]])</f>
        <v>0</v>
      </c>
      <c r="W231" s="147" t="b">
        <f>IF(Tabel152[[#This Row],[Team Groen]]=Tabel152[[#This Row],[Winnaars]],Tabel152[[#This Row],[Team Groen]])</f>
        <v>0</v>
      </c>
      <c r="X231" s="283"/>
      <c r="Y231" s="283"/>
      <c r="Z231" s="283"/>
      <c r="AA231" s="283"/>
    </row>
    <row r="232" spans="1:27" x14ac:dyDescent="0.25">
      <c r="A232" s="215" t="str">
        <f ca="1">IF(Tabel152[[#This Row],[Rood Verdediging]]&lt;&gt;"",IF(A232="",NOW(),A232),"")</f>
        <v/>
      </c>
      <c r="B232" s="218" t="str">
        <f ca="1">IF(Tabel152[[#This Row],[Rood Verdediging]]&lt;&gt;"",IF(B232="",NOW(),B232),"")</f>
        <v/>
      </c>
      <c r="C232" s="216" t="str">
        <f ca="1">IF(Tabel152[[#This Row],[Score]]&lt;&gt;"",IF(C232="",NOW(),C232),"")</f>
        <v/>
      </c>
      <c r="D232" s="217" t="str">
        <f ca="1">IF(OR(Tabel152[[#This Row],[Starttijd]]="",Tabel152[[#This Row],[Eindtijd]]=""),"",Tabel152[[#This Row],[Eindtijd]]-Tabel152[[#This Row],[Starttijd]])</f>
        <v/>
      </c>
      <c r="E232" s="74">
        <v>231</v>
      </c>
      <c r="F232" s="205"/>
      <c r="G232" s="210"/>
      <c r="H232" s="205"/>
      <c r="I232" s="210"/>
      <c r="J232" s="206"/>
      <c r="K232" s="212"/>
      <c r="L232" s="206"/>
      <c r="M232" s="212"/>
      <c r="N232" s="79">
        <f>Tabel152[[#This Row],[Score]]+Tabel152[[#This Row],[Score2]]</f>
        <v>0</v>
      </c>
      <c r="O232" s="80">
        <f>Tabel152[[#This Row],[Score3]]+Tabel152[[#This Row],[Score4]]</f>
        <v>0</v>
      </c>
      <c r="P23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Row],[Score4]]&lt;&gt;""),IF(AND(N232&gt;O232,N232&gt;=11),"ROOD",IF(AND(O232&gt;=11,N232&lt;&gt;O232),"GROEN","")),"")</f>
        <v/>
      </c>
      <c r="Q232" s="84">
        <f t="shared" si="20"/>
        <v>0</v>
      </c>
      <c r="R232" s="85">
        <f t="shared" si="21"/>
        <v>0</v>
      </c>
      <c r="S232" s="293" t="str">
        <f>Tabel152[[#This Row],[Rood Verdediging]]&amp;Tabel152[[#This Row],[Rood Aanval]]</f>
        <v/>
      </c>
      <c r="T232" s="293" t="str">
        <f>Tabel152[[#This Row],[Groen Verdediging]]&amp;Tabel152[[#This Row],[Groen Aanval]]</f>
        <v/>
      </c>
      <c r="U232" s="293" t="str">
        <f>Tabel152[[#This Row],[Winnaar 1]]&amp;Tabel152[[#This Row],[Winnaar 2]]</f>
        <v>00</v>
      </c>
      <c r="V232" s="147" t="b">
        <f>IF(Tabel152[[#This Row],[Team Rood]]=Tabel152[[#This Row],[Winnaars]],Tabel152[[#This Row],[Team Rood]])</f>
        <v>0</v>
      </c>
      <c r="W232" s="147" t="b">
        <f>IF(Tabel152[[#This Row],[Team Groen]]=Tabel152[[#This Row],[Winnaars]],Tabel152[[#This Row],[Team Groen]])</f>
        <v>0</v>
      </c>
      <c r="X232" s="283"/>
      <c r="Y232" s="283"/>
      <c r="Z232" s="283"/>
      <c r="AA232" s="283"/>
    </row>
    <row r="233" spans="1:27" x14ac:dyDescent="0.25">
      <c r="A233" s="215" t="str">
        <f ca="1">IF(Tabel152[[#This Row],[Rood Verdediging]]&lt;&gt;"",IF(A233="",NOW(),A233),"")</f>
        <v/>
      </c>
      <c r="B233" s="218" t="str">
        <f ca="1">IF(Tabel152[[#This Row],[Rood Verdediging]]&lt;&gt;"",IF(B233="",NOW(),B233),"")</f>
        <v/>
      </c>
      <c r="C233" s="216" t="str">
        <f ca="1">IF(Tabel152[[#This Row],[Score]]&lt;&gt;"",IF(C233="",NOW(),C233),"")</f>
        <v/>
      </c>
      <c r="D233" s="217" t="str">
        <f ca="1">IF(OR(Tabel152[[#This Row],[Starttijd]]="",Tabel152[[#This Row],[Eindtijd]]=""),"",Tabel152[[#This Row],[Eindtijd]]-Tabel152[[#This Row],[Starttijd]])</f>
        <v/>
      </c>
      <c r="E233" s="74">
        <v>232</v>
      </c>
      <c r="F233" s="205"/>
      <c r="G233" s="210"/>
      <c r="H233" s="205"/>
      <c r="I233" s="210"/>
      <c r="J233" s="206"/>
      <c r="K233" s="212"/>
      <c r="L233" s="206"/>
      <c r="M233" s="212"/>
      <c r="N233" s="79">
        <f>Tabel152[[#This Row],[Score]]+Tabel152[[#This Row],[Score2]]</f>
        <v>0</v>
      </c>
      <c r="O233" s="80">
        <f>Tabel152[[#This Row],[Score3]]+Tabel152[[#This Row],[Score4]]</f>
        <v>0</v>
      </c>
      <c r="P23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Row],[Score4]]&lt;&gt;""),IF(AND(N233&gt;O233,N233&gt;=11),"ROOD",IF(AND(O233&gt;=11,N233&lt;&gt;O233),"GROEN","")),"")</f>
        <v/>
      </c>
      <c r="Q233" s="84">
        <f t="shared" si="20"/>
        <v>0</v>
      </c>
      <c r="R233" s="85">
        <f t="shared" si="21"/>
        <v>0</v>
      </c>
      <c r="S233" s="293" t="str">
        <f>Tabel152[[#This Row],[Rood Verdediging]]&amp;Tabel152[[#This Row],[Rood Aanval]]</f>
        <v/>
      </c>
      <c r="T233" s="293" t="str">
        <f>Tabel152[[#This Row],[Groen Verdediging]]&amp;Tabel152[[#This Row],[Groen Aanval]]</f>
        <v/>
      </c>
      <c r="U233" s="293" t="str">
        <f>Tabel152[[#This Row],[Winnaar 1]]&amp;Tabel152[[#This Row],[Winnaar 2]]</f>
        <v>00</v>
      </c>
      <c r="V233" s="147" t="b">
        <f>IF(Tabel152[[#This Row],[Team Rood]]=Tabel152[[#This Row],[Winnaars]],Tabel152[[#This Row],[Team Rood]])</f>
        <v>0</v>
      </c>
      <c r="W233" s="147" t="b">
        <f>IF(Tabel152[[#This Row],[Team Groen]]=Tabel152[[#This Row],[Winnaars]],Tabel152[[#This Row],[Team Groen]])</f>
        <v>0</v>
      </c>
      <c r="X233" s="283"/>
      <c r="Y233" s="283"/>
      <c r="Z233" s="283"/>
      <c r="AA233" s="283"/>
    </row>
    <row r="234" spans="1:27" x14ac:dyDescent="0.25">
      <c r="A234" s="215" t="str">
        <f ca="1">IF(Tabel152[[#This Row],[Rood Verdediging]]&lt;&gt;"",IF(A234="",NOW(),A234),"")</f>
        <v/>
      </c>
      <c r="B234" s="218" t="str">
        <f ca="1">IF(Tabel152[[#This Row],[Rood Verdediging]]&lt;&gt;"",IF(B234="",NOW(),B234),"")</f>
        <v/>
      </c>
      <c r="C234" s="216" t="str">
        <f ca="1">IF(Tabel152[[#This Row],[Score]]&lt;&gt;"",IF(C234="",NOW(),C234),"")</f>
        <v/>
      </c>
      <c r="D234" s="217" t="str">
        <f ca="1">IF(OR(Tabel152[[#This Row],[Starttijd]]="",Tabel152[[#This Row],[Eindtijd]]=""),"",Tabel152[[#This Row],[Eindtijd]]-Tabel152[[#This Row],[Starttijd]])</f>
        <v/>
      </c>
      <c r="E234" s="74">
        <v>233</v>
      </c>
      <c r="F234" s="205"/>
      <c r="G234" s="210"/>
      <c r="H234" s="205"/>
      <c r="I234" s="210"/>
      <c r="J234" s="206"/>
      <c r="K234" s="212"/>
      <c r="L234" s="206"/>
      <c r="M234" s="212"/>
      <c r="N234" s="79">
        <f>Tabel152[[#This Row],[Score]]+Tabel152[[#This Row],[Score2]]</f>
        <v>0</v>
      </c>
      <c r="O234" s="80">
        <f>Tabel152[[#This Row],[Score3]]+Tabel152[[#This Row],[Score4]]</f>
        <v>0</v>
      </c>
      <c r="P23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Row],[Score4]]&lt;&gt;""),IF(AND(N234&gt;O234,N234&gt;=11),"ROOD",IF(AND(O234&gt;=11,N234&lt;&gt;O234),"GROEN","")),"")</f>
        <v/>
      </c>
      <c r="Q234" s="84">
        <f t="shared" si="20"/>
        <v>0</v>
      </c>
      <c r="R234" s="85">
        <f t="shared" si="21"/>
        <v>0</v>
      </c>
      <c r="S234" s="293" t="str">
        <f>Tabel152[[#This Row],[Rood Verdediging]]&amp;Tabel152[[#This Row],[Rood Aanval]]</f>
        <v/>
      </c>
      <c r="T234" s="293" t="str">
        <f>Tabel152[[#This Row],[Groen Verdediging]]&amp;Tabel152[[#This Row],[Groen Aanval]]</f>
        <v/>
      </c>
      <c r="U234" s="293" t="str">
        <f>Tabel152[[#This Row],[Winnaar 1]]&amp;Tabel152[[#This Row],[Winnaar 2]]</f>
        <v>00</v>
      </c>
      <c r="V234" s="147" t="b">
        <f>IF(Tabel152[[#This Row],[Team Rood]]=Tabel152[[#This Row],[Winnaars]],Tabel152[[#This Row],[Team Rood]])</f>
        <v>0</v>
      </c>
      <c r="W234" s="147" t="b">
        <f>IF(Tabel152[[#This Row],[Team Groen]]=Tabel152[[#This Row],[Winnaars]],Tabel152[[#This Row],[Team Groen]])</f>
        <v>0</v>
      </c>
      <c r="X234" s="283"/>
      <c r="Y234" s="283"/>
      <c r="Z234" s="283"/>
      <c r="AA234" s="283"/>
    </row>
    <row r="235" spans="1:27" x14ac:dyDescent="0.25">
      <c r="A235" s="215" t="str">
        <f ca="1">IF(Tabel152[[#This Row],[Rood Verdediging]]&lt;&gt;"",IF(A235="",NOW(),A235),"")</f>
        <v/>
      </c>
      <c r="B235" s="218" t="str">
        <f ca="1">IF(Tabel152[[#This Row],[Rood Verdediging]]&lt;&gt;"",IF(B235="",NOW(),B235),"")</f>
        <v/>
      </c>
      <c r="C235" s="216" t="str">
        <f ca="1">IF(Tabel152[[#This Row],[Score]]&lt;&gt;"",IF(C235="",NOW(),C235),"")</f>
        <v/>
      </c>
      <c r="D235" s="217" t="str">
        <f ca="1">IF(OR(Tabel152[[#This Row],[Starttijd]]="",Tabel152[[#This Row],[Eindtijd]]=""),"",Tabel152[[#This Row],[Eindtijd]]-Tabel152[[#This Row],[Starttijd]])</f>
        <v/>
      </c>
      <c r="E235" s="74">
        <v>234</v>
      </c>
      <c r="F235" s="205"/>
      <c r="G235" s="210"/>
      <c r="H235" s="205"/>
      <c r="I235" s="210"/>
      <c r="J235" s="206"/>
      <c r="K235" s="212"/>
      <c r="L235" s="206"/>
      <c r="M235" s="212"/>
      <c r="N235" s="79">
        <f>Tabel152[[#This Row],[Score]]+Tabel152[[#This Row],[Score2]]</f>
        <v>0</v>
      </c>
      <c r="O235" s="80">
        <f>Tabel152[[#This Row],[Score3]]+Tabel152[[#This Row],[Score4]]</f>
        <v>0</v>
      </c>
      <c r="P23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Row],[Score4]]&lt;&gt;""),IF(AND(N235&gt;O235,N235&gt;=11),"ROOD",IF(AND(O235&gt;=11,N235&lt;&gt;O235),"GROEN","")),"")</f>
        <v/>
      </c>
      <c r="Q235" s="84">
        <f t="shared" si="20"/>
        <v>0</v>
      </c>
      <c r="R235" s="85">
        <f t="shared" si="21"/>
        <v>0</v>
      </c>
      <c r="S235" s="293" t="str">
        <f>Tabel152[[#This Row],[Rood Verdediging]]&amp;Tabel152[[#This Row],[Rood Aanval]]</f>
        <v/>
      </c>
      <c r="T235" s="293" t="str">
        <f>Tabel152[[#This Row],[Groen Verdediging]]&amp;Tabel152[[#This Row],[Groen Aanval]]</f>
        <v/>
      </c>
      <c r="U235" s="293" t="str">
        <f>Tabel152[[#This Row],[Winnaar 1]]&amp;Tabel152[[#This Row],[Winnaar 2]]</f>
        <v>00</v>
      </c>
      <c r="V235" s="147" t="b">
        <f>IF(Tabel152[[#This Row],[Team Rood]]=Tabel152[[#This Row],[Winnaars]],Tabel152[[#This Row],[Team Rood]])</f>
        <v>0</v>
      </c>
      <c r="W235" s="147" t="b">
        <f>IF(Tabel152[[#This Row],[Team Groen]]=Tabel152[[#This Row],[Winnaars]],Tabel152[[#This Row],[Team Groen]])</f>
        <v>0</v>
      </c>
      <c r="X235" s="283"/>
      <c r="Y235" s="283"/>
      <c r="Z235" s="283"/>
      <c r="AA235" s="283"/>
    </row>
    <row r="236" spans="1:27" x14ac:dyDescent="0.25">
      <c r="A236" s="215" t="str">
        <f ca="1">IF(Tabel152[[#This Row],[Rood Verdediging]]&lt;&gt;"",IF(A236="",NOW(),A236),"")</f>
        <v/>
      </c>
      <c r="B236" s="218" t="str">
        <f ca="1">IF(Tabel152[[#This Row],[Rood Verdediging]]&lt;&gt;"",IF(B236="",NOW(),B236),"")</f>
        <v/>
      </c>
      <c r="C236" s="216" t="str">
        <f ca="1">IF(Tabel152[[#This Row],[Score]]&lt;&gt;"",IF(C236="",NOW(),C236),"")</f>
        <v/>
      </c>
      <c r="D236" s="217" t="str">
        <f ca="1">IF(OR(Tabel152[[#This Row],[Starttijd]]="",Tabel152[[#This Row],[Eindtijd]]=""),"",Tabel152[[#This Row],[Eindtijd]]-Tabel152[[#This Row],[Starttijd]])</f>
        <v/>
      </c>
      <c r="E236" s="74">
        <v>235</v>
      </c>
      <c r="F236" s="205"/>
      <c r="G236" s="210"/>
      <c r="H236" s="205"/>
      <c r="I236" s="210"/>
      <c r="J236" s="206"/>
      <c r="K236" s="212"/>
      <c r="L236" s="206"/>
      <c r="M236" s="212"/>
      <c r="N236" s="79">
        <f>Tabel152[[#This Row],[Score]]+Tabel152[[#This Row],[Score2]]</f>
        <v>0</v>
      </c>
      <c r="O236" s="80">
        <f>Tabel152[[#This Row],[Score3]]+Tabel152[[#This Row],[Score4]]</f>
        <v>0</v>
      </c>
      <c r="P23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Row],[Score4]]&lt;&gt;""),IF(AND(N236&gt;O236,N236&gt;=11),"ROOD",IF(AND(O236&gt;=11,N236&lt;&gt;O236),"GROEN","")),"")</f>
        <v/>
      </c>
      <c r="Q236" s="84">
        <f t="shared" si="20"/>
        <v>0</v>
      </c>
      <c r="R236" s="85">
        <f t="shared" si="21"/>
        <v>0</v>
      </c>
      <c r="S236" s="293" t="str">
        <f>Tabel152[[#This Row],[Rood Verdediging]]&amp;Tabel152[[#This Row],[Rood Aanval]]</f>
        <v/>
      </c>
      <c r="T236" s="293" t="str">
        <f>Tabel152[[#This Row],[Groen Verdediging]]&amp;Tabel152[[#This Row],[Groen Aanval]]</f>
        <v/>
      </c>
      <c r="U236" s="293" t="str">
        <f>Tabel152[[#This Row],[Winnaar 1]]&amp;Tabel152[[#This Row],[Winnaar 2]]</f>
        <v>00</v>
      </c>
      <c r="V236" s="147" t="b">
        <f>IF(Tabel152[[#This Row],[Team Rood]]=Tabel152[[#This Row],[Winnaars]],Tabel152[[#This Row],[Team Rood]])</f>
        <v>0</v>
      </c>
      <c r="W236" s="147" t="b">
        <f>IF(Tabel152[[#This Row],[Team Groen]]=Tabel152[[#This Row],[Winnaars]],Tabel152[[#This Row],[Team Groen]])</f>
        <v>0</v>
      </c>
      <c r="X236" s="283"/>
      <c r="Y236" s="283"/>
      <c r="Z236" s="283"/>
      <c r="AA236" s="283"/>
    </row>
    <row r="237" spans="1:27" x14ac:dyDescent="0.25">
      <c r="A237" s="215" t="str">
        <f ca="1">IF(Tabel152[[#This Row],[Rood Verdediging]]&lt;&gt;"",IF(A237="",NOW(),A237),"")</f>
        <v/>
      </c>
      <c r="B237" s="218" t="str">
        <f ca="1">IF(Tabel152[[#This Row],[Rood Verdediging]]&lt;&gt;"",IF(B237="",NOW(),B237),"")</f>
        <v/>
      </c>
      <c r="C237" s="216" t="str">
        <f ca="1">IF(Tabel152[[#This Row],[Score]]&lt;&gt;"",IF(C237="",NOW(),C237),"")</f>
        <v/>
      </c>
      <c r="D237" s="217" t="str">
        <f ca="1">IF(OR(Tabel152[[#This Row],[Starttijd]]="",Tabel152[[#This Row],[Eindtijd]]=""),"",Tabel152[[#This Row],[Eindtijd]]-Tabel152[[#This Row],[Starttijd]])</f>
        <v/>
      </c>
      <c r="E237" s="74">
        <v>236</v>
      </c>
      <c r="F237" s="205"/>
      <c r="G237" s="210"/>
      <c r="H237" s="205"/>
      <c r="I237" s="210"/>
      <c r="J237" s="206"/>
      <c r="K237" s="212"/>
      <c r="L237" s="206"/>
      <c r="M237" s="212"/>
      <c r="N237" s="79">
        <f>Tabel152[[#This Row],[Score]]+Tabel152[[#This Row],[Score2]]</f>
        <v>0</v>
      </c>
      <c r="O237" s="80">
        <f>Tabel152[[#This Row],[Score3]]+Tabel152[[#This Row],[Score4]]</f>
        <v>0</v>
      </c>
      <c r="P23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Row],[Score4]]&lt;&gt;""),IF(AND(N237&gt;O237,N237&gt;=11),"ROOD",IF(AND(O237&gt;=11,N237&lt;&gt;O237),"GROEN","")),"")</f>
        <v/>
      </c>
      <c r="Q237" s="84">
        <f t="shared" si="20"/>
        <v>0</v>
      </c>
      <c r="R237" s="85">
        <f t="shared" si="21"/>
        <v>0</v>
      </c>
      <c r="S237" s="293" t="str">
        <f>Tabel152[[#This Row],[Rood Verdediging]]&amp;Tabel152[[#This Row],[Rood Aanval]]</f>
        <v/>
      </c>
      <c r="T237" s="293" t="str">
        <f>Tabel152[[#This Row],[Groen Verdediging]]&amp;Tabel152[[#This Row],[Groen Aanval]]</f>
        <v/>
      </c>
      <c r="U237" s="293" t="str">
        <f>Tabel152[[#This Row],[Winnaar 1]]&amp;Tabel152[[#This Row],[Winnaar 2]]</f>
        <v>00</v>
      </c>
      <c r="V237" s="147" t="b">
        <f>IF(Tabel152[[#This Row],[Team Rood]]=Tabel152[[#This Row],[Winnaars]],Tabel152[[#This Row],[Team Rood]])</f>
        <v>0</v>
      </c>
      <c r="W237" s="147" t="b">
        <f>IF(Tabel152[[#This Row],[Team Groen]]=Tabel152[[#This Row],[Winnaars]],Tabel152[[#This Row],[Team Groen]])</f>
        <v>0</v>
      </c>
      <c r="X237" s="283"/>
      <c r="Y237" s="283"/>
      <c r="Z237" s="283"/>
      <c r="AA237" s="283"/>
    </row>
    <row r="238" spans="1:27" x14ac:dyDescent="0.25">
      <c r="A238" s="215" t="str">
        <f ca="1">IF(Tabel152[[#This Row],[Rood Verdediging]]&lt;&gt;"",IF(A238="",NOW(),A238),"")</f>
        <v/>
      </c>
      <c r="B238" s="218" t="str">
        <f ca="1">IF(Tabel152[[#This Row],[Rood Verdediging]]&lt;&gt;"",IF(B238="",NOW(),B238),"")</f>
        <v/>
      </c>
      <c r="C238" s="216" t="str">
        <f ca="1">IF(Tabel152[[#This Row],[Score]]&lt;&gt;"",IF(C238="",NOW(),C238),"")</f>
        <v/>
      </c>
      <c r="D238" s="217" t="str">
        <f ca="1">IF(OR(Tabel152[[#This Row],[Starttijd]]="",Tabel152[[#This Row],[Eindtijd]]=""),"",Tabel152[[#This Row],[Eindtijd]]-Tabel152[[#This Row],[Starttijd]])</f>
        <v/>
      </c>
      <c r="E238" s="74">
        <v>237</v>
      </c>
      <c r="F238" s="205"/>
      <c r="G238" s="210"/>
      <c r="H238" s="205"/>
      <c r="I238" s="210"/>
      <c r="J238" s="206"/>
      <c r="K238" s="212"/>
      <c r="L238" s="206"/>
      <c r="M238" s="212"/>
      <c r="N238" s="79">
        <f>Tabel152[[#This Row],[Score]]+Tabel152[[#This Row],[Score2]]</f>
        <v>0</v>
      </c>
      <c r="O238" s="80">
        <f>Tabel152[[#This Row],[Score3]]+Tabel152[[#This Row],[Score4]]</f>
        <v>0</v>
      </c>
      <c r="P23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Row],[Score4]]&lt;&gt;""),IF(AND(N238&gt;O238,N238&gt;=11),"ROOD",IF(AND(O238&gt;=11,N238&lt;&gt;O238),"GROEN","")),"")</f>
        <v/>
      </c>
      <c r="Q238" s="84">
        <f t="shared" si="20"/>
        <v>0</v>
      </c>
      <c r="R238" s="85">
        <f t="shared" si="21"/>
        <v>0</v>
      </c>
      <c r="S238" s="293" t="str">
        <f>Tabel152[[#This Row],[Rood Verdediging]]&amp;Tabel152[[#This Row],[Rood Aanval]]</f>
        <v/>
      </c>
      <c r="T238" s="293" t="str">
        <f>Tabel152[[#This Row],[Groen Verdediging]]&amp;Tabel152[[#This Row],[Groen Aanval]]</f>
        <v/>
      </c>
      <c r="U238" s="293" t="str">
        <f>Tabel152[[#This Row],[Winnaar 1]]&amp;Tabel152[[#This Row],[Winnaar 2]]</f>
        <v>00</v>
      </c>
      <c r="V238" s="147" t="b">
        <f>IF(Tabel152[[#This Row],[Team Rood]]=Tabel152[[#This Row],[Winnaars]],Tabel152[[#This Row],[Team Rood]])</f>
        <v>0</v>
      </c>
      <c r="W238" s="147" t="b">
        <f>IF(Tabel152[[#This Row],[Team Groen]]=Tabel152[[#This Row],[Winnaars]],Tabel152[[#This Row],[Team Groen]])</f>
        <v>0</v>
      </c>
      <c r="X238" s="283"/>
      <c r="Y238" s="283"/>
      <c r="Z238" s="283"/>
      <c r="AA238" s="283"/>
    </row>
    <row r="239" spans="1:27" x14ac:dyDescent="0.25">
      <c r="A239" s="215" t="str">
        <f ca="1">IF(Tabel152[[#This Row],[Rood Verdediging]]&lt;&gt;"",IF(A239="",NOW(),A239),"")</f>
        <v/>
      </c>
      <c r="B239" s="218" t="str">
        <f ca="1">IF(Tabel152[[#This Row],[Rood Verdediging]]&lt;&gt;"",IF(B239="",NOW(),B239),"")</f>
        <v/>
      </c>
      <c r="C239" s="216" t="str">
        <f ca="1">IF(Tabel152[[#This Row],[Score]]&lt;&gt;"",IF(C239="",NOW(),C239),"")</f>
        <v/>
      </c>
      <c r="D239" s="217" t="str">
        <f ca="1">IF(OR(Tabel152[[#This Row],[Starttijd]]="",Tabel152[[#This Row],[Eindtijd]]=""),"",Tabel152[[#This Row],[Eindtijd]]-Tabel152[[#This Row],[Starttijd]])</f>
        <v/>
      </c>
      <c r="E239" s="74">
        <v>238</v>
      </c>
      <c r="F239" s="205"/>
      <c r="G239" s="210"/>
      <c r="H239" s="205"/>
      <c r="I239" s="210"/>
      <c r="J239" s="206"/>
      <c r="K239" s="212"/>
      <c r="L239" s="206"/>
      <c r="M239" s="212"/>
      <c r="N239" s="79">
        <f>Tabel152[[#This Row],[Score]]+Tabel152[[#This Row],[Score2]]</f>
        <v>0</v>
      </c>
      <c r="O239" s="80">
        <f>Tabel152[[#This Row],[Score3]]+Tabel152[[#This Row],[Score4]]</f>
        <v>0</v>
      </c>
      <c r="P23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Row],[Score4]]&lt;&gt;""),IF(AND(N239&gt;O239,N239&gt;=11),"ROOD",IF(AND(O239&gt;=11,N239&lt;&gt;O239),"GROEN","")),"")</f>
        <v/>
      </c>
      <c r="Q239" s="84">
        <f t="shared" si="20"/>
        <v>0</v>
      </c>
      <c r="R239" s="85">
        <f t="shared" si="21"/>
        <v>0</v>
      </c>
      <c r="S239" s="293" t="str">
        <f>Tabel152[[#This Row],[Rood Verdediging]]&amp;Tabel152[[#This Row],[Rood Aanval]]</f>
        <v/>
      </c>
      <c r="T239" s="293" t="str">
        <f>Tabel152[[#This Row],[Groen Verdediging]]&amp;Tabel152[[#This Row],[Groen Aanval]]</f>
        <v/>
      </c>
      <c r="U239" s="293" t="str">
        <f>Tabel152[[#This Row],[Winnaar 1]]&amp;Tabel152[[#This Row],[Winnaar 2]]</f>
        <v>00</v>
      </c>
      <c r="V239" s="147" t="b">
        <f>IF(Tabel152[[#This Row],[Team Rood]]=Tabel152[[#This Row],[Winnaars]],Tabel152[[#This Row],[Team Rood]])</f>
        <v>0</v>
      </c>
      <c r="W239" s="147" t="b">
        <f>IF(Tabel152[[#This Row],[Team Groen]]=Tabel152[[#This Row],[Winnaars]],Tabel152[[#This Row],[Team Groen]])</f>
        <v>0</v>
      </c>
      <c r="X239" s="283"/>
      <c r="Y239" s="283"/>
      <c r="Z239" s="283"/>
      <c r="AA239" s="283"/>
    </row>
    <row r="240" spans="1:27" x14ac:dyDescent="0.25">
      <c r="A240" s="215" t="str">
        <f ca="1">IF(Tabel152[[#This Row],[Rood Verdediging]]&lt;&gt;"",IF(A240="",NOW(),A240),"")</f>
        <v/>
      </c>
      <c r="B240" s="218" t="str">
        <f ca="1">IF(Tabel152[[#This Row],[Rood Verdediging]]&lt;&gt;"",IF(B240="",NOW(),B240),"")</f>
        <v/>
      </c>
      <c r="C240" s="216" t="str">
        <f ca="1">IF(Tabel152[[#This Row],[Score]]&lt;&gt;"",IF(C240="",NOW(),C240),"")</f>
        <v/>
      </c>
      <c r="D240" s="217" t="str">
        <f ca="1">IF(OR(Tabel152[[#This Row],[Starttijd]]="",Tabel152[[#This Row],[Eindtijd]]=""),"",Tabel152[[#This Row],[Eindtijd]]-Tabel152[[#This Row],[Starttijd]])</f>
        <v/>
      </c>
      <c r="E240" s="74">
        <v>239</v>
      </c>
      <c r="F240" s="205"/>
      <c r="G240" s="210"/>
      <c r="H240" s="205"/>
      <c r="I240" s="210"/>
      <c r="J240" s="206"/>
      <c r="K240" s="212"/>
      <c r="L240" s="206"/>
      <c r="M240" s="212"/>
      <c r="N240" s="79">
        <f>Tabel152[[#This Row],[Score]]+Tabel152[[#This Row],[Score2]]</f>
        <v>0</v>
      </c>
      <c r="O240" s="80">
        <f>Tabel152[[#This Row],[Score3]]+Tabel152[[#This Row],[Score4]]</f>
        <v>0</v>
      </c>
      <c r="P24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Row],[Score4]]&lt;&gt;""),IF(AND(N240&gt;O240,N240&gt;=11),"ROOD",IF(AND(O240&gt;=11,N240&lt;&gt;O240),"GROEN","")),"")</f>
        <v/>
      </c>
      <c r="Q240" s="84">
        <f t="shared" si="20"/>
        <v>0</v>
      </c>
      <c r="R240" s="85">
        <f t="shared" si="21"/>
        <v>0</v>
      </c>
      <c r="S240" s="293" t="str">
        <f>Tabel152[[#This Row],[Rood Verdediging]]&amp;Tabel152[[#This Row],[Rood Aanval]]</f>
        <v/>
      </c>
      <c r="T240" s="293" t="str">
        <f>Tabel152[[#This Row],[Groen Verdediging]]&amp;Tabel152[[#This Row],[Groen Aanval]]</f>
        <v/>
      </c>
      <c r="U240" s="293" t="str">
        <f>Tabel152[[#This Row],[Winnaar 1]]&amp;Tabel152[[#This Row],[Winnaar 2]]</f>
        <v>00</v>
      </c>
      <c r="V240" s="147" t="b">
        <f>IF(Tabel152[[#This Row],[Team Rood]]=Tabel152[[#This Row],[Winnaars]],Tabel152[[#This Row],[Team Rood]])</f>
        <v>0</v>
      </c>
      <c r="W240" s="147" t="b">
        <f>IF(Tabel152[[#This Row],[Team Groen]]=Tabel152[[#This Row],[Winnaars]],Tabel152[[#This Row],[Team Groen]])</f>
        <v>0</v>
      </c>
      <c r="X240" s="283"/>
      <c r="Y240" s="283"/>
      <c r="Z240" s="283"/>
      <c r="AA240" s="283"/>
    </row>
    <row r="241" spans="1:27" x14ac:dyDescent="0.25">
      <c r="A241" s="215" t="str">
        <f ca="1">IF(Tabel152[[#This Row],[Rood Verdediging]]&lt;&gt;"",IF(A241="",NOW(),A241),"")</f>
        <v/>
      </c>
      <c r="B241" s="218" t="str">
        <f ca="1">IF(Tabel152[[#This Row],[Rood Verdediging]]&lt;&gt;"",IF(B241="",NOW(),B241),"")</f>
        <v/>
      </c>
      <c r="C241" s="216" t="str">
        <f ca="1">IF(Tabel152[[#This Row],[Score]]&lt;&gt;"",IF(C241="",NOW(),C241),"")</f>
        <v/>
      </c>
      <c r="D241" s="217" t="str">
        <f ca="1">IF(OR(Tabel152[[#This Row],[Starttijd]]="",Tabel152[[#This Row],[Eindtijd]]=""),"",Tabel152[[#This Row],[Eindtijd]]-Tabel152[[#This Row],[Starttijd]])</f>
        <v/>
      </c>
      <c r="E241" s="74">
        <v>240</v>
      </c>
      <c r="F241" s="205"/>
      <c r="G241" s="210"/>
      <c r="H241" s="205"/>
      <c r="I241" s="210"/>
      <c r="J241" s="206"/>
      <c r="K241" s="212"/>
      <c r="L241" s="206"/>
      <c r="M241" s="212"/>
      <c r="N241" s="79">
        <f>Tabel152[[#This Row],[Score]]+Tabel152[[#This Row],[Score2]]</f>
        <v>0</v>
      </c>
      <c r="O241" s="80">
        <f>Tabel152[[#This Row],[Score3]]+Tabel152[[#This Row],[Score4]]</f>
        <v>0</v>
      </c>
      <c r="P24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Row],[Score4]]&lt;&gt;""),IF(AND(N241&gt;O241,N241&gt;=11),"ROOD",IF(AND(O241&gt;=11,N241&lt;&gt;O241),"GROEN","")),"")</f>
        <v/>
      </c>
      <c r="Q241" s="84">
        <f t="shared" si="20"/>
        <v>0</v>
      </c>
      <c r="R241" s="85">
        <f t="shared" si="21"/>
        <v>0</v>
      </c>
      <c r="S241" s="293" t="str">
        <f>Tabel152[[#This Row],[Rood Verdediging]]&amp;Tabel152[[#This Row],[Rood Aanval]]</f>
        <v/>
      </c>
      <c r="T241" s="293" t="str">
        <f>Tabel152[[#This Row],[Groen Verdediging]]&amp;Tabel152[[#This Row],[Groen Aanval]]</f>
        <v/>
      </c>
      <c r="U241" s="293" t="str">
        <f>Tabel152[[#This Row],[Winnaar 1]]&amp;Tabel152[[#This Row],[Winnaar 2]]</f>
        <v>00</v>
      </c>
      <c r="V241" s="147" t="b">
        <f>IF(Tabel152[[#This Row],[Team Rood]]=Tabel152[[#This Row],[Winnaars]],Tabel152[[#This Row],[Team Rood]])</f>
        <v>0</v>
      </c>
      <c r="W241" s="147" t="b">
        <f>IF(Tabel152[[#This Row],[Team Groen]]=Tabel152[[#This Row],[Winnaars]],Tabel152[[#This Row],[Team Groen]])</f>
        <v>0</v>
      </c>
      <c r="X241" s="283"/>
      <c r="Y241" s="283"/>
      <c r="Z241" s="283"/>
      <c r="AA241" s="283"/>
    </row>
    <row r="242" spans="1:27" x14ac:dyDescent="0.25">
      <c r="A242" s="215" t="str">
        <f ca="1">IF(Tabel152[[#This Row],[Rood Verdediging]]&lt;&gt;"",IF(A242="",NOW(),A242),"")</f>
        <v/>
      </c>
      <c r="B242" s="218" t="str">
        <f ca="1">IF(Tabel152[[#This Row],[Rood Verdediging]]&lt;&gt;"",IF(B242="",NOW(),B242),"")</f>
        <v/>
      </c>
      <c r="C242" s="216" t="str">
        <f ca="1">IF(Tabel152[[#This Row],[Score]]&lt;&gt;"",IF(C242="",NOW(),C242),"")</f>
        <v/>
      </c>
      <c r="D242" s="217" t="str">
        <f ca="1">IF(OR(Tabel152[[#This Row],[Starttijd]]="",Tabel152[[#This Row],[Eindtijd]]=""),"",Tabel152[[#This Row],[Eindtijd]]-Tabel152[[#This Row],[Starttijd]])</f>
        <v/>
      </c>
      <c r="E242" s="74">
        <v>241</v>
      </c>
      <c r="F242" s="205"/>
      <c r="G242" s="210"/>
      <c r="H242" s="205"/>
      <c r="I242" s="210"/>
      <c r="J242" s="206"/>
      <c r="K242" s="212"/>
      <c r="L242" s="206"/>
      <c r="M242" s="212"/>
      <c r="N242" s="79">
        <f>Tabel152[[#This Row],[Score]]+Tabel152[[#This Row],[Score2]]</f>
        <v>0</v>
      </c>
      <c r="O242" s="80">
        <f>Tabel152[[#This Row],[Score3]]+Tabel152[[#This Row],[Score4]]</f>
        <v>0</v>
      </c>
      <c r="P24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Row],[Score4]]&lt;&gt;""),IF(AND(N242&gt;O242,N242&gt;=11),"ROOD",IF(AND(O242&gt;=11,N242&lt;&gt;O242),"GROEN","")),"")</f>
        <v/>
      </c>
      <c r="Q242" s="84">
        <f t="shared" si="20"/>
        <v>0</v>
      </c>
      <c r="R242" s="85">
        <f t="shared" si="21"/>
        <v>0</v>
      </c>
      <c r="S242" s="293" t="str">
        <f>Tabel152[[#This Row],[Rood Verdediging]]&amp;Tabel152[[#This Row],[Rood Aanval]]</f>
        <v/>
      </c>
      <c r="T242" s="293" t="str">
        <f>Tabel152[[#This Row],[Groen Verdediging]]&amp;Tabel152[[#This Row],[Groen Aanval]]</f>
        <v/>
      </c>
      <c r="U242" s="293" t="str">
        <f>Tabel152[[#This Row],[Winnaar 1]]&amp;Tabel152[[#This Row],[Winnaar 2]]</f>
        <v>00</v>
      </c>
      <c r="V242" s="147" t="b">
        <f>IF(Tabel152[[#This Row],[Team Rood]]=Tabel152[[#This Row],[Winnaars]],Tabel152[[#This Row],[Team Rood]])</f>
        <v>0</v>
      </c>
      <c r="W242" s="147" t="b">
        <f>IF(Tabel152[[#This Row],[Team Groen]]=Tabel152[[#This Row],[Winnaars]],Tabel152[[#This Row],[Team Groen]])</f>
        <v>0</v>
      </c>
      <c r="X242" s="283"/>
      <c r="Y242" s="283"/>
      <c r="Z242" s="283"/>
      <c r="AA242" s="283"/>
    </row>
    <row r="243" spans="1:27" x14ac:dyDescent="0.25">
      <c r="A243" s="215" t="str">
        <f ca="1">IF(Tabel152[[#This Row],[Rood Verdediging]]&lt;&gt;"",IF(A243="",NOW(),A243),"")</f>
        <v/>
      </c>
      <c r="B243" s="218" t="str">
        <f ca="1">IF(Tabel152[[#This Row],[Rood Verdediging]]&lt;&gt;"",IF(B243="",NOW(),B243),"")</f>
        <v/>
      </c>
      <c r="C243" s="216" t="str">
        <f ca="1">IF(Tabel152[[#This Row],[Score]]&lt;&gt;"",IF(C243="",NOW(),C243),"")</f>
        <v/>
      </c>
      <c r="D243" s="217" t="str">
        <f ca="1">IF(OR(Tabel152[[#This Row],[Starttijd]]="",Tabel152[[#This Row],[Eindtijd]]=""),"",Tabel152[[#This Row],[Eindtijd]]-Tabel152[[#This Row],[Starttijd]])</f>
        <v/>
      </c>
      <c r="E243" s="74">
        <v>242</v>
      </c>
      <c r="F243" s="205"/>
      <c r="G243" s="210"/>
      <c r="H243" s="205"/>
      <c r="I243" s="210"/>
      <c r="J243" s="206"/>
      <c r="K243" s="212"/>
      <c r="L243" s="206"/>
      <c r="M243" s="212"/>
      <c r="N243" s="79">
        <f>Tabel152[[#This Row],[Score]]+Tabel152[[#This Row],[Score2]]</f>
        <v>0</v>
      </c>
      <c r="O243" s="80">
        <f>Tabel152[[#This Row],[Score3]]+Tabel152[[#This Row],[Score4]]</f>
        <v>0</v>
      </c>
      <c r="P24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Row],[Score4]]&lt;&gt;""),IF(AND(N243&gt;O243,N243&gt;=11),"ROOD",IF(AND(O243&gt;=11,N243&lt;&gt;O243),"GROEN","")),"")</f>
        <v/>
      </c>
      <c r="Q243" s="84">
        <f t="shared" si="20"/>
        <v>0</v>
      </c>
      <c r="R243" s="85">
        <f t="shared" si="21"/>
        <v>0</v>
      </c>
      <c r="S243" s="293" t="str">
        <f>Tabel152[[#This Row],[Rood Verdediging]]&amp;Tabel152[[#This Row],[Rood Aanval]]</f>
        <v/>
      </c>
      <c r="T243" s="293" t="str">
        <f>Tabel152[[#This Row],[Groen Verdediging]]&amp;Tabel152[[#This Row],[Groen Aanval]]</f>
        <v/>
      </c>
      <c r="U243" s="293" t="str">
        <f>Tabel152[[#This Row],[Winnaar 1]]&amp;Tabel152[[#This Row],[Winnaar 2]]</f>
        <v>00</v>
      </c>
      <c r="V243" s="147" t="b">
        <f>IF(Tabel152[[#This Row],[Team Rood]]=Tabel152[[#This Row],[Winnaars]],Tabel152[[#This Row],[Team Rood]])</f>
        <v>0</v>
      </c>
      <c r="W243" s="147" t="b">
        <f>IF(Tabel152[[#This Row],[Team Groen]]=Tabel152[[#This Row],[Winnaars]],Tabel152[[#This Row],[Team Groen]])</f>
        <v>0</v>
      </c>
      <c r="X243" s="283"/>
      <c r="Y243" s="283"/>
      <c r="Z243" s="283"/>
      <c r="AA243" s="283"/>
    </row>
    <row r="244" spans="1:27" x14ac:dyDescent="0.25">
      <c r="A244" s="215" t="str">
        <f ca="1">IF(Tabel152[[#This Row],[Rood Verdediging]]&lt;&gt;"",IF(A244="",NOW(),A244),"")</f>
        <v/>
      </c>
      <c r="B244" s="218" t="str">
        <f ca="1">IF(Tabel152[[#This Row],[Rood Verdediging]]&lt;&gt;"",IF(B244="",NOW(),B244),"")</f>
        <v/>
      </c>
      <c r="C244" s="216" t="str">
        <f ca="1">IF(Tabel152[[#This Row],[Score]]&lt;&gt;"",IF(C244="",NOW(),C244),"")</f>
        <v/>
      </c>
      <c r="D244" s="217" t="str">
        <f ca="1">IF(OR(Tabel152[[#This Row],[Starttijd]]="",Tabel152[[#This Row],[Eindtijd]]=""),"",Tabel152[[#This Row],[Eindtijd]]-Tabel152[[#This Row],[Starttijd]])</f>
        <v/>
      </c>
      <c r="E244" s="74">
        <v>243</v>
      </c>
      <c r="F244" s="205"/>
      <c r="G244" s="210"/>
      <c r="H244" s="205"/>
      <c r="I244" s="210"/>
      <c r="J244" s="206"/>
      <c r="K244" s="212"/>
      <c r="L244" s="206"/>
      <c r="M244" s="212"/>
      <c r="N244" s="79">
        <f>Tabel152[[#This Row],[Score]]+Tabel152[[#This Row],[Score2]]</f>
        <v>0</v>
      </c>
      <c r="O244" s="80">
        <f>Tabel152[[#This Row],[Score3]]+Tabel152[[#This Row],[Score4]]</f>
        <v>0</v>
      </c>
      <c r="P24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Row],[Score4]]&lt;&gt;""),IF(AND(N244&gt;O244,N244&gt;=11),"ROOD",IF(AND(O244&gt;=11,N244&lt;&gt;O244),"GROEN","")),"")</f>
        <v/>
      </c>
      <c r="Q244" s="84">
        <f t="shared" si="20"/>
        <v>0</v>
      </c>
      <c r="R244" s="85">
        <f t="shared" si="21"/>
        <v>0</v>
      </c>
      <c r="S244" s="293" t="str">
        <f>Tabel152[[#This Row],[Rood Verdediging]]&amp;Tabel152[[#This Row],[Rood Aanval]]</f>
        <v/>
      </c>
      <c r="T244" s="293" t="str">
        <f>Tabel152[[#This Row],[Groen Verdediging]]&amp;Tabel152[[#This Row],[Groen Aanval]]</f>
        <v/>
      </c>
      <c r="U244" s="293" t="str">
        <f>Tabel152[[#This Row],[Winnaar 1]]&amp;Tabel152[[#This Row],[Winnaar 2]]</f>
        <v>00</v>
      </c>
      <c r="V244" s="147" t="b">
        <f>IF(Tabel152[[#This Row],[Team Rood]]=Tabel152[[#This Row],[Winnaars]],Tabel152[[#This Row],[Team Rood]])</f>
        <v>0</v>
      </c>
      <c r="W244" s="147" t="b">
        <f>IF(Tabel152[[#This Row],[Team Groen]]=Tabel152[[#This Row],[Winnaars]],Tabel152[[#This Row],[Team Groen]])</f>
        <v>0</v>
      </c>
      <c r="X244" s="283"/>
      <c r="Y244" s="283"/>
      <c r="Z244" s="283"/>
      <c r="AA244" s="283"/>
    </row>
    <row r="245" spans="1:27" x14ac:dyDescent="0.25">
      <c r="A245" s="215" t="str">
        <f ca="1">IF(Tabel152[[#This Row],[Rood Verdediging]]&lt;&gt;"",IF(A245="",NOW(),A245),"")</f>
        <v/>
      </c>
      <c r="B245" s="218" t="str">
        <f ca="1">IF(Tabel152[[#This Row],[Rood Verdediging]]&lt;&gt;"",IF(B245="",NOW(),B245),"")</f>
        <v/>
      </c>
      <c r="C245" s="216" t="str">
        <f ca="1">IF(Tabel152[[#This Row],[Score]]&lt;&gt;"",IF(C245="",NOW(),C245),"")</f>
        <v/>
      </c>
      <c r="D245" s="217" t="str">
        <f ca="1">IF(OR(Tabel152[[#This Row],[Starttijd]]="",Tabel152[[#This Row],[Eindtijd]]=""),"",Tabel152[[#This Row],[Eindtijd]]-Tabel152[[#This Row],[Starttijd]])</f>
        <v/>
      </c>
      <c r="E245" s="74">
        <v>244</v>
      </c>
      <c r="F245" s="205"/>
      <c r="G245" s="210"/>
      <c r="H245" s="205"/>
      <c r="I245" s="210"/>
      <c r="J245" s="206"/>
      <c r="K245" s="212"/>
      <c r="L245" s="206"/>
      <c r="M245" s="212"/>
      <c r="N245" s="79">
        <f>Tabel152[[#This Row],[Score]]+Tabel152[[#This Row],[Score2]]</f>
        <v>0</v>
      </c>
      <c r="O245" s="80">
        <f>Tabel152[[#This Row],[Score3]]+Tabel152[[#This Row],[Score4]]</f>
        <v>0</v>
      </c>
      <c r="P24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Row],[Score4]]&lt;&gt;""),IF(AND(N245&gt;O245,N245&gt;=11),"ROOD",IF(AND(O245&gt;=11,N245&lt;&gt;O245),"GROEN","")),"")</f>
        <v/>
      </c>
      <c r="Q245" s="84">
        <f t="shared" si="20"/>
        <v>0</v>
      </c>
      <c r="R245" s="85">
        <f t="shared" si="21"/>
        <v>0</v>
      </c>
      <c r="S245" s="293" t="str">
        <f>Tabel152[[#This Row],[Rood Verdediging]]&amp;Tabel152[[#This Row],[Rood Aanval]]</f>
        <v/>
      </c>
      <c r="T245" s="293" t="str">
        <f>Tabel152[[#This Row],[Groen Verdediging]]&amp;Tabel152[[#This Row],[Groen Aanval]]</f>
        <v/>
      </c>
      <c r="U245" s="293" t="str">
        <f>Tabel152[[#This Row],[Winnaar 1]]&amp;Tabel152[[#This Row],[Winnaar 2]]</f>
        <v>00</v>
      </c>
      <c r="V245" s="147" t="b">
        <f>IF(Tabel152[[#This Row],[Team Rood]]=Tabel152[[#This Row],[Winnaars]],Tabel152[[#This Row],[Team Rood]])</f>
        <v>0</v>
      </c>
      <c r="W245" s="147" t="b">
        <f>IF(Tabel152[[#This Row],[Team Groen]]=Tabel152[[#This Row],[Winnaars]],Tabel152[[#This Row],[Team Groen]])</f>
        <v>0</v>
      </c>
      <c r="X245" s="283"/>
      <c r="Y245" s="283"/>
      <c r="Z245" s="283"/>
      <c r="AA245" s="283"/>
    </row>
    <row r="246" spans="1:27" x14ac:dyDescent="0.25">
      <c r="A246" s="215" t="str">
        <f ca="1">IF(Tabel152[[#This Row],[Rood Verdediging]]&lt;&gt;"",IF(A246="",NOW(),A246),"")</f>
        <v/>
      </c>
      <c r="B246" s="218" t="str">
        <f ca="1">IF(Tabel152[[#This Row],[Rood Verdediging]]&lt;&gt;"",IF(B246="",NOW(),B246),"")</f>
        <v/>
      </c>
      <c r="C246" s="216" t="str">
        <f ca="1">IF(Tabel152[[#This Row],[Score]]&lt;&gt;"",IF(C246="",NOW(),C246),"")</f>
        <v/>
      </c>
      <c r="D246" s="217" t="str">
        <f ca="1">IF(OR(Tabel152[[#This Row],[Starttijd]]="",Tabel152[[#This Row],[Eindtijd]]=""),"",Tabel152[[#This Row],[Eindtijd]]-Tabel152[[#This Row],[Starttijd]])</f>
        <v/>
      </c>
      <c r="E246" s="74">
        <v>245</v>
      </c>
      <c r="F246" s="205"/>
      <c r="G246" s="210"/>
      <c r="H246" s="205"/>
      <c r="I246" s="210"/>
      <c r="J246" s="206"/>
      <c r="K246" s="212"/>
      <c r="L246" s="206"/>
      <c r="M246" s="212"/>
      <c r="N246" s="79">
        <f>Tabel152[[#This Row],[Score]]+Tabel152[[#This Row],[Score2]]</f>
        <v>0</v>
      </c>
      <c r="O246" s="80">
        <f>Tabel152[[#This Row],[Score3]]+Tabel152[[#This Row],[Score4]]</f>
        <v>0</v>
      </c>
      <c r="P24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Row],[Score4]]&lt;&gt;""),IF(AND(N246&gt;O246,N246&gt;=11),"ROOD",IF(AND(O246&gt;=11,N246&lt;&gt;O246),"GROEN","")),"")</f>
        <v/>
      </c>
      <c r="Q246" s="84">
        <f t="shared" si="20"/>
        <v>0</v>
      </c>
      <c r="R246" s="85">
        <f t="shared" si="21"/>
        <v>0</v>
      </c>
      <c r="S246" s="293" t="str">
        <f>Tabel152[[#This Row],[Rood Verdediging]]&amp;Tabel152[[#This Row],[Rood Aanval]]</f>
        <v/>
      </c>
      <c r="T246" s="293" t="str">
        <f>Tabel152[[#This Row],[Groen Verdediging]]&amp;Tabel152[[#This Row],[Groen Aanval]]</f>
        <v/>
      </c>
      <c r="U246" s="293" t="str">
        <f>Tabel152[[#This Row],[Winnaar 1]]&amp;Tabel152[[#This Row],[Winnaar 2]]</f>
        <v>00</v>
      </c>
      <c r="V246" s="147" t="b">
        <f>IF(Tabel152[[#This Row],[Team Rood]]=Tabel152[[#This Row],[Winnaars]],Tabel152[[#This Row],[Team Rood]])</f>
        <v>0</v>
      </c>
      <c r="W246" s="147" t="b">
        <f>IF(Tabel152[[#This Row],[Team Groen]]=Tabel152[[#This Row],[Winnaars]],Tabel152[[#This Row],[Team Groen]])</f>
        <v>0</v>
      </c>
      <c r="X246" s="283"/>
      <c r="Y246" s="283"/>
      <c r="Z246" s="283"/>
      <c r="AA246" s="283"/>
    </row>
    <row r="247" spans="1:27" x14ac:dyDescent="0.25">
      <c r="A247" s="215" t="str">
        <f ca="1">IF(Tabel152[[#This Row],[Rood Verdediging]]&lt;&gt;"",IF(A247="",NOW(),A247),"")</f>
        <v/>
      </c>
      <c r="B247" s="218" t="str">
        <f ca="1">IF(Tabel152[[#This Row],[Rood Verdediging]]&lt;&gt;"",IF(B247="",NOW(),B247),"")</f>
        <v/>
      </c>
      <c r="C247" s="216" t="str">
        <f ca="1">IF(Tabel152[[#This Row],[Score]]&lt;&gt;"",IF(C247="",NOW(),C247),"")</f>
        <v/>
      </c>
      <c r="D247" s="217" t="str">
        <f ca="1">IF(OR(Tabel152[[#This Row],[Starttijd]]="",Tabel152[[#This Row],[Eindtijd]]=""),"",Tabel152[[#This Row],[Eindtijd]]-Tabel152[[#This Row],[Starttijd]])</f>
        <v/>
      </c>
      <c r="E247" s="74">
        <v>246</v>
      </c>
      <c r="F247" s="205"/>
      <c r="G247" s="210"/>
      <c r="H247" s="205"/>
      <c r="I247" s="210"/>
      <c r="J247" s="206"/>
      <c r="K247" s="212"/>
      <c r="L247" s="206"/>
      <c r="M247" s="212"/>
      <c r="N247" s="79">
        <f>Tabel152[[#This Row],[Score]]+Tabel152[[#This Row],[Score2]]</f>
        <v>0</v>
      </c>
      <c r="O247" s="80">
        <f>Tabel152[[#This Row],[Score3]]+Tabel152[[#This Row],[Score4]]</f>
        <v>0</v>
      </c>
      <c r="P24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Row],[Score4]]&lt;&gt;""),IF(AND(N247&gt;O247,N247&gt;=11),"ROOD",IF(AND(O247&gt;=11,N247&lt;&gt;O247),"GROEN","")),"")</f>
        <v/>
      </c>
      <c r="Q247" s="84">
        <f t="shared" si="20"/>
        <v>0</v>
      </c>
      <c r="R247" s="85">
        <f t="shared" si="21"/>
        <v>0</v>
      </c>
      <c r="S247" s="293" t="str">
        <f>Tabel152[[#This Row],[Rood Verdediging]]&amp;Tabel152[[#This Row],[Rood Aanval]]</f>
        <v/>
      </c>
      <c r="T247" s="293" t="str">
        <f>Tabel152[[#This Row],[Groen Verdediging]]&amp;Tabel152[[#This Row],[Groen Aanval]]</f>
        <v/>
      </c>
      <c r="U247" s="293" t="str">
        <f>Tabel152[[#This Row],[Winnaar 1]]&amp;Tabel152[[#This Row],[Winnaar 2]]</f>
        <v>00</v>
      </c>
      <c r="V247" s="147" t="b">
        <f>IF(Tabel152[[#This Row],[Team Rood]]=Tabel152[[#This Row],[Winnaars]],Tabel152[[#This Row],[Team Rood]])</f>
        <v>0</v>
      </c>
      <c r="W247" s="147" t="b">
        <f>IF(Tabel152[[#This Row],[Team Groen]]=Tabel152[[#This Row],[Winnaars]],Tabel152[[#This Row],[Team Groen]])</f>
        <v>0</v>
      </c>
      <c r="X247" s="283"/>
      <c r="Y247" s="283"/>
      <c r="Z247" s="283"/>
      <c r="AA247" s="283"/>
    </row>
    <row r="248" spans="1:27" x14ac:dyDescent="0.25">
      <c r="A248" s="215" t="str">
        <f ca="1">IF(Tabel152[[#This Row],[Rood Verdediging]]&lt;&gt;"",IF(A248="",NOW(),A248),"")</f>
        <v/>
      </c>
      <c r="B248" s="218" t="str">
        <f ca="1">IF(Tabel152[[#This Row],[Rood Verdediging]]&lt;&gt;"",IF(B248="",NOW(),B248),"")</f>
        <v/>
      </c>
      <c r="C248" s="216" t="str">
        <f ca="1">IF(Tabel152[[#This Row],[Score]]&lt;&gt;"",IF(C248="",NOW(),C248),"")</f>
        <v/>
      </c>
      <c r="D248" s="217" t="str">
        <f ca="1">IF(OR(Tabel152[[#This Row],[Starttijd]]="",Tabel152[[#This Row],[Eindtijd]]=""),"",Tabel152[[#This Row],[Eindtijd]]-Tabel152[[#This Row],[Starttijd]])</f>
        <v/>
      </c>
      <c r="E248" s="74">
        <v>247</v>
      </c>
      <c r="F248" s="205"/>
      <c r="G248" s="210"/>
      <c r="H248" s="205"/>
      <c r="I248" s="210"/>
      <c r="J248" s="206"/>
      <c r="K248" s="212"/>
      <c r="L248" s="206"/>
      <c r="M248" s="212"/>
      <c r="N248" s="79">
        <f>Tabel152[[#This Row],[Score]]+Tabel152[[#This Row],[Score2]]</f>
        <v>0</v>
      </c>
      <c r="O248" s="80">
        <f>Tabel152[[#This Row],[Score3]]+Tabel152[[#This Row],[Score4]]</f>
        <v>0</v>
      </c>
      <c r="P24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Row],[Score4]]&lt;&gt;""),IF(AND(N248&gt;O248,N248&gt;=11),"ROOD",IF(AND(O248&gt;=11,N248&lt;&gt;O248),"GROEN","")),"")</f>
        <v/>
      </c>
      <c r="Q248" s="84">
        <f t="shared" si="20"/>
        <v>0</v>
      </c>
      <c r="R248" s="85">
        <f t="shared" si="21"/>
        <v>0</v>
      </c>
      <c r="S248" s="293" t="str">
        <f>Tabel152[[#This Row],[Rood Verdediging]]&amp;Tabel152[[#This Row],[Rood Aanval]]</f>
        <v/>
      </c>
      <c r="T248" s="293" t="str">
        <f>Tabel152[[#This Row],[Groen Verdediging]]&amp;Tabel152[[#This Row],[Groen Aanval]]</f>
        <v/>
      </c>
      <c r="U248" s="293" t="str">
        <f>Tabel152[[#This Row],[Winnaar 1]]&amp;Tabel152[[#This Row],[Winnaar 2]]</f>
        <v>00</v>
      </c>
      <c r="V248" s="147" t="b">
        <f>IF(Tabel152[[#This Row],[Team Rood]]=Tabel152[[#This Row],[Winnaars]],Tabel152[[#This Row],[Team Rood]])</f>
        <v>0</v>
      </c>
      <c r="W248" s="147" t="b">
        <f>IF(Tabel152[[#This Row],[Team Groen]]=Tabel152[[#This Row],[Winnaars]],Tabel152[[#This Row],[Team Groen]])</f>
        <v>0</v>
      </c>
      <c r="X248" s="283"/>
      <c r="Y248" s="283"/>
      <c r="Z248" s="283"/>
      <c r="AA248" s="283"/>
    </row>
    <row r="249" spans="1:27" x14ac:dyDescent="0.25">
      <c r="A249" s="215" t="str">
        <f ca="1">IF(Tabel152[[#This Row],[Rood Verdediging]]&lt;&gt;"",IF(A249="",NOW(),A249),"")</f>
        <v/>
      </c>
      <c r="B249" s="218" t="str">
        <f ca="1">IF(Tabel152[[#This Row],[Rood Verdediging]]&lt;&gt;"",IF(B249="",NOW(),B249),"")</f>
        <v/>
      </c>
      <c r="C249" s="216" t="str">
        <f ca="1">IF(Tabel152[[#This Row],[Score]]&lt;&gt;"",IF(C249="",NOW(),C249),"")</f>
        <v/>
      </c>
      <c r="D249" s="217" t="str">
        <f ca="1">IF(OR(Tabel152[[#This Row],[Starttijd]]="",Tabel152[[#This Row],[Eindtijd]]=""),"",Tabel152[[#This Row],[Eindtijd]]-Tabel152[[#This Row],[Starttijd]])</f>
        <v/>
      </c>
      <c r="E249" s="74">
        <v>248</v>
      </c>
      <c r="F249" s="205"/>
      <c r="G249" s="210"/>
      <c r="H249" s="205"/>
      <c r="I249" s="210"/>
      <c r="J249" s="206"/>
      <c r="K249" s="212"/>
      <c r="L249" s="206"/>
      <c r="M249" s="212"/>
      <c r="N249" s="79">
        <f>Tabel152[[#This Row],[Score]]+Tabel152[[#This Row],[Score2]]</f>
        <v>0</v>
      </c>
      <c r="O249" s="80">
        <f>Tabel152[[#This Row],[Score3]]+Tabel152[[#This Row],[Score4]]</f>
        <v>0</v>
      </c>
      <c r="P24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Row],[Score4]]&lt;&gt;""),IF(AND(N249&gt;O249,N249&gt;=11),"ROOD",IF(AND(O249&gt;=11,N249&lt;&gt;O249),"GROEN","")),"")</f>
        <v/>
      </c>
      <c r="Q249" s="84">
        <f t="shared" si="20"/>
        <v>0</v>
      </c>
      <c r="R249" s="85">
        <f t="shared" si="21"/>
        <v>0</v>
      </c>
      <c r="S249" s="293" t="str">
        <f>Tabel152[[#This Row],[Rood Verdediging]]&amp;Tabel152[[#This Row],[Rood Aanval]]</f>
        <v/>
      </c>
      <c r="T249" s="293" t="str">
        <f>Tabel152[[#This Row],[Groen Verdediging]]&amp;Tabel152[[#This Row],[Groen Aanval]]</f>
        <v/>
      </c>
      <c r="U249" s="293" t="str">
        <f>Tabel152[[#This Row],[Winnaar 1]]&amp;Tabel152[[#This Row],[Winnaar 2]]</f>
        <v>00</v>
      </c>
      <c r="V249" s="147" t="b">
        <f>IF(Tabel152[[#This Row],[Team Rood]]=Tabel152[[#This Row],[Winnaars]],Tabel152[[#This Row],[Team Rood]])</f>
        <v>0</v>
      </c>
      <c r="W249" s="147" t="b">
        <f>IF(Tabel152[[#This Row],[Team Groen]]=Tabel152[[#This Row],[Winnaars]],Tabel152[[#This Row],[Team Groen]])</f>
        <v>0</v>
      </c>
      <c r="X249" s="283"/>
      <c r="Y249" s="283"/>
      <c r="Z249" s="283"/>
      <c r="AA249" s="283"/>
    </row>
    <row r="250" spans="1:27" x14ac:dyDescent="0.25">
      <c r="A250" s="215" t="str">
        <f ca="1">IF(Tabel152[[#This Row],[Rood Verdediging]]&lt;&gt;"",IF(A250="",NOW(),A250),"")</f>
        <v/>
      </c>
      <c r="B250" s="218" t="str">
        <f ca="1">IF(Tabel152[[#This Row],[Rood Verdediging]]&lt;&gt;"",IF(B250="",NOW(),B250),"")</f>
        <v/>
      </c>
      <c r="C250" s="216" t="str">
        <f ca="1">IF(Tabel152[[#This Row],[Score]]&lt;&gt;"",IF(C250="",NOW(),C250),"")</f>
        <v/>
      </c>
      <c r="D250" s="217" t="str">
        <f ca="1">IF(OR(Tabel152[[#This Row],[Starttijd]]="",Tabel152[[#This Row],[Eindtijd]]=""),"",Tabel152[[#This Row],[Eindtijd]]-Tabel152[[#This Row],[Starttijd]])</f>
        <v/>
      </c>
      <c r="E250" s="74">
        <v>249</v>
      </c>
      <c r="F250" s="205"/>
      <c r="G250" s="210"/>
      <c r="H250" s="205"/>
      <c r="I250" s="210"/>
      <c r="J250" s="206"/>
      <c r="K250" s="212"/>
      <c r="L250" s="206"/>
      <c r="M250" s="212"/>
      <c r="N250" s="79">
        <f>Tabel152[[#This Row],[Score]]+Tabel152[[#This Row],[Score2]]</f>
        <v>0</v>
      </c>
      <c r="O250" s="80">
        <f>Tabel152[[#This Row],[Score3]]+Tabel152[[#This Row],[Score4]]</f>
        <v>0</v>
      </c>
      <c r="P25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Row],[Score4]]&lt;&gt;""),IF(AND(N250&gt;O250,N250&gt;=11),"ROOD",IF(AND(O250&gt;=11,N250&lt;&gt;O250),"GROEN","")),"")</f>
        <v/>
      </c>
      <c r="Q250" s="84">
        <f t="shared" si="20"/>
        <v>0</v>
      </c>
      <c r="R250" s="85">
        <f t="shared" si="21"/>
        <v>0</v>
      </c>
      <c r="S250" s="293" t="str">
        <f>Tabel152[[#This Row],[Rood Verdediging]]&amp;Tabel152[[#This Row],[Rood Aanval]]</f>
        <v/>
      </c>
      <c r="T250" s="293" t="str">
        <f>Tabel152[[#This Row],[Groen Verdediging]]&amp;Tabel152[[#This Row],[Groen Aanval]]</f>
        <v/>
      </c>
      <c r="U250" s="293" t="str">
        <f>Tabel152[[#This Row],[Winnaar 1]]&amp;Tabel152[[#This Row],[Winnaar 2]]</f>
        <v>00</v>
      </c>
      <c r="V250" s="147" t="b">
        <f>IF(Tabel152[[#This Row],[Team Rood]]=Tabel152[[#This Row],[Winnaars]],Tabel152[[#This Row],[Team Rood]])</f>
        <v>0</v>
      </c>
      <c r="W250" s="147" t="b">
        <f>IF(Tabel152[[#This Row],[Team Groen]]=Tabel152[[#This Row],[Winnaars]],Tabel152[[#This Row],[Team Groen]])</f>
        <v>0</v>
      </c>
      <c r="X250" s="283"/>
      <c r="Y250" s="283"/>
      <c r="Z250" s="283"/>
      <c r="AA250" s="283"/>
    </row>
    <row r="251" spans="1:27" x14ac:dyDescent="0.25">
      <c r="A251" s="215" t="str">
        <f ca="1">IF(Tabel152[[#This Row],[Rood Verdediging]]&lt;&gt;"",IF(A251="",NOW(),A251),"")</f>
        <v/>
      </c>
      <c r="B251" s="218" t="str">
        <f ca="1">IF(Tabel152[[#This Row],[Rood Verdediging]]&lt;&gt;"",IF(B251="",NOW(),B251),"")</f>
        <v/>
      </c>
      <c r="C251" s="216" t="str">
        <f ca="1">IF(Tabel152[[#This Row],[Score]]&lt;&gt;"",IF(C251="",NOW(),C251),"")</f>
        <v/>
      </c>
      <c r="D251" s="217" t="str">
        <f ca="1">IF(OR(Tabel152[[#This Row],[Starttijd]]="",Tabel152[[#This Row],[Eindtijd]]=""),"",Tabel152[[#This Row],[Eindtijd]]-Tabel152[[#This Row],[Starttijd]])</f>
        <v/>
      </c>
      <c r="E251" s="74">
        <v>250</v>
      </c>
      <c r="F251" s="205"/>
      <c r="G251" s="210"/>
      <c r="H251" s="205"/>
      <c r="I251" s="210"/>
      <c r="J251" s="206"/>
      <c r="K251" s="212"/>
      <c r="L251" s="206"/>
      <c r="M251" s="212"/>
      <c r="N251" s="79">
        <f>Tabel152[[#This Row],[Score]]+Tabel152[[#This Row],[Score2]]</f>
        <v>0</v>
      </c>
      <c r="O251" s="80">
        <f>Tabel152[[#This Row],[Score3]]+Tabel152[[#This Row],[Score4]]</f>
        <v>0</v>
      </c>
      <c r="P25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Row],[Score4]]&lt;&gt;""),IF(AND(N251&gt;O251,N251&gt;=11),"ROOD",IF(AND(O251&gt;=11,N251&lt;&gt;O251),"GROEN","")),"")</f>
        <v/>
      </c>
      <c r="Q251" s="84">
        <f t="shared" si="20"/>
        <v>0</v>
      </c>
      <c r="R251" s="85">
        <f t="shared" si="21"/>
        <v>0</v>
      </c>
      <c r="S251" s="293" t="str">
        <f>Tabel152[[#This Row],[Rood Verdediging]]&amp;Tabel152[[#This Row],[Rood Aanval]]</f>
        <v/>
      </c>
      <c r="T251" s="293" t="str">
        <f>Tabel152[[#This Row],[Groen Verdediging]]&amp;Tabel152[[#This Row],[Groen Aanval]]</f>
        <v/>
      </c>
      <c r="U251" s="293" t="str">
        <f>Tabel152[[#This Row],[Winnaar 1]]&amp;Tabel152[[#This Row],[Winnaar 2]]</f>
        <v>00</v>
      </c>
      <c r="V251" s="147" t="b">
        <f>IF(Tabel152[[#This Row],[Team Rood]]=Tabel152[[#This Row],[Winnaars]],Tabel152[[#This Row],[Team Rood]])</f>
        <v>0</v>
      </c>
      <c r="W251" s="147" t="b">
        <f>IF(Tabel152[[#This Row],[Team Groen]]=Tabel152[[#This Row],[Winnaars]],Tabel152[[#This Row],[Team Groen]])</f>
        <v>0</v>
      </c>
      <c r="X251" s="283"/>
      <c r="Y251" s="283"/>
      <c r="Z251" s="283"/>
      <c r="AA251" s="283"/>
    </row>
    <row r="252" spans="1:27" x14ac:dyDescent="0.25">
      <c r="A252" s="215" t="str">
        <f ca="1">IF(Tabel152[[#This Row],[Rood Verdediging]]&lt;&gt;"",IF(A252="",NOW(),A252),"")</f>
        <v/>
      </c>
      <c r="B252" s="218" t="str">
        <f ca="1">IF(Tabel152[[#This Row],[Rood Verdediging]]&lt;&gt;"",IF(B252="",NOW(),B252),"")</f>
        <v/>
      </c>
      <c r="C252" s="216" t="str">
        <f ca="1">IF(Tabel152[[#This Row],[Score]]&lt;&gt;"",IF(C252="",NOW(),C252),"")</f>
        <v/>
      </c>
      <c r="D252" s="217" t="str">
        <f ca="1">IF(OR(Tabel152[[#This Row],[Starttijd]]="",Tabel152[[#This Row],[Eindtijd]]=""),"",Tabel152[[#This Row],[Eindtijd]]-Tabel152[[#This Row],[Starttijd]])</f>
        <v/>
      </c>
      <c r="E252" s="74">
        <v>251</v>
      </c>
      <c r="F252" s="205"/>
      <c r="G252" s="210"/>
      <c r="H252" s="205"/>
      <c r="I252" s="210"/>
      <c r="J252" s="206"/>
      <c r="K252" s="212"/>
      <c r="L252" s="206"/>
      <c r="M252" s="212"/>
      <c r="N252" s="79">
        <f>Tabel152[[#This Row],[Score]]+Tabel152[[#This Row],[Score2]]</f>
        <v>0</v>
      </c>
      <c r="O252" s="80">
        <f>Tabel152[[#This Row],[Score3]]+Tabel152[[#This Row],[Score4]]</f>
        <v>0</v>
      </c>
      <c r="P25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Row],[Score4]]&lt;&gt;""),IF(AND(N252&gt;O252,N252&gt;=11),"ROOD",IF(AND(O252&gt;=11,N252&lt;&gt;O252),"GROEN","")),"")</f>
        <v/>
      </c>
      <c r="Q252" s="84">
        <f t="shared" si="20"/>
        <v>0</v>
      </c>
      <c r="R252" s="85">
        <f t="shared" si="21"/>
        <v>0</v>
      </c>
      <c r="S252" s="293" t="str">
        <f>Tabel152[[#This Row],[Rood Verdediging]]&amp;Tabel152[[#This Row],[Rood Aanval]]</f>
        <v/>
      </c>
      <c r="T252" s="293" t="str">
        <f>Tabel152[[#This Row],[Groen Verdediging]]&amp;Tabel152[[#This Row],[Groen Aanval]]</f>
        <v/>
      </c>
      <c r="U252" s="293" t="str">
        <f>Tabel152[[#This Row],[Winnaar 1]]&amp;Tabel152[[#This Row],[Winnaar 2]]</f>
        <v>00</v>
      </c>
      <c r="V252" s="147" t="b">
        <f>IF(Tabel152[[#This Row],[Team Rood]]=Tabel152[[#This Row],[Winnaars]],Tabel152[[#This Row],[Team Rood]])</f>
        <v>0</v>
      </c>
      <c r="W252" s="147" t="b">
        <f>IF(Tabel152[[#This Row],[Team Groen]]=Tabel152[[#This Row],[Winnaars]],Tabel152[[#This Row],[Team Groen]])</f>
        <v>0</v>
      </c>
      <c r="X252" s="283"/>
      <c r="Y252" s="283"/>
      <c r="Z252" s="283"/>
      <c r="AA252" s="283"/>
    </row>
    <row r="253" spans="1:27" x14ac:dyDescent="0.25">
      <c r="A253" s="215" t="str">
        <f ca="1">IF(Tabel152[[#This Row],[Rood Verdediging]]&lt;&gt;"",IF(A253="",NOW(),A253),"")</f>
        <v/>
      </c>
      <c r="B253" s="218" t="str">
        <f ca="1">IF(Tabel152[[#This Row],[Rood Verdediging]]&lt;&gt;"",IF(B253="",NOW(),B253),"")</f>
        <v/>
      </c>
      <c r="C253" s="216" t="str">
        <f ca="1">IF(Tabel152[[#This Row],[Score]]&lt;&gt;"",IF(C253="",NOW(),C253),"")</f>
        <v/>
      </c>
      <c r="D253" s="217" t="str">
        <f ca="1">IF(OR(Tabel152[[#This Row],[Starttijd]]="",Tabel152[[#This Row],[Eindtijd]]=""),"",Tabel152[[#This Row],[Eindtijd]]-Tabel152[[#This Row],[Starttijd]])</f>
        <v/>
      </c>
      <c r="E253" s="74">
        <v>252</v>
      </c>
      <c r="F253" s="205"/>
      <c r="G253" s="210"/>
      <c r="H253" s="205"/>
      <c r="I253" s="210"/>
      <c r="J253" s="206"/>
      <c r="K253" s="212"/>
      <c r="L253" s="206"/>
      <c r="M253" s="212"/>
      <c r="N253" s="79">
        <f>Tabel152[[#This Row],[Score]]+Tabel152[[#This Row],[Score2]]</f>
        <v>0</v>
      </c>
      <c r="O253" s="80">
        <f>Tabel152[[#This Row],[Score3]]+Tabel152[[#This Row],[Score4]]</f>
        <v>0</v>
      </c>
      <c r="P25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Row],[Score4]]&lt;&gt;""),IF(AND(N253&gt;O253,N253&gt;=11),"ROOD",IF(AND(O253&gt;=11,N253&lt;&gt;O253),"GROEN","")),"")</f>
        <v/>
      </c>
      <c r="Q253" s="84">
        <f t="shared" si="20"/>
        <v>0</v>
      </c>
      <c r="R253" s="85">
        <f t="shared" si="21"/>
        <v>0</v>
      </c>
      <c r="S253" s="293" t="str">
        <f>Tabel152[[#This Row],[Rood Verdediging]]&amp;Tabel152[[#This Row],[Rood Aanval]]</f>
        <v/>
      </c>
      <c r="T253" s="293" t="str">
        <f>Tabel152[[#This Row],[Groen Verdediging]]&amp;Tabel152[[#This Row],[Groen Aanval]]</f>
        <v/>
      </c>
      <c r="U253" s="293" t="str">
        <f>Tabel152[[#This Row],[Winnaar 1]]&amp;Tabel152[[#This Row],[Winnaar 2]]</f>
        <v>00</v>
      </c>
      <c r="V253" s="147" t="b">
        <f>IF(Tabel152[[#This Row],[Team Rood]]=Tabel152[[#This Row],[Winnaars]],Tabel152[[#This Row],[Team Rood]])</f>
        <v>0</v>
      </c>
      <c r="W253" s="147" t="b">
        <f>IF(Tabel152[[#This Row],[Team Groen]]=Tabel152[[#This Row],[Winnaars]],Tabel152[[#This Row],[Team Groen]])</f>
        <v>0</v>
      </c>
      <c r="X253" s="283"/>
      <c r="Y253" s="283"/>
      <c r="Z253" s="283"/>
      <c r="AA253" s="283"/>
    </row>
    <row r="254" spans="1:27" x14ac:dyDescent="0.25">
      <c r="A254" s="215" t="str">
        <f ca="1">IF(Tabel152[[#This Row],[Rood Verdediging]]&lt;&gt;"",IF(A254="",NOW(),A254),"")</f>
        <v/>
      </c>
      <c r="B254" s="218" t="str">
        <f ca="1">IF(Tabel152[[#This Row],[Rood Verdediging]]&lt;&gt;"",IF(B254="",NOW(),B254),"")</f>
        <v/>
      </c>
      <c r="C254" s="216" t="str">
        <f ca="1">IF(Tabel152[[#This Row],[Score]]&lt;&gt;"",IF(C254="",NOW(),C254),"")</f>
        <v/>
      </c>
      <c r="D254" s="217" t="str">
        <f ca="1">IF(OR(Tabel152[[#This Row],[Starttijd]]="",Tabel152[[#This Row],[Eindtijd]]=""),"",Tabel152[[#This Row],[Eindtijd]]-Tabel152[[#This Row],[Starttijd]])</f>
        <v/>
      </c>
      <c r="E254" s="74">
        <v>253</v>
      </c>
      <c r="F254" s="205"/>
      <c r="G254" s="210"/>
      <c r="H254" s="205"/>
      <c r="I254" s="210"/>
      <c r="J254" s="206"/>
      <c r="K254" s="212"/>
      <c r="L254" s="206"/>
      <c r="M254" s="212"/>
      <c r="N254" s="79">
        <f>Tabel152[[#This Row],[Score]]+Tabel152[[#This Row],[Score2]]</f>
        <v>0</v>
      </c>
      <c r="O254" s="80">
        <f>Tabel152[[#This Row],[Score3]]+Tabel152[[#This Row],[Score4]]</f>
        <v>0</v>
      </c>
      <c r="P25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Row],[Score4]]&lt;&gt;""),IF(AND(N254&gt;O254,N254&gt;=11),"ROOD",IF(AND(O254&gt;=11,N254&lt;&gt;O254),"GROEN","")),"")</f>
        <v/>
      </c>
      <c r="Q254" s="84">
        <f t="shared" si="20"/>
        <v>0</v>
      </c>
      <c r="R254" s="85">
        <f t="shared" si="21"/>
        <v>0</v>
      </c>
      <c r="S254" s="293" t="str">
        <f>Tabel152[[#This Row],[Rood Verdediging]]&amp;Tabel152[[#This Row],[Rood Aanval]]</f>
        <v/>
      </c>
      <c r="T254" s="293" t="str">
        <f>Tabel152[[#This Row],[Groen Verdediging]]&amp;Tabel152[[#This Row],[Groen Aanval]]</f>
        <v/>
      </c>
      <c r="U254" s="293" t="str">
        <f>Tabel152[[#This Row],[Winnaar 1]]&amp;Tabel152[[#This Row],[Winnaar 2]]</f>
        <v>00</v>
      </c>
      <c r="V254" s="147" t="b">
        <f>IF(Tabel152[[#This Row],[Team Rood]]=Tabel152[[#This Row],[Winnaars]],Tabel152[[#This Row],[Team Rood]])</f>
        <v>0</v>
      </c>
      <c r="W254" s="147" t="b">
        <f>IF(Tabel152[[#This Row],[Team Groen]]=Tabel152[[#This Row],[Winnaars]],Tabel152[[#This Row],[Team Groen]])</f>
        <v>0</v>
      </c>
      <c r="X254" s="283"/>
      <c r="Y254" s="283"/>
      <c r="Z254" s="283"/>
      <c r="AA254" s="283"/>
    </row>
    <row r="255" spans="1:27" x14ac:dyDescent="0.25">
      <c r="A255" s="215" t="str">
        <f ca="1">IF(Tabel152[[#This Row],[Rood Verdediging]]&lt;&gt;"",IF(A255="",NOW(),A255),"")</f>
        <v/>
      </c>
      <c r="B255" s="218" t="str">
        <f ca="1">IF(Tabel152[[#This Row],[Rood Verdediging]]&lt;&gt;"",IF(B255="",NOW(),B255),"")</f>
        <v/>
      </c>
      <c r="C255" s="216" t="str">
        <f ca="1">IF(Tabel152[[#This Row],[Score]]&lt;&gt;"",IF(C255="",NOW(),C255),"")</f>
        <v/>
      </c>
      <c r="D255" s="217" t="str">
        <f ca="1">IF(OR(Tabel152[[#This Row],[Starttijd]]="",Tabel152[[#This Row],[Eindtijd]]=""),"",Tabel152[[#This Row],[Eindtijd]]-Tabel152[[#This Row],[Starttijd]])</f>
        <v/>
      </c>
      <c r="E255" s="74">
        <v>254</v>
      </c>
      <c r="F255" s="205"/>
      <c r="G255" s="210"/>
      <c r="H255" s="205"/>
      <c r="I255" s="210"/>
      <c r="J255" s="206"/>
      <c r="K255" s="212"/>
      <c r="L255" s="206"/>
      <c r="M255" s="212"/>
      <c r="N255" s="79">
        <f>Tabel152[[#This Row],[Score]]+Tabel152[[#This Row],[Score2]]</f>
        <v>0</v>
      </c>
      <c r="O255" s="80">
        <f>Tabel152[[#This Row],[Score3]]+Tabel152[[#This Row],[Score4]]</f>
        <v>0</v>
      </c>
      <c r="P25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Row],[Score4]]&lt;&gt;""),IF(AND(N255&gt;O255,N255&gt;=11),"ROOD",IF(AND(O255&gt;=11,N255&lt;&gt;O255),"GROEN","")),"")</f>
        <v/>
      </c>
      <c r="Q255" s="84">
        <f t="shared" si="20"/>
        <v>0</v>
      </c>
      <c r="R255" s="85">
        <f t="shared" si="21"/>
        <v>0</v>
      </c>
      <c r="S255" s="293" t="str">
        <f>Tabel152[[#This Row],[Rood Verdediging]]&amp;Tabel152[[#This Row],[Rood Aanval]]</f>
        <v/>
      </c>
      <c r="T255" s="293" t="str">
        <f>Tabel152[[#This Row],[Groen Verdediging]]&amp;Tabel152[[#This Row],[Groen Aanval]]</f>
        <v/>
      </c>
      <c r="U255" s="293" t="str">
        <f>Tabel152[[#This Row],[Winnaar 1]]&amp;Tabel152[[#This Row],[Winnaar 2]]</f>
        <v>00</v>
      </c>
      <c r="V255" s="147" t="b">
        <f>IF(Tabel152[[#This Row],[Team Rood]]=Tabel152[[#This Row],[Winnaars]],Tabel152[[#This Row],[Team Rood]])</f>
        <v>0</v>
      </c>
      <c r="W255" s="147" t="b">
        <f>IF(Tabel152[[#This Row],[Team Groen]]=Tabel152[[#This Row],[Winnaars]],Tabel152[[#This Row],[Team Groen]])</f>
        <v>0</v>
      </c>
      <c r="X255" s="283"/>
      <c r="Y255" s="283"/>
      <c r="Z255" s="283"/>
      <c r="AA255" s="283"/>
    </row>
    <row r="256" spans="1:27" x14ac:dyDescent="0.25">
      <c r="A256" s="215" t="str">
        <f ca="1">IF(Tabel152[[#This Row],[Rood Verdediging]]&lt;&gt;"",IF(A256="",NOW(),A256),"")</f>
        <v/>
      </c>
      <c r="B256" s="218" t="str">
        <f ca="1">IF(Tabel152[[#This Row],[Rood Verdediging]]&lt;&gt;"",IF(B256="",NOW(),B256),"")</f>
        <v/>
      </c>
      <c r="C256" s="216" t="str">
        <f ca="1">IF(Tabel152[[#This Row],[Score]]&lt;&gt;"",IF(C256="",NOW(),C256),"")</f>
        <v/>
      </c>
      <c r="D256" s="217" t="str">
        <f ca="1">IF(OR(Tabel152[[#This Row],[Starttijd]]="",Tabel152[[#This Row],[Eindtijd]]=""),"",Tabel152[[#This Row],[Eindtijd]]-Tabel152[[#This Row],[Starttijd]])</f>
        <v/>
      </c>
      <c r="E256" s="74">
        <v>255</v>
      </c>
      <c r="F256" s="205"/>
      <c r="G256" s="210"/>
      <c r="H256" s="205"/>
      <c r="I256" s="210"/>
      <c r="J256" s="206"/>
      <c r="K256" s="212"/>
      <c r="L256" s="206"/>
      <c r="M256" s="212"/>
      <c r="N256" s="79">
        <f>Tabel152[[#This Row],[Score]]+Tabel152[[#This Row],[Score2]]</f>
        <v>0</v>
      </c>
      <c r="O256" s="80">
        <f>Tabel152[[#This Row],[Score3]]+Tabel152[[#This Row],[Score4]]</f>
        <v>0</v>
      </c>
      <c r="P25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Row],[Score4]]&lt;&gt;""),IF(AND(N256&gt;O256,N256&gt;=11),"ROOD",IF(AND(O256&gt;=11,N256&lt;&gt;O256),"GROEN","")),"")</f>
        <v/>
      </c>
      <c r="Q256" s="84">
        <f t="shared" si="20"/>
        <v>0</v>
      </c>
      <c r="R256" s="85">
        <f t="shared" si="21"/>
        <v>0</v>
      </c>
      <c r="S256" s="293" t="str">
        <f>Tabel152[[#This Row],[Rood Verdediging]]&amp;Tabel152[[#This Row],[Rood Aanval]]</f>
        <v/>
      </c>
      <c r="T256" s="293" t="str">
        <f>Tabel152[[#This Row],[Groen Verdediging]]&amp;Tabel152[[#This Row],[Groen Aanval]]</f>
        <v/>
      </c>
      <c r="U256" s="293" t="str">
        <f>Tabel152[[#This Row],[Winnaar 1]]&amp;Tabel152[[#This Row],[Winnaar 2]]</f>
        <v>00</v>
      </c>
      <c r="V256" s="147" t="b">
        <f>IF(Tabel152[[#This Row],[Team Rood]]=Tabel152[[#This Row],[Winnaars]],Tabel152[[#This Row],[Team Rood]])</f>
        <v>0</v>
      </c>
      <c r="W256" s="147" t="b">
        <f>IF(Tabel152[[#This Row],[Team Groen]]=Tabel152[[#This Row],[Winnaars]],Tabel152[[#This Row],[Team Groen]])</f>
        <v>0</v>
      </c>
      <c r="X256" s="283"/>
      <c r="Y256" s="283"/>
      <c r="Z256" s="283"/>
      <c r="AA256" s="283"/>
    </row>
    <row r="257" spans="1:27" x14ac:dyDescent="0.25">
      <c r="A257" s="215" t="str">
        <f ca="1">IF(Tabel152[[#This Row],[Rood Verdediging]]&lt;&gt;"",IF(A257="",NOW(),A257),"")</f>
        <v/>
      </c>
      <c r="B257" s="218" t="str">
        <f ca="1">IF(Tabel152[[#This Row],[Rood Verdediging]]&lt;&gt;"",IF(B257="",NOW(),B257),"")</f>
        <v/>
      </c>
      <c r="C257" s="216" t="str">
        <f ca="1">IF(Tabel152[[#This Row],[Score]]&lt;&gt;"",IF(C257="",NOW(),C257),"")</f>
        <v/>
      </c>
      <c r="D257" s="217" t="str">
        <f ca="1">IF(OR(Tabel152[[#This Row],[Starttijd]]="",Tabel152[[#This Row],[Eindtijd]]=""),"",Tabel152[[#This Row],[Eindtijd]]-Tabel152[[#This Row],[Starttijd]])</f>
        <v/>
      </c>
      <c r="E257" s="74">
        <v>256</v>
      </c>
      <c r="F257" s="205"/>
      <c r="G257" s="210"/>
      <c r="H257" s="205"/>
      <c r="I257" s="210"/>
      <c r="J257" s="206"/>
      <c r="K257" s="212"/>
      <c r="L257" s="206"/>
      <c r="M257" s="212"/>
      <c r="N257" s="79">
        <f>Tabel152[[#This Row],[Score]]+Tabel152[[#This Row],[Score2]]</f>
        <v>0</v>
      </c>
      <c r="O257" s="80">
        <f>Tabel152[[#This Row],[Score3]]+Tabel152[[#This Row],[Score4]]</f>
        <v>0</v>
      </c>
      <c r="P25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Row],[Score4]]&lt;&gt;""),IF(AND(N257&gt;O257,N257&gt;=11),"ROOD",IF(AND(O257&gt;=11,N257&lt;&gt;O257),"GROEN","")),"")</f>
        <v/>
      </c>
      <c r="Q257" s="84">
        <f t="shared" si="20"/>
        <v>0</v>
      </c>
      <c r="R257" s="85">
        <f t="shared" si="21"/>
        <v>0</v>
      </c>
      <c r="S257" s="293" t="str">
        <f>Tabel152[[#This Row],[Rood Verdediging]]&amp;Tabel152[[#This Row],[Rood Aanval]]</f>
        <v/>
      </c>
      <c r="T257" s="293" t="str">
        <f>Tabel152[[#This Row],[Groen Verdediging]]&amp;Tabel152[[#This Row],[Groen Aanval]]</f>
        <v/>
      </c>
      <c r="U257" s="293" t="str">
        <f>Tabel152[[#This Row],[Winnaar 1]]&amp;Tabel152[[#This Row],[Winnaar 2]]</f>
        <v>00</v>
      </c>
      <c r="V257" s="147" t="b">
        <f>IF(Tabel152[[#This Row],[Team Rood]]=Tabel152[[#This Row],[Winnaars]],Tabel152[[#This Row],[Team Rood]])</f>
        <v>0</v>
      </c>
      <c r="W257" s="147" t="b">
        <f>IF(Tabel152[[#This Row],[Team Groen]]=Tabel152[[#This Row],[Winnaars]],Tabel152[[#This Row],[Team Groen]])</f>
        <v>0</v>
      </c>
      <c r="X257" s="283"/>
      <c r="Y257" s="283"/>
      <c r="Z257" s="283"/>
      <c r="AA257" s="283"/>
    </row>
    <row r="258" spans="1:27" x14ac:dyDescent="0.25">
      <c r="A258" s="215" t="str">
        <f ca="1">IF(Tabel152[[#This Row],[Rood Verdediging]]&lt;&gt;"",IF(A258="",NOW(),A258),"")</f>
        <v/>
      </c>
      <c r="B258" s="218" t="str">
        <f ca="1">IF(Tabel152[[#This Row],[Rood Verdediging]]&lt;&gt;"",IF(B258="",NOW(),B258),"")</f>
        <v/>
      </c>
      <c r="C258" s="216" t="str">
        <f ca="1">IF(Tabel152[[#This Row],[Score]]&lt;&gt;"",IF(C258="",NOW(),C258),"")</f>
        <v/>
      </c>
      <c r="D258" s="217" t="str">
        <f ca="1">IF(OR(Tabel152[[#This Row],[Starttijd]]="",Tabel152[[#This Row],[Eindtijd]]=""),"",Tabel152[[#This Row],[Eindtijd]]-Tabel152[[#This Row],[Starttijd]])</f>
        <v/>
      </c>
      <c r="E258" s="74">
        <v>257</v>
      </c>
      <c r="F258" s="205"/>
      <c r="G258" s="210"/>
      <c r="H258" s="205"/>
      <c r="I258" s="210"/>
      <c r="J258" s="206"/>
      <c r="K258" s="212"/>
      <c r="L258" s="206"/>
      <c r="M258" s="212"/>
      <c r="N258" s="79">
        <f>Tabel152[[#This Row],[Score]]+Tabel152[[#This Row],[Score2]]</f>
        <v>0</v>
      </c>
      <c r="O258" s="80">
        <f>Tabel152[[#This Row],[Score3]]+Tabel152[[#This Row],[Score4]]</f>
        <v>0</v>
      </c>
      <c r="P25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Row],[Score4]]&lt;&gt;""),IF(AND(N258&gt;O258,N258&gt;=11),"ROOD",IF(AND(O258&gt;=11,N258&lt;&gt;O258),"GROEN","")),"")</f>
        <v/>
      </c>
      <c r="Q258" s="84">
        <f t="shared" si="20"/>
        <v>0</v>
      </c>
      <c r="R258" s="85">
        <f t="shared" si="21"/>
        <v>0</v>
      </c>
      <c r="S258" s="293" t="str">
        <f>Tabel152[[#This Row],[Rood Verdediging]]&amp;Tabel152[[#This Row],[Rood Aanval]]</f>
        <v/>
      </c>
      <c r="T258" s="293" t="str">
        <f>Tabel152[[#This Row],[Groen Verdediging]]&amp;Tabel152[[#This Row],[Groen Aanval]]</f>
        <v/>
      </c>
      <c r="U258" s="293" t="str">
        <f>Tabel152[[#This Row],[Winnaar 1]]&amp;Tabel152[[#This Row],[Winnaar 2]]</f>
        <v>00</v>
      </c>
      <c r="V258" s="147" t="b">
        <f>IF(Tabel152[[#This Row],[Team Rood]]=Tabel152[[#This Row],[Winnaars]],Tabel152[[#This Row],[Team Rood]])</f>
        <v>0</v>
      </c>
      <c r="W258" s="147" t="b">
        <f>IF(Tabel152[[#This Row],[Team Groen]]=Tabel152[[#This Row],[Winnaars]],Tabel152[[#This Row],[Team Groen]])</f>
        <v>0</v>
      </c>
      <c r="X258" s="283"/>
      <c r="Y258" s="283"/>
      <c r="Z258" s="283"/>
      <c r="AA258" s="283"/>
    </row>
    <row r="259" spans="1:27" x14ac:dyDescent="0.25">
      <c r="A259" s="215" t="str">
        <f ca="1">IF(Tabel152[[#This Row],[Rood Verdediging]]&lt;&gt;"",IF(A259="",NOW(),A259),"")</f>
        <v/>
      </c>
      <c r="B259" s="218" t="str">
        <f ca="1">IF(Tabel152[[#This Row],[Rood Verdediging]]&lt;&gt;"",IF(B259="",NOW(),B259),"")</f>
        <v/>
      </c>
      <c r="C259" s="216" t="str">
        <f ca="1">IF(Tabel152[[#This Row],[Score]]&lt;&gt;"",IF(C259="",NOW(),C259),"")</f>
        <v/>
      </c>
      <c r="D259" s="217" t="str">
        <f ca="1">IF(OR(Tabel152[[#This Row],[Starttijd]]="",Tabel152[[#This Row],[Eindtijd]]=""),"",Tabel152[[#This Row],[Eindtijd]]-Tabel152[[#This Row],[Starttijd]])</f>
        <v/>
      </c>
      <c r="E259" s="74">
        <v>258</v>
      </c>
      <c r="F259" s="205"/>
      <c r="G259" s="210"/>
      <c r="H259" s="205"/>
      <c r="I259" s="210"/>
      <c r="J259" s="206"/>
      <c r="K259" s="212"/>
      <c r="L259" s="206"/>
      <c r="M259" s="212"/>
      <c r="N259" s="79">
        <f>Tabel152[[#This Row],[Score]]+Tabel152[[#This Row],[Score2]]</f>
        <v>0</v>
      </c>
      <c r="O259" s="80">
        <f>Tabel152[[#This Row],[Score3]]+Tabel152[[#This Row],[Score4]]</f>
        <v>0</v>
      </c>
      <c r="P25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Row],[Score4]]&lt;&gt;""),IF(AND(N259&gt;O259,N259&gt;=11),"ROOD",IF(AND(O259&gt;=11,N259&lt;&gt;O259),"GROEN","")),"")</f>
        <v/>
      </c>
      <c r="Q259" s="84">
        <f t="shared" si="20"/>
        <v>0</v>
      </c>
      <c r="R259" s="85">
        <f t="shared" si="21"/>
        <v>0</v>
      </c>
      <c r="S259" s="293" t="str">
        <f>Tabel152[[#This Row],[Rood Verdediging]]&amp;Tabel152[[#This Row],[Rood Aanval]]</f>
        <v/>
      </c>
      <c r="T259" s="293" t="str">
        <f>Tabel152[[#This Row],[Groen Verdediging]]&amp;Tabel152[[#This Row],[Groen Aanval]]</f>
        <v/>
      </c>
      <c r="U259" s="293" t="str">
        <f>Tabel152[[#This Row],[Winnaar 1]]&amp;Tabel152[[#This Row],[Winnaar 2]]</f>
        <v>00</v>
      </c>
      <c r="V259" s="147" t="b">
        <f>IF(Tabel152[[#This Row],[Team Rood]]=Tabel152[[#This Row],[Winnaars]],Tabel152[[#This Row],[Team Rood]])</f>
        <v>0</v>
      </c>
      <c r="W259" s="147" t="b">
        <f>IF(Tabel152[[#This Row],[Team Groen]]=Tabel152[[#This Row],[Winnaars]],Tabel152[[#This Row],[Team Groen]])</f>
        <v>0</v>
      </c>
      <c r="X259" s="283"/>
      <c r="Y259" s="283"/>
      <c r="Z259" s="283"/>
      <c r="AA259" s="283"/>
    </row>
    <row r="260" spans="1:27" x14ac:dyDescent="0.25">
      <c r="A260" s="215" t="str">
        <f ca="1">IF(Tabel152[[#This Row],[Rood Verdediging]]&lt;&gt;"",IF(A260="",NOW(),A260),"")</f>
        <v/>
      </c>
      <c r="B260" s="218" t="str">
        <f ca="1">IF(Tabel152[[#This Row],[Rood Verdediging]]&lt;&gt;"",IF(B260="",NOW(),B260),"")</f>
        <v/>
      </c>
      <c r="C260" s="216" t="str">
        <f ca="1">IF(Tabel152[[#This Row],[Score]]&lt;&gt;"",IF(C260="",NOW(),C260),"")</f>
        <v/>
      </c>
      <c r="D260" s="217" t="str">
        <f ca="1">IF(OR(Tabel152[[#This Row],[Starttijd]]="",Tabel152[[#This Row],[Eindtijd]]=""),"",Tabel152[[#This Row],[Eindtijd]]-Tabel152[[#This Row],[Starttijd]])</f>
        <v/>
      </c>
      <c r="E260" s="74">
        <v>259</v>
      </c>
      <c r="F260" s="205"/>
      <c r="G260" s="210"/>
      <c r="H260" s="205"/>
      <c r="I260" s="210"/>
      <c r="J260" s="206"/>
      <c r="K260" s="212"/>
      <c r="L260" s="206"/>
      <c r="M260" s="212"/>
      <c r="N260" s="79">
        <f>Tabel152[[#This Row],[Score]]+Tabel152[[#This Row],[Score2]]</f>
        <v>0</v>
      </c>
      <c r="O260" s="80">
        <f>Tabel152[[#This Row],[Score3]]+Tabel152[[#This Row],[Score4]]</f>
        <v>0</v>
      </c>
      <c r="P26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Row],[Score4]]&lt;&gt;""),IF(AND(N260&gt;O260,N260&gt;=11),"ROOD",IF(AND(O260&gt;=11,N260&lt;&gt;O260),"GROEN","")),"")</f>
        <v/>
      </c>
      <c r="Q260" s="84">
        <f t="shared" si="20"/>
        <v>0</v>
      </c>
      <c r="R260" s="85">
        <f t="shared" si="21"/>
        <v>0</v>
      </c>
      <c r="S260" s="293" t="str">
        <f>Tabel152[[#This Row],[Rood Verdediging]]&amp;Tabel152[[#This Row],[Rood Aanval]]</f>
        <v/>
      </c>
      <c r="T260" s="293" t="str">
        <f>Tabel152[[#This Row],[Groen Verdediging]]&amp;Tabel152[[#This Row],[Groen Aanval]]</f>
        <v/>
      </c>
      <c r="U260" s="293" t="str">
        <f>Tabel152[[#This Row],[Winnaar 1]]&amp;Tabel152[[#This Row],[Winnaar 2]]</f>
        <v>00</v>
      </c>
      <c r="V260" s="147" t="b">
        <f>IF(Tabel152[[#This Row],[Team Rood]]=Tabel152[[#This Row],[Winnaars]],Tabel152[[#This Row],[Team Rood]])</f>
        <v>0</v>
      </c>
      <c r="W260" s="147" t="b">
        <f>IF(Tabel152[[#This Row],[Team Groen]]=Tabel152[[#This Row],[Winnaars]],Tabel152[[#This Row],[Team Groen]])</f>
        <v>0</v>
      </c>
      <c r="X260" s="283"/>
      <c r="Y260" s="283"/>
      <c r="Z260" s="283"/>
      <c r="AA260" s="283"/>
    </row>
    <row r="261" spans="1:27" x14ac:dyDescent="0.25">
      <c r="A261" s="215" t="str">
        <f ca="1">IF(Tabel152[[#This Row],[Rood Verdediging]]&lt;&gt;"",IF(A261="",NOW(),A261),"")</f>
        <v/>
      </c>
      <c r="B261" s="218" t="str">
        <f ca="1">IF(Tabel152[[#This Row],[Rood Verdediging]]&lt;&gt;"",IF(B261="",NOW(),B261),"")</f>
        <v/>
      </c>
      <c r="C261" s="216" t="str">
        <f ca="1">IF(Tabel152[[#This Row],[Score]]&lt;&gt;"",IF(C261="",NOW(),C261),"")</f>
        <v/>
      </c>
      <c r="D261" s="217" t="str">
        <f ca="1">IF(OR(Tabel152[[#This Row],[Starttijd]]="",Tabel152[[#This Row],[Eindtijd]]=""),"",Tabel152[[#This Row],[Eindtijd]]-Tabel152[[#This Row],[Starttijd]])</f>
        <v/>
      </c>
      <c r="E261" s="74">
        <v>260</v>
      </c>
      <c r="F261" s="205"/>
      <c r="G261" s="210"/>
      <c r="H261" s="205"/>
      <c r="I261" s="210"/>
      <c r="J261" s="206"/>
      <c r="K261" s="212"/>
      <c r="L261" s="206"/>
      <c r="M261" s="212"/>
      <c r="N261" s="79">
        <f>Tabel152[[#This Row],[Score]]+Tabel152[[#This Row],[Score2]]</f>
        <v>0</v>
      </c>
      <c r="O261" s="80">
        <f>Tabel152[[#This Row],[Score3]]+Tabel152[[#This Row],[Score4]]</f>
        <v>0</v>
      </c>
      <c r="P26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Row],[Score4]]&lt;&gt;""),IF(AND(N261&gt;O261,N261&gt;=11),"ROOD",IF(AND(O261&gt;=11,N261&lt;&gt;O261),"GROEN","")),"")</f>
        <v/>
      </c>
      <c r="Q261" s="84">
        <f t="shared" ref="Q261:Q305" si="22">IF(N261&gt;O261,F261,IF(N261="","",J261))</f>
        <v>0</v>
      </c>
      <c r="R261" s="85">
        <f t="shared" ref="R261:R305" si="23">IF(N261&gt;O261,H261,IF(N261="","",L261))</f>
        <v>0</v>
      </c>
      <c r="S261" s="293" t="str">
        <f>Tabel152[[#This Row],[Rood Verdediging]]&amp;Tabel152[[#This Row],[Rood Aanval]]</f>
        <v/>
      </c>
      <c r="T261" s="293" t="str">
        <f>Tabel152[[#This Row],[Groen Verdediging]]&amp;Tabel152[[#This Row],[Groen Aanval]]</f>
        <v/>
      </c>
      <c r="U261" s="293" t="str">
        <f>Tabel152[[#This Row],[Winnaar 1]]&amp;Tabel152[[#This Row],[Winnaar 2]]</f>
        <v>00</v>
      </c>
      <c r="V261" s="147" t="b">
        <f>IF(Tabel152[[#This Row],[Team Rood]]=Tabel152[[#This Row],[Winnaars]],Tabel152[[#This Row],[Team Rood]])</f>
        <v>0</v>
      </c>
      <c r="W261" s="147" t="b">
        <f>IF(Tabel152[[#This Row],[Team Groen]]=Tabel152[[#This Row],[Winnaars]],Tabel152[[#This Row],[Team Groen]])</f>
        <v>0</v>
      </c>
      <c r="X261" s="283"/>
      <c r="Y261" s="283"/>
      <c r="Z261" s="283"/>
      <c r="AA261" s="283"/>
    </row>
    <row r="262" spans="1:27" x14ac:dyDescent="0.25">
      <c r="A262" s="215" t="str">
        <f ca="1">IF(Tabel152[[#This Row],[Rood Verdediging]]&lt;&gt;"",IF(A262="",NOW(),A262),"")</f>
        <v/>
      </c>
      <c r="B262" s="218" t="str">
        <f ca="1">IF(Tabel152[[#This Row],[Rood Verdediging]]&lt;&gt;"",IF(B262="",NOW(),B262),"")</f>
        <v/>
      </c>
      <c r="C262" s="216" t="str">
        <f ca="1">IF(Tabel152[[#This Row],[Score]]&lt;&gt;"",IF(C262="",NOW(),C262),"")</f>
        <v/>
      </c>
      <c r="D262" s="217" t="str">
        <f ca="1">IF(OR(Tabel152[[#This Row],[Starttijd]]="",Tabel152[[#This Row],[Eindtijd]]=""),"",Tabel152[[#This Row],[Eindtijd]]-Tabel152[[#This Row],[Starttijd]])</f>
        <v/>
      </c>
      <c r="E262" s="74">
        <v>261</v>
      </c>
      <c r="F262" s="205"/>
      <c r="G262" s="210"/>
      <c r="H262" s="205"/>
      <c r="I262" s="210"/>
      <c r="J262" s="206"/>
      <c r="K262" s="212"/>
      <c r="L262" s="206"/>
      <c r="M262" s="212"/>
      <c r="N262" s="79">
        <f>Tabel152[[#This Row],[Score]]+Tabel152[[#This Row],[Score2]]</f>
        <v>0</v>
      </c>
      <c r="O262" s="80">
        <f>Tabel152[[#This Row],[Score3]]+Tabel152[[#This Row],[Score4]]</f>
        <v>0</v>
      </c>
      <c r="P26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Row],[Score4]]&lt;&gt;""),IF(AND(N262&gt;O262,N262&gt;=11),"ROOD",IF(AND(O262&gt;=11,N262&lt;&gt;O262),"GROEN","")),"")</f>
        <v/>
      </c>
      <c r="Q262" s="84">
        <f t="shared" si="22"/>
        <v>0</v>
      </c>
      <c r="R262" s="85">
        <f t="shared" si="23"/>
        <v>0</v>
      </c>
      <c r="S262" s="293" t="str">
        <f>Tabel152[[#This Row],[Rood Verdediging]]&amp;Tabel152[[#This Row],[Rood Aanval]]</f>
        <v/>
      </c>
      <c r="T262" s="293" t="str">
        <f>Tabel152[[#This Row],[Groen Verdediging]]&amp;Tabel152[[#This Row],[Groen Aanval]]</f>
        <v/>
      </c>
      <c r="U262" s="293" t="str">
        <f>Tabel152[[#This Row],[Winnaar 1]]&amp;Tabel152[[#This Row],[Winnaar 2]]</f>
        <v>00</v>
      </c>
      <c r="V262" s="147" t="b">
        <f>IF(Tabel152[[#This Row],[Team Rood]]=Tabel152[[#This Row],[Winnaars]],Tabel152[[#This Row],[Team Rood]])</f>
        <v>0</v>
      </c>
      <c r="W262" s="147" t="b">
        <f>IF(Tabel152[[#This Row],[Team Groen]]=Tabel152[[#This Row],[Winnaars]],Tabel152[[#This Row],[Team Groen]])</f>
        <v>0</v>
      </c>
      <c r="X262" s="283"/>
      <c r="Y262" s="283"/>
      <c r="Z262" s="283"/>
      <c r="AA262" s="283"/>
    </row>
    <row r="263" spans="1:27" x14ac:dyDescent="0.25">
      <c r="A263" s="215" t="str">
        <f ca="1">IF(Tabel152[[#This Row],[Rood Verdediging]]&lt;&gt;"",IF(A263="",NOW(),A263),"")</f>
        <v/>
      </c>
      <c r="B263" s="218" t="str">
        <f ca="1">IF(Tabel152[[#This Row],[Rood Verdediging]]&lt;&gt;"",IF(B263="",NOW(),B263),"")</f>
        <v/>
      </c>
      <c r="C263" s="216" t="str">
        <f ca="1">IF(Tabel152[[#This Row],[Score]]&lt;&gt;"",IF(C263="",NOW(),C263),"")</f>
        <v/>
      </c>
      <c r="D263" s="217" t="str">
        <f ca="1">IF(OR(Tabel152[[#This Row],[Starttijd]]="",Tabel152[[#This Row],[Eindtijd]]=""),"",Tabel152[[#This Row],[Eindtijd]]-Tabel152[[#This Row],[Starttijd]])</f>
        <v/>
      </c>
      <c r="E263" s="74">
        <v>262</v>
      </c>
      <c r="F263" s="205"/>
      <c r="G263" s="210"/>
      <c r="H263" s="205"/>
      <c r="I263" s="210"/>
      <c r="J263" s="206"/>
      <c r="K263" s="212"/>
      <c r="L263" s="206"/>
      <c r="M263" s="212"/>
      <c r="N263" s="79">
        <f>Tabel152[[#This Row],[Score]]+Tabel152[[#This Row],[Score2]]</f>
        <v>0</v>
      </c>
      <c r="O263" s="80">
        <f>Tabel152[[#This Row],[Score3]]+Tabel152[[#This Row],[Score4]]</f>
        <v>0</v>
      </c>
      <c r="P26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Row],[Score4]]&lt;&gt;""),IF(AND(N263&gt;O263,N263&gt;=11),"ROOD",IF(AND(O263&gt;=11,N263&lt;&gt;O263),"GROEN","")),"")</f>
        <v/>
      </c>
      <c r="Q263" s="84">
        <f t="shared" si="22"/>
        <v>0</v>
      </c>
      <c r="R263" s="85">
        <f t="shared" si="23"/>
        <v>0</v>
      </c>
      <c r="S263" s="293" t="str">
        <f>Tabel152[[#This Row],[Rood Verdediging]]&amp;Tabel152[[#This Row],[Rood Aanval]]</f>
        <v/>
      </c>
      <c r="T263" s="293" t="str">
        <f>Tabel152[[#This Row],[Groen Verdediging]]&amp;Tabel152[[#This Row],[Groen Aanval]]</f>
        <v/>
      </c>
      <c r="U263" s="293" t="str">
        <f>Tabel152[[#This Row],[Winnaar 1]]&amp;Tabel152[[#This Row],[Winnaar 2]]</f>
        <v>00</v>
      </c>
      <c r="V263" s="147" t="b">
        <f>IF(Tabel152[[#This Row],[Team Rood]]=Tabel152[[#This Row],[Winnaars]],Tabel152[[#This Row],[Team Rood]])</f>
        <v>0</v>
      </c>
      <c r="W263" s="147" t="b">
        <f>IF(Tabel152[[#This Row],[Team Groen]]=Tabel152[[#This Row],[Winnaars]],Tabel152[[#This Row],[Team Groen]])</f>
        <v>0</v>
      </c>
      <c r="X263" s="283"/>
      <c r="Y263" s="283"/>
      <c r="Z263" s="283"/>
      <c r="AA263" s="283"/>
    </row>
    <row r="264" spans="1:27" x14ac:dyDescent="0.25">
      <c r="A264" s="215" t="str">
        <f ca="1">IF(Tabel152[[#This Row],[Rood Verdediging]]&lt;&gt;"",IF(A264="",NOW(),A264),"")</f>
        <v/>
      </c>
      <c r="B264" s="218" t="str">
        <f ca="1">IF(Tabel152[[#This Row],[Rood Verdediging]]&lt;&gt;"",IF(B264="",NOW(),B264),"")</f>
        <v/>
      </c>
      <c r="C264" s="216" t="str">
        <f ca="1">IF(Tabel152[[#This Row],[Score]]&lt;&gt;"",IF(C264="",NOW(),C264),"")</f>
        <v/>
      </c>
      <c r="D264" s="217" t="str">
        <f ca="1">IF(OR(Tabel152[[#This Row],[Starttijd]]="",Tabel152[[#This Row],[Eindtijd]]=""),"",Tabel152[[#This Row],[Eindtijd]]-Tabel152[[#This Row],[Starttijd]])</f>
        <v/>
      </c>
      <c r="E264" s="74">
        <v>263</v>
      </c>
      <c r="F264" s="205"/>
      <c r="G264" s="210"/>
      <c r="H264" s="205"/>
      <c r="I264" s="210"/>
      <c r="J264" s="206"/>
      <c r="K264" s="212"/>
      <c r="L264" s="206"/>
      <c r="M264" s="212"/>
      <c r="N264" s="79">
        <f>Tabel152[[#This Row],[Score]]+Tabel152[[#This Row],[Score2]]</f>
        <v>0</v>
      </c>
      <c r="O264" s="80">
        <f>Tabel152[[#This Row],[Score3]]+Tabel152[[#This Row],[Score4]]</f>
        <v>0</v>
      </c>
      <c r="P26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Row],[Score4]]&lt;&gt;""),IF(AND(N264&gt;O264,N264&gt;=11),"ROOD",IF(AND(O264&gt;=11,N264&lt;&gt;O264),"GROEN","")),"")</f>
        <v/>
      </c>
      <c r="Q264" s="84">
        <f t="shared" si="22"/>
        <v>0</v>
      </c>
      <c r="R264" s="85">
        <f t="shared" si="23"/>
        <v>0</v>
      </c>
      <c r="S264" s="293" t="str">
        <f>Tabel152[[#This Row],[Rood Verdediging]]&amp;Tabel152[[#This Row],[Rood Aanval]]</f>
        <v/>
      </c>
      <c r="T264" s="293" t="str">
        <f>Tabel152[[#This Row],[Groen Verdediging]]&amp;Tabel152[[#This Row],[Groen Aanval]]</f>
        <v/>
      </c>
      <c r="U264" s="293" t="str">
        <f>Tabel152[[#This Row],[Winnaar 1]]&amp;Tabel152[[#This Row],[Winnaar 2]]</f>
        <v>00</v>
      </c>
      <c r="V264" s="147" t="b">
        <f>IF(Tabel152[[#This Row],[Team Rood]]=Tabel152[[#This Row],[Winnaars]],Tabel152[[#This Row],[Team Rood]])</f>
        <v>0</v>
      </c>
      <c r="W264" s="147" t="b">
        <f>IF(Tabel152[[#This Row],[Team Groen]]=Tabel152[[#This Row],[Winnaars]],Tabel152[[#This Row],[Team Groen]])</f>
        <v>0</v>
      </c>
      <c r="X264" s="283"/>
      <c r="Y264" s="283"/>
      <c r="Z264" s="283"/>
      <c r="AA264" s="283"/>
    </row>
    <row r="265" spans="1:27" x14ac:dyDescent="0.25">
      <c r="A265" s="215" t="str">
        <f ca="1">IF(Tabel152[[#This Row],[Rood Verdediging]]&lt;&gt;"",IF(A265="",NOW(),A265),"")</f>
        <v/>
      </c>
      <c r="B265" s="218" t="str">
        <f ca="1">IF(Tabel152[[#This Row],[Rood Verdediging]]&lt;&gt;"",IF(B265="",NOW(),B265),"")</f>
        <v/>
      </c>
      <c r="C265" s="216" t="str">
        <f ca="1">IF(Tabel152[[#This Row],[Score]]&lt;&gt;"",IF(C265="",NOW(),C265),"")</f>
        <v/>
      </c>
      <c r="D265" s="217" t="str">
        <f ca="1">IF(OR(Tabel152[[#This Row],[Starttijd]]="",Tabel152[[#This Row],[Eindtijd]]=""),"",Tabel152[[#This Row],[Eindtijd]]-Tabel152[[#This Row],[Starttijd]])</f>
        <v/>
      </c>
      <c r="E265" s="74">
        <v>264</v>
      </c>
      <c r="F265" s="205"/>
      <c r="G265" s="210"/>
      <c r="H265" s="205"/>
      <c r="I265" s="210"/>
      <c r="J265" s="206"/>
      <c r="K265" s="212"/>
      <c r="L265" s="206"/>
      <c r="M265" s="212"/>
      <c r="N265" s="79">
        <f>Tabel152[[#This Row],[Score]]+Tabel152[[#This Row],[Score2]]</f>
        <v>0</v>
      </c>
      <c r="O265" s="80">
        <f>Tabel152[[#This Row],[Score3]]+Tabel152[[#This Row],[Score4]]</f>
        <v>0</v>
      </c>
      <c r="P26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Row],[Score4]]&lt;&gt;""),IF(AND(N265&gt;O265,N265&gt;=11),"ROOD",IF(AND(O265&gt;=11,N265&lt;&gt;O265),"GROEN","")),"")</f>
        <v/>
      </c>
      <c r="Q265" s="84">
        <f t="shared" si="22"/>
        <v>0</v>
      </c>
      <c r="R265" s="85">
        <f t="shared" si="23"/>
        <v>0</v>
      </c>
      <c r="S265" s="293" t="str">
        <f>Tabel152[[#This Row],[Rood Verdediging]]&amp;Tabel152[[#This Row],[Rood Aanval]]</f>
        <v/>
      </c>
      <c r="T265" s="293" t="str">
        <f>Tabel152[[#This Row],[Groen Verdediging]]&amp;Tabel152[[#This Row],[Groen Aanval]]</f>
        <v/>
      </c>
      <c r="U265" s="293" t="str">
        <f>Tabel152[[#This Row],[Winnaar 1]]&amp;Tabel152[[#This Row],[Winnaar 2]]</f>
        <v>00</v>
      </c>
      <c r="V265" s="147" t="b">
        <f>IF(Tabel152[[#This Row],[Team Rood]]=Tabel152[[#This Row],[Winnaars]],Tabel152[[#This Row],[Team Rood]])</f>
        <v>0</v>
      </c>
      <c r="W265" s="147" t="b">
        <f>IF(Tabel152[[#This Row],[Team Groen]]=Tabel152[[#This Row],[Winnaars]],Tabel152[[#This Row],[Team Groen]])</f>
        <v>0</v>
      </c>
      <c r="X265" s="283"/>
      <c r="Y265" s="283"/>
      <c r="Z265" s="283"/>
      <c r="AA265" s="283"/>
    </row>
    <row r="266" spans="1:27" x14ac:dyDescent="0.25">
      <c r="A266" s="215" t="str">
        <f ca="1">IF(Tabel152[[#This Row],[Rood Verdediging]]&lt;&gt;"",IF(A266="",NOW(),A266),"")</f>
        <v/>
      </c>
      <c r="B266" s="218" t="str">
        <f ca="1">IF(Tabel152[[#This Row],[Rood Verdediging]]&lt;&gt;"",IF(B266="",NOW(),B266),"")</f>
        <v/>
      </c>
      <c r="C266" s="216" t="str">
        <f ca="1">IF(Tabel152[[#This Row],[Score]]&lt;&gt;"",IF(C266="",NOW(),C266),"")</f>
        <v/>
      </c>
      <c r="D266" s="217" t="str">
        <f ca="1">IF(OR(Tabel152[[#This Row],[Starttijd]]="",Tabel152[[#This Row],[Eindtijd]]=""),"",Tabel152[[#This Row],[Eindtijd]]-Tabel152[[#This Row],[Starttijd]])</f>
        <v/>
      </c>
      <c r="E266" s="74">
        <v>265</v>
      </c>
      <c r="F266" s="205"/>
      <c r="G266" s="210"/>
      <c r="H266" s="205"/>
      <c r="I266" s="210"/>
      <c r="J266" s="206"/>
      <c r="K266" s="212"/>
      <c r="L266" s="206"/>
      <c r="M266" s="212"/>
      <c r="N266" s="79">
        <f>Tabel152[[#This Row],[Score]]+Tabel152[[#This Row],[Score2]]</f>
        <v>0</v>
      </c>
      <c r="O266" s="80">
        <f>Tabel152[[#This Row],[Score3]]+Tabel152[[#This Row],[Score4]]</f>
        <v>0</v>
      </c>
      <c r="P26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Row],[Score4]]&lt;&gt;""),IF(AND(N266&gt;O266,N266&gt;=11),"ROOD",IF(AND(O266&gt;=11,N266&lt;&gt;O266),"GROEN","")),"")</f>
        <v/>
      </c>
      <c r="Q266" s="84">
        <f t="shared" si="22"/>
        <v>0</v>
      </c>
      <c r="R266" s="85">
        <f t="shared" si="23"/>
        <v>0</v>
      </c>
      <c r="S266" s="293" t="str">
        <f>Tabel152[[#This Row],[Rood Verdediging]]&amp;Tabel152[[#This Row],[Rood Aanval]]</f>
        <v/>
      </c>
      <c r="T266" s="293" t="str">
        <f>Tabel152[[#This Row],[Groen Verdediging]]&amp;Tabel152[[#This Row],[Groen Aanval]]</f>
        <v/>
      </c>
      <c r="U266" s="293" t="str">
        <f>Tabel152[[#This Row],[Winnaar 1]]&amp;Tabel152[[#This Row],[Winnaar 2]]</f>
        <v>00</v>
      </c>
      <c r="V266" s="147" t="b">
        <f>IF(Tabel152[[#This Row],[Team Rood]]=Tabel152[[#This Row],[Winnaars]],Tabel152[[#This Row],[Team Rood]])</f>
        <v>0</v>
      </c>
      <c r="W266" s="147" t="b">
        <f>IF(Tabel152[[#This Row],[Team Groen]]=Tabel152[[#This Row],[Winnaars]],Tabel152[[#This Row],[Team Groen]])</f>
        <v>0</v>
      </c>
      <c r="X266" s="283"/>
      <c r="Y266" s="283"/>
      <c r="Z266" s="283"/>
      <c r="AA266" s="283"/>
    </row>
    <row r="267" spans="1:27" x14ac:dyDescent="0.25">
      <c r="A267" s="215" t="str">
        <f ca="1">IF(Tabel152[[#This Row],[Rood Verdediging]]&lt;&gt;"",IF(A267="",NOW(),A267),"")</f>
        <v/>
      </c>
      <c r="B267" s="218" t="str">
        <f ca="1">IF(Tabel152[[#This Row],[Rood Verdediging]]&lt;&gt;"",IF(B267="",NOW(),B267),"")</f>
        <v/>
      </c>
      <c r="C267" s="216" t="str">
        <f ca="1">IF(Tabel152[[#This Row],[Score]]&lt;&gt;"",IF(C267="",NOW(),C267),"")</f>
        <v/>
      </c>
      <c r="D267" s="217" t="str">
        <f ca="1">IF(OR(Tabel152[[#This Row],[Starttijd]]="",Tabel152[[#This Row],[Eindtijd]]=""),"",Tabel152[[#This Row],[Eindtijd]]-Tabel152[[#This Row],[Starttijd]])</f>
        <v/>
      </c>
      <c r="E267" s="74">
        <v>266</v>
      </c>
      <c r="F267" s="205"/>
      <c r="G267" s="210"/>
      <c r="H267" s="205"/>
      <c r="I267" s="210"/>
      <c r="J267" s="206"/>
      <c r="K267" s="212"/>
      <c r="L267" s="206"/>
      <c r="M267" s="212"/>
      <c r="N267" s="79">
        <f>Tabel152[[#This Row],[Score]]+Tabel152[[#This Row],[Score2]]</f>
        <v>0</v>
      </c>
      <c r="O267" s="80">
        <f>Tabel152[[#This Row],[Score3]]+Tabel152[[#This Row],[Score4]]</f>
        <v>0</v>
      </c>
      <c r="P26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Row],[Score4]]&lt;&gt;""),IF(AND(N267&gt;O267,N267&gt;=11),"ROOD",IF(AND(O267&gt;=11,N267&lt;&gt;O267),"GROEN","")),"")</f>
        <v/>
      </c>
      <c r="Q267" s="84">
        <f t="shared" si="22"/>
        <v>0</v>
      </c>
      <c r="R267" s="85">
        <f t="shared" si="23"/>
        <v>0</v>
      </c>
      <c r="S267" s="293" t="str">
        <f>Tabel152[[#This Row],[Rood Verdediging]]&amp;Tabel152[[#This Row],[Rood Aanval]]</f>
        <v/>
      </c>
      <c r="T267" s="293" t="str">
        <f>Tabel152[[#This Row],[Groen Verdediging]]&amp;Tabel152[[#This Row],[Groen Aanval]]</f>
        <v/>
      </c>
      <c r="U267" s="293" t="str">
        <f>Tabel152[[#This Row],[Winnaar 1]]&amp;Tabel152[[#This Row],[Winnaar 2]]</f>
        <v>00</v>
      </c>
      <c r="V267" s="147" t="b">
        <f>IF(Tabel152[[#This Row],[Team Rood]]=Tabel152[[#This Row],[Winnaars]],Tabel152[[#This Row],[Team Rood]])</f>
        <v>0</v>
      </c>
      <c r="W267" s="147" t="b">
        <f>IF(Tabel152[[#This Row],[Team Groen]]=Tabel152[[#This Row],[Winnaars]],Tabel152[[#This Row],[Team Groen]])</f>
        <v>0</v>
      </c>
      <c r="X267" s="283"/>
      <c r="Y267" s="283"/>
      <c r="Z267" s="283"/>
      <c r="AA267" s="283"/>
    </row>
    <row r="268" spans="1:27" x14ac:dyDescent="0.25">
      <c r="A268" s="215" t="str">
        <f ca="1">IF(Tabel152[[#This Row],[Rood Verdediging]]&lt;&gt;"",IF(A268="",NOW(),A268),"")</f>
        <v/>
      </c>
      <c r="B268" s="218" t="str">
        <f ca="1">IF(Tabel152[[#This Row],[Rood Verdediging]]&lt;&gt;"",IF(B268="",NOW(),B268),"")</f>
        <v/>
      </c>
      <c r="C268" s="216" t="str">
        <f ca="1">IF(Tabel152[[#This Row],[Score]]&lt;&gt;"",IF(C268="",NOW(),C268),"")</f>
        <v/>
      </c>
      <c r="D268" s="217" t="str">
        <f ca="1">IF(OR(Tabel152[[#This Row],[Starttijd]]="",Tabel152[[#This Row],[Eindtijd]]=""),"",Tabel152[[#This Row],[Eindtijd]]-Tabel152[[#This Row],[Starttijd]])</f>
        <v/>
      </c>
      <c r="E268" s="74">
        <v>267</v>
      </c>
      <c r="F268" s="205"/>
      <c r="G268" s="210"/>
      <c r="H268" s="205"/>
      <c r="I268" s="210"/>
      <c r="J268" s="206"/>
      <c r="K268" s="212"/>
      <c r="L268" s="206"/>
      <c r="M268" s="212"/>
      <c r="N268" s="79">
        <f>Tabel152[[#This Row],[Score]]+Tabel152[[#This Row],[Score2]]</f>
        <v>0</v>
      </c>
      <c r="O268" s="80">
        <f>Tabel152[[#This Row],[Score3]]+Tabel152[[#This Row],[Score4]]</f>
        <v>0</v>
      </c>
      <c r="P26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Row],[Score4]]&lt;&gt;""),IF(AND(N268&gt;O268,N268&gt;=11),"ROOD",IF(AND(O268&gt;=11,N268&lt;&gt;O268),"GROEN","")),"")</f>
        <v/>
      </c>
      <c r="Q268" s="84">
        <f t="shared" si="22"/>
        <v>0</v>
      </c>
      <c r="R268" s="85">
        <f t="shared" si="23"/>
        <v>0</v>
      </c>
      <c r="S268" s="293" t="str">
        <f>Tabel152[[#This Row],[Rood Verdediging]]&amp;Tabel152[[#This Row],[Rood Aanval]]</f>
        <v/>
      </c>
      <c r="T268" s="293" t="str">
        <f>Tabel152[[#This Row],[Groen Verdediging]]&amp;Tabel152[[#This Row],[Groen Aanval]]</f>
        <v/>
      </c>
      <c r="U268" s="293" t="str">
        <f>Tabel152[[#This Row],[Winnaar 1]]&amp;Tabel152[[#This Row],[Winnaar 2]]</f>
        <v>00</v>
      </c>
      <c r="V268" s="147" t="b">
        <f>IF(Tabel152[[#This Row],[Team Rood]]=Tabel152[[#This Row],[Winnaars]],Tabel152[[#This Row],[Team Rood]])</f>
        <v>0</v>
      </c>
      <c r="W268" s="147" t="b">
        <f>IF(Tabel152[[#This Row],[Team Groen]]=Tabel152[[#This Row],[Winnaars]],Tabel152[[#This Row],[Team Groen]])</f>
        <v>0</v>
      </c>
      <c r="X268" s="283"/>
      <c r="Y268" s="283"/>
      <c r="Z268" s="283"/>
      <c r="AA268" s="283"/>
    </row>
    <row r="269" spans="1:27" x14ac:dyDescent="0.25">
      <c r="A269" s="215" t="str">
        <f ca="1">IF(Tabel152[[#This Row],[Rood Verdediging]]&lt;&gt;"",IF(A269="",NOW(),A269),"")</f>
        <v/>
      </c>
      <c r="B269" s="218" t="str">
        <f ca="1">IF(Tabel152[[#This Row],[Rood Verdediging]]&lt;&gt;"",IF(B269="",NOW(),B269),"")</f>
        <v/>
      </c>
      <c r="C269" s="216" t="str">
        <f ca="1">IF(Tabel152[[#This Row],[Score]]&lt;&gt;"",IF(C269="",NOW(),C269),"")</f>
        <v/>
      </c>
      <c r="D269" s="217" t="str">
        <f ca="1">IF(OR(Tabel152[[#This Row],[Starttijd]]="",Tabel152[[#This Row],[Eindtijd]]=""),"",Tabel152[[#This Row],[Eindtijd]]-Tabel152[[#This Row],[Starttijd]])</f>
        <v/>
      </c>
      <c r="E269" s="74">
        <v>268</v>
      </c>
      <c r="F269" s="205"/>
      <c r="G269" s="210"/>
      <c r="H269" s="205"/>
      <c r="I269" s="210"/>
      <c r="J269" s="206"/>
      <c r="K269" s="212"/>
      <c r="L269" s="206"/>
      <c r="M269" s="212"/>
      <c r="N269" s="79">
        <f>Tabel152[[#This Row],[Score]]+Tabel152[[#This Row],[Score2]]</f>
        <v>0</v>
      </c>
      <c r="O269" s="80">
        <f>Tabel152[[#This Row],[Score3]]+Tabel152[[#This Row],[Score4]]</f>
        <v>0</v>
      </c>
      <c r="P26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Row],[Score4]]&lt;&gt;""),IF(AND(N269&gt;O269,N269&gt;=11),"ROOD",IF(AND(O269&gt;=11,N269&lt;&gt;O269),"GROEN","")),"")</f>
        <v/>
      </c>
      <c r="Q269" s="84">
        <f t="shared" si="22"/>
        <v>0</v>
      </c>
      <c r="R269" s="85">
        <f t="shared" si="23"/>
        <v>0</v>
      </c>
      <c r="S269" s="293" t="str">
        <f>Tabel152[[#This Row],[Rood Verdediging]]&amp;Tabel152[[#This Row],[Rood Aanval]]</f>
        <v/>
      </c>
      <c r="T269" s="293" t="str">
        <f>Tabel152[[#This Row],[Groen Verdediging]]&amp;Tabel152[[#This Row],[Groen Aanval]]</f>
        <v/>
      </c>
      <c r="U269" s="293" t="str">
        <f>Tabel152[[#This Row],[Winnaar 1]]&amp;Tabel152[[#This Row],[Winnaar 2]]</f>
        <v>00</v>
      </c>
      <c r="V269" s="147" t="b">
        <f>IF(Tabel152[[#This Row],[Team Rood]]=Tabel152[[#This Row],[Winnaars]],Tabel152[[#This Row],[Team Rood]])</f>
        <v>0</v>
      </c>
      <c r="W269" s="147" t="b">
        <f>IF(Tabel152[[#This Row],[Team Groen]]=Tabel152[[#This Row],[Winnaars]],Tabel152[[#This Row],[Team Groen]])</f>
        <v>0</v>
      </c>
      <c r="X269" s="283"/>
      <c r="Y269" s="283"/>
      <c r="Z269" s="283"/>
      <c r="AA269" s="283"/>
    </row>
    <row r="270" spans="1:27" x14ac:dyDescent="0.25">
      <c r="A270" s="215" t="str">
        <f ca="1">IF(Tabel152[[#This Row],[Rood Verdediging]]&lt;&gt;"",IF(A270="",NOW(),A270),"")</f>
        <v/>
      </c>
      <c r="B270" s="218" t="str">
        <f ca="1">IF(Tabel152[[#This Row],[Rood Verdediging]]&lt;&gt;"",IF(B270="",NOW(),B270),"")</f>
        <v/>
      </c>
      <c r="C270" s="216" t="str">
        <f ca="1">IF(Tabel152[[#This Row],[Score]]&lt;&gt;"",IF(C270="",NOW(),C270),"")</f>
        <v/>
      </c>
      <c r="D270" s="217" t="str">
        <f ca="1">IF(OR(Tabel152[[#This Row],[Starttijd]]="",Tabel152[[#This Row],[Eindtijd]]=""),"",Tabel152[[#This Row],[Eindtijd]]-Tabel152[[#This Row],[Starttijd]])</f>
        <v/>
      </c>
      <c r="E270" s="74">
        <v>269</v>
      </c>
      <c r="F270" s="205"/>
      <c r="G270" s="210"/>
      <c r="H270" s="205"/>
      <c r="I270" s="210"/>
      <c r="J270" s="206"/>
      <c r="K270" s="212"/>
      <c r="L270" s="206"/>
      <c r="M270" s="212"/>
      <c r="N270" s="79">
        <f>Tabel152[[#This Row],[Score]]+Tabel152[[#This Row],[Score2]]</f>
        <v>0</v>
      </c>
      <c r="O270" s="80">
        <f>Tabel152[[#This Row],[Score3]]+Tabel152[[#This Row],[Score4]]</f>
        <v>0</v>
      </c>
      <c r="P27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Row],[Score4]]&lt;&gt;""),IF(AND(N270&gt;O270,N270&gt;=11),"ROOD",IF(AND(O270&gt;=11,N270&lt;&gt;O270),"GROEN","")),"")</f>
        <v/>
      </c>
      <c r="Q270" s="84">
        <f t="shared" si="22"/>
        <v>0</v>
      </c>
      <c r="R270" s="85">
        <f t="shared" si="23"/>
        <v>0</v>
      </c>
      <c r="S270" s="293" t="str">
        <f>Tabel152[[#This Row],[Rood Verdediging]]&amp;Tabel152[[#This Row],[Rood Aanval]]</f>
        <v/>
      </c>
      <c r="T270" s="293" t="str">
        <f>Tabel152[[#This Row],[Groen Verdediging]]&amp;Tabel152[[#This Row],[Groen Aanval]]</f>
        <v/>
      </c>
      <c r="U270" s="293" t="str">
        <f>Tabel152[[#This Row],[Winnaar 1]]&amp;Tabel152[[#This Row],[Winnaar 2]]</f>
        <v>00</v>
      </c>
      <c r="V270" s="147" t="b">
        <f>IF(Tabel152[[#This Row],[Team Rood]]=Tabel152[[#This Row],[Winnaars]],Tabel152[[#This Row],[Team Rood]])</f>
        <v>0</v>
      </c>
      <c r="W270" s="147" t="b">
        <f>IF(Tabel152[[#This Row],[Team Groen]]=Tabel152[[#This Row],[Winnaars]],Tabel152[[#This Row],[Team Groen]])</f>
        <v>0</v>
      </c>
      <c r="X270" s="283"/>
      <c r="Y270" s="283"/>
      <c r="Z270" s="283"/>
      <c r="AA270" s="283"/>
    </row>
    <row r="271" spans="1:27" x14ac:dyDescent="0.25">
      <c r="A271" s="215" t="str">
        <f ca="1">IF(Tabel152[[#This Row],[Rood Verdediging]]&lt;&gt;"",IF(A271="",NOW(),A271),"")</f>
        <v/>
      </c>
      <c r="B271" s="218" t="str">
        <f ca="1">IF(Tabel152[[#This Row],[Rood Verdediging]]&lt;&gt;"",IF(B271="",NOW(),B271),"")</f>
        <v/>
      </c>
      <c r="C271" s="216" t="str">
        <f ca="1">IF(Tabel152[[#This Row],[Score]]&lt;&gt;"",IF(C271="",NOW(),C271),"")</f>
        <v/>
      </c>
      <c r="D271" s="217" t="str">
        <f ca="1">IF(OR(Tabel152[[#This Row],[Starttijd]]="",Tabel152[[#This Row],[Eindtijd]]=""),"",Tabel152[[#This Row],[Eindtijd]]-Tabel152[[#This Row],[Starttijd]])</f>
        <v/>
      </c>
      <c r="E271" s="74">
        <v>270</v>
      </c>
      <c r="F271" s="205"/>
      <c r="G271" s="210"/>
      <c r="H271" s="205"/>
      <c r="I271" s="210"/>
      <c r="J271" s="206"/>
      <c r="K271" s="212"/>
      <c r="L271" s="206"/>
      <c r="M271" s="212"/>
      <c r="N271" s="79">
        <f>Tabel152[[#This Row],[Score]]+Tabel152[[#This Row],[Score2]]</f>
        <v>0</v>
      </c>
      <c r="O271" s="80">
        <f>Tabel152[[#This Row],[Score3]]+Tabel152[[#This Row],[Score4]]</f>
        <v>0</v>
      </c>
      <c r="P27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Row],[Score4]]&lt;&gt;""),IF(AND(N271&gt;O271,N271&gt;=11),"ROOD",IF(AND(O271&gt;=11,N271&lt;&gt;O271),"GROEN","")),"")</f>
        <v/>
      </c>
      <c r="Q271" s="84">
        <f t="shared" si="22"/>
        <v>0</v>
      </c>
      <c r="R271" s="85">
        <f t="shared" si="23"/>
        <v>0</v>
      </c>
      <c r="S271" s="293" t="str">
        <f>Tabel152[[#This Row],[Rood Verdediging]]&amp;Tabel152[[#This Row],[Rood Aanval]]</f>
        <v/>
      </c>
      <c r="T271" s="293" t="str">
        <f>Tabel152[[#This Row],[Groen Verdediging]]&amp;Tabel152[[#This Row],[Groen Aanval]]</f>
        <v/>
      </c>
      <c r="U271" s="293" t="str">
        <f>Tabel152[[#This Row],[Winnaar 1]]&amp;Tabel152[[#This Row],[Winnaar 2]]</f>
        <v>00</v>
      </c>
      <c r="V271" s="147" t="b">
        <f>IF(Tabel152[[#This Row],[Team Rood]]=Tabel152[[#This Row],[Winnaars]],Tabel152[[#This Row],[Team Rood]])</f>
        <v>0</v>
      </c>
      <c r="W271" s="147" t="b">
        <f>IF(Tabel152[[#This Row],[Team Groen]]=Tabel152[[#This Row],[Winnaars]],Tabel152[[#This Row],[Team Groen]])</f>
        <v>0</v>
      </c>
      <c r="X271" s="283"/>
      <c r="Y271" s="283"/>
      <c r="Z271" s="283"/>
      <c r="AA271" s="283"/>
    </row>
    <row r="272" spans="1:27" x14ac:dyDescent="0.25">
      <c r="A272" s="215" t="str">
        <f ca="1">IF(Tabel152[[#This Row],[Rood Verdediging]]&lt;&gt;"",IF(A272="",NOW(),A272),"")</f>
        <v/>
      </c>
      <c r="B272" s="218" t="str">
        <f ca="1">IF(Tabel152[[#This Row],[Rood Verdediging]]&lt;&gt;"",IF(B272="",NOW(),B272),"")</f>
        <v/>
      </c>
      <c r="C272" s="216" t="str">
        <f ca="1">IF(Tabel152[[#This Row],[Score]]&lt;&gt;"",IF(C272="",NOW(),C272),"")</f>
        <v/>
      </c>
      <c r="D272" s="217" t="str">
        <f ca="1">IF(OR(Tabel152[[#This Row],[Starttijd]]="",Tabel152[[#This Row],[Eindtijd]]=""),"",Tabel152[[#This Row],[Eindtijd]]-Tabel152[[#This Row],[Starttijd]])</f>
        <v/>
      </c>
      <c r="E272" s="74">
        <v>271</v>
      </c>
      <c r="F272" s="205"/>
      <c r="G272" s="210"/>
      <c r="H272" s="205"/>
      <c r="I272" s="210"/>
      <c r="J272" s="206"/>
      <c r="K272" s="212"/>
      <c r="L272" s="206"/>
      <c r="M272" s="212"/>
      <c r="N272" s="79">
        <f>Tabel152[[#This Row],[Score]]+Tabel152[[#This Row],[Score2]]</f>
        <v>0</v>
      </c>
      <c r="O272" s="80">
        <f>Tabel152[[#This Row],[Score3]]+Tabel152[[#This Row],[Score4]]</f>
        <v>0</v>
      </c>
      <c r="P27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Row],[Score4]]&lt;&gt;""),IF(AND(N272&gt;O272,N272&gt;=11),"ROOD",IF(AND(O272&gt;=11,N272&lt;&gt;O272),"GROEN","")),"")</f>
        <v/>
      </c>
      <c r="Q272" s="84">
        <f t="shared" si="22"/>
        <v>0</v>
      </c>
      <c r="R272" s="85">
        <f t="shared" si="23"/>
        <v>0</v>
      </c>
      <c r="S272" s="293" t="str">
        <f>Tabel152[[#This Row],[Rood Verdediging]]&amp;Tabel152[[#This Row],[Rood Aanval]]</f>
        <v/>
      </c>
      <c r="T272" s="293" t="str">
        <f>Tabel152[[#This Row],[Groen Verdediging]]&amp;Tabel152[[#This Row],[Groen Aanval]]</f>
        <v/>
      </c>
      <c r="U272" s="293" t="str">
        <f>Tabel152[[#This Row],[Winnaar 1]]&amp;Tabel152[[#This Row],[Winnaar 2]]</f>
        <v>00</v>
      </c>
      <c r="V272" s="147" t="b">
        <f>IF(Tabel152[[#This Row],[Team Rood]]=Tabel152[[#This Row],[Winnaars]],Tabel152[[#This Row],[Team Rood]])</f>
        <v>0</v>
      </c>
      <c r="W272" s="147" t="b">
        <f>IF(Tabel152[[#This Row],[Team Groen]]=Tabel152[[#This Row],[Winnaars]],Tabel152[[#This Row],[Team Groen]])</f>
        <v>0</v>
      </c>
      <c r="X272" s="283"/>
      <c r="Y272" s="283"/>
      <c r="Z272" s="283"/>
      <c r="AA272" s="283"/>
    </row>
    <row r="273" spans="1:27" x14ac:dyDescent="0.25">
      <c r="A273" s="215" t="str">
        <f ca="1">IF(Tabel152[[#This Row],[Rood Verdediging]]&lt;&gt;"",IF(A273="",NOW(),A273),"")</f>
        <v/>
      </c>
      <c r="B273" s="218" t="str">
        <f ca="1">IF(Tabel152[[#This Row],[Rood Verdediging]]&lt;&gt;"",IF(B273="",NOW(),B273),"")</f>
        <v/>
      </c>
      <c r="C273" s="216" t="str">
        <f ca="1">IF(Tabel152[[#This Row],[Score]]&lt;&gt;"",IF(C273="",NOW(),C273),"")</f>
        <v/>
      </c>
      <c r="D273" s="217" t="str">
        <f ca="1">IF(OR(Tabel152[[#This Row],[Starttijd]]="",Tabel152[[#This Row],[Eindtijd]]=""),"",Tabel152[[#This Row],[Eindtijd]]-Tabel152[[#This Row],[Starttijd]])</f>
        <v/>
      </c>
      <c r="E273" s="74">
        <v>272</v>
      </c>
      <c r="F273" s="205"/>
      <c r="G273" s="210"/>
      <c r="H273" s="205"/>
      <c r="I273" s="210"/>
      <c r="J273" s="206"/>
      <c r="K273" s="212"/>
      <c r="L273" s="206"/>
      <c r="M273" s="212"/>
      <c r="N273" s="79">
        <f>Tabel152[[#This Row],[Score]]+Tabel152[[#This Row],[Score2]]</f>
        <v>0</v>
      </c>
      <c r="O273" s="80">
        <f>Tabel152[[#This Row],[Score3]]+Tabel152[[#This Row],[Score4]]</f>
        <v>0</v>
      </c>
      <c r="P27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Row],[Score4]]&lt;&gt;""),IF(AND(N273&gt;O273,N273&gt;=11),"ROOD",IF(AND(O273&gt;=11,N273&lt;&gt;O273),"GROEN","")),"")</f>
        <v/>
      </c>
      <c r="Q273" s="84">
        <f t="shared" si="22"/>
        <v>0</v>
      </c>
      <c r="R273" s="85">
        <f t="shared" si="23"/>
        <v>0</v>
      </c>
      <c r="S273" s="293" t="str">
        <f>Tabel152[[#This Row],[Rood Verdediging]]&amp;Tabel152[[#This Row],[Rood Aanval]]</f>
        <v/>
      </c>
      <c r="T273" s="293" t="str">
        <f>Tabel152[[#This Row],[Groen Verdediging]]&amp;Tabel152[[#This Row],[Groen Aanval]]</f>
        <v/>
      </c>
      <c r="U273" s="293" t="str">
        <f>Tabel152[[#This Row],[Winnaar 1]]&amp;Tabel152[[#This Row],[Winnaar 2]]</f>
        <v>00</v>
      </c>
      <c r="V273" s="147" t="b">
        <f>IF(Tabel152[[#This Row],[Team Rood]]=Tabel152[[#This Row],[Winnaars]],Tabel152[[#This Row],[Team Rood]])</f>
        <v>0</v>
      </c>
      <c r="W273" s="147" t="b">
        <f>IF(Tabel152[[#This Row],[Team Groen]]=Tabel152[[#This Row],[Winnaars]],Tabel152[[#This Row],[Team Groen]])</f>
        <v>0</v>
      </c>
      <c r="X273" s="283"/>
      <c r="Y273" s="283"/>
      <c r="Z273" s="283"/>
      <c r="AA273" s="283"/>
    </row>
    <row r="274" spans="1:27" x14ac:dyDescent="0.25">
      <c r="A274" s="215" t="str">
        <f ca="1">IF(Tabel152[[#This Row],[Rood Verdediging]]&lt;&gt;"",IF(A274="",NOW(),A274),"")</f>
        <v/>
      </c>
      <c r="B274" s="218" t="str">
        <f ca="1">IF(Tabel152[[#This Row],[Rood Verdediging]]&lt;&gt;"",IF(B274="",NOW(),B274),"")</f>
        <v/>
      </c>
      <c r="C274" s="216" t="str">
        <f ca="1">IF(Tabel152[[#This Row],[Score]]&lt;&gt;"",IF(C274="",NOW(),C274),"")</f>
        <v/>
      </c>
      <c r="D274" s="217" t="str">
        <f ca="1">IF(OR(Tabel152[[#This Row],[Starttijd]]="",Tabel152[[#This Row],[Eindtijd]]=""),"",Tabel152[[#This Row],[Eindtijd]]-Tabel152[[#This Row],[Starttijd]])</f>
        <v/>
      </c>
      <c r="E274" s="74">
        <v>273</v>
      </c>
      <c r="F274" s="205"/>
      <c r="G274" s="210"/>
      <c r="H274" s="205"/>
      <c r="I274" s="210"/>
      <c r="J274" s="206"/>
      <c r="K274" s="212"/>
      <c r="L274" s="206"/>
      <c r="M274" s="212"/>
      <c r="N274" s="79">
        <f>Tabel152[[#This Row],[Score]]+Tabel152[[#This Row],[Score2]]</f>
        <v>0</v>
      </c>
      <c r="O274" s="80">
        <f>Tabel152[[#This Row],[Score3]]+Tabel152[[#This Row],[Score4]]</f>
        <v>0</v>
      </c>
      <c r="P27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Row],[Score4]]&lt;&gt;""),IF(AND(N274&gt;O274,N274&gt;=11),"ROOD",IF(AND(O274&gt;=11,N274&lt;&gt;O274),"GROEN","")),"")</f>
        <v/>
      </c>
      <c r="Q274" s="84">
        <f t="shared" si="22"/>
        <v>0</v>
      </c>
      <c r="R274" s="85">
        <f t="shared" si="23"/>
        <v>0</v>
      </c>
      <c r="S274" s="293" t="str">
        <f>Tabel152[[#This Row],[Rood Verdediging]]&amp;Tabel152[[#This Row],[Rood Aanval]]</f>
        <v/>
      </c>
      <c r="T274" s="293" t="str">
        <f>Tabel152[[#This Row],[Groen Verdediging]]&amp;Tabel152[[#This Row],[Groen Aanval]]</f>
        <v/>
      </c>
      <c r="U274" s="293" t="str">
        <f>Tabel152[[#This Row],[Winnaar 1]]&amp;Tabel152[[#This Row],[Winnaar 2]]</f>
        <v>00</v>
      </c>
      <c r="V274" s="147" t="b">
        <f>IF(Tabel152[[#This Row],[Team Rood]]=Tabel152[[#This Row],[Winnaars]],Tabel152[[#This Row],[Team Rood]])</f>
        <v>0</v>
      </c>
      <c r="W274" s="147" t="b">
        <f>IF(Tabel152[[#This Row],[Team Groen]]=Tabel152[[#This Row],[Winnaars]],Tabel152[[#This Row],[Team Groen]])</f>
        <v>0</v>
      </c>
      <c r="X274" s="283"/>
      <c r="Y274" s="283"/>
      <c r="Z274" s="283"/>
      <c r="AA274" s="283"/>
    </row>
    <row r="275" spans="1:27" x14ac:dyDescent="0.25">
      <c r="A275" s="215" t="str">
        <f ca="1">IF(Tabel152[[#This Row],[Rood Verdediging]]&lt;&gt;"",IF(A275="",NOW(),A275),"")</f>
        <v/>
      </c>
      <c r="B275" s="218" t="str">
        <f ca="1">IF(Tabel152[[#This Row],[Rood Verdediging]]&lt;&gt;"",IF(B275="",NOW(),B275),"")</f>
        <v/>
      </c>
      <c r="C275" s="216" t="str">
        <f ca="1">IF(Tabel152[[#This Row],[Score]]&lt;&gt;"",IF(C275="",NOW(),C275),"")</f>
        <v/>
      </c>
      <c r="D275" s="217" t="str">
        <f ca="1">IF(OR(Tabel152[[#This Row],[Starttijd]]="",Tabel152[[#This Row],[Eindtijd]]=""),"",Tabel152[[#This Row],[Eindtijd]]-Tabel152[[#This Row],[Starttijd]])</f>
        <v/>
      </c>
      <c r="E275" s="74">
        <v>274</v>
      </c>
      <c r="F275" s="205"/>
      <c r="G275" s="210"/>
      <c r="H275" s="205"/>
      <c r="I275" s="210"/>
      <c r="J275" s="206"/>
      <c r="K275" s="212"/>
      <c r="L275" s="206"/>
      <c r="M275" s="212"/>
      <c r="N275" s="79">
        <f>Tabel152[[#This Row],[Score]]+Tabel152[[#This Row],[Score2]]</f>
        <v>0</v>
      </c>
      <c r="O275" s="80">
        <f>Tabel152[[#This Row],[Score3]]+Tabel152[[#This Row],[Score4]]</f>
        <v>0</v>
      </c>
      <c r="P27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Row],[Score4]]&lt;&gt;""),IF(AND(N275&gt;O275,N275&gt;=11),"ROOD",IF(AND(O275&gt;=11,N275&lt;&gt;O275),"GROEN","")),"")</f>
        <v/>
      </c>
      <c r="Q275" s="84">
        <f t="shared" si="22"/>
        <v>0</v>
      </c>
      <c r="R275" s="85">
        <f t="shared" si="23"/>
        <v>0</v>
      </c>
      <c r="S275" s="293" t="str">
        <f>Tabel152[[#This Row],[Rood Verdediging]]&amp;Tabel152[[#This Row],[Rood Aanval]]</f>
        <v/>
      </c>
      <c r="T275" s="293" t="str">
        <f>Tabel152[[#This Row],[Groen Verdediging]]&amp;Tabel152[[#This Row],[Groen Aanval]]</f>
        <v/>
      </c>
      <c r="U275" s="293" t="str">
        <f>Tabel152[[#This Row],[Winnaar 1]]&amp;Tabel152[[#This Row],[Winnaar 2]]</f>
        <v>00</v>
      </c>
      <c r="V275" s="147" t="b">
        <f>IF(Tabel152[[#This Row],[Team Rood]]=Tabel152[[#This Row],[Winnaars]],Tabel152[[#This Row],[Team Rood]])</f>
        <v>0</v>
      </c>
      <c r="W275" s="147" t="b">
        <f>IF(Tabel152[[#This Row],[Team Groen]]=Tabel152[[#This Row],[Winnaars]],Tabel152[[#This Row],[Team Groen]])</f>
        <v>0</v>
      </c>
      <c r="X275" s="283"/>
      <c r="Y275" s="283"/>
      <c r="Z275" s="283"/>
      <c r="AA275" s="283"/>
    </row>
    <row r="276" spans="1:27" x14ac:dyDescent="0.25">
      <c r="A276" s="215" t="str">
        <f ca="1">IF(Tabel152[[#This Row],[Rood Verdediging]]&lt;&gt;"",IF(A276="",NOW(),A276),"")</f>
        <v/>
      </c>
      <c r="B276" s="218" t="str">
        <f ca="1">IF(Tabel152[[#This Row],[Rood Verdediging]]&lt;&gt;"",IF(B276="",NOW(),B276),"")</f>
        <v/>
      </c>
      <c r="C276" s="216" t="str">
        <f ca="1">IF(Tabel152[[#This Row],[Score]]&lt;&gt;"",IF(C276="",NOW(),C276),"")</f>
        <v/>
      </c>
      <c r="D276" s="217" t="str">
        <f ca="1">IF(OR(Tabel152[[#This Row],[Starttijd]]="",Tabel152[[#This Row],[Eindtijd]]=""),"",Tabel152[[#This Row],[Eindtijd]]-Tabel152[[#This Row],[Starttijd]])</f>
        <v/>
      </c>
      <c r="E276" s="74">
        <v>275</v>
      </c>
      <c r="F276" s="205"/>
      <c r="G276" s="210"/>
      <c r="H276" s="205"/>
      <c r="I276" s="210"/>
      <c r="J276" s="206"/>
      <c r="K276" s="212"/>
      <c r="L276" s="206"/>
      <c r="M276" s="212"/>
      <c r="N276" s="79">
        <f>Tabel152[[#This Row],[Score]]+Tabel152[[#This Row],[Score2]]</f>
        <v>0</v>
      </c>
      <c r="O276" s="80">
        <f>Tabel152[[#This Row],[Score3]]+Tabel152[[#This Row],[Score4]]</f>
        <v>0</v>
      </c>
      <c r="P27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Row],[Score4]]&lt;&gt;""),IF(AND(N276&gt;O276,N276&gt;=11),"ROOD",IF(AND(O276&gt;=11,N276&lt;&gt;O276),"GROEN","")),"")</f>
        <v/>
      </c>
      <c r="Q276" s="84">
        <f t="shared" si="22"/>
        <v>0</v>
      </c>
      <c r="R276" s="85">
        <f t="shared" si="23"/>
        <v>0</v>
      </c>
      <c r="S276" s="293" t="str">
        <f>Tabel152[[#This Row],[Rood Verdediging]]&amp;Tabel152[[#This Row],[Rood Aanval]]</f>
        <v/>
      </c>
      <c r="T276" s="293" t="str">
        <f>Tabel152[[#This Row],[Groen Verdediging]]&amp;Tabel152[[#This Row],[Groen Aanval]]</f>
        <v/>
      </c>
      <c r="U276" s="293" t="str">
        <f>Tabel152[[#This Row],[Winnaar 1]]&amp;Tabel152[[#This Row],[Winnaar 2]]</f>
        <v>00</v>
      </c>
      <c r="V276" s="147" t="b">
        <f>IF(Tabel152[[#This Row],[Team Rood]]=Tabel152[[#This Row],[Winnaars]],Tabel152[[#This Row],[Team Rood]])</f>
        <v>0</v>
      </c>
      <c r="W276" s="147" t="b">
        <f>IF(Tabel152[[#This Row],[Team Groen]]=Tabel152[[#This Row],[Winnaars]],Tabel152[[#This Row],[Team Groen]])</f>
        <v>0</v>
      </c>
      <c r="X276" s="283"/>
      <c r="Y276" s="283"/>
      <c r="Z276" s="283"/>
      <c r="AA276" s="283"/>
    </row>
    <row r="277" spans="1:27" x14ac:dyDescent="0.25">
      <c r="A277" s="215" t="str">
        <f ca="1">IF(Tabel152[[#This Row],[Rood Verdediging]]&lt;&gt;"",IF(A277="",NOW(),A277),"")</f>
        <v/>
      </c>
      <c r="B277" s="218" t="str">
        <f ca="1">IF(Tabel152[[#This Row],[Rood Verdediging]]&lt;&gt;"",IF(B277="",NOW(),B277),"")</f>
        <v/>
      </c>
      <c r="C277" s="216" t="str">
        <f ca="1">IF(Tabel152[[#This Row],[Score]]&lt;&gt;"",IF(C277="",NOW(),C277),"")</f>
        <v/>
      </c>
      <c r="D277" s="217" t="str">
        <f ca="1">IF(OR(Tabel152[[#This Row],[Starttijd]]="",Tabel152[[#This Row],[Eindtijd]]=""),"",Tabel152[[#This Row],[Eindtijd]]-Tabel152[[#This Row],[Starttijd]])</f>
        <v/>
      </c>
      <c r="E277" s="74">
        <v>276</v>
      </c>
      <c r="F277" s="205"/>
      <c r="G277" s="210"/>
      <c r="H277" s="205"/>
      <c r="I277" s="210"/>
      <c r="J277" s="206"/>
      <c r="K277" s="212"/>
      <c r="L277" s="206"/>
      <c r="M277" s="212"/>
      <c r="N277" s="79">
        <f>Tabel152[[#This Row],[Score]]+Tabel152[[#This Row],[Score2]]</f>
        <v>0</v>
      </c>
      <c r="O277" s="80">
        <f>Tabel152[[#This Row],[Score3]]+Tabel152[[#This Row],[Score4]]</f>
        <v>0</v>
      </c>
      <c r="P27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Row],[Score4]]&lt;&gt;""),IF(AND(N277&gt;O277,N277&gt;=11),"ROOD",IF(AND(O277&gt;=11,N277&lt;&gt;O277),"GROEN","")),"")</f>
        <v/>
      </c>
      <c r="Q277" s="84">
        <f t="shared" si="22"/>
        <v>0</v>
      </c>
      <c r="R277" s="85">
        <f t="shared" si="23"/>
        <v>0</v>
      </c>
      <c r="S277" s="293" t="str">
        <f>Tabel152[[#This Row],[Rood Verdediging]]&amp;Tabel152[[#This Row],[Rood Aanval]]</f>
        <v/>
      </c>
      <c r="T277" s="293" t="str">
        <f>Tabel152[[#This Row],[Groen Verdediging]]&amp;Tabel152[[#This Row],[Groen Aanval]]</f>
        <v/>
      </c>
      <c r="U277" s="293" t="str">
        <f>Tabel152[[#This Row],[Winnaar 1]]&amp;Tabel152[[#This Row],[Winnaar 2]]</f>
        <v>00</v>
      </c>
      <c r="V277" s="147" t="b">
        <f>IF(Tabel152[[#This Row],[Team Rood]]=Tabel152[[#This Row],[Winnaars]],Tabel152[[#This Row],[Team Rood]])</f>
        <v>0</v>
      </c>
      <c r="W277" s="147" t="b">
        <f>IF(Tabel152[[#This Row],[Team Groen]]=Tabel152[[#This Row],[Winnaars]],Tabel152[[#This Row],[Team Groen]])</f>
        <v>0</v>
      </c>
      <c r="X277" s="283"/>
      <c r="Y277" s="283"/>
      <c r="Z277" s="283"/>
      <c r="AA277" s="283"/>
    </row>
    <row r="278" spans="1:27" x14ac:dyDescent="0.25">
      <c r="A278" s="215" t="str">
        <f ca="1">IF(Tabel152[[#This Row],[Rood Verdediging]]&lt;&gt;"",IF(A278="",NOW(),A278),"")</f>
        <v/>
      </c>
      <c r="B278" s="218" t="str">
        <f ca="1">IF(Tabel152[[#This Row],[Rood Verdediging]]&lt;&gt;"",IF(B278="",NOW(),B278),"")</f>
        <v/>
      </c>
      <c r="C278" s="216" t="str">
        <f ca="1">IF(Tabel152[[#This Row],[Score]]&lt;&gt;"",IF(C278="",NOW(),C278),"")</f>
        <v/>
      </c>
      <c r="D278" s="217" t="str">
        <f ca="1">IF(OR(Tabel152[[#This Row],[Starttijd]]="",Tabel152[[#This Row],[Eindtijd]]=""),"",Tabel152[[#This Row],[Eindtijd]]-Tabel152[[#This Row],[Starttijd]])</f>
        <v/>
      </c>
      <c r="E278" s="74">
        <v>277</v>
      </c>
      <c r="F278" s="205"/>
      <c r="G278" s="210"/>
      <c r="H278" s="205"/>
      <c r="I278" s="210"/>
      <c r="J278" s="206"/>
      <c r="K278" s="212"/>
      <c r="L278" s="206"/>
      <c r="M278" s="212"/>
      <c r="N278" s="79">
        <f>Tabel152[[#This Row],[Score]]+Tabel152[[#This Row],[Score2]]</f>
        <v>0</v>
      </c>
      <c r="O278" s="80">
        <f>Tabel152[[#This Row],[Score3]]+Tabel152[[#This Row],[Score4]]</f>
        <v>0</v>
      </c>
      <c r="P27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Row],[Score4]]&lt;&gt;""),IF(AND(N278&gt;O278,N278&gt;=11),"ROOD",IF(AND(O278&gt;=11,N278&lt;&gt;O278),"GROEN","")),"")</f>
        <v/>
      </c>
      <c r="Q278" s="84">
        <f t="shared" si="22"/>
        <v>0</v>
      </c>
      <c r="R278" s="85">
        <f t="shared" si="23"/>
        <v>0</v>
      </c>
      <c r="S278" s="293" t="str">
        <f>Tabel152[[#This Row],[Rood Verdediging]]&amp;Tabel152[[#This Row],[Rood Aanval]]</f>
        <v/>
      </c>
      <c r="T278" s="293" t="str">
        <f>Tabel152[[#This Row],[Groen Verdediging]]&amp;Tabel152[[#This Row],[Groen Aanval]]</f>
        <v/>
      </c>
      <c r="U278" s="293" t="str">
        <f>Tabel152[[#This Row],[Winnaar 1]]&amp;Tabel152[[#This Row],[Winnaar 2]]</f>
        <v>00</v>
      </c>
      <c r="V278" s="147" t="b">
        <f>IF(Tabel152[[#This Row],[Team Rood]]=Tabel152[[#This Row],[Winnaars]],Tabel152[[#This Row],[Team Rood]])</f>
        <v>0</v>
      </c>
      <c r="W278" s="147" t="b">
        <f>IF(Tabel152[[#This Row],[Team Groen]]=Tabel152[[#This Row],[Winnaars]],Tabel152[[#This Row],[Team Groen]])</f>
        <v>0</v>
      </c>
      <c r="X278" s="283"/>
      <c r="Y278" s="283"/>
      <c r="Z278" s="283"/>
      <c r="AA278" s="283"/>
    </row>
    <row r="279" spans="1:27" x14ac:dyDescent="0.25">
      <c r="A279" s="215" t="str">
        <f ca="1">IF(Tabel152[[#This Row],[Rood Verdediging]]&lt;&gt;"",IF(A279="",NOW(),A279),"")</f>
        <v/>
      </c>
      <c r="B279" s="218" t="str">
        <f ca="1">IF(Tabel152[[#This Row],[Rood Verdediging]]&lt;&gt;"",IF(B279="",NOW(),B279),"")</f>
        <v/>
      </c>
      <c r="C279" s="216" t="str">
        <f ca="1">IF(Tabel152[[#This Row],[Score]]&lt;&gt;"",IF(C279="",NOW(),C279),"")</f>
        <v/>
      </c>
      <c r="D279" s="217" t="str">
        <f ca="1">IF(OR(Tabel152[[#This Row],[Starttijd]]="",Tabel152[[#This Row],[Eindtijd]]=""),"",Tabel152[[#This Row],[Eindtijd]]-Tabel152[[#This Row],[Starttijd]])</f>
        <v/>
      </c>
      <c r="E279" s="74">
        <v>278</v>
      </c>
      <c r="F279" s="205"/>
      <c r="G279" s="210"/>
      <c r="H279" s="205"/>
      <c r="I279" s="210"/>
      <c r="J279" s="206"/>
      <c r="K279" s="212"/>
      <c r="L279" s="206"/>
      <c r="M279" s="212"/>
      <c r="N279" s="79">
        <f>Tabel152[[#This Row],[Score]]+Tabel152[[#This Row],[Score2]]</f>
        <v>0</v>
      </c>
      <c r="O279" s="80">
        <f>Tabel152[[#This Row],[Score3]]+Tabel152[[#This Row],[Score4]]</f>
        <v>0</v>
      </c>
      <c r="P27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Row],[Score4]]&lt;&gt;""),IF(AND(N279&gt;O279,N279&gt;=11),"ROOD",IF(AND(O279&gt;=11,N279&lt;&gt;O279),"GROEN","")),"")</f>
        <v/>
      </c>
      <c r="Q279" s="84">
        <f t="shared" si="22"/>
        <v>0</v>
      </c>
      <c r="R279" s="85">
        <f t="shared" si="23"/>
        <v>0</v>
      </c>
      <c r="S279" s="293" t="str">
        <f>Tabel152[[#This Row],[Rood Verdediging]]&amp;Tabel152[[#This Row],[Rood Aanval]]</f>
        <v/>
      </c>
      <c r="T279" s="293" t="str">
        <f>Tabel152[[#This Row],[Groen Verdediging]]&amp;Tabel152[[#This Row],[Groen Aanval]]</f>
        <v/>
      </c>
      <c r="U279" s="293" t="str">
        <f>Tabel152[[#This Row],[Winnaar 1]]&amp;Tabel152[[#This Row],[Winnaar 2]]</f>
        <v>00</v>
      </c>
      <c r="V279" s="147" t="b">
        <f>IF(Tabel152[[#This Row],[Team Rood]]=Tabel152[[#This Row],[Winnaars]],Tabel152[[#This Row],[Team Rood]])</f>
        <v>0</v>
      </c>
      <c r="W279" s="147" t="b">
        <f>IF(Tabel152[[#This Row],[Team Groen]]=Tabel152[[#This Row],[Winnaars]],Tabel152[[#This Row],[Team Groen]])</f>
        <v>0</v>
      </c>
      <c r="X279" s="283"/>
      <c r="Y279" s="283"/>
      <c r="Z279" s="283"/>
      <c r="AA279" s="283"/>
    </row>
    <row r="280" spans="1:27" x14ac:dyDescent="0.25">
      <c r="A280" s="215" t="str">
        <f ca="1">IF(Tabel152[[#This Row],[Rood Verdediging]]&lt;&gt;"",IF(A280="",NOW(),A280),"")</f>
        <v/>
      </c>
      <c r="B280" s="218" t="str">
        <f ca="1">IF(Tabel152[[#This Row],[Rood Verdediging]]&lt;&gt;"",IF(B280="",NOW(),B280),"")</f>
        <v/>
      </c>
      <c r="C280" s="216" t="str">
        <f ca="1">IF(Tabel152[[#This Row],[Score]]&lt;&gt;"",IF(C280="",NOW(),C280),"")</f>
        <v/>
      </c>
      <c r="D280" s="217" t="str">
        <f ca="1">IF(OR(Tabel152[[#This Row],[Starttijd]]="",Tabel152[[#This Row],[Eindtijd]]=""),"",Tabel152[[#This Row],[Eindtijd]]-Tabel152[[#This Row],[Starttijd]])</f>
        <v/>
      </c>
      <c r="E280" s="74">
        <v>279</v>
      </c>
      <c r="F280" s="205"/>
      <c r="G280" s="210"/>
      <c r="H280" s="205"/>
      <c r="I280" s="210"/>
      <c r="J280" s="206"/>
      <c r="K280" s="212"/>
      <c r="L280" s="206"/>
      <c r="M280" s="212"/>
      <c r="N280" s="79">
        <f>Tabel152[[#This Row],[Score]]+Tabel152[[#This Row],[Score2]]</f>
        <v>0</v>
      </c>
      <c r="O280" s="80">
        <f>Tabel152[[#This Row],[Score3]]+Tabel152[[#This Row],[Score4]]</f>
        <v>0</v>
      </c>
      <c r="P28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Row],[Score4]]&lt;&gt;""),IF(AND(N280&gt;O280,N280&gt;=11),"ROOD",IF(AND(O280&gt;=11,N280&lt;&gt;O280),"GROEN","")),"")</f>
        <v/>
      </c>
      <c r="Q280" s="84">
        <f t="shared" si="22"/>
        <v>0</v>
      </c>
      <c r="R280" s="85">
        <f t="shared" si="23"/>
        <v>0</v>
      </c>
      <c r="S280" s="293" t="str">
        <f>Tabel152[[#This Row],[Rood Verdediging]]&amp;Tabel152[[#This Row],[Rood Aanval]]</f>
        <v/>
      </c>
      <c r="T280" s="293" t="str">
        <f>Tabel152[[#This Row],[Groen Verdediging]]&amp;Tabel152[[#This Row],[Groen Aanval]]</f>
        <v/>
      </c>
      <c r="U280" s="293" t="str">
        <f>Tabel152[[#This Row],[Winnaar 1]]&amp;Tabel152[[#This Row],[Winnaar 2]]</f>
        <v>00</v>
      </c>
      <c r="V280" s="147" t="b">
        <f>IF(Tabel152[[#This Row],[Team Rood]]=Tabel152[[#This Row],[Winnaars]],Tabel152[[#This Row],[Team Rood]])</f>
        <v>0</v>
      </c>
      <c r="W280" s="147" t="b">
        <f>IF(Tabel152[[#This Row],[Team Groen]]=Tabel152[[#This Row],[Winnaars]],Tabel152[[#This Row],[Team Groen]])</f>
        <v>0</v>
      </c>
      <c r="X280" s="283"/>
      <c r="Y280" s="283"/>
      <c r="Z280" s="283"/>
      <c r="AA280" s="283"/>
    </row>
    <row r="281" spans="1:27" x14ac:dyDescent="0.25">
      <c r="A281" s="215" t="str">
        <f ca="1">IF(Tabel152[[#This Row],[Rood Verdediging]]&lt;&gt;"",IF(A281="",NOW(),A281),"")</f>
        <v/>
      </c>
      <c r="B281" s="218" t="str">
        <f ca="1">IF(Tabel152[[#This Row],[Rood Verdediging]]&lt;&gt;"",IF(B281="",NOW(),B281),"")</f>
        <v/>
      </c>
      <c r="C281" s="216" t="str">
        <f ca="1">IF(Tabel152[[#This Row],[Score]]&lt;&gt;"",IF(C281="",NOW(),C281),"")</f>
        <v/>
      </c>
      <c r="D281" s="217" t="str">
        <f ca="1">IF(OR(Tabel152[[#This Row],[Starttijd]]="",Tabel152[[#This Row],[Eindtijd]]=""),"",Tabel152[[#This Row],[Eindtijd]]-Tabel152[[#This Row],[Starttijd]])</f>
        <v/>
      </c>
      <c r="E281" s="74">
        <v>280</v>
      </c>
      <c r="F281" s="205"/>
      <c r="G281" s="210"/>
      <c r="H281" s="205"/>
      <c r="I281" s="210"/>
      <c r="J281" s="206"/>
      <c r="K281" s="212"/>
      <c r="L281" s="206"/>
      <c r="M281" s="212"/>
      <c r="N281" s="79">
        <f>Tabel152[[#This Row],[Score]]+Tabel152[[#This Row],[Score2]]</f>
        <v>0</v>
      </c>
      <c r="O281" s="80">
        <f>Tabel152[[#This Row],[Score3]]+Tabel152[[#This Row],[Score4]]</f>
        <v>0</v>
      </c>
      <c r="P28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Row],[Score4]]&lt;&gt;""),IF(AND(N281&gt;O281,N281&gt;=11),"ROOD",IF(AND(O281&gt;=11,N281&lt;&gt;O281),"GROEN","")),"")</f>
        <v/>
      </c>
      <c r="Q281" s="84">
        <f t="shared" si="22"/>
        <v>0</v>
      </c>
      <c r="R281" s="85">
        <f t="shared" si="23"/>
        <v>0</v>
      </c>
      <c r="S281" s="293" t="str">
        <f>Tabel152[[#This Row],[Rood Verdediging]]&amp;Tabel152[[#This Row],[Rood Aanval]]</f>
        <v/>
      </c>
      <c r="T281" s="293" t="str">
        <f>Tabel152[[#This Row],[Groen Verdediging]]&amp;Tabel152[[#This Row],[Groen Aanval]]</f>
        <v/>
      </c>
      <c r="U281" s="293" t="str">
        <f>Tabel152[[#This Row],[Winnaar 1]]&amp;Tabel152[[#This Row],[Winnaar 2]]</f>
        <v>00</v>
      </c>
      <c r="V281" s="147" t="b">
        <f>IF(Tabel152[[#This Row],[Team Rood]]=Tabel152[[#This Row],[Winnaars]],Tabel152[[#This Row],[Team Rood]])</f>
        <v>0</v>
      </c>
      <c r="W281" s="147" t="b">
        <f>IF(Tabel152[[#This Row],[Team Groen]]=Tabel152[[#This Row],[Winnaars]],Tabel152[[#This Row],[Team Groen]])</f>
        <v>0</v>
      </c>
      <c r="X281" s="283"/>
      <c r="Y281" s="283"/>
      <c r="Z281" s="283"/>
      <c r="AA281" s="283"/>
    </row>
    <row r="282" spans="1:27" x14ac:dyDescent="0.25">
      <c r="A282" s="215" t="str">
        <f ca="1">IF(Tabel152[[#This Row],[Rood Verdediging]]&lt;&gt;"",IF(A282="",NOW(),A282),"")</f>
        <v/>
      </c>
      <c r="B282" s="218" t="str">
        <f ca="1">IF(Tabel152[[#This Row],[Rood Verdediging]]&lt;&gt;"",IF(B282="",NOW(),B282),"")</f>
        <v/>
      </c>
      <c r="C282" s="216" t="str">
        <f ca="1">IF(Tabel152[[#This Row],[Score]]&lt;&gt;"",IF(C282="",NOW(),C282),"")</f>
        <v/>
      </c>
      <c r="D282" s="217" t="str">
        <f ca="1">IF(OR(Tabel152[[#This Row],[Starttijd]]="",Tabel152[[#This Row],[Eindtijd]]=""),"",Tabel152[[#This Row],[Eindtijd]]-Tabel152[[#This Row],[Starttijd]])</f>
        <v/>
      </c>
      <c r="E282" s="74">
        <v>281</v>
      </c>
      <c r="F282" s="205"/>
      <c r="G282" s="210"/>
      <c r="H282" s="205"/>
      <c r="I282" s="210"/>
      <c r="J282" s="206"/>
      <c r="K282" s="212"/>
      <c r="L282" s="206"/>
      <c r="M282" s="212"/>
      <c r="N282" s="79">
        <f>Tabel152[[#This Row],[Score]]+Tabel152[[#This Row],[Score2]]</f>
        <v>0</v>
      </c>
      <c r="O282" s="80">
        <f>Tabel152[[#This Row],[Score3]]+Tabel152[[#This Row],[Score4]]</f>
        <v>0</v>
      </c>
      <c r="P28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Row],[Score4]]&lt;&gt;""),IF(AND(N282&gt;O282,N282&gt;=11),"ROOD",IF(AND(O282&gt;=11,N282&lt;&gt;O282),"GROEN","")),"")</f>
        <v/>
      </c>
      <c r="Q282" s="84">
        <f t="shared" si="22"/>
        <v>0</v>
      </c>
      <c r="R282" s="85">
        <f t="shared" si="23"/>
        <v>0</v>
      </c>
      <c r="S282" s="293" t="str">
        <f>Tabel152[[#This Row],[Rood Verdediging]]&amp;Tabel152[[#This Row],[Rood Aanval]]</f>
        <v/>
      </c>
      <c r="T282" s="293" t="str">
        <f>Tabel152[[#This Row],[Groen Verdediging]]&amp;Tabel152[[#This Row],[Groen Aanval]]</f>
        <v/>
      </c>
      <c r="U282" s="293" t="str">
        <f>Tabel152[[#This Row],[Winnaar 1]]&amp;Tabel152[[#This Row],[Winnaar 2]]</f>
        <v>00</v>
      </c>
      <c r="V282" s="147" t="b">
        <f>IF(Tabel152[[#This Row],[Team Rood]]=Tabel152[[#This Row],[Winnaars]],Tabel152[[#This Row],[Team Rood]])</f>
        <v>0</v>
      </c>
      <c r="W282" s="147" t="b">
        <f>IF(Tabel152[[#This Row],[Team Groen]]=Tabel152[[#This Row],[Winnaars]],Tabel152[[#This Row],[Team Groen]])</f>
        <v>0</v>
      </c>
      <c r="X282" s="283"/>
      <c r="Y282" s="283"/>
      <c r="Z282" s="283"/>
      <c r="AA282" s="283"/>
    </row>
    <row r="283" spans="1:27" x14ac:dyDescent="0.25">
      <c r="A283" s="215" t="str">
        <f ca="1">IF(Tabel152[[#This Row],[Rood Verdediging]]&lt;&gt;"",IF(A283="",NOW(),A283),"")</f>
        <v/>
      </c>
      <c r="B283" s="218" t="str">
        <f ca="1">IF(Tabel152[[#This Row],[Rood Verdediging]]&lt;&gt;"",IF(B283="",NOW(),B283),"")</f>
        <v/>
      </c>
      <c r="C283" s="216" t="str">
        <f ca="1">IF(Tabel152[[#This Row],[Score]]&lt;&gt;"",IF(C283="",NOW(),C283),"")</f>
        <v/>
      </c>
      <c r="D283" s="217" t="str">
        <f ca="1">IF(OR(Tabel152[[#This Row],[Starttijd]]="",Tabel152[[#This Row],[Eindtijd]]=""),"",Tabel152[[#This Row],[Eindtijd]]-Tabel152[[#This Row],[Starttijd]])</f>
        <v/>
      </c>
      <c r="E283" s="74">
        <v>282</v>
      </c>
      <c r="F283" s="205"/>
      <c r="G283" s="210"/>
      <c r="H283" s="205"/>
      <c r="I283" s="210"/>
      <c r="J283" s="206"/>
      <c r="K283" s="212"/>
      <c r="L283" s="206"/>
      <c r="M283" s="212"/>
      <c r="N283" s="79">
        <f>Tabel152[[#This Row],[Score]]+Tabel152[[#This Row],[Score2]]</f>
        <v>0</v>
      </c>
      <c r="O283" s="80">
        <f>Tabel152[[#This Row],[Score3]]+Tabel152[[#This Row],[Score4]]</f>
        <v>0</v>
      </c>
      <c r="P28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Row],[Score4]]&lt;&gt;""),IF(AND(N283&gt;O283,N283&gt;=11),"ROOD",IF(AND(O283&gt;=11,N283&lt;&gt;O283),"GROEN","")),"")</f>
        <v/>
      </c>
      <c r="Q283" s="84">
        <f t="shared" si="22"/>
        <v>0</v>
      </c>
      <c r="R283" s="85">
        <f t="shared" si="23"/>
        <v>0</v>
      </c>
      <c r="S283" s="293" t="str">
        <f>Tabel152[[#This Row],[Rood Verdediging]]&amp;Tabel152[[#This Row],[Rood Aanval]]</f>
        <v/>
      </c>
      <c r="T283" s="293" t="str">
        <f>Tabel152[[#This Row],[Groen Verdediging]]&amp;Tabel152[[#This Row],[Groen Aanval]]</f>
        <v/>
      </c>
      <c r="U283" s="293" t="str">
        <f>Tabel152[[#This Row],[Winnaar 1]]&amp;Tabel152[[#This Row],[Winnaar 2]]</f>
        <v>00</v>
      </c>
      <c r="V283" s="147" t="b">
        <f>IF(Tabel152[[#This Row],[Team Rood]]=Tabel152[[#This Row],[Winnaars]],Tabel152[[#This Row],[Team Rood]])</f>
        <v>0</v>
      </c>
      <c r="W283" s="147" t="b">
        <f>IF(Tabel152[[#This Row],[Team Groen]]=Tabel152[[#This Row],[Winnaars]],Tabel152[[#This Row],[Team Groen]])</f>
        <v>0</v>
      </c>
      <c r="X283" s="283"/>
      <c r="Y283" s="283"/>
      <c r="Z283" s="283"/>
      <c r="AA283" s="283"/>
    </row>
    <row r="284" spans="1:27" x14ac:dyDescent="0.25">
      <c r="A284" s="215" t="str">
        <f ca="1">IF(Tabel152[[#This Row],[Rood Verdediging]]&lt;&gt;"",IF(A284="",NOW(),A284),"")</f>
        <v/>
      </c>
      <c r="B284" s="218" t="str">
        <f ca="1">IF(Tabel152[[#This Row],[Rood Verdediging]]&lt;&gt;"",IF(B284="",NOW(),B284),"")</f>
        <v/>
      </c>
      <c r="C284" s="216" t="str">
        <f ca="1">IF(Tabel152[[#This Row],[Score]]&lt;&gt;"",IF(C284="",NOW(),C284),"")</f>
        <v/>
      </c>
      <c r="D284" s="217" t="str">
        <f ca="1">IF(OR(Tabel152[[#This Row],[Starttijd]]="",Tabel152[[#This Row],[Eindtijd]]=""),"",Tabel152[[#This Row],[Eindtijd]]-Tabel152[[#This Row],[Starttijd]])</f>
        <v/>
      </c>
      <c r="E284" s="74">
        <v>283</v>
      </c>
      <c r="F284" s="205"/>
      <c r="G284" s="210"/>
      <c r="H284" s="205"/>
      <c r="I284" s="210"/>
      <c r="J284" s="206"/>
      <c r="K284" s="212"/>
      <c r="L284" s="206"/>
      <c r="M284" s="212"/>
      <c r="N284" s="79">
        <f>Tabel152[[#This Row],[Score]]+Tabel152[[#This Row],[Score2]]</f>
        <v>0</v>
      </c>
      <c r="O284" s="80">
        <f>Tabel152[[#This Row],[Score3]]+Tabel152[[#This Row],[Score4]]</f>
        <v>0</v>
      </c>
      <c r="P28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Row],[Score4]]&lt;&gt;""),IF(AND(N284&gt;O284,N284&gt;=11),"ROOD",IF(AND(O284&gt;=11,N284&lt;&gt;O284),"GROEN","")),"")</f>
        <v/>
      </c>
      <c r="Q284" s="84">
        <f t="shared" si="22"/>
        <v>0</v>
      </c>
      <c r="R284" s="85">
        <f t="shared" si="23"/>
        <v>0</v>
      </c>
      <c r="S284" s="293" t="str">
        <f>Tabel152[[#This Row],[Rood Verdediging]]&amp;Tabel152[[#This Row],[Rood Aanval]]</f>
        <v/>
      </c>
      <c r="T284" s="293" t="str">
        <f>Tabel152[[#This Row],[Groen Verdediging]]&amp;Tabel152[[#This Row],[Groen Aanval]]</f>
        <v/>
      </c>
      <c r="U284" s="293" t="str">
        <f>Tabel152[[#This Row],[Winnaar 1]]&amp;Tabel152[[#This Row],[Winnaar 2]]</f>
        <v>00</v>
      </c>
      <c r="V284" s="147" t="b">
        <f>IF(Tabel152[[#This Row],[Team Rood]]=Tabel152[[#This Row],[Winnaars]],Tabel152[[#This Row],[Team Rood]])</f>
        <v>0</v>
      </c>
      <c r="W284" s="147" t="b">
        <f>IF(Tabel152[[#This Row],[Team Groen]]=Tabel152[[#This Row],[Winnaars]],Tabel152[[#This Row],[Team Groen]])</f>
        <v>0</v>
      </c>
      <c r="X284" s="283"/>
      <c r="Y284" s="283"/>
      <c r="Z284" s="283"/>
      <c r="AA284" s="283"/>
    </row>
    <row r="285" spans="1:27" x14ac:dyDescent="0.25">
      <c r="A285" s="215" t="str">
        <f ca="1">IF(Tabel152[[#This Row],[Rood Verdediging]]&lt;&gt;"",IF(A285="",NOW(),A285),"")</f>
        <v/>
      </c>
      <c r="B285" s="218" t="str">
        <f ca="1">IF(Tabel152[[#This Row],[Rood Verdediging]]&lt;&gt;"",IF(B285="",NOW(),B285),"")</f>
        <v/>
      </c>
      <c r="C285" s="216" t="str">
        <f ca="1">IF(Tabel152[[#This Row],[Score]]&lt;&gt;"",IF(C285="",NOW(),C285),"")</f>
        <v/>
      </c>
      <c r="D285" s="217" t="str">
        <f ca="1">IF(OR(Tabel152[[#This Row],[Starttijd]]="",Tabel152[[#This Row],[Eindtijd]]=""),"",Tabel152[[#This Row],[Eindtijd]]-Tabel152[[#This Row],[Starttijd]])</f>
        <v/>
      </c>
      <c r="E285" s="74">
        <v>284</v>
      </c>
      <c r="F285" s="205"/>
      <c r="G285" s="210"/>
      <c r="H285" s="205"/>
      <c r="I285" s="210"/>
      <c r="J285" s="206"/>
      <c r="K285" s="212"/>
      <c r="L285" s="206"/>
      <c r="M285" s="212"/>
      <c r="N285" s="79">
        <f>Tabel152[[#This Row],[Score]]+Tabel152[[#This Row],[Score2]]</f>
        <v>0</v>
      </c>
      <c r="O285" s="80">
        <f>Tabel152[[#This Row],[Score3]]+Tabel152[[#This Row],[Score4]]</f>
        <v>0</v>
      </c>
      <c r="P28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Row],[Score4]]&lt;&gt;""),IF(AND(N285&gt;O285,N285&gt;=11),"ROOD",IF(AND(O285&gt;=11,N285&lt;&gt;O285),"GROEN","")),"")</f>
        <v/>
      </c>
      <c r="Q285" s="84">
        <f t="shared" si="22"/>
        <v>0</v>
      </c>
      <c r="R285" s="85">
        <f t="shared" si="23"/>
        <v>0</v>
      </c>
      <c r="S285" s="293" t="str">
        <f>Tabel152[[#This Row],[Rood Verdediging]]&amp;Tabel152[[#This Row],[Rood Aanval]]</f>
        <v/>
      </c>
      <c r="T285" s="293" t="str">
        <f>Tabel152[[#This Row],[Groen Verdediging]]&amp;Tabel152[[#This Row],[Groen Aanval]]</f>
        <v/>
      </c>
      <c r="U285" s="293" t="str">
        <f>Tabel152[[#This Row],[Winnaar 1]]&amp;Tabel152[[#This Row],[Winnaar 2]]</f>
        <v>00</v>
      </c>
      <c r="V285" s="147" t="b">
        <f>IF(Tabel152[[#This Row],[Team Rood]]=Tabel152[[#This Row],[Winnaars]],Tabel152[[#This Row],[Team Rood]])</f>
        <v>0</v>
      </c>
      <c r="W285" s="147" t="b">
        <f>IF(Tabel152[[#This Row],[Team Groen]]=Tabel152[[#This Row],[Winnaars]],Tabel152[[#This Row],[Team Groen]])</f>
        <v>0</v>
      </c>
      <c r="X285" s="283"/>
      <c r="Y285" s="283"/>
      <c r="Z285" s="283"/>
      <c r="AA285" s="283"/>
    </row>
    <row r="286" spans="1:27" x14ac:dyDescent="0.25">
      <c r="A286" s="215" t="str">
        <f ca="1">IF(Tabel152[[#This Row],[Rood Verdediging]]&lt;&gt;"",IF(A286="",NOW(),A286),"")</f>
        <v/>
      </c>
      <c r="B286" s="218" t="str">
        <f ca="1">IF(Tabel152[[#This Row],[Rood Verdediging]]&lt;&gt;"",IF(B286="",NOW(),B286),"")</f>
        <v/>
      </c>
      <c r="C286" s="216" t="str">
        <f ca="1">IF(Tabel152[[#This Row],[Score]]&lt;&gt;"",IF(C286="",NOW(),C286),"")</f>
        <v/>
      </c>
      <c r="D286" s="217" t="str">
        <f ca="1">IF(OR(Tabel152[[#This Row],[Starttijd]]="",Tabel152[[#This Row],[Eindtijd]]=""),"",Tabel152[[#This Row],[Eindtijd]]-Tabel152[[#This Row],[Starttijd]])</f>
        <v/>
      </c>
      <c r="E286" s="74">
        <v>285</v>
      </c>
      <c r="F286" s="205"/>
      <c r="G286" s="210"/>
      <c r="H286" s="205"/>
      <c r="I286" s="210"/>
      <c r="J286" s="206"/>
      <c r="K286" s="212"/>
      <c r="L286" s="206"/>
      <c r="M286" s="212"/>
      <c r="N286" s="79">
        <f>Tabel152[[#This Row],[Score]]+Tabel152[[#This Row],[Score2]]</f>
        <v>0</v>
      </c>
      <c r="O286" s="80">
        <f>Tabel152[[#This Row],[Score3]]+Tabel152[[#This Row],[Score4]]</f>
        <v>0</v>
      </c>
      <c r="P28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Row],[Score4]]&lt;&gt;""),IF(AND(N286&gt;O286,N286&gt;=11),"ROOD",IF(AND(O286&gt;=11,N286&lt;&gt;O286),"GROEN","")),"")</f>
        <v/>
      </c>
      <c r="Q286" s="84">
        <f t="shared" si="22"/>
        <v>0</v>
      </c>
      <c r="R286" s="85">
        <f t="shared" si="23"/>
        <v>0</v>
      </c>
      <c r="S286" s="293" t="str">
        <f>Tabel152[[#This Row],[Rood Verdediging]]&amp;Tabel152[[#This Row],[Rood Aanval]]</f>
        <v/>
      </c>
      <c r="T286" s="293" t="str">
        <f>Tabel152[[#This Row],[Groen Verdediging]]&amp;Tabel152[[#This Row],[Groen Aanval]]</f>
        <v/>
      </c>
      <c r="U286" s="293" t="str">
        <f>Tabel152[[#This Row],[Winnaar 1]]&amp;Tabel152[[#This Row],[Winnaar 2]]</f>
        <v>00</v>
      </c>
      <c r="V286" s="147" t="b">
        <f>IF(Tabel152[[#This Row],[Team Rood]]=Tabel152[[#This Row],[Winnaars]],Tabel152[[#This Row],[Team Rood]])</f>
        <v>0</v>
      </c>
      <c r="W286" s="147" t="b">
        <f>IF(Tabel152[[#This Row],[Team Groen]]=Tabel152[[#This Row],[Winnaars]],Tabel152[[#This Row],[Team Groen]])</f>
        <v>0</v>
      </c>
      <c r="X286" s="283"/>
      <c r="Y286" s="283"/>
      <c r="Z286" s="283"/>
      <c r="AA286" s="283"/>
    </row>
    <row r="287" spans="1:27" x14ac:dyDescent="0.25">
      <c r="A287" s="215" t="str">
        <f ca="1">IF(Tabel152[[#This Row],[Rood Verdediging]]&lt;&gt;"",IF(A287="",NOW(),A287),"")</f>
        <v/>
      </c>
      <c r="B287" s="218" t="str">
        <f ca="1">IF(Tabel152[[#This Row],[Rood Verdediging]]&lt;&gt;"",IF(B287="",NOW(),B287),"")</f>
        <v/>
      </c>
      <c r="C287" s="216" t="str">
        <f ca="1">IF(Tabel152[[#This Row],[Score]]&lt;&gt;"",IF(C287="",NOW(),C287),"")</f>
        <v/>
      </c>
      <c r="D287" s="217" t="str">
        <f ca="1">IF(OR(Tabel152[[#This Row],[Starttijd]]="",Tabel152[[#This Row],[Eindtijd]]=""),"",Tabel152[[#This Row],[Eindtijd]]-Tabel152[[#This Row],[Starttijd]])</f>
        <v/>
      </c>
      <c r="E287" s="74">
        <v>286</v>
      </c>
      <c r="F287" s="205"/>
      <c r="G287" s="210"/>
      <c r="H287" s="205"/>
      <c r="I287" s="210"/>
      <c r="J287" s="206"/>
      <c r="K287" s="212"/>
      <c r="L287" s="206"/>
      <c r="M287" s="212"/>
      <c r="N287" s="79">
        <f>Tabel152[[#This Row],[Score]]+Tabel152[[#This Row],[Score2]]</f>
        <v>0</v>
      </c>
      <c r="O287" s="80">
        <f>Tabel152[[#This Row],[Score3]]+Tabel152[[#This Row],[Score4]]</f>
        <v>0</v>
      </c>
      <c r="P28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Row],[Score4]]&lt;&gt;""),IF(AND(N287&gt;O287,N287&gt;=11),"ROOD",IF(AND(O287&gt;=11,N287&lt;&gt;O287),"GROEN","")),"")</f>
        <v/>
      </c>
      <c r="Q287" s="84">
        <f t="shared" si="22"/>
        <v>0</v>
      </c>
      <c r="R287" s="85">
        <f t="shared" si="23"/>
        <v>0</v>
      </c>
      <c r="S287" s="293" t="str">
        <f>Tabel152[[#This Row],[Rood Verdediging]]&amp;Tabel152[[#This Row],[Rood Aanval]]</f>
        <v/>
      </c>
      <c r="T287" s="293" t="str">
        <f>Tabel152[[#This Row],[Groen Verdediging]]&amp;Tabel152[[#This Row],[Groen Aanval]]</f>
        <v/>
      </c>
      <c r="U287" s="293" t="str">
        <f>Tabel152[[#This Row],[Winnaar 1]]&amp;Tabel152[[#This Row],[Winnaar 2]]</f>
        <v>00</v>
      </c>
      <c r="V287" s="147" t="b">
        <f>IF(Tabel152[[#This Row],[Team Rood]]=Tabel152[[#This Row],[Winnaars]],Tabel152[[#This Row],[Team Rood]])</f>
        <v>0</v>
      </c>
      <c r="W287" s="147" t="b">
        <f>IF(Tabel152[[#This Row],[Team Groen]]=Tabel152[[#This Row],[Winnaars]],Tabel152[[#This Row],[Team Groen]])</f>
        <v>0</v>
      </c>
      <c r="X287" s="283"/>
      <c r="Y287" s="283"/>
      <c r="Z287" s="283"/>
      <c r="AA287" s="283"/>
    </row>
    <row r="288" spans="1:27" x14ac:dyDescent="0.25">
      <c r="A288" s="215" t="str">
        <f ca="1">IF(Tabel152[[#This Row],[Rood Verdediging]]&lt;&gt;"",IF(A288="",NOW(),A288),"")</f>
        <v/>
      </c>
      <c r="B288" s="218" t="str">
        <f ca="1">IF(Tabel152[[#This Row],[Rood Verdediging]]&lt;&gt;"",IF(B288="",NOW(),B288),"")</f>
        <v/>
      </c>
      <c r="C288" s="216" t="str">
        <f ca="1">IF(Tabel152[[#This Row],[Score]]&lt;&gt;"",IF(C288="",NOW(),C288),"")</f>
        <v/>
      </c>
      <c r="D288" s="217" t="str">
        <f ca="1">IF(OR(Tabel152[[#This Row],[Starttijd]]="",Tabel152[[#This Row],[Eindtijd]]=""),"",Tabel152[[#This Row],[Eindtijd]]-Tabel152[[#This Row],[Starttijd]])</f>
        <v/>
      </c>
      <c r="E288" s="74">
        <v>287</v>
      </c>
      <c r="F288" s="205"/>
      <c r="G288" s="210"/>
      <c r="H288" s="205"/>
      <c r="I288" s="210"/>
      <c r="J288" s="206"/>
      <c r="K288" s="212"/>
      <c r="L288" s="206"/>
      <c r="M288" s="212"/>
      <c r="N288" s="79">
        <f>Tabel152[[#This Row],[Score]]+Tabel152[[#This Row],[Score2]]</f>
        <v>0</v>
      </c>
      <c r="O288" s="80">
        <f>Tabel152[[#This Row],[Score3]]+Tabel152[[#This Row],[Score4]]</f>
        <v>0</v>
      </c>
      <c r="P28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Row],[Score4]]&lt;&gt;""),IF(AND(N288&gt;O288,N288&gt;=11),"ROOD",IF(AND(O288&gt;=11,N288&lt;&gt;O288),"GROEN","")),"")</f>
        <v/>
      </c>
      <c r="Q288" s="84">
        <f t="shared" si="22"/>
        <v>0</v>
      </c>
      <c r="R288" s="85">
        <f t="shared" si="23"/>
        <v>0</v>
      </c>
      <c r="S288" s="293" t="str">
        <f>Tabel152[[#This Row],[Rood Verdediging]]&amp;Tabel152[[#This Row],[Rood Aanval]]</f>
        <v/>
      </c>
      <c r="T288" s="293" t="str">
        <f>Tabel152[[#This Row],[Groen Verdediging]]&amp;Tabel152[[#This Row],[Groen Aanval]]</f>
        <v/>
      </c>
      <c r="U288" s="293" t="str">
        <f>Tabel152[[#This Row],[Winnaar 1]]&amp;Tabel152[[#This Row],[Winnaar 2]]</f>
        <v>00</v>
      </c>
      <c r="V288" s="147" t="b">
        <f>IF(Tabel152[[#This Row],[Team Rood]]=Tabel152[[#This Row],[Winnaars]],Tabel152[[#This Row],[Team Rood]])</f>
        <v>0</v>
      </c>
      <c r="W288" s="147" t="b">
        <f>IF(Tabel152[[#This Row],[Team Groen]]=Tabel152[[#This Row],[Winnaars]],Tabel152[[#This Row],[Team Groen]])</f>
        <v>0</v>
      </c>
      <c r="X288" s="283"/>
      <c r="Y288" s="283"/>
      <c r="Z288" s="283"/>
      <c r="AA288" s="283"/>
    </row>
    <row r="289" spans="1:27" x14ac:dyDescent="0.25">
      <c r="A289" s="215" t="str">
        <f ca="1">IF(Tabel152[[#This Row],[Rood Verdediging]]&lt;&gt;"",IF(A289="",NOW(),A289),"")</f>
        <v/>
      </c>
      <c r="B289" s="218" t="str">
        <f ca="1">IF(Tabel152[[#This Row],[Rood Verdediging]]&lt;&gt;"",IF(B289="",NOW(),B289),"")</f>
        <v/>
      </c>
      <c r="C289" s="216" t="str">
        <f ca="1">IF(Tabel152[[#This Row],[Score]]&lt;&gt;"",IF(C289="",NOW(),C289),"")</f>
        <v/>
      </c>
      <c r="D289" s="217" t="str">
        <f ca="1">IF(OR(Tabel152[[#This Row],[Starttijd]]="",Tabel152[[#This Row],[Eindtijd]]=""),"",Tabel152[[#This Row],[Eindtijd]]-Tabel152[[#This Row],[Starttijd]])</f>
        <v/>
      </c>
      <c r="E289" s="74">
        <v>288</v>
      </c>
      <c r="F289" s="205"/>
      <c r="G289" s="210"/>
      <c r="H289" s="205"/>
      <c r="I289" s="210"/>
      <c r="J289" s="206"/>
      <c r="K289" s="212"/>
      <c r="L289" s="206"/>
      <c r="M289" s="212"/>
      <c r="N289" s="79">
        <f>Tabel152[[#This Row],[Score]]+Tabel152[[#This Row],[Score2]]</f>
        <v>0</v>
      </c>
      <c r="O289" s="80">
        <f>Tabel152[[#This Row],[Score3]]+Tabel152[[#This Row],[Score4]]</f>
        <v>0</v>
      </c>
      <c r="P28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Row],[Score4]]&lt;&gt;""),IF(AND(N289&gt;O289,N289&gt;=11),"ROOD",IF(AND(O289&gt;=11,N289&lt;&gt;O289),"GROEN","")),"")</f>
        <v/>
      </c>
      <c r="Q289" s="84">
        <f t="shared" si="22"/>
        <v>0</v>
      </c>
      <c r="R289" s="85">
        <f t="shared" si="23"/>
        <v>0</v>
      </c>
      <c r="S289" s="293" t="str">
        <f>Tabel152[[#This Row],[Rood Verdediging]]&amp;Tabel152[[#This Row],[Rood Aanval]]</f>
        <v/>
      </c>
      <c r="T289" s="293" t="str">
        <f>Tabel152[[#This Row],[Groen Verdediging]]&amp;Tabel152[[#This Row],[Groen Aanval]]</f>
        <v/>
      </c>
      <c r="U289" s="293" t="str">
        <f>Tabel152[[#This Row],[Winnaar 1]]&amp;Tabel152[[#This Row],[Winnaar 2]]</f>
        <v>00</v>
      </c>
      <c r="V289" s="147" t="b">
        <f>IF(Tabel152[[#This Row],[Team Rood]]=Tabel152[[#This Row],[Winnaars]],Tabel152[[#This Row],[Team Rood]])</f>
        <v>0</v>
      </c>
      <c r="W289" s="147" t="b">
        <f>IF(Tabel152[[#This Row],[Team Groen]]=Tabel152[[#This Row],[Winnaars]],Tabel152[[#This Row],[Team Groen]])</f>
        <v>0</v>
      </c>
      <c r="X289" s="283"/>
      <c r="Y289" s="283"/>
      <c r="Z289" s="283"/>
      <c r="AA289" s="283"/>
    </row>
    <row r="290" spans="1:27" x14ac:dyDescent="0.25">
      <c r="A290" s="215" t="str">
        <f ca="1">IF(Tabel152[[#This Row],[Rood Verdediging]]&lt;&gt;"",IF(A290="",NOW(),A290),"")</f>
        <v/>
      </c>
      <c r="B290" s="218" t="str">
        <f ca="1">IF(Tabel152[[#This Row],[Rood Verdediging]]&lt;&gt;"",IF(B290="",NOW(),B290),"")</f>
        <v/>
      </c>
      <c r="C290" s="216" t="str">
        <f ca="1">IF(Tabel152[[#This Row],[Score]]&lt;&gt;"",IF(C290="",NOW(),C290),"")</f>
        <v/>
      </c>
      <c r="D290" s="217" t="str">
        <f ca="1">IF(OR(Tabel152[[#This Row],[Starttijd]]="",Tabel152[[#This Row],[Eindtijd]]=""),"",Tabel152[[#This Row],[Eindtijd]]-Tabel152[[#This Row],[Starttijd]])</f>
        <v/>
      </c>
      <c r="E290" s="74">
        <v>289</v>
      </c>
      <c r="F290" s="205"/>
      <c r="G290" s="210"/>
      <c r="H290" s="205"/>
      <c r="I290" s="210"/>
      <c r="J290" s="206"/>
      <c r="K290" s="212"/>
      <c r="L290" s="206"/>
      <c r="M290" s="212"/>
      <c r="N290" s="79">
        <f>Tabel152[[#This Row],[Score]]+Tabel152[[#This Row],[Score2]]</f>
        <v>0</v>
      </c>
      <c r="O290" s="80">
        <f>Tabel152[[#This Row],[Score3]]+Tabel152[[#This Row],[Score4]]</f>
        <v>0</v>
      </c>
      <c r="P29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Row],[Score4]]&lt;&gt;""),IF(AND(N290&gt;O290,N290&gt;=11),"ROOD",IF(AND(O290&gt;=11,N290&lt;&gt;O290),"GROEN","")),"")</f>
        <v/>
      </c>
      <c r="Q290" s="84">
        <f t="shared" si="22"/>
        <v>0</v>
      </c>
      <c r="R290" s="85">
        <f t="shared" si="23"/>
        <v>0</v>
      </c>
      <c r="S290" s="293" t="str">
        <f>Tabel152[[#This Row],[Rood Verdediging]]&amp;Tabel152[[#This Row],[Rood Aanval]]</f>
        <v/>
      </c>
      <c r="T290" s="293" t="str">
        <f>Tabel152[[#This Row],[Groen Verdediging]]&amp;Tabel152[[#This Row],[Groen Aanval]]</f>
        <v/>
      </c>
      <c r="U290" s="293" t="str">
        <f>Tabel152[[#This Row],[Winnaar 1]]&amp;Tabel152[[#This Row],[Winnaar 2]]</f>
        <v>00</v>
      </c>
      <c r="V290" s="147" t="b">
        <f>IF(Tabel152[[#This Row],[Team Rood]]=Tabel152[[#This Row],[Winnaars]],Tabel152[[#This Row],[Team Rood]])</f>
        <v>0</v>
      </c>
      <c r="W290" s="147" t="b">
        <f>IF(Tabel152[[#This Row],[Team Groen]]=Tabel152[[#This Row],[Winnaars]],Tabel152[[#This Row],[Team Groen]])</f>
        <v>0</v>
      </c>
      <c r="X290" s="283"/>
      <c r="Y290" s="283"/>
      <c r="Z290" s="283"/>
      <c r="AA290" s="283"/>
    </row>
    <row r="291" spans="1:27" x14ac:dyDescent="0.25">
      <c r="A291" s="215" t="str">
        <f ca="1">IF(Tabel152[[#This Row],[Rood Verdediging]]&lt;&gt;"",IF(A291="",NOW(),A291),"")</f>
        <v/>
      </c>
      <c r="B291" s="218" t="str">
        <f ca="1">IF(Tabel152[[#This Row],[Rood Verdediging]]&lt;&gt;"",IF(B291="",NOW(),B291),"")</f>
        <v/>
      </c>
      <c r="C291" s="216" t="str">
        <f ca="1">IF(Tabel152[[#This Row],[Score]]&lt;&gt;"",IF(C291="",NOW(),C291),"")</f>
        <v/>
      </c>
      <c r="D291" s="217" t="str">
        <f ca="1">IF(OR(Tabel152[[#This Row],[Starttijd]]="",Tabel152[[#This Row],[Eindtijd]]=""),"",Tabel152[[#This Row],[Eindtijd]]-Tabel152[[#This Row],[Starttijd]])</f>
        <v/>
      </c>
      <c r="E291" s="74">
        <v>290</v>
      </c>
      <c r="F291" s="205"/>
      <c r="G291" s="210"/>
      <c r="H291" s="205"/>
      <c r="I291" s="210"/>
      <c r="J291" s="206"/>
      <c r="K291" s="212"/>
      <c r="L291" s="206"/>
      <c r="M291" s="212"/>
      <c r="N291" s="79">
        <f>Tabel152[[#This Row],[Score]]+Tabel152[[#This Row],[Score2]]</f>
        <v>0</v>
      </c>
      <c r="O291" s="80">
        <f>Tabel152[[#This Row],[Score3]]+Tabel152[[#This Row],[Score4]]</f>
        <v>0</v>
      </c>
      <c r="P29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Row],[Score4]]&lt;&gt;""),IF(AND(N291&gt;O291,N291&gt;=11),"ROOD",IF(AND(O291&gt;=11,N291&lt;&gt;O291),"GROEN","")),"")</f>
        <v/>
      </c>
      <c r="Q291" s="84">
        <f t="shared" si="22"/>
        <v>0</v>
      </c>
      <c r="R291" s="85">
        <f t="shared" si="23"/>
        <v>0</v>
      </c>
      <c r="S291" s="293" t="str">
        <f>Tabel152[[#This Row],[Rood Verdediging]]&amp;Tabel152[[#This Row],[Rood Aanval]]</f>
        <v/>
      </c>
      <c r="T291" s="293" t="str">
        <f>Tabel152[[#This Row],[Groen Verdediging]]&amp;Tabel152[[#This Row],[Groen Aanval]]</f>
        <v/>
      </c>
      <c r="U291" s="293" t="str">
        <f>Tabel152[[#This Row],[Winnaar 1]]&amp;Tabel152[[#This Row],[Winnaar 2]]</f>
        <v>00</v>
      </c>
      <c r="V291" s="147" t="b">
        <f>IF(Tabel152[[#This Row],[Team Rood]]=Tabel152[[#This Row],[Winnaars]],Tabel152[[#This Row],[Team Rood]])</f>
        <v>0</v>
      </c>
      <c r="W291" s="147" t="b">
        <f>IF(Tabel152[[#This Row],[Team Groen]]=Tabel152[[#This Row],[Winnaars]],Tabel152[[#This Row],[Team Groen]])</f>
        <v>0</v>
      </c>
      <c r="X291" s="283"/>
      <c r="Y291" s="283"/>
      <c r="Z291" s="283"/>
      <c r="AA291" s="283"/>
    </row>
    <row r="292" spans="1:27" x14ac:dyDescent="0.25">
      <c r="A292" s="215" t="str">
        <f ca="1">IF(Tabel152[[#This Row],[Rood Verdediging]]&lt;&gt;"",IF(A292="",NOW(),A292),"")</f>
        <v/>
      </c>
      <c r="B292" s="218" t="str">
        <f ca="1">IF(Tabel152[[#This Row],[Rood Verdediging]]&lt;&gt;"",IF(B292="",NOW(),B292),"")</f>
        <v/>
      </c>
      <c r="C292" s="216" t="str">
        <f ca="1">IF(Tabel152[[#This Row],[Score]]&lt;&gt;"",IF(C292="",NOW(),C292),"")</f>
        <v/>
      </c>
      <c r="D292" s="217" t="str">
        <f ca="1">IF(OR(Tabel152[[#This Row],[Starttijd]]="",Tabel152[[#This Row],[Eindtijd]]=""),"",Tabel152[[#This Row],[Eindtijd]]-Tabel152[[#This Row],[Starttijd]])</f>
        <v/>
      </c>
      <c r="E292" s="74">
        <v>291</v>
      </c>
      <c r="F292" s="205"/>
      <c r="G292" s="210"/>
      <c r="H292" s="205"/>
      <c r="I292" s="210"/>
      <c r="J292" s="206"/>
      <c r="K292" s="212"/>
      <c r="L292" s="206"/>
      <c r="M292" s="212"/>
      <c r="N292" s="79">
        <f>Tabel152[[#This Row],[Score]]+Tabel152[[#This Row],[Score2]]</f>
        <v>0</v>
      </c>
      <c r="O292" s="80">
        <f>Tabel152[[#This Row],[Score3]]+Tabel152[[#This Row],[Score4]]</f>
        <v>0</v>
      </c>
      <c r="P29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Row],[Score4]]&lt;&gt;""),IF(AND(N292&gt;O292,N292&gt;=11),"ROOD",IF(AND(O292&gt;=11,N292&lt;&gt;O292),"GROEN","")),"")</f>
        <v/>
      </c>
      <c r="Q292" s="84">
        <f t="shared" si="22"/>
        <v>0</v>
      </c>
      <c r="R292" s="85">
        <f t="shared" si="23"/>
        <v>0</v>
      </c>
      <c r="S292" s="293" t="str">
        <f>Tabel152[[#This Row],[Rood Verdediging]]&amp;Tabel152[[#This Row],[Rood Aanval]]</f>
        <v/>
      </c>
      <c r="T292" s="293" t="str">
        <f>Tabel152[[#This Row],[Groen Verdediging]]&amp;Tabel152[[#This Row],[Groen Aanval]]</f>
        <v/>
      </c>
      <c r="U292" s="293" t="str">
        <f>Tabel152[[#This Row],[Winnaar 1]]&amp;Tabel152[[#This Row],[Winnaar 2]]</f>
        <v>00</v>
      </c>
      <c r="V292" s="147" t="b">
        <f>IF(Tabel152[[#This Row],[Team Rood]]=Tabel152[[#This Row],[Winnaars]],Tabel152[[#This Row],[Team Rood]])</f>
        <v>0</v>
      </c>
      <c r="W292" s="147" t="b">
        <f>IF(Tabel152[[#This Row],[Team Groen]]=Tabel152[[#This Row],[Winnaars]],Tabel152[[#This Row],[Team Groen]])</f>
        <v>0</v>
      </c>
      <c r="X292" s="283"/>
      <c r="Y292" s="283"/>
      <c r="Z292" s="283"/>
      <c r="AA292" s="283"/>
    </row>
    <row r="293" spans="1:27" x14ac:dyDescent="0.25">
      <c r="A293" s="215" t="str">
        <f ca="1">IF(Tabel152[[#This Row],[Rood Verdediging]]&lt;&gt;"",IF(A293="",NOW(),A293),"")</f>
        <v/>
      </c>
      <c r="B293" s="218" t="str">
        <f ca="1">IF(Tabel152[[#This Row],[Rood Verdediging]]&lt;&gt;"",IF(B293="",NOW(),B293),"")</f>
        <v/>
      </c>
      <c r="C293" s="216" t="str">
        <f ca="1">IF(Tabel152[[#This Row],[Score]]&lt;&gt;"",IF(C293="",NOW(),C293),"")</f>
        <v/>
      </c>
      <c r="D293" s="217" t="str">
        <f ca="1">IF(OR(Tabel152[[#This Row],[Starttijd]]="",Tabel152[[#This Row],[Eindtijd]]=""),"",Tabel152[[#This Row],[Eindtijd]]-Tabel152[[#This Row],[Starttijd]])</f>
        <v/>
      </c>
      <c r="E293" s="74">
        <v>292</v>
      </c>
      <c r="F293" s="205"/>
      <c r="G293" s="210"/>
      <c r="H293" s="205"/>
      <c r="I293" s="210"/>
      <c r="J293" s="206"/>
      <c r="K293" s="212"/>
      <c r="L293" s="206"/>
      <c r="M293" s="212"/>
      <c r="N293" s="79">
        <f>Tabel152[[#This Row],[Score]]+Tabel152[[#This Row],[Score2]]</f>
        <v>0</v>
      </c>
      <c r="O293" s="80">
        <f>Tabel152[[#This Row],[Score3]]+Tabel152[[#This Row],[Score4]]</f>
        <v>0</v>
      </c>
      <c r="P29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Row],[Score4]]&lt;&gt;""),IF(AND(N293&gt;O293,N293&gt;=11),"ROOD",IF(AND(O293&gt;=11,N293&lt;&gt;O293),"GROEN","")),"")</f>
        <v/>
      </c>
      <c r="Q293" s="84">
        <f t="shared" si="22"/>
        <v>0</v>
      </c>
      <c r="R293" s="85">
        <f t="shared" si="23"/>
        <v>0</v>
      </c>
      <c r="S293" s="293" t="str">
        <f>Tabel152[[#This Row],[Rood Verdediging]]&amp;Tabel152[[#This Row],[Rood Aanval]]</f>
        <v/>
      </c>
      <c r="T293" s="293" t="str">
        <f>Tabel152[[#This Row],[Groen Verdediging]]&amp;Tabel152[[#This Row],[Groen Aanval]]</f>
        <v/>
      </c>
      <c r="U293" s="293" t="str">
        <f>Tabel152[[#This Row],[Winnaar 1]]&amp;Tabel152[[#This Row],[Winnaar 2]]</f>
        <v>00</v>
      </c>
      <c r="V293" s="147" t="b">
        <f>IF(Tabel152[[#This Row],[Team Rood]]=Tabel152[[#This Row],[Winnaars]],Tabel152[[#This Row],[Team Rood]])</f>
        <v>0</v>
      </c>
      <c r="W293" s="147" t="b">
        <f>IF(Tabel152[[#This Row],[Team Groen]]=Tabel152[[#This Row],[Winnaars]],Tabel152[[#This Row],[Team Groen]])</f>
        <v>0</v>
      </c>
      <c r="X293" s="283"/>
      <c r="Y293" s="283"/>
      <c r="Z293" s="283"/>
      <c r="AA293" s="283"/>
    </row>
    <row r="294" spans="1:27" x14ac:dyDescent="0.25">
      <c r="A294" s="215" t="str">
        <f ca="1">IF(Tabel152[[#This Row],[Rood Verdediging]]&lt;&gt;"",IF(A294="",NOW(),A294),"")</f>
        <v/>
      </c>
      <c r="B294" s="218" t="str">
        <f ca="1">IF(Tabel152[[#This Row],[Rood Verdediging]]&lt;&gt;"",IF(B294="",NOW(),B294),"")</f>
        <v/>
      </c>
      <c r="C294" s="216" t="str">
        <f ca="1">IF(Tabel152[[#This Row],[Score]]&lt;&gt;"",IF(C294="",NOW(),C294),"")</f>
        <v/>
      </c>
      <c r="D294" s="217" t="str">
        <f ca="1">IF(OR(Tabel152[[#This Row],[Starttijd]]="",Tabel152[[#This Row],[Eindtijd]]=""),"",Tabel152[[#This Row],[Eindtijd]]-Tabel152[[#This Row],[Starttijd]])</f>
        <v/>
      </c>
      <c r="E294" s="74">
        <v>293</v>
      </c>
      <c r="F294" s="205"/>
      <c r="G294" s="210"/>
      <c r="H294" s="205"/>
      <c r="I294" s="210"/>
      <c r="J294" s="206"/>
      <c r="K294" s="212"/>
      <c r="L294" s="206"/>
      <c r="M294" s="212"/>
      <c r="N294" s="79">
        <f>Tabel152[[#This Row],[Score]]+Tabel152[[#This Row],[Score2]]</f>
        <v>0</v>
      </c>
      <c r="O294" s="80">
        <f>Tabel152[[#This Row],[Score3]]+Tabel152[[#This Row],[Score4]]</f>
        <v>0</v>
      </c>
      <c r="P29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Row],[Score4]]&lt;&gt;""),IF(AND(N294&gt;O294,N294&gt;=11),"ROOD",IF(AND(O294&gt;=11,N294&lt;&gt;O294),"GROEN","")),"")</f>
        <v/>
      </c>
      <c r="Q294" s="84">
        <f t="shared" si="22"/>
        <v>0</v>
      </c>
      <c r="R294" s="85">
        <f t="shared" si="23"/>
        <v>0</v>
      </c>
      <c r="S294" s="293" t="str">
        <f>Tabel152[[#This Row],[Rood Verdediging]]&amp;Tabel152[[#This Row],[Rood Aanval]]</f>
        <v/>
      </c>
      <c r="T294" s="293" t="str">
        <f>Tabel152[[#This Row],[Groen Verdediging]]&amp;Tabel152[[#This Row],[Groen Aanval]]</f>
        <v/>
      </c>
      <c r="U294" s="293" t="str">
        <f>Tabel152[[#This Row],[Winnaar 1]]&amp;Tabel152[[#This Row],[Winnaar 2]]</f>
        <v>00</v>
      </c>
      <c r="V294" s="147" t="b">
        <f>IF(Tabel152[[#This Row],[Team Rood]]=Tabel152[[#This Row],[Winnaars]],Tabel152[[#This Row],[Team Rood]])</f>
        <v>0</v>
      </c>
      <c r="W294" s="147" t="b">
        <f>IF(Tabel152[[#This Row],[Team Groen]]=Tabel152[[#This Row],[Winnaars]],Tabel152[[#This Row],[Team Groen]])</f>
        <v>0</v>
      </c>
      <c r="X294" s="283"/>
      <c r="Y294" s="283"/>
      <c r="Z294" s="283"/>
      <c r="AA294" s="283"/>
    </row>
    <row r="295" spans="1:27" x14ac:dyDescent="0.25">
      <c r="A295" s="215" t="str">
        <f ca="1">IF(Tabel152[[#This Row],[Rood Verdediging]]&lt;&gt;"",IF(A295="",NOW(),A295),"")</f>
        <v/>
      </c>
      <c r="B295" s="218" t="str">
        <f ca="1">IF(Tabel152[[#This Row],[Rood Verdediging]]&lt;&gt;"",IF(B295="",NOW(),B295),"")</f>
        <v/>
      </c>
      <c r="C295" s="216" t="str">
        <f ca="1">IF(Tabel152[[#This Row],[Score]]&lt;&gt;"",IF(C295="",NOW(),C295),"")</f>
        <v/>
      </c>
      <c r="D295" s="217" t="str">
        <f ca="1">IF(OR(Tabel152[[#This Row],[Starttijd]]="",Tabel152[[#This Row],[Eindtijd]]=""),"",Tabel152[[#This Row],[Eindtijd]]-Tabel152[[#This Row],[Starttijd]])</f>
        <v/>
      </c>
      <c r="E295" s="74">
        <v>294</v>
      </c>
      <c r="F295" s="205"/>
      <c r="G295" s="210"/>
      <c r="H295" s="205"/>
      <c r="I295" s="210"/>
      <c r="J295" s="206"/>
      <c r="K295" s="212"/>
      <c r="L295" s="206"/>
      <c r="M295" s="212"/>
      <c r="N295" s="79">
        <f>Tabel152[[#This Row],[Score]]+Tabel152[[#This Row],[Score2]]</f>
        <v>0</v>
      </c>
      <c r="O295" s="80">
        <f>Tabel152[[#This Row],[Score3]]+Tabel152[[#This Row],[Score4]]</f>
        <v>0</v>
      </c>
      <c r="P29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Row],[Score4]]&lt;&gt;""),IF(AND(N295&gt;O295,N295&gt;=11),"ROOD",IF(AND(O295&gt;=11,N295&lt;&gt;O295),"GROEN","")),"")</f>
        <v/>
      </c>
      <c r="Q295" s="84">
        <f t="shared" si="22"/>
        <v>0</v>
      </c>
      <c r="R295" s="85">
        <f t="shared" si="23"/>
        <v>0</v>
      </c>
      <c r="S295" s="293" t="str">
        <f>Tabel152[[#This Row],[Rood Verdediging]]&amp;Tabel152[[#This Row],[Rood Aanval]]</f>
        <v/>
      </c>
      <c r="T295" s="293" t="str">
        <f>Tabel152[[#This Row],[Groen Verdediging]]&amp;Tabel152[[#This Row],[Groen Aanval]]</f>
        <v/>
      </c>
      <c r="U295" s="293" t="str">
        <f>Tabel152[[#This Row],[Winnaar 1]]&amp;Tabel152[[#This Row],[Winnaar 2]]</f>
        <v>00</v>
      </c>
      <c r="V295" s="147" t="b">
        <f>IF(Tabel152[[#This Row],[Team Rood]]=Tabel152[[#This Row],[Winnaars]],Tabel152[[#This Row],[Team Rood]])</f>
        <v>0</v>
      </c>
      <c r="W295" s="147" t="b">
        <f>IF(Tabel152[[#This Row],[Team Groen]]=Tabel152[[#This Row],[Winnaars]],Tabel152[[#This Row],[Team Groen]])</f>
        <v>0</v>
      </c>
      <c r="X295" s="283"/>
      <c r="Y295" s="283"/>
      <c r="Z295" s="283"/>
      <c r="AA295" s="283"/>
    </row>
    <row r="296" spans="1:27" x14ac:dyDescent="0.25">
      <c r="A296" s="215" t="str">
        <f ca="1">IF(Tabel152[[#This Row],[Rood Verdediging]]&lt;&gt;"",IF(A296="",NOW(),A296),"")</f>
        <v/>
      </c>
      <c r="B296" s="218" t="str">
        <f ca="1">IF(Tabel152[[#This Row],[Rood Verdediging]]&lt;&gt;"",IF(B296="",NOW(),B296),"")</f>
        <v/>
      </c>
      <c r="C296" s="216" t="str">
        <f ca="1">IF(Tabel152[[#This Row],[Score]]&lt;&gt;"",IF(C296="",NOW(),C296),"")</f>
        <v/>
      </c>
      <c r="D296" s="217" t="str">
        <f ca="1">IF(OR(Tabel152[[#This Row],[Starttijd]]="",Tabel152[[#This Row],[Eindtijd]]=""),"",Tabel152[[#This Row],[Eindtijd]]-Tabel152[[#This Row],[Starttijd]])</f>
        <v/>
      </c>
      <c r="E296" s="74">
        <v>295</v>
      </c>
      <c r="F296" s="205"/>
      <c r="G296" s="210"/>
      <c r="H296" s="205"/>
      <c r="I296" s="210"/>
      <c r="J296" s="206"/>
      <c r="K296" s="212"/>
      <c r="L296" s="206"/>
      <c r="M296" s="212"/>
      <c r="N296" s="79">
        <f>Tabel152[[#This Row],[Score]]+Tabel152[[#This Row],[Score2]]</f>
        <v>0</v>
      </c>
      <c r="O296" s="80">
        <f>Tabel152[[#This Row],[Score3]]+Tabel152[[#This Row],[Score4]]</f>
        <v>0</v>
      </c>
      <c r="P296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Row],[Score4]]&lt;&gt;""),IF(AND(N296&gt;O296,N296&gt;=11),"ROOD",IF(AND(O296&gt;=11,N296&lt;&gt;O296),"GROEN","")),"")</f>
        <v/>
      </c>
      <c r="Q296" s="84">
        <f t="shared" si="22"/>
        <v>0</v>
      </c>
      <c r="R296" s="85">
        <f t="shared" si="23"/>
        <v>0</v>
      </c>
      <c r="S296" s="293" t="str">
        <f>Tabel152[[#This Row],[Rood Verdediging]]&amp;Tabel152[[#This Row],[Rood Aanval]]</f>
        <v/>
      </c>
      <c r="T296" s="293" t="str">
        <f>Tabel152[[#This Row],[Groen Verdediging]]&amp;Tabel152[[#This Row],[Groen Aanval]]</f>
        <v/>
      </c>
      <c r="U296" s="293" t="str">
        <f>Tabel152[[#This Row],[Winnaar 1]]&amp;Tabel152[[#This Row],[Winnaar 2]]</f>
        <v>00</v>
      </c>
      <c r="V296" s="147" t="b">
        <f>IF(Tabel152[[#This Row],[Team Rood]]=Tabel152[[#This Row],[Winnaars]],Tabel152[[#This Row],[Team Rood]])</f>
        <v>0</v>
      </c>
      <c r="W296" s="147" t="b">
        <f>IF(Tabel152[[#This Row],[Team Groen]]=Tabel152[[#This Row],[Winnaars]],Tabel152[[#This Row],[Team Groen]])</f>
        <v>0</v>
      </c>
      <c r="X296" s="283"/>
      <c r="Y296" s="283"/>
      <c r="Z296" s="283"/>
      <c r="AA296" s="283"/>
    </row>
    <row r="297" spans="1:27" x14ac:dyDescent="0.25">
      <c r="A297" s="215" t="str">
        <f ca="1">IF(Tabel152[[#This Row],[Rood Verdediging]]&lt;&gt;"",IF(A297="",NOW(),A297),"")</f>
        <v/>
      </c>
      <c r="B297" s="218" t="str">
        <f ca="1">IF(Tabel152[[#This Row],[Rood Verdediging]]&lt;&gt;"",IF(B297="",NOW(),B297),"")</f>
        <v/>
      </c>
      <c r="C297" s="216" t="str">
        <f ca="1">IF(Tabel152[[#This Row],[Score]]&lt;&gt;"",IF(C297="",NOW(),C297),"")</f>
        <v/>
      </c>
      <c r="D297" s="217" t="str">
        <f ca="1">IF(OR(Tabel152[[#This Row],[Starttijd]]="",Tabel152[[#This Row],[Eindtijd]]=""),"",Tabel152[[#This Row],[Eindtijd]]-Tabel152[[#This Row],[Starttijd]])</f>
        <v/>
      </c>
      <c r="E297" s="74">
        <v>296</v>
      </c>
      <c r="F297" s="205"/>
      <c r="G297" s="210"/>
      <c r="H297" s="205"/>
      <c r="I297" s="210"/>
      <c r="J297" s="206"/>
      <c r="K297" s="212"/>
      <c r="L297" s="206"/>
      <c r="M297" s="212"/>
      <c r="N297" s="79">
        <f>Tabel152[[#This Row],[Score]]+Tabel152[[#This Row],[Score2]]</f>
        <v>0</v>
      </c>
      <c r="O297" s="80">
        <f>Tabel152[[#This Row],[Score3]]+Tabel152[[#This Row],[Score4]]</f>
        <v>0</v>
      </c>
      <c r="P297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Row],[Score4]]&lt;&gt;""),IF(AND(N297&gt;O297,N297&gt;=11),"ROOD",IF(AND(O297&gt;=11,N297&lt;&gt;O297),"GROEN","")),"")</f>
        <v/>
      </c>
      <c r="Q297" s="84">
        <f t="shared" si="22"/>
        <v>0</v>
      </c>
      <c r="R297" s="85">
        <f t="shared" si="23"/>
        <v>0</v>
      </c>
      <c r="S297" s="293" t="str">
        <f>Tabel152[[#This Row],[Rood Verdediging]]&amp;Tabel152[[#This Row],[Rood Aanval]]</f>
        <v/>
      </c>
      <c r="T297" s="293" t="str">
        <f>Tabel152[[#This Row],[Groen Verdediging]]&amp;Tabel152[[#This Row],[Groen Aanval]]</f>
        <v/>
      </c>
      <c r="U297" s="293" t="str">
        <f>Tabel152[[#This Row],[Winnaar 1]]&amp;Tabel152[[#This Row],[Winnaar 2]]</f>
        <v>00</v>
      </c>
      <c r="V297" s="147" t="b">
        <f>IF(Tabel152[[#This Row],[Team Rood]]=Tabel152[[#This Row],[Winnaars]],Tabel152[[#This Row],[Team Rood]])</f>
        <v>0</v>
      </c>
      <c r="W297" s="147" t="b">
        <f>IF(Tabel152[[#This Row],[Team Groen]]=Tabel152[[#This Row],[Winnaars]],Tabel152[[#This Row],[Team Groen]])</f>
        <v>0</v>
      </c>
      <c r="X297" s="283"/>
      <c r="Y297" s="283"/>
      <c r="Z297" s="283"/>
      <c r="AA297" s="283"/>
    </row>
    <row r="298" spans="1:27" x14ac:dyDescent="0.25">
      <c r="A298" s="215" t="str">
        <f ca="1">IF(Tabel152[[#This Row],[Rood Verdediging]]&lt;&gt;"",IF(A298="",NOW(),A298),"")</f>
        <v/>
      </c>
      <c r="B298" s="218" t="str">
        <f ca="1">IF(Tabel152[[#This Row],[Rood Verdediging]]&lt;&gt;"",IF(B298="",NOW(),B298),"")</f>
        <v/>
      </c>
      <c r="C298" s="216" t="str">
        <f ca="1">IF(Tabel152[[#This Row],[Score]]&lt;&gt;"",IF(C298="",NOW(),C298),"")</f>
        <v/>
      </c>
      <c r="D298" s="217" t="str">
        <f ca="1">IF(OR(Tabel152[[#This Row],[Starttijd]]="",Tabel152[[#This Row],[Eindtijd]]=""),"",Tabel152[[#This Row],[Eindtijd]]-Tabel152[[#This Row],[Starttijd]])</f>
        <v/>
      </c>
      <c r="E298" s="74">
        <v>297</v>
      </c>
      <c r="F298" s="205"/>
      <c r="G298" s="210"/>
      <c r="H298" s="205"/>
      <c r="I298" s="210"/>
      <c r="J298" s="206"/>
      <c r="K298" s="212"/>
      <c r="L298" s="206"/>
      <c r="M298" s="212"/>
      <c r="N298" s="79">
        <f>Tabel152[[#This Row],[Score]]+Tabel152[[#This Row],[Score2]]</f>
        <v>0</v>
      </c>
      <c r="O298" s="80">
        <f>Tabel152[[#This Row],[Score3]]+Tabel152[[#This Row],[Score4]]</f>
        <v>0</v>
      </c>
      <c r="P298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Row],[Score4]]&lt;&gt;""),IF(AND(N298&gt;O298,N298&gt;=11),"ROOD",IF(AND(O298&gt;=11,N298&lt;&gt;O298),"GROEN","")),"")</f>
        <v/>
      </c>
      <c r="Q298" s="84">
        <f t="shared" si="22"/>
        <v>0</v>
      </c>
      <c r="R298" s="85">
        <f t="shared" si="23"/>
        <v>0</v>
      </c>
      <c r="S298" s="293" t="str">
        <f>Tabel152[[#This Row],[Rood Verdediging]]&amp;Tabel152[[#This Row],[Rood Aanval]]</f>
        <v/>
      </c>
      <c r="T298" s="293" t="str">
        <f>Tabel152[[#This Row],[Groen Verdediging]]&amp;Tabel152[[#This Row],[Groen Aanval]]</f>
        <v/>
      </c>
      <c r="U298" s="293" t="str">
        <f>Tabel152[[#This Row],[Winnaar 1]]&amp;Tabel152[[#This Row],[Winnaar 2]]</f>
        <v>00</v>
      </c>
      <c r="V298" s="147" t="b">
        <f>IF(Tabel152[[#This Row],[Team Rood]]=Tabel152[[#This Row],[Winnaars]],Tabel152[[#This Row],[Team Rood]])</f>
        <v>0</v>
      </c>
      <c r="W298" s="147" t="b">
        <f>IF(Tabel152[[#This Row],[Team Groen]]=Tabel152[[#This Row],[Winnaars]],Tabel152[[#This Row],[Team Groen]])</f>
        <v>0</v>
      </c>
      <c r="X298" s="283"/>
      <c r="Y298" s="283"/>
      <c r="Z298" s="283"/>
      <c r="AA298" s="283"/>
    </row>
    <row r="299" spans="1:27" x14ac:dyDescent="0.25">
      <c r="A299" s="215" t="str">
        <f ca="1">IF(Tabel152[[#This Row],[Rood Verdediging]]&lt;&gt;"",IF(A299="",NOW(),A299),"")</f>
        <v/>
      </c>
      <c r="B299" s="218" t="str">
        <f ca="1">IF(Tabel152[[#This Row],[Rood Verdediging]]&lt;&gt;"",IF(B299="",NOW(),B299),"")</f>
        <v/>
      </c>
      <c r="C299" s="216" t="str">
        <f ca="1">IF(Tabel152[[#This Row],[Score]]&lt;&gt;"",IF(C299="",NOW(),C299),"")</f>
        <v/>
      </c>
      <c r="D299" s="217" t="str">
        <f ca="1">IF(OR(Tabel152[[#This Row],[Starttijd]]="",Tabel152[[#This Row],[Eindtijd]]=""),"",Tabel152[[#This Row],[Eindtijd]]-Tabel152[[#This Row],[Starttijd]])</f>
        <v/>
      </c>
      <c r="E299" s="74">
        <v>298</v>
      </c>
      <c r="F299" s="205"/>
      <c r="G299" s="210"/>
      <c r="H299" s="205"/>
      <c r="I299" s="210"/>
      <c r="J299" s="206"/>
      <c r="K299" s="212"/>
      <c r="L299" s="206"/>
      <c r="M299" s="212"/>
      <c r="N299" s="79">
        <f>Tabel152[[#This Row],[Score]]+Tabel152[[#This Row],[Score2]]</f>
        <v>0</v>
      </c>
      <c r="O299" s="80">
        <f>Tabel152[[#This Row],[Score3]]+Tabel152[[#This Row],[Score4]]</f>
        <v>0</v>
      </c>
      <c r="P299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Row],[Score4]]&lt;&gt;""),IF(AND(N299&gt;O299,N299&gt;=11),"ROOD",IF(AND(O299&gt;=11,N299&lt;&gt;O299),"GROEN","")),"")</f>
        <v/>
      </c>
      <c r="Q299" s="84">
        <f t="shared" si="22"/>
        <v>0</v>
      </c>
      <c r="R299" s="85">
        <f t="shared" si="23"/>
        <v>0</v>
      </c>
      <c r="S299" s="293" t="str">
        <f>Tabel152[[#This Row],[Rood Verdediging]]&amp;Tabel152[[#This Row],[Rood Aanval]]</f>
        <v/>
      </c>
      <c r="T299" s="293" t="str">
        <f>Tabel152[[#This Row],[Groen Verdediging]]&amp;Tabel152[[#This Row],[Groen Aanval]]</f>
        <v/>
      </c>
      <c r="U299" s="293" t="str">
        <f>Tabel152[[#This Row],[Winnaar 1]]&amp;Tabel152[[#This Row],[Winnaar 2]]</f>
        <v>00</v>
      </c>
      <c r="V299" s="147" t="b">
        <f>IF(Tabel152[[#This Row],[Team Rood]]=Tabel152[[#This Row],[Winnaars]],Tabel152[[#This Row],[Team Rood]])</f>
        <v>0</v>
      </c>
      <c r="W299" s="147" t="b">
        <f>IF(Tabel152[[#This Row],[Team Groen]]=Tabel152[[#This Row],[Winnaars]],Tabel152[[#This Row],[Team Groen]])</f>
        <v>0</v>
      </c>
      <c r="X299" s="283"/>
      <c r="Y299" s="283"/>
      <c r="Z299" s="283"/>
      <c r="AA299" s="283"/>
    </row>
    <row r="300" spans="1:27" x14ac:dyDescent="0.25">
      <c r="A300" s="215" t="str">
        <f ca="1">IF(Tabel152[[#This Row],[Rood Verdediging]]&lt;&gt;"",IF(A300="",NOW(),A300),"")</f>
        <v/>
      </c>
      <c r="B300" s="218" t="str">
        <f ca="1">IF(Tabel152[[#This Row],[Rood Verdediging]]&lt;&gt;"",IF(B300="",NOW(),B300),"")</f>
        <v/>
      </c>
      <c r="C300" s="216" t="str">
        <f ca="1">IF(Tabel152[[#This Row],[Score]]&lt;&gt;"",IF(C300="",NOW(),C300),"")</f>
        <v/>
      </c>
      <c r="D300" s="217" t="str">
        <f ca="1">IF(OR(Tabel152[[#This Row],[Starttijd]]="",Tabel152[[#This Row],[Eindtijd]]=""),"",Tabel152[[#This Row],[Eindtijd]]-Tabel152[[#This Row],[Starttijd]])</f>
        <v/>
      </c>
      <c r="E300" s="74">
        <v>299</v>
      </c>
      <c r="F300" s="205"/>
      <c r="G300" s="210"/>
      <c r="H300" s="205"/>
      <c r="I300" s="210"/>
      <c r="J300" s="206"/>
      <c r="K300" s="212"/>
      <c r="L300" s="206"/>
      <c r="M300" s="212"/>
      <c r="N300" s="79">
        <f>Tabel152[[#This Row],[Score]]+Tabel152[[#This Row],[Score2]]</f>
        <v>0</v>
      </c>
      <c r="O300" s="80">
        <f>Tabel152[[#This Row],[Score3]]+Tabel152[[#This Row],[Score4]]</f>
        <v>0</v>
      </c>
      <c r="P300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Row],[Score4]]&lt;&gt;""),IF(AND(N300&gt;O300,N300&gt;=11),"ROOD",IF(AND(O300&gt;=11,N300&lt;&gt;O300),"GROEN","")),"")</f>
        <v/>
      </c>
      <c r="Q300" s="84">
        <f t="shared" si="22"/>
        <v>0</v>
      </c>
      <c r="R300" s="85">
        <f t="shared" si="23"/>
        <v>0</v>
      </c>
      <c r="S300" s="293" t="str">
        <f>Tabel152[[#This Row],[Rood Verdediging]]&amp;Tabel152[[#This Row],[Rood Aanval]]</f>
        <v/>
      </c>
      <c r="T300" s="293" t="str">
        <f>Tabel152[[#This Row],[Groen Verdediging]]&amp;Tabel152[[#This Row],[Groen Aanval]]</f>
        <v/>
      </c>
      <c r="U300" s="293" t="str">
        <f>Tabel152[[#This Row],[Winnaar 1]]&amp;Tabel152[[#This Row],[Winnaar 2]]</f>
        <v>00</v>
      </c>
      <c r="V300" s="147" t="b">
        <f>IF(Tabel152[[#This Row],[Team Rood]]=Tabel152[[#This Row],[Winnaars]],Tabel152[[#This Row],[Team Rood]])</f>
        <v>0</v>
      </c>
      <c r="W300" s="147" t="b">
        <f>IF(Tabel152[[#This Row],[Team Groen]]=Tabel152[[#This Row],[Winnaars]],Tabel152[[#This Row],[Team Groen]])</f>
        <v>0</v>
      </c>
      <c r="X300" s="283"/>
      <c r="Y300" s="283"/>
      <c r="Z300" s="283"/>
      <c r="AA300" s="283"/>
    </row>
    <row r="301" spans="1:27" x14ac:dyDescent="0.25">
      <c r="A301" s="215" t="str">
        <f ca="1">IF(Tabel152[[#This Row],[Rood Verdediging]]&lt;&gt;"",IF(A301="",NOW(),A301),"")</f>
        <v/>
      </c>
      <c r="B301" s="218" t="str">
        <f ca="1">IF(Tabel152[[#This Row],[Rood Verdediging]]&lt;&gt;"",IF(B301="",NOW(),B301),"")</f>
        <v/>
      </c>
      <c r="C301" s="216" t="str">
        <f ca="1">IF(Tabel152[[#This Row],[Score]]&lt;&gt;"",IF(C301="",NOW(),C301),"")</f>
        <v/>
      </c>
      <c r="D301" s="217" t="str">
        <f ca="1">IF(OR(Tabel152[[#This Row],[Starttijd]]="",Tabel152[[#This Row],[Eindtijd]]=""),"",Tabel152[[#This Row],[Eindtijd]]-Tabel152[[#This Row],[Starttijd]])</f>
        <v/>
      </c>
      <c r="E301" s="74">
        <v>300</v>
      </c>
      <c r="F301" s="205"/>
      <c r="G301" s="210"/>
      <c r="H301" s="205"/>
      <c r="I301" s="210"/>
      <c r="J301" s="206"/>
      <c r="K301" s="212"/>
      <c r="L301" s="206"/>
      <c r="M301" s="212"/>
      <c r="N301" s="79">
        <f>Tabel152[[#This Row],[Score]]+Tabel152[[#This Row],[Score2]]</f>
        <v>0</v>
      </c>
      <c r="O301" s="80">
        <f>Tabel152[[#This Row],[Score3]]+Tabel152[[#This Row],[Score4]]</f>
        <v>0</v>
      </c>
      <c r="P301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Row],[Score4]]&lt;&gt;""),IF(AND(N301&gt;O301,N301&gt;=11),"ROOD",IF(AND(O301&gt;=11,N301&lt;&gt;O301),"GROEN","")),"")</f>
        <v/>
      </c>
      <c r="Q301" s="84">
        <f t="shared" si="22"/>
        <v>0</v>
      </c>
      <c r="R301" s="85">
        <f t="shared" si="23"/>
        <v>0</v>
      </c>
      <c r="S301" s="293" t="str">
        <f>Tabel152[[#This Row],[Rood Verdediging]]&amp;Tabel152[[#This Row],[Rood Aanval]]</f>
        <v/>
      </c>
      <c r="T301" s="293" t="str">
        <f>Tabel152[[#This Row],[Groen Verdediging]]&amp;Tabel152[[#This Row],[Groen Aanval]]</f>
        <v/>
      </c>
      <c r="U301" s="293" t="str">
        <f>Tabel152[[#This Row],[Winnaar 1]]&amp;Tabel152[[#This Row],[Winnaar 2]]</f>
        <v>00</v>
      </c>
      <c r="V301" s="147" t="b">
        <f>IF(Tabel152[[#This Row],[Team Rood]]=Tabel152[[#This Row],[Winnaars]],Tabel152[[#This Row],[Team Rood]])</f>
        <v>0</v>
      </c>
      <c r="W301" s="147" t="b">
        <f>IF(Tabel152[[#This Row],[Team Groen]]=Tabel152[[#This Row],[Winnaars]],Tabel152[[#This Row],[Team Groen]])</f>
        <v>0</v>
      </c>
      <c r="X301" s="283"/>
      <c r="Y301" s="283"/>
      <c r="Z301" s="283"/>
      <c r="AA301" s="283"/>
    </row>
    <row r="302" spans="1:27" x14ac:dyDescent="0.25">
      <c r="A302" s="215" t="str">
        <f ca="1">IF(Tabel152[[#This Row],[Rood Verdediging]]&lt;&gt;"",IF(A302="",NOW(),A302),"")</f>
        <v/>
      </c>
      <c r="B302" s="218" t="str">
        <f ca="1">IF(Tabel152[[#This Row],[Rood Verdediging]]&lt;&gt;"",IF(B302="",NOW(),B302),"")</f>
        <v/>
      </c>
      <c r="C302" s="216" t="str">
        <f ca="1">IF(Tabel152[[#This Row],[Score]]&lt;&gt;"",IF(C302="",NOW(),C302),"")</f>
        <v/>
      </c>
      <c r="D302" s="217" t="str">
        <f ca="1">IF(OR(Tabel152[[#This Row],[Starttijd]]="",Tabel152[[#This Row],[Eindtijd]]=""),"",Tabel152[[#This Row],[Eindtijd]]-Tabel152[[#This Row],[Starttijd]])</f>
        <v/>
      </c>
      <c r="E302" s="74">
        <v>301</v>
      </c>
      <c r="F302" s="205"/>
      <c r="G302" s="210"/>
      <c r="H302" s="205"/>
      <c r="I302" s="210"/>
      <c r="J302" s="206"/>
      <c r="K302" s="212"/>
      <c r="L302" s="206"/>
      <c r="M302" s="212"/>
      <c r="N302" s="79">
        <f>Tabel152[[#This Row],[Score]]+Tabel152[[#This Row],[Score2]]</f>
        <v>0</v>
      </c>
      <c r="O302" s="80">
        <f>Tabel152[[#This Row],[Score3]]+Tabel152[[#This Row],[Score4]]</f>
        <v>0</v>
      </c>
      <c r="P302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Row],[Score4]]&lt;&gt;""),IF(AND(N302&gt;O302,N302&gt;=11),"ROOD",IF(AND(O302&gt;=11,N302&lt;&gt;O302),"GROEN","")),"")</f>
        <v/>
      </c>
      <c r="Q302" s="84">
        <f t="shared" si="22"/>
        <v>0</v>
      </c>
      <c r="R302" s="85">
        <f t="shared" si="23"/>
        <v>0</v>
      </c>
      <c r="S302" s="293" t="str">
        <f>Tabel152[[#This Row],[Rood Verdediging]]&amp;Tabel152[[#This Row],[Rood Aanval]]</f>
        <v/>
      </c>
      <c r="T302" s="293" t="str">
        <f>Tabel152[[#This Row],[Groen Verdediging]]&amp;Tabel152[[#This Row],[Groen Aanval]]</f>
        <v/>
      </c>
      <c r="U302" s="293" t="str">
        <f>Tabel152[[#This Row],[Winnaar 1]]&amp;Tabel152[[#This Row],[Winnaar 2]]</f>
        <v>00</v>
      </c>
      <c r="V302" s="147" t="b">
        <f>IF(Tabel152[[#This Row],[Team Rood]]=Tabel152[[#This Row],[Winnaars]],Tabel152[[#This Row],[Team Rood]])</f>
        <v>0</v>
      </c>
      <c r="W302" s="147" t="b">
        <f>IF(Tabel152[[#This Row],[Team Groen]]=Tabel152[[#This Row],[Winnaars]],Tabel152[[#This Row],[Team Groen]])</f>
        <v>0</v>
      </c>
      <c r="X302" s="283"/>
      <c r="Y302" s="283"/>
      <c r="Z302" s="283"/>
      <c r="AA302" s="283"/>
    </row>
    <row r="303" spans="1:27" x14ac:dyDescent="0.25">
      <c r="A303" s="215" t="str">
        <f ca="1">IF(Tabel152[[#This Row],[Rood Verdediging]]&lt;&gt;"",IF(A303="",NOW(),A303),"")</f>
        <v/>
      </c>
      <c r="B303" s="218" t="str">
        <f ca="1">IF(Tabel152[[#This Row],[Rood Verdediging]]&lt;&gt;"",IF(B303="",NOW(),B303),"")</f>
        <v/>
      </c>
      <c r="C303" s="216" t="str">
        <f ca="1">IF(Tabel152[[#This Row],[Score]]&lt;&gt;"",IF(C303="",NOW(),C303),"")</f>
        <v/>
      </c>
      <c r="D303" s="217" t="str">
        <f ca="1">IF(OR(Tabel152[[#This Row],[Starttijd]]="",Tabel152[[#This Row],[Eindtijd]]=""),"",Tabel152[[#This Row],[Eindtijd]]-Tabel152[[#This Row],[Starttijd]])</f>
        <v/>
      </c>
      <c r="E303" s="74">
        <v>302</v>
      </c>
      <c r="F303" s="205"/>
      <c r="G303" s="210"/>
      <c r="H303" s="205"/>
      <c r="I303" s="210"/>
      <c r="J303" s="206"/>
      <c r="K303" s="212"/>
      <c r="L303" s="206"/>
      <c r="M303" s="212"/>
      <c r="N303" s="79">
        <f>Tabel152[[#This Row],[Score]]+Tabel152[[#This Row],[Score2]]</f>
        <v>0</v>
      </c>
      <c r="O303" s="80">
        <f>Tabel152[[#This Row],[Score3]]+Tabel152[[#This Row],[Score4]]</f>
        <v>0</v>
      </c>
      <c r="P303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Row],[Score4]]&lt;&gt;""),IF(AND(N303&gt;O303,N303&gt;=11),"ROOD",IF(AND(O303&gt;=11,N303&lt;&gt;O303),"GROEN","")),"")</f>
        <v/>
      </c>
      <c r="Q303" s="84">
        <f t="shared" si="22"/>
        <v>0</v>
      </c>
      <c r="R303" s="85">
        <f t="shared" si="23"/>
        <v>0</v>
      </c>
      <c r="S303" s="293" t="str">
        <f>Tabel152[[#This Row],[Rood Verdediging]]&amp;Tabel152[[#This Row],[Rood Aanval]]</f>
        <v/>
      </c>
      <c r="T303" s="293" t="str">
        <f>Tabel152[[#This Row],[Groen Verdediging]]&amp;Tabel152[[#This Row],[Groen Aanval]]</f>
        <v/>
      </c>
      <c r="U303" s="293" t="str">
        <f>Tabel152[[#This Row],[Winnaar 1]]&amp;Tabel152[[#This Row],[Winnaar 2]]</f>
        <v>00</v>
      </c>
      <c r="V303" s="147" t="b">
        <f>IF(Tabel152[[#This Row],[Team Rood]]=Tabel152[[#This Row],[Winnaars]],Tabel152[[#This Row],[Team Rood]])</f>
        <v>0</v>
      </c>
      <c r="W303" s="147" t="b">
        <f>IF(Tabel152[[#This Row],[Team Groen]]=Tabel152[[#This Row],[Winnaars]],Tabel152[[#This Row],[Team Groen]])</f>
        <v>0</v>
      </c>
      <c r="X303" s="283"/>
      <c r="Y303" s="283"/>
      <c r="Z303" s="283"/>
      <c r="AA303" s="283"/>
    </row>
    <row r="304" spans="1:27" x14ac:dyDescent="0.25">
      <c r="A304" s="215" t="str">
        <f ca="1">IF(Tabel152[[#This Row],[Rood Verdediging]]&lt;&gt;"",IF(A304="",NOW(),A304),"")</f>
        <v/>
      </c>
      <c r="B304" s="218" t="str">
        <f ca="1">IF(Tabel152[[#This Row],[Rood Verdediging]]&lt;&gt;"",IF(B304="",NOW(),B304),"")</f>
        <v/>
      </c>
      <c r="C304" s="216" t="str">
        <f ca="1">IF(Tabel152[[#This Row],[Score]]&lt;&gt;"",IF(C304="",NOW(),C304),"")</f>
        <v/>
      </c>
      <c r="D304" s="217" t="str">
        <f ca="1">IF(OR(Tabel152[[#This Row],[Starttijd]]="",Tabel152[[#This Row],[Eindtijd]]=""),"",Tabel152[[#This Row],[Eindtijd]]-Tabel152[[#This Row],[Starttijd]])</f>
        <v/>
      </c>
      <c r="E304" s="74">
        <v>303</v>
      </c>
      <c r="F304" s="205"/>
      <c r="G304" s="210"/>
      <c r="H304" s="205"/>
      <c r="I304" s="210"/>
      <c r="J304" s="206"/>
      <c r="K304" s="212"/>
      <c r="L304" s="206"/>
      <c r="M304" s="212"/>
      <c r="N304" s="79">
        <f>Tabel152[[#This Row],[Score]]+Tabel152[[#This Row],[Score2]]</f>
        <v>0</v>
      </c>
      <c r="O304" s="80">
        <f>Tabel152[[#This Row],[Score3]]+Tabel152[[#This Row],[Score4]]</f>
        <v>0</v>
      </c>
      <c r="P304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Row],[Score4]]&lt;&gt;""),IF(AND(N304&gt;O304,N304&gt;=11),"ROOD",IF(AND(O304&gt;=11,N304&lt;&gt;O304),"GROEN","")),"")</f>
        <v/>
      </c>
      <c r="Q304" s="84">
        <f t="shared" si="22"/>
        <v>0</v>
      </c>
      <c r="R304" s="85">
        <f t="shared" si="23"/>
        <v>0</v>
      </c>
      <c r="S304" s="293" t="str">
        <f>Tabel152[[#This Row],[Rood Verdediging]]&amp;Tabel152[[#This Row],[Rood Aanval]]</f>
        <v/>
      </c>
      <c r="T304" s="293" t="str">
        <f>Tabel152[[#This Row],[Groen Verdediging]]&amp;Tabel152[[#This Row],[Groen Aanval]]</f>
        <v/>
      </c>
      <c r="U304" s="293" t="str">
        <f>Tabel152[[#This Row],[Winnaar 1]]&amp;Tabel152[[#This Row],[Winnaar 2]]</f>
        <v>00</v>
      </c>
      <c r="V304" s="147" t="b">
        <f>IF(Tabel152[[#This Row],[Team Rood]]=Tabel152[[#This Row],[Winnaars]],Tabel152[[#This Row],[Team Rood]])</f>
        <v>0</v>
      </c>
      <c r="W304" s="147" t="b">
        <f>IF(Tabel152[[#This Row],[Team Groen]]=Tabel152[[#This Row],[Winnaars]],Tabel152[[#This Row],[Team Groen]])</f>
        <v>0</v>
      </c>
      <c r="X304" s="283"/>
      <c r="Y304" s="283"/>
      <c r="Z304" s="283"/>
      <c r="AA304" s="283"/>
    </row>
    <row r="305" spans="1:27" x14ac:dyDescent="0.25">
      <c r="A305" s="215" t="str">
        <f ca="1">IF(Tabel152[[#This Row],[Rood Verdediging]]&lt;&gt;"",IF(A305="",NOW(),A305),"")</f>
        <v/>
      </c>
      <c r="B305" s="218" t="str">
        <f ca="1">IF(Tabel152[[#This Row],[Rood Verdediging]]&lt;&gt;"",IF(B305="",NOW(),B305),"")</f>
        <v/>
      </c>
      <c r="C305" s="216" t="str">
        <f ca="1">IF(Tabel152[[#This Row],[Score]]&lt;&gt;"",IF(C305="",NOW(),C305),"")</f>
        <v/>
      </c>
      <c r="D305" s="217" t="str">
        <f ca="1">IF(OR(Tabel152[[#This Row],[Starttijd]]="",Tabel152[[#This Row],[Eindtijd]]=""),"",Tabel152[[#This Row],[Eindtijd]]-Tabel152[[#This Row],[Starttijd]])</f>
        <v/>
      </c>
      <c r="E305" s="74">
        <v>304</v>
      </c>
      <c r="F305" s="205"/>
      <c r="G305" s="210"/>
      <c r="H305" s="205"/>
      <c r="I305" s="210"/>
      <c r="J305" s="206"/>
      <c r="K305" s="212"/>
      <c r="L305" s="206"/>
      <c r="M305" s="212"/>
      <c r="N305" s="79">
        <f>Tabel152[[#This Row],[Score]]+Tabel152[[#This Row],[Score2]]</f>
        <v>0</v>
      </c>
      <c r="O305" s="80">
        <f>Tabel152[[#This Row],[Score3]]+Tabel152[[#This Row],[Score4]]</f>
        <v>0</v>
      </c>
      <c r="P305" s="71" t="str">
        <f>IF(AND(Tabel152[[#This Row],[Rood Verdediging]]&lt;&gt;"",Tabel152[[#This Row],[Score]]&lt;&gt;"",Tabel152[[#This Row],[Rood Aanval]]&lt;&gt;"",Tabel152[[#This Row],[Score2]]&lt;&gt;"",Tabel152[[#This Row],[Groen Verdediging]]&lt;&gt;"",Tabel152[[#This Row],[Score3]]&lt;&gt;"",Tabel152[[#This Row],[Groen Aanval]]&lt;&gt;"",Tabel152[[#This Row],[Score4]]&lt;&gt;""),IF(AND(N305&gt;O305,N305&gt;=11),"ROOD",IF(AND(O305&gt;=11,N305&lt;&gt;O305),"GROEN","")),"")</f>
        <v/>
      </c>
      <c r="Q305" s="84">
        <f t="shared" si="22"/>
        <v>0</v>
      </c>
      <c r="R305" s="85">
        <f t="shared" si="23"/>
        <v>0</v>
      </c>
      <c r="S305" s="293" t="str">
        <f>Tabel152[[#This Row],[Rood Verdediging]]&amp;Tabel152[[#This Row],[Rood Aanval]]</f>
        <v/>
      </c>
      <c r="T305" s="293" t="str">
        <f>Tabel152[[#This Row],[Groen Verdediging]]&amp;Tabel152[[#This Row],[Groen Aanval]]</f>
        <v/>
      </c>
      <c r="U305" s="293" t="str">
        <f>Tabel152[[#This Row],[Winnaar 1]]&amp;Tabel152[[#This Row],[Winnaar 2]]</f>
        <v>00</v>
      </c>
      <c r="V305" s="147" t="b">
        <f>IF(Tabel152[[#This Row],[Team Rood]]=Tabel152[[#This Row],[Winnaars]],Tabel152[[#This Row],[Team Rood]])</f>
        <v>0</v>
      </c>
      <c r="W305" s="147" t="b">
        <f>IF(Tabel152[[#This Row],[Team Groen]]=Tabel152[[#This Row],[Winnaars]],Tabel152[[#This Row],[Team Groen]])</f>
        <v>0</v>
      </c>
      <c r="X305" s="276"/>
      <c r="Y305" s="276"/>
      <c r="Z305" s="276"/>
      <c r="AA305" s="276"/>
    </row>
  </sheetData>
  <dataConsolidate/>
  <conditionalFormatting sqref="P2:P305">
    <cfRule type="containsText" dxfId="175" priority="6" operator="containsText" text="ROOD">
      <formula>NOT(ISERROR(SEARCH("ROOD",P2)))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74" priority="8" operator="containsText" text="GROEN">
      <formula>NOT(ISERROR(SEARCH("GROEN",P2)))</formula>
    </cfRule>
    <cfRule type="cellIs" dxfId="173" priority="9" operator="equal">
      <formula>"""GROEN"""</formula>
    </cfRule>
  </conditionalFormatting>
  <conditionalFormatting sqref="F120:F305">
    <cfRule type="expression" dxfId="172" priority="10">
      <formula>AND($P119&lt;&gt;"",$F120=0)</formula>
    </cfRule>
  </conditionalFormatting>
  <conditionalFormatting sqref="F3:F47 F50:F119">
    <cfRule type="expression" dxfId="171" priority="3">
      <formula>AND($P2&lt;&gt;"",$F3=0)</formula>
    </cfRule>
  </conditionalFormatting>
  <conditionalFormatting sqref="F49">
    <cfRule type="expression" dxfId="170" priority="2">
      <formula>AND($P48&lt;&gt;"",$F49=0)</formula>
    </cfRule>
  </conditionalFormatting>
  <conditionalFormatting sqref="F48">
    <cfRule type="expression" dxfId="169" priority="1">
      <formula>AND($P47&lt;&gt;"",$F48=0)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F3C8-8D33-49F0-8E8D-51E65BFF0435}">
  <sheetPr codeName="Blad12"/>
  <dimension ref="A1:X14"/>
  <sheetViews>
    <sheetView workbookViewId="0">
      <selection activeCell="Q14" sqref="Q14"/>
    </sheetView>
  </sheetViews>
  <sheetFormatPr defaultColWidth="9.140625" defaultRowHeight="15" x14ac:dyDescent="0.25"/>
  <cols>
    <col min="1" max="1" width="11.5703125" style="293" bestFit="1" customWidth="1"/>
    <col min="2" max="2" width="16.140625" style="293" customWidth="1"/>
    <col min="3" max="3" width="14.85546875" style="293" customWidth="1"/>
    <col min="4" max="4" width="17" style="293" customWidth="1"/>
    <col min="5" max="5" width="14.7109375" style="293" customWidth="1"/>
    <col min="6" max="6" width="11.85546875" style="293" customWidth="1"/>
    <col min="7" max="7" width="9.140625" style="293" customWidth="1"/>
    <col min="8" max="9" width="11" style="293" customWidth="1"/>
    <col min="10" max="10" width="10.5703125" style="293" customWidth="1"/>
    <col min="11" max="11" width="14.42578125" style="293" customWidth="1"/>
    <col min="12" max="12" width="11" style="293" customWidth="1"/>
    <col min="13" max="13" width="13.5703125" style="293" customWidth="1"/>
    <col min="14" max="14" width="13.140625" style="293" customWidth="1"/>
    <col min="15" max="15" width="12.7109375" style="293" customWidth="1"/>
    <col min="16" max="16" width="13.140625" style="293" hidden="1" customWidth="1"/>
    <col min="17" max="17" width="11.28515625" style="293" customWidth="1"/>
    <col min="18" max="18" width="12" style="293" customWidth="1"/>
    <col min="19" max="19" width="7.85546875" style="293" customWidth="1"/>
    <col min="20" max="20" width="13.42578125" style="293" customWidth="1"/>
    <col min="21" max="21" width="10.140625" style="293" customWidth="1"/>
    <col min="22" max="22" width="10.7109375" style="293" customWidth="1"/>
    <col min="23" max="23" width="14.7109375" style="293" customWidth="1"/>
    <col min="24" max="24" width="13.85546875" style="293" customWidth="1"/>
    <col min="25" max="16384" width="9.140625" style="293"/>
  </cols>
  <sheetData>
    <row r="1" spans="1:24" ht="45" customHeight="1" x14ac:dyDescent="0.25">
      <c r="A1" s="384" t="s">
        <v>33</v>
      </c>
      <c r="B1" s="385" t="s">
        <v>34</v>
      </c>
      <c r="C1" s="385" t="s">
        <v>35</v>
      </c>
      <c r="D1" s="386" t="s">
        <v>36</v>
      </c>
      <c r="E1" s="386" t="s">
        <v>37</v>
      </c>
      <c r="F1" s="387" t="s">
        <v>38</v>
      </c>
      <c r="G1" s="387" t="s">
        <v>39</v>
      </c>
      <c r="H1" s="387" t="s">
        <v>40</v>
      </c>
      <c r="I1" s="230" t="s">
        <v>154</v>
      </c>
      <c r="J1" s="230" t="s">
        <v>155</v>
      </c>
      <c r="K1" s="400" t="s">
        <v>152</v>
      </c>
      <c r="L1" s="401" t="s">
        <v>153</v>
      </c>
      <c r="M1" s="402" t="s">
        <v>48</v>
      </c>
      <c r="N1" s="396" t="s">
        <v>79</v>
      </c>
      <c r="O1" s="355" t="s">
        <v>123</v>
      </c>
      <c r="P1" s="356" t="s">
        <v>195</v>
      </c>
      <c r="Q1" s="354" t="s">
        <v>53</v>
      </c>
      <c r="R1" s="354" t="s">
        <v>54</v>
      </c>
      <c r="S1" s="354" t="s">
        <v>196</v>
      </c>
      <c r="T1" s="354" t="s">
        <v>55</v>
      </c>
      <c r="U1" s="354" t="s">
        <v>197</v>
      </c>
      <c r="V1" s="354" t="s">
        <v>64</v>
      </c>
      <c r="W1" s="354" t="s">
        <v>65</v>
      </c>
      <c r="X1" s="354" t="s">
        <v>66</v>
      </c>
    </row>
    <row r="2" spans="1:24" ht="20.100000000000001" customHeight="1" x14ac:dyDescent="0.25">
      <c r="A2" s="352" t="s">
        <v>169</v>
      </c>
      <c r="B2" s="349">
        <f>COUNTIF('Season 4'!$F$2:$F$304,A2)</f>
        <v>6</v>
      </c>
      <c r="C2" s="349">
        <f>COUNTIF('Season 4'!$H$2:$H$304,A2)</f>
        <v>9</v>
      </c>
      <c r="D2" s="349">
        <f>COUNTIF('Season 4'!$J$2:$J$304,A2)</f>
        <v>3</v>
      </c>
      <c r="E2" s="349">
        <f>COUNTIF('Season 4'!$L$2:$L$304,A2)</f>
        <v>6</v>
      </c>
      <c r="F2" s="349">
        <f t="shared" ref="F2:F12" si="0">SUM(B2:E2)</f>
        <v>24</v>
      </c>
      <c r="G2" s="349">
        <f>COUNTIF('Season 4'!$Q$2:$R$304,A2)</f>
        <v>19</v>
      </c>
      <c r="H2" s="349">
        <f t="shared" ref="H2:H12" si="1">F2-G2</f>
        <v>5</v>
      </c>
      <c r="I2" s="397">
        <f>COUNTIF(Tabel152[Winnaar 1],Tabel18[[#This Row],[Player ]])</f>
        <v>7</v>
      </c>
      <c r="J2" s="397">
        <f>COUNTIF(Tabel152[Winnaar 2],Tabel18[[#This Row],[Player ]])</f>
        <v>12</v>
      </c>
      <c r="K2" s="399">
        <f>IF((Tabel18[[#This Row],[Aantal rood verdediger]]+Tabel18[[#This Row],[Aantal groen verdediger]])=0,0,Tabel18[[#This Row],[Wins def]]/(Tabel18[[#This Row],[Aantal rood verdediger]]+Tabel18[[#This Row],[Aantal groen verdediger]]))</f>
        <v>0.77777777777777779</v>
      </c>
      <c r="L2" s="398">
        <f>IF((Tabel18[[#This Row],[Aantal rood aanvaller]]+Tabel18[[#This Row],[Aantal groen aanvaller]])=0,0,(Tabel18[[#This Row],[Wins aanv]]/(Tabel18[[#This Row],[Aantal rood aanvaller]]+Tabel18[[#This Row],[Aantal groen aanvaller]])))</f>
        <v>0.8</v>
      </c>
      <c r="M2" s="392">
        <f t="shared" ref="M2:M12" si="2">IF(F2=0,"",G2/F2)</f>
        <v>0.79166666666666663</v>
      </c>
      <c r="N2" s="388">
        <f>_xlfn.XLOOKUP(A2,Tabel2015[Players],Tabel2015[ELO Tot])</f>
        <v>2738.9970389204641</v>
      </c>
      <c r="O2" s="361" t="str">
        <f>_xlfn.XLOOKUP(N2,Tabel2015[ELO Tot],Tabel2015[Rank])</f>
        <v>Platinum</v>
      </c>
      <c r="P2" s="349" t="str">
        <f t="shared" ref="P2:P9" si="3">A2</f>
        <v>Stef*</v>
      </c>
      <c r="Q2" s="351">
        <f t="shared" ref="Q2:Q12" ca="1" si="4">R2+T2</f>
        <v>171</v>
      </c>
      <c r="R2" s="351">
        <f ca="1">SUMIF('Season 4'!$AB$2:$AF$14,'Player Stats S4'!$A2,'Season 4'!$AC$2:$AC$14)+SUMIF('Season 4'!$AB$2:$AF$14,'Player Stats S4'!$A2,'Season 4'!$AE$2:$AE$14)</f>
        <v>45</v>
      </c>
      <c r="S2" s="350">
        <f t="shared" ref="S2:S12" ca="1" si="5">IF(Q2 = 0, 0, R2/Q2)</f>
        <v>0.26315789473684209</v>
      </c>
      <c r="T2" s="351">
        <f ca="1">SUMIF('Season 4'!$AB$2:$AF$14,'Player Stats S4'!$A2,'Season 4'!$AD$2:$AD$14)+SUMIF('Season 4'!$AB$2:$AF$14,'Player Stats S4'!$A2,'Season 4'!$AF$2:$AF$14)</f>
        <v>126</v>
      </c>
      <c r="U2" s="350">
        <f t="shared" ref="U2:U12" ca="1" si="6">IF(Q2 = 0, 0, T2/Q2)</f>
        <v>0.73684210526315785</v>
      </c>
      <c r="V2" s="351">
        <f t="shared" ref="V2:V12" ca="1" si="7">IF(F2 =0,0,Q2/F2)</f>
        <v>7.125</v>
      </c>
      <c r="W2" s="351">
        <f t="shared" ref="W2:W12" ca="1" si="8">IF(SUM(B2+D2) = 0,0,R2/SUM(B2+D2))</f>
        <v>5</v>
      </c>
      <c r="X2" s="351">
        <f t="shared" ref="X2:X12" ca="1" si="9">IF(SUM(C2,E2) = 0,0,T2/SUM(C2,E2))</f>
        <v>8.4</v>
      </c>
    </row>
    <row r="3" spans="1:24" ht="20.100000000000001" customHeight="1" x14ac:dyDescent="0.25">
      <c r="A3" s="352" t="s">
        <v>160</v>
      </c>
      <c r="B3" s="349">
        <f>COUNTIF('Season 4'!$F$2:$F$304,A3)</f>
        <v>2</v>
      </c>
      <c r="C3" s="349">
        <f>COUNTIF('Season 4'!$H$2:$H$304,A3)</f>
        <v>3</v>
      </c>
      <c r="D3" s="349">
        <f>COUNTIF('Season 4'!$J$2:$J$304,A3)</f>
        <v>7</v>
      </c>
      <c r="E3" s="349">
        <f>COUNTIF('Season 4'!$L$2:$L$304,A3)</f>
        <v>4</v>
      </c>
      <c r="F3" s="349">
        <f t="shared" si="0"/>
        <v>16</v>
      </c>
      <c r="G3" s="349">
        <f>COUNTIF('Season 4'!$Q$2:$R$304,A3)</f>
        <v>10</v>
      </c>
      <c r="H3" s="349">
        <f t="shared" si="1"/>
        <v>6</v>
      </c>
      <c r="I3" s="397">
        <f>COUNTIF(Tabel152[Winnaar 1],Tabel18[[#This Row],[Player ]])</f>
        <v>6</v>
      </c>
      <c r="J3" s="397">
        <f>COUNTIF(Tabel152[Winnaar 2],Tabel18[[#This Row],[Player ]])</f>
        <v>4</v>
      </c>
      <c r="K3" s="391">
        <f>IF((Tabel18[[#This Row],[Aantal rood verdediger]]+Tabel18[[#This Row],[Aantal groen verdediger]])=0,0,Tabel18[[#This Row],[Wins def]]/(Tabel18[[#This Row],[Aantal rood verdediger]]+Tabel18[[#This Row],[Aantal groen verdediger]]))</f>
        <v>0.66666666666666663</v>
      </c>
      <c r="L3" s="390">
        <f>IF((Tabel18[[#This Row],[Aantal rood aanvaller]]+Tabel18[[#This Row],[Aantal groen aanvaller]])=0,0,(Tabel18[[#This Row],[Wins aanv]]/(Tabel18[[#This Row],[Aantal rood aanvaller]]+Tabel18[[#This Row],[Aantal groen aanvaller]])))</f>
        <v>0.5714285714285714</v>
      </c>
      <c r="M3" s="392">
        <f t="shared" si="2"/>
        <v>0.625</v>
      </c>
      <c r="N3" s="388">
        <f>_xlfn.XLOOKUP(A3,Tabel2015[Players],Tabel2015[ELO Tot])</f>
        <v>2187.9913163854608</v>
      </c>
      <c r="O3" s="363" t="str">
        <f>_xlfn.XLOOKUP(N3,Tabel2015[ELO Tot],Tabel2015[Rank])</f>
        <v>Gold</v>
      </c>
      <c r="P3" s="349" t="str">
        <f t="shared" si="3"/>
        <v>Tiemen*</v>
      </c>
      <c r="Q3" s="351">
        <f t="shared" ca="1" si="4"/>
        <v>102</v>
      </c>
      <c r="R3" s="351">
        <f ca="1">SUMIF('Season 4'!$AB$2:$AF$14,'Player Stats S4'!$A6,'Season 4'!$AC$2:$AC$14)+SUMIF('Season 4'!$AB$2:$AF$14,'Player Stats S4'!$A6,'Season 4'!$AE$2:$AE$14)</f>
        <v>6</v>
      </c>
      <c r="S3" s="350">
        <f t="shared" ca="1" si="5"/>
        <v>5.8823529411764705E-2</v>
      </c>
      <c r="T3" s="351">
        <f ca="1">SUMIF('Season 4'!$AB$2:$AF$14,'Player Stats S4'!$A6,'Season 4'!$AD$2:$AD$14)+SUMIF('Season 4'!$AB$2:$AF$14,'Player Stats S4'!$A6,'Season 4'!$AF$2:$AF$14)</f>
        <v>96</v>
      </c>
      <c r="U3" s="350">
        <f t="shared" ca="1" si="6"/>
        <v>0.94117647058823528</v>
      </c>
      <c r="V3" s="351">
        <f t="shared" ca="1" si="7"/>
        <v>6.375</v>
      </c>
      <c r="W3" s="351">
        <f t="shared" ca="1" si="8"/>
        <v>0.66666666666666663</v>
      </c>
      <c r="X3" s="351">
        <f t="shared" ca="1" si="9"/>
        <v>13.714285714285714</v>
      </c>
    </row>
    <row r="4" spans="1:24" ht="20.100000000000001" customHeight="1" x14ac:dyDescent="0.25">
      <c r="A4" s="352" t="s">
        <v>159</v>
      </c>
      <c r="B4" s="349">
        <f>COUNTIF('Season 4'!$F$2:$F$304,A4)</f>
        <v>6</v>
      </c>
      <c r="C4" s="349">
        <f>COUNTIF('Season 4'!$H$2:$H$304,A4)</f>
        <v>5</v>
      </c>
      <c r="D4" s="349">
        <f>COUNTIF('Season 4'!$J$2:$J$304,A4)</f>
        <v>6</v>
      </c>
      <c r="E4" s="349">
        <f>COUNTIF('Season 4'!$L$2:$L$304,A4)</f>
        <v>8</v>
      </c>
      <c r="F4" s="349">
        <f t="shared" si="0"/>
        <v>25</v>
      </c>
      <c r="G4" s="349">
        <f>COUNTIF('Season 4'!$Q$2:$R$304,A4)</f>
        <v>10</v>
      </c>
      <c r="H4" s="349">
        <f t="shared" si="1"/>
        <v>15</v>
      </c>
      <c r="I4" s="397">
        <f>COUNTIF(Tabel152[Winnaar 1],Tabel18[[#This Row],[Player ]])</f>
        <v>5</v>
      </c>
      <c r="J4" s="397">
        <f>COUNTIF(Tabel152[Winnaar 2],Tabel18[[#This Row],[Player ]])</f>
        <v>5</v>
      </c>
      <c r="K4" s="391">
        <f>IF((Tabel18[[#This Row],[Aantal rood verdediger]]+Tabel18[[#This Row],[Aantal groen verdediger]])=0,0,Tabel18[[#This Row],[Wins def]]/(Tabel18[[#This Row],[Aantal rood verdediger]]+Tabel18[[#This Row],[Aantal groen verdediger]]))</f>
        <v>0.41666666666666669</v>
      </c>
      <c r="L4" s="390">
        <f>IF((Tabel18[[#This Row],[Aantal rood aanvaller]]+Tabel18[[#This Row],[Aantal groen aanvaller]])=0,0,(Tabel18[[#This Row],[Wins aanv]]/(Tabel18[[#This Row],[Aantal rood aanvaller]]+Tabel18[[#This Row],[Aantal groen aanvaller]])))</f>
        <v>0.38461538461538464</v>
      </c>
      <c r="M4" s="392">
        <f t="shared" si="2"/>
        <v>0.4</v>
      </c>
      <c r="N4" s="388">
        <f>_xlfn.XLOOKUP(A4,Tabel2015[Players],Tabel2015[ELO Tot])</f>
        <v>2109.0165446936958</v>
      </c>
      <c r="O4" s="362" t="str">
        <f>_xlfn.XLOOKUP(N4,Tabel2015[ELO Tot],Tabel2015[Rank])</f>
        <v>Gold</v>
      </c>
      <c r="P4" s="349" t="str">
        <f t="shared" si="3"/>
        <v>Jonas*</v>
      </c>
      <c r="Q4" s="351">
        <f t="shared" ca="1" si="4"/>
        <v>87</v>
      </c>
      <c r="R4" s="351">
        <f ca="1">SUMIF('Season 4'!$AB$2:$AF$14,'Player Stats S4'!$A3,'Season 4'!$AC$2:$AC$14)+SUMIF('Season 4'!$AB$2:$AF$14,'Player Stats S4'!$A3,'Season 4'!$AE$2:$AE$14)</f>
        <v>34</v>
      </c>
      <c r="S4" s="350">
        <f t="shared" ca="1" si="5"/>
        <v>0.39080459770114945</v>
      </c>
      <c r="T4" s="351">
        <f ca="1">SUMIF('Season 4'!$AB$2:$AF$14,'Player Stats S4'!$A3,'Season 4'!$AD$2:$AD$14)+SUMIF('Season 4'!$AB$2:$AF$14,'Player Stats S4'!$A3,'Season 4'!$AF$2:$AF$14)</f>
        <v>53</v>
      </c>
      <c r="U4" s="350">
        <f t="shared" ca="1" si="6"/>
        <v>0.60919540229885061</v>
      </c>
      <c r="V4" s="351">
        <f t="shared" ca="1" si="7"/>
        <v>3.48</v>
      </c>
      <c r="W4" s="351">
        <f t="shared" ca="1" si="8"/>
        <v>2.8333333333333335</v>
      </c>
      <c r="X4" s="351">
        <f t="shared" ca="1" si="9"/>
        <v>4.0769230769230766</v>
      </c>
    </row>
    <row r="5" spans="1:24" ht="20.100000000000001" customHeight="1" x14ac:dyDescent="0.25">
      <c r="A5" s="352" t="s">
        <v>164</v>
      </c>
      <c r="B5" s="349">
        <f>COUNTIF('Season 4'!$F$2:$F$304,A5)</f>
        <v>2</v>
      </c>
      <c r="C5" s="349">
        <f>COUNTIF('Season 4'!$H$2:$H$304,A5)</f>
        <v>5</v>
      </c>
      <c r="D5" s="349">
        <f>COUNTIF('Season 4'!$J$2:$J$304,A5)</f>
        <v>4</v>
      </c>
      <c r="E5" s="349">
        <f>COUNTIF('Season 4'!$L$2:$L$304,A5)</f>
        <v>4</v>
      </c>
      <c r="F5" s="349">
        <f t="shared" si="0"/>
        <v>15</v>
      </c>
      <c r="G5" s="349">
        <f>COUNTIF('Season 4'!$Q$2:$R$304,A5)</f>
        <v>8</v>
      </c>
      <c r="H5" s="349">
        <f t="shared" si="1"/>
        <v>7</v>
      </c>
      <c r="I5" s="397">
        <f>COUNTIF(Tabel152[Winnaar 1],Tabel18[[#This Row],[Player ]])</f>
        <v>3</v>
      </c>
      <c r="J5" s="397">
        <f>COUNTIF(Tabel152[Winnaar 2],Tabel18[[#This Row],[Player ]])</f>
        <v>5</v>
      </c>
      <c r="K5" s="391">
        <f>IF((Tabel18[[#This Row],[Aantal rood verdediger]]+Tabel18[[#This Row],[Aantal groen verdediger]])=0,0,Tabel18[[#This Row],[Wins def]]/(Tabel18[[#This Row],[Aantal rood verdediger]]+Tabel18[[#This Row],[Aantal groen verdediger]]))</f>
        <v>0.5</v>
      </c>
      <c r="L5" s="390">
        <f>IF((Tabel18[[#This Row],[Aantal rood aanvaller]]+Tabel18[[#This Row],[Aantal groen aanvaller]])=0,0,(Tabel18[[#This Row],[Wins aanv]]/(Tabel18[[#This Row],[Aantal rood aanvaller]]+Tabel18[[#This Row],[Aantal groen aanvaller]])))</f>
        <v>0.55555555555555558</v>
      </c>
      <c r="M5" s="392">
        <f t="shared" si="2"/>
        <v>0.53333333333333333</v>
      </c>
      <c r="N5" s="388">
        <f>_xlfn.XLOOKUP(A5,Tabel2015[Players],Tabel2015[ELO Tot])</f>
        <v>2052.0728785048659</v>
      </c>
      <c r="O5" s="363" t="str">
        <f>_xlfn.XLOOKUP(N5,Tabel2015[ELO Tot],Tabel2015[Rank])</f>
        <v>Gold</v>
      </c>
      <c r="P5" s="349" t="str">
        <f t="shared" si="3"/>
        <v>Karel*</v>
      </c>
      <c r="Q5" s="351">
        <f t="shared" ca="1" si="4"/>
        <v>105</v>
      </c>
      <c r="R5" s="351">
        <f ca="1">SUMIF('Season 4'!$AB$2:$AF$14,'Player Stats S4'!$A4,'Season 4'!$AC$2:$AC$14)+SUMIF('Season 4'!$AB$2:$AF$14,'Player Stats S4'!$A4,'Season 4'!$AE$2:$AE$14)</f>
        <v>30</v>
      </c>
      <c r="S5" s="350">
        <f t="shared" ca="1" si="5"/>
        <v>0.2857142857142857</v>
      </c>
      <c r="T5" s="351">
        <f ca="1">SUMIF('Season 4'!$AB$2:$AF$14,'Player Stats S4'!$A4,'Season 4'!$AD$2:$AD$14)+SUMIF('Season 4'!$AB$2:$AF$14,'Player Stats S4'!$A4,'Season 4'!$AF$2:$AF$14)</f>
        <v>75</v>
      </c>
      <c r="U5" s="350">
        <f t="shared" ca="1" si="6"/>
        <v>0.7142857142857143</v>
      </c>
      <c r="V5" s="351">
        <f t="shared" ca="1" si="7"/>
        <v>7</v>
      </c>
      <c r="W5" s="351">
        <f t="shared" ca="1" si="8"/>
        <v>5</v>
      </c>
      <c r="X5" s="351">
        <f t="shared" ca="1" si="9"/>
        <v>8.3333333333333339</v>
      </c>
    </row>
    <row r="6" spans="1:24" ht="20.100000000000001" customHeight="1" x14ac:dyDescent="0.25">
      <c r="A6" s="352" t="s">
        <v>163</v>
      </c>
      <c r="B6" s="349">
        <f>COUNTIF('Season 4'!$F$2:$F$304,A6)</f>
        <v>0</v>
      </c>
      <c r="C6" s="349">
        <f>COUNTIF('Season 4'!$H$2:$H$304,A6)</f>
        <v>7</v>
      </c>
      <c r="D6" s="349">
        <f>COUNTIF('Season 4'!$J$2:$J$304,A6)</f>
        <v>2</v>
      </c>
      <c r="E6" s="349">
        <f>COUNTIF('Season 4'!$L$2:$L$304,A6)</f>
        <v>8</v>
      </c>
      <c r="F6" s="349">
        <f t="shared" si="0"/>
        <v>17</v>
      </c>
      <c r="G6" s="349">
        <f>COUNTIF('Season 4'!$Q$2:$R$304,A6)</f>
        <v>7</v>
      </c>
      <c r="H6" s="349">
        <f t="shared" si="1"/>
        <v>10</v>
      </c>
      <c r="I6" s="397">
        <f>COUNTIF(Tabel152[Winnaar 1],Tabel18[[#This Row],[Player ]])</f>
        <v>0</v>
      </c>
      <c r="J6" s="397">
        <f>COUNTIF(Tabel152[Winnaar 2],Tabel18[[#This Row],[Player ]])</f>
        <v>7</v>
      </c>
      <c r="K6" s="391">
        <f>IF((Tabel18[[#This Row],[Aantal rood verdediger]]+Tabel18[[#This Row],[Aantal groen verdediger]])=0,0,Tabel18[[#This Row],[Wins def]]/(Tabel18[[#This Row],[Aantal rood verdediger]]+Tabel18[[#This Row],[Aantal groen verdediger]]))</f>
        <v>0</v>
      </c>
      <c r="L6" s="390">
        <f>IF((Tabel18[[#This Row],[Aantal rood aanvaller]]+Tabel18[[#This Row],[Aantal groen aanvaller]])=0,0,(Tabel18[[#This Row],[Wins aanv]]/(Tabel18[[#This Row],[Aantal rood aanvaller]]+Tabel18[[#This Row],[Aantal groen aanvaller]])))</f>
        <v>0.46666666666666667</v>
      </c>
      <c r="M6" s="392">
        <f t="shared" si="2"/>
        <v>0.41176470588235292</v>
      </c>
      <c r="N6" s="388">
        <f>_xlfn.XLOOKUP(A6,Tabel2015[Players],Tabel2015[ELO Tot])</f>
        <v>1962.7613544396527</v>
      </c>
      <c r="O6" s="362" t="str">
        <f>_xlfn.XLOOKUP(N6,Tabel2015[ELO Tot],Tabel2015[Rank])</f>
        <v>Gold</v>
      </c>
      <c r="P6" s="349" t="str">
        <f t="shared" si="3"/>
        <v>Bert*</v>
      </c>
      <c r="Q6" s="351">
        <f t="shared" ca="1" si="4"/>
        <v>31</v>
      </c>
      <c r="R6" s="351">
        <f ca="1">SUMIF('Season 4'!$AB$2:$AF$14,'Player Stats S4'!$A7,'Season 4'!$AC$2:$AC$14)+SUMIF('Season 4'!$AB$2:$AF$14,'Player Stats S4'!$A7,'Season 4'!$AE$2:$AE$14)</f>
        <v>28</v>
      </c>
      <c r="S6" s="350">
        <f t="shared" ca="1" si="5"/>
        <v>0.90322580645161288</v>
      </c>
      <c r="T6" s="351">
        <f ca="1">SUMIF('Season 4'!$AB$2:$AF$14,'Player Stats S4'!$A7,'Season 4'!$AD$2:$AD$14)+SUMIF('Season 4'!$AB$2:$AF$14,'Player Stats S4'!$A7,'Season 4'!$AF$2:$AF$14)</f>
        <v>3</v>
      </c>
      <c r="U6" s="350">
        <f t="shared" ca="1" si="6"/>
        <v>9.6774193548387094E-2</v>
      </c>
      <c r="V6" s="351">
        <f t="shared" ca="1" si="7"/>
        <v>1.8235294117647058</v>
      </c>
      <c r="W6" s="351">
        <f t="shared" ca="1" si="8"/>
        <v>14</v>
      </c>
      <c r="X6" s="351">
        <f t="shared" ca="1" si="9"/>
        <v>0.2</v>
      </c>
    </row>
    <row r="7" spans="1:24" ht="20.100000000000001" customHeight="1" x14ac:dyDescent="0.25">
      <c r="A7" s="352" t="s">
        <v>161</v>
      </c>
      <c r="B7" s="349">
        <f>COUNTIF('Season 4'!$F$2:$F$304,A7)</f>
        <v>4</v>
      </c>
      <c r="C7" s="349">
        <f>COUNTIF('Season 4'!$H$2:$H$304,A7)</f>
        <v>0</v>
      </c>
      <c r="D7" s="349">
        <f>COUNTIF('Season 4'!$J$2:$J$304,A7)</f>
        <v>4</v>
      </c>
      <c r="E7" s="349">
        <f>COUNTIF('Season 4'!$L$2:$L$304,A7)</f>
        <v>1</v>
      </c>
      <c r="F7" s="349">
        <f t="shared" si="0"/>
        <v>9</v>
      </c>
      <c r="G7" s="349">
        <f>COUNTIF('Season 4'!$Q$2:$R$304,A7)</f>
        <v>5</v>
      </c>
      <c r="H7" s="349">
        <f t="shared" si="1"/>
        <v>4</v>
      </c>
      <c r="I7" s="397">
        <f>COUNTIF(Tabel152[Winnaar 1],Tabel18[[#This Row],[Player ]])</f>
        <v>5</v>
      </c>
      <c r="J7" s="397">
        <f>COUNTIF(Tabel152[Winnaar 2],Tabel18[[#This Row],[Player ]])</f>
        <v>0</v>
      </c>
      <c r="K7" s="391">
        <f>IF((Tabel18[[#This Row],[Aantal rood verdediger]]+Tabel18[[#This Row],[Aantal groen verdediger]])=0,0,Tabel18[[#This Row],[Wins def]]/(Tabel18[[#This Row],[Aantal rood verdediger]]+Tabel18[[#This Row],[Aantal groen verdediger]]))</f>
        <v>0.625</v>
      </c>
      <c r="L7" s="390">
        <f>IF((Tabel18[[#This Row],[Aantal rood aanvaller]]+Tabel18[[#This Row],[Aantal groen aanvaller]])=0,0,(Tabel18[[#This Row],[Wins aanv]]/(Tabel18[[#This Row],[Aantal rood aanvaller]]+Tabel18[[#This Row],[Aantal groen aanvaller]])))</f>
        <v>0</v>
      </c>
      <c r="M7" s="392">
        <f t="shared" si="2"/>
        <v>0.55555555555555558</v>
      </c>
      <c r="N7" s="388">
        <f>_xlfn.XLOOKUP(A7,Tabel2015[Players],Tabel2015[ELO Tot])</f>
        <v>1995.6543796257897</v>
      </c>
      <c r="O7" s="362" t="str">
        <f>_xlfn.XLOOKUP(N7,Tabel2015[ELO Tot],Tabel2015[Rank])</f>
        <v>Gold</v>
      </c>
      <c r="P7" s="349" t="str">
        <f t="shared" si="3"/>
        <v>Louis*</v>
      </c>
      <c r="Q7" s="351">
        <f t="shared" ca="1" si="4"/>
        <v>87</v>
      </c>
      <c r="R7" s="351">
        <f ca="1">SUMIF('Season 4'!$AB$2:$AF$14,'Player Stats S4'!$A5,'Season 4'!$AC$2:$AC$14)+SUMIF('Season 4'!$AB$2:$AF$14,'Player Stats S4'!$A5,'Season 4'!$AE$2:$AE$14)</f>
        <v>18</v>
      </c>
      <c r="S7" s="350">
        <f t="shared" ca="1" si="5"/>
        <v>0.20689655172413793</v>
      </c>
      <c r="T7" s="351">
        <f ca="1">SUMIF('Season 4'!$AB$2:$AF$14,'Player Stats S4'!$A5,'Season 4'!$AD$2:$AD$14)+SUMIF('Season 4'!$AB$2:$AF$14,'Player Stats S4'!$A5,'Season 4'!$AF$2:$AF$14)</f>
        <v>69</v>
      </c>
      <c r="U7" s="350">
        <f t="shared" ca="1" si="6"/>
        <v>0.7931034482758621</v>
      </c>
      <c r="V7" s="351">
        <f t="shared" ca="1" si="7"/>
        <v>9.6666666666666661</v>
      </c>
      <c r="W7" s="351">
        <f t="shared" ca="1" si="8"/>
        <v>2.25</v>
      </c>
      <c r="X7" s="351">
        <f t="shared" ca="1" si="9"/>
        <v>69</v>
      </c>
    </row>
    <row r="8" spans="1:24" ht="20.100000000000001" customHeight="1" x14ac:dyDescent="0.25">
      <c r="A8" s="352" t="s">
        <v>168</v>
      </c>
      <c r="B8" s="349">
        <f>COUNTIF('Season 4'!$F$2:$F$304,A8)</f>
        <v>3</v>
      </c>
      <c r="C8" s="349">
        <f>COUNTIF('Season 4'!$H$2:$H$304,A8)</f>
        <v>1</v>
      </c>
      <c r="D8" s="349">
        <f>COUNTIF('Season 4'!$J$2:$J$304,A8)</f>
        <v>5</v>
      </c>
      <c r="E8" s="349">
        <f>COUNTIF('Season 4'!$L$2:$L$304,A8)</f>
        <v>2</v>
      </c>
      <c r="F8" s="349">
        <f t="shared" si="0"/>
        <v>11</v>
      </c>
      <c r="G8" s="349">
        <f>COUNTIF('Season 4'!$Q$2:$R$304,A8)</f>
        <v>3</v>
      </c>
      <c r="H8" s="349">
        <f t="shared" si="1"/>
        <v>8</v>
      </c>
      <c r="I8" s="397">
        <f>COUNTIF(Tabel152[Winnaar 1],Tabel18[[#This Row],[Player ]])</f>
        <v>3</v>
      </c>
      <c r="J8" s="397">
        <f>COUNTIF(Tabel152[Winnaar 2],Tabel18[[#This Row],[Player ]])</f>
        <v>0</v>
      </c>
      <c r="K8" s="391">
        <f>IF((Tabel18[[#This Row],[Aantal rood verdediger]]+Tabel18[[#This Row],[Aantal groen verdediger]])=0,0,Tabel18[[#This Row],[Wins def]]/(Tabel18[[#This Row],[Aantal rood verdediger]]+Tabel18[[#This Row],[Aantal groen verdediger]]))</f>
        <v>0.375</v>
      </c>
      <c r="L8" s="390">
        <f>IF((Tabel18[[#This Row],[Aantal rood aanvaller]]+Tabel18[[#This Row],[Aantal groen aanvaller]])=0,0,(Tabel18[[#This Row],[Wins aanv]]/(Tabel18[[#This Row],[Aantal rood aanvaller]]+Tabel18[[#This Row],[Aantal groen aanvaller]])))</f>
        <v>0</v>
      </c>
      <c r="M8" s="392">
        <f t="shared" si="2"/>
        <v>0.27272727272727271</v>
      </c>
      <c r="N8" s="388">
        <f>_xlfn.XLOOKUP(A8,Tabel2015[Players],Tabel2015[ELO Tot])</f>
        <v>1901.8743152729508</v>
      </c>
      <c r="O8" s="362" t="str">
        <f>_xlfn.XLOOKUP(N8,Tabel2015[ELO Tot],Tabel2015[Rank])</f>
        <v>Gold</v>
      </c>
      <c r="P8" s="349" t="str">
        <f t="shared" si="3"/>
        <v>Coghe*</v>
      </c>
      <c r="Q8" s="351">
        <f t="shared" ca="1" si="4"/>
        <v>7</v>
      </c>
      <c r="R8" s="351">
        <f ca="1">SUMIF('Season 4'!$AB$2:$AF$14,'Player Stats S4'!$A11,'Season 4'!$AC$2:$AC$14)+SUMIF('Season 4'!$AB$2:$AF$14,'Player Stats S4'!$A11,'Season 4'!$AE$2:$AE$14)</f>
        <v>5</v>
      </c>
      <c r="S8" s="350">
        <f t="shared" ca="1" si="5"/>
        <v>0.7142857142857143</v>
      </c>
      <c r="T8" s="351">
        <f ca="1">SUMIF('Season 4'!$AB$2:$AF$14,'Player Stats S4'!$A11,'Season 4'!$AD$2:$AD$14)+SUMIF('Season 4'!$AB$2:$AF$14,'Player Stats S4'!$A11,'Season 4'!$AF$2:$AF$14)</f>
        <v>2</v>
      </c>
      <c r="U8" s="350">
        <f t="shared" ca="1" si="6"/>
        <v>0.2857142857142857</v>
      </c>
      <c r="V8" s="351">
        <f t="shared" ca="1" si="7"/>
        <v>0.63636363636363635</v>
      </c>
      <c r="W8" s="351">
        <f t="shared" ca="1" si="8"/>
        <v>0.625</v>
      </c>
      <c r="X8" s="351">
        <f t="shared" ca="1" si="9"/>
        <v>0.66666666666666663</v>
      </c>
    </row>
    <row r="9" spans="1:24" ht="20.100000000000001" hidden="1" customHeight="1" x14ac:dyDescent="0.25">
      <c r="A9" s="352" t="s">
        <v>158</v>
      </c>
      <c r="B9" s="349">
        <f>COUNTIF('Season 4'!$F$2:$F$304,A9)</f>
        <v>0</v>
      </c>
      <c r="C9" s="349">
        <f>COUNTIF('Season 4'!$H$2:$H$304,A9)</f>
        <v>0</v>
      </c>
      <c r="D9" s="349">
        <f>COUNTIF('Season 4'!$J$2:$J$304,A9)</f>
        <v>0</v>
      </c>
      <c r="E9" s="349">
        <f>COUNTIF('Season 4'!$L$2:$L$304,A9)</f>
        <v>0</v>
      </c>
      <c r="F9" s="349">
        <f t="shared" si="0"/>
        <v>0</v>
      </c>
      <c r="G9" s="349">
        <f>COUNTIF('Season 4'!$Q$2:$R$304,A9)</f>
        <v>0</v>
      </c>
      <c r="H9" s="349">
        <f t="shared" si="1"/>
        <v>0</v>
      </c>
      <c r="I9" s="397">
        <f>COUNTIF(Tabel152[Winnaar 1],Tabel18[[#This Row],[Player ]])</f>
        <v>0</v>
      </c>
      <c r="J9" s="397">
        <f>COUNTIF(Tabel152[Winnaar 2],Tabel18[[#This Row],[Player ]])</f>
        <v>0</v>
      </c>
      <c r="K9" s="391">
        <f>IF((Tabel18[[#This Row],[Aantal rood verdediger]]+Tabel18[[#This Row],[Aantal groen verdediger]])=0,0,Tabel18[[#This Row],[Wins def]]/(Tabel18[[#This Row],[Aantal rood verdediger]]+Tabel18[[#This Row],[Aantal groen verdediger]]))</f>
        <v>0</v>
      </c>
      <c r="L9" s="390">
        <f>IF((Tabel18[[#This Row],[Aantal rood aanvaller]]+Tabel18[[#This Row],[Aantal groen aanvaller]])=0,0,(Tabel18[[#This Row],[Wins aanv]]/(Tabel18[[#This Row],[Aantal rood aanvaller]]+Tabel18[[#This Row],[Aantal groen aanvaller]])))</f>
        <v>0</v>
      </c>
      <c r="M9" s="392" t="str">
        <f t="shared" si="2"/>
        <v/>
      </c>
      <c r="N9" s="388">
        <f>_xlfn.XLOOKUP(A9,Tabel2015[Players],Tabel2015[ELO Tot])</f>
        <v>1850</v>
      </c>
      <c r="O9" s="362" t="str">
        <f>_xlfn.XLOOKUP(N9,Tabel2015[ELO Tot],Tabel2015[Rank])</f>
        <v>Gold</v>
      </c>
      <c r="P9" s="349" t="str">
        <f t="shared" si="3"/>
        <v>Arno*</v>
      </c>
      <c r="Q9" s="351">
        <f t="shared" ca="1" si="4"/>
        <v>0</v>
      </c>
      <c r="R9" s="351">
        <f ca="1">SUMIF('Season 4'!$AB$2:$AF$14,'Player Stats S4'!$A9,'Season 4'!$AC$2:$AC$14)+SUMIF('Season 4'!$AB$2:$AF$14,'Player Stats S4'!$A9,'Season 4'!$AE$2:$AE$14)</f>
        <v>0</v>
      </c>
      <c r="S9" s="350">
        <f t="shared" ca="1" si="5"/>
        <v>0</v>
      </c>
      <c r="T9" s="351">
        <f ca="1">SUMIF('Season 4'!$AB$2:$AF$14,'Player Stats S4'!$A9,'Season 4'!$AD$2:$AD$14)+SUMIF('Season 4'!$AB$2:$AF$14,'Player Stats S4'!$A9,'Season 4'!$AF$2:$AF$14)</f>
        <v>0</v>
      </c>
      <c r="U9" s="350">
        <f t="shared" ca="1" si="6"/>
        <v>0</v>
      </c>
      <c r="V9" s="351">
        <f t="shared" si="7"/>
        <v>0</v>
      </c>
      <c r="W9" s="351">
        <f t="shared" si="8"/>
        <v>0</v>
      </c>
      <c r="X9" s="351">
        <f t="shared" si="9"/>
        <v>0</v>
      </c>
    </row>
    <row r="10" spans="1:24" ht="20.100000000000001" hidden="1" customHeight="1" x14ac:dyDescent="0.25">
      <c r="A10" s="352" t="s">
        <v>157</v>
      </c>
      <c r="B10" s="349">
        <f>COUNTIF('Season 4'!$F$2:$F$304,A10)</f>
        <v>0</v>
      </c>
      <c r="C10" s="349">
        <f>COUNTIF('Season 4'!$H$2:$H$304,A10)</f>
        <v>0</v>
      </c>
      <c r="D10" s="349">
        <f>COUNTIF('Season 4'!$J$2:$J$304,A10)</f>
        <v>0</v>
      </c>
      <c r="E10" s="349">
        <f>COUNTIF('Season 4'!$L$2:$L$304,A10)</f>
        <v>0</v>
      </c>
      <c r="F10" s="349">
        <f t="shared" si="0"/>
        <v>0</v>
      </c>
      <c r="G10" s="349">
        <f>COUNTIF('Season 4'!$Q$2:$R$304,A10)</f>
        <v>0</v>
      </c>
      <c r="H10" s="349">
        <f t="shared" si="1"/>
        <v>0</v>
      </c>
      <c r="I10" s="397">
        <f>COUNTIF(Tabel152[Winnaar 1],Tabel18[[#This Row],[Player ]])</f>
        <v>0</v>
      </c>
      <c r="J10" s="397">
        <f>COUNTIF(Tabel152[Winnaar 2],Tabel18[[#This Row],[Player ]])</f>
        <v>0</v>
      </c>
      <c r="K10" s="391">
        <f>IF((Tabel18[[#This Row],[Aantal rood verdediger]]+Tabel18[[#This Row],[Aantal groen verdediger]])=0,0,Tabel18[[#This Row],[Wins def]]/(Tabel18[[#This Row],[Aantal rood verdediger]]+Tabel18[[#This Row],[Aantal groen verdediger]]))</f>
        <v>0</v>
      </c>
      <c r="L10" s="390">
        <f>IF((Tabel18[[#This Row],[Aantal rood aanvaller]]+Tabel18[[#This Row],[Aantal groen aanvaller]])=0,0,(Tabel18[[#This Row],[Wins aanv]]/(Tabel18[[#This Row],[Aantal rood aanvaller]]+Tabel18[[#This Row],[Aantal groen aanvaller]])))</f>
        <v>0</v>
      </c>
      <c r="M10" s="392" t="str">
        <f t="shared" si="2"/>
        <v/>
      </c>
      <c r="N10" s="388">
        <f>_xlfn.XLOOKUP(A10,Tabel2015[Players],Tabel2015[ELO Tot])</f>
        <v>1850</v>
      </c>
      <c r="O10" s="363" t="str">
        <f>_xlfn.XLOOKUP(N10,Tabel2015[ELO Tot],Tabel2015[Rank])</f>
        <v>Gold</v>
      </c>
      <c r="P10" s="349" t="s">
        <v>157</v>
      </c>
      <c r="Q10" s="351">
        <f t="shared" ca="1" si="4"/>
        <v>0</v>
      </c>
      <c r="R10" s="351">
        <f ca="1">SUMIF('Season 4'!$AB$2:$AF$14,'Player Stats S4'!$A10,'Season 4'!$AC$2:$AC$14)+SUMIF('Season 4'!$AB$2:$AF$14,'Player Stats S4'!$A10,'Season 4'!$AE$2:$AE$14)</f>
        <v>0</v>
      </c>
      <c r="S10" s="350">
        <f t="shared" ca="1" si="5"/>
        <v>0</v>
      </c>
      <c r="T10" s="351">
        <f ca="1">SUMIF('Season 4'!$AB$2:$AF$14,'Player Stats S4'!$A10,'Season 4'!$AD$2:$AD$14)+SUMIF('Season 4'!$AB$2:$AF$14,'Player Stats S4'!$A10,'Season 4'!$AF$2:$AF$14)</f>
        <v>0</v>
      </c>
      <c r="U10" s="350">
        <f t="shared" ca="1" si="6"/>
        <v>0</v>
      </c>
      <c r="V10" s="351">
        <f t="shared" si="7"/>
        <v>0</v>
      </c>
      <c r="W10" s="351">
        <f t="shared" si="8"/>
        <v>0</v>
      </c>
      <c r="X10" s="351">
        <f t="shared" si="9"/>
        <v>0</v>
      </c>
    </row>
    <row r="11" spans="1:24" x14ac:dyDescent="0.25">
      <c r="A11" s="352" t="s">
        <v>170</v>
      </c>
      <c r="B11" s="349">
        <f>COUNTIF('Season 4'!$F$2:$F$304,A11)</f>
        <v>2</v>
      </c>
      <c r="C11" s="349">
        <f>COUNTIF('Season 4'!$H$2:$H$304,A11)</f>
        <v>1</v>
      </c>
      <c r="D11" s="349">
        <f>COUNTIF('Season 4'!$J$2:$J$304,A11)</f>
        <v>1</v>
      </c>
      <c r="E11" s="349">
        <f>COUNTIF('Season 4'!$L$2:$L$304,A11)</f>
        <v>0</v>
      </c>
      <c r="F11" s="349">
        <f t="shared" si="0"/>
        <v>4</v>
      </c>
      <c r="G11" s="349">
        <f>COUNTIF('Season 4'!$Q$2:$R$304,A11)</f>
        <v>1</v>
      </c>
      <c r="H11" s="349">
        <f t="shared" si="1"/>
        <v>3</v>
      </c>
      <c r="I11" s="397">
        <f>COUNTIF(Tabel152[Winnaar 1],Tabel18[[#This Row],[Player ]])</f>
        <v>1</v>
      </c>
      <c r="J11" s="397">
        <f>COUNTIF(Tabel152[Winnaar 2],Tabel18[[#This Row],[Player ]])</f>
        <v>0</v>
      </c>
      <c r="K11" s="391">
        <f>IF((Tabel18[[#This Row],[Aantal rood verdediger]]+Tabel18[[#This Row],[Aantal groen verdediger]])=0,0,Tabel18[[#This Row],[Wins def]]/(Tabel18[[#This Row],[Aantal rood verdediger]]+Tabel18[[#This Row],[Aantal groen verdediger]]))</f>
        <v>0.33333333333333331</v>
      </c>
      <c r="L11" s="390">
        <f>IF((Tabel18[[#This Row],[Aantal rood aanvaller]]+Tabel18[[#This Row],[Aantal groen aanvaller]])=0,0,(Tabel18[[#This Row],[Wins aanv]]/(Tabel18[[#This Row],[Aantal rood aanvaller]]+Tabel18[[#This Row],[Aantal groen aanvaller]])))</f>
        <v>0</v>
      </c>
      <c r="M11" s="392">
        <f t="shared" si="2"/>
        <v>0.25</v>
      </c>
      <c r="N11" s="388">
        <f>_xlfn.XLOOKUP(A11,Tabel2015[Players],Tabel2015[ELO Tot])</f>
        <v>1793.5857149600513</v>
      </c>
      <c r="O11" s="363" t="str">
        <f>_xlfn.XLOOKUP(N11,Tabel2015[ELO Tot],Tabel2015[Rank])</f>
        <v>Gold</v>
      </c>
      <c r="P11" s="349" t="str">
        <f>A11</f>
        <v>Nico*</v>
      </c>
      <c r="Q11" s="351">
        <f t="shared" ca="1" si="4"/>
        <v>39</v>
      </c>
      <c r="R11" s="351">
        <f ca="1">SUMIF('Season 4'!$AB$2:$AF$14,'Player Stats S4'!$A12,'Season 4'!$AC$2:$AC$14)+SUMIF('Season 4'!$AB$2:$AF$14,'Player Stats S4'!$A12,'Season 4'!$AE$2:$AE$14)</f>
        <v>22</v>
      </c>
      <c r="S11" s="350">
        <f t="shared" ca="1" si="5"/>
        <v>0.5641025641025641</v>
      </c>
      <c r="T11" s="351">
        <f ca="1">SUMIF('Season 4'!$AB$2:$AF$14,'Player Stats S4'!$A12,'Season 4'!$AD$2:$AD$14)+SUMIF('Season 4'!$AB$2:$AF$14,'Player Stats S4'!$A12,'Season 4'!$AF$2:$AF$14)</f>
        <v>17</v>
      </c>
      <c r="U11" s="350">
        <f t="shared" ca="1" si="6"/>
        <v>0.4358974358974359</v>
      </c>
      <c r="V11" s="351">
        <f t="shared" ca="1" si="7"/>
        <v>9.75</v>
      </c>
      <c r="W11" s="351">
        <f t="shared" ca="1" si="8"/>
        <v>7.333333333333333</v>
      </c>
      <c r="X11" s="351">
        <f t="shared" ca="1" si="9"/>
        <v>17</v>
      </c>
    </row>
    <row r="12" spans="1:24" ht="15.75" thickBot="1" x14ac:dyDescent="0.3">
      <c r="A12" s="353" t="s">
        <v>162</v>
      </c>
      <c r="B12" s="349">
        <f>COUNTIF('Season 4'!$F$2:$F$304,A12)</f>
        <v>9</v>
      </c>
      <c r="C12" s="349">
        <f>COUNTIF('Season 4'!$H$2:$H$304,A12)</f>
        <v>3</v>
      </c>
      <c r="D12" s="349">
        <f>COUNTIF('Season 4'!$J$2:$J$304,A12)</f>
        <v>2</v>
      </c>
      <c r="E12" s="349">
        <f>COUNTIF('Season 4'!$L$2:$L$304,A12)</f>
        <v>1</v>
      </c>
      <c r="F12" s="349">
        <f t="shared" si="0"/>
        <v>15</v>
      </c>
      <c r="G12" s="349">
        <f>COUNTIF('Season 4'!$Q$2:$R$304,A12)</f>
        <v>4</v>
      </c>
      <c r="H12" s="349">
        <f t="shared" si="1"/>
        <v>11</v>
      </c>
      <c r="I12" s="397">
        <f>COUNTIF(Tabel152[Winnaar 1],Tabel18[[#This Row],[Player ]])</f>
        <v>4</v>
      </c>
      <c r="J12" s="397">
        <f>COUNTIF(Tabel152[Winnaar 2],Tabel18[[#This Row],[Player ]])</f>
        <v>0</v>
      </c>
      <c r="K12" s="393">
        <f>IF((Tabel18[[#This Row],[Aantal rood verdediger]]+Tabel18[[#This Row],[Aantal groen verdediger]])=0,0,Tabel18[[#This Row],[Wins def]]/(Tabel18[[#This Row],[Aantal rood verdediger]]+Tabel18[[#This Row],[Aantal groen verdediger]]))</f>
        <v>0.36363636363636365</v>
      </c>
      <c r="L12" s="394">
        <f>IF((Tabel18[[#This Row],[Aantal rood aanvaller]]+Tabel18[[#This Row],[Aantal groen aanvaller]])=0,0,(Tabel18[[#This Row],[Wins aanv]]/(Tabel18[[#This Row],[Aantal rood aanvaller]]+Tabel18[[#This Row],[Aantal groen aanvaller]])))</f>
        <v>0</v>
      </c>
      <c r="M12" s="395">
        <f t="shared" si="2"/>
        <v>0.26666666666666666</v>
      </c>
      <c r="N12" s="389">
        <f>_xlfn.XLOOKUP(A12,Tabel2015[Players],Tabel2015[ELO Tot])</f>
        <v>1742.6972514456502</v>
      </c>
      <c r="O12" s="364" t="str">
        <f>_xlfn.XLOOKUP(N12,Tabel2015[ELO Tot],Tabel2015[Rank])</f>
        <v>Silver</v>
      </c>
      <c r="P12" s="349" t="str">
        <f>A12</f>
        <v>Matthijs*</v>
      </c>
      <c r="Q12" s="351">
        <f t="shared" ca="1" si="4"/>
        <v>35</v>
      </c>
      <c r="R12" s="351">
        <f ca="1">SUMIF('Season 4'!$AB$2:$AF$14,'Player Stats S4'!$A8,'Season 4'!$AC$2:$AC$14)+SUMIF('Season 4'!$AB$2:$AF$14,'Player Stats S4'!$A8,'Season 4'!$AE$2:$AE$14)</f>
        <v>19</v>
      </c>
      <c r="S12" s="350">
        <f t="shared" ca="1" si="5"/>
        <v>0.54285714285714282</v>
      </c>
      <c r="T12" s="351">
        <f ca="1">SUMIF('Season 4'!$AB$2:$AF$14,'Player Stats S4'!$A8,'Season 4'!$AD$2:$AD$14)+SUMIF('Season 4'!$AB$2:$AF$14,'Player Stats S4'!$A8,'Season 4'!$AF$2:$AF$14)</f>
        <v>16</v>
      </c>
      <c r="U12" s="350">
        <f t="shared" ca="1" si="6"/>
        <v>0.45714285714285713</v>
      </c>
      <c r="V12" s="351">
        <f t="shared" ca="1" si="7"/>
        <v>2.3333333333333335</v>
      </c>
      <c r="W12" s="351">
        <f t="shared" ca="1" si="8"/>
        <v>1.7272727272727273</v>
      </c>
      <c r="X12" s="351">
        <f t="shared" ca="1" si="9"/>
        <v>4</v>
      </c>
    </row>
    <row r="13" spans="1:24" x14ac:dyDescent="0.25">
      <c r="C13" s="72"/>
    </row>
    <row r="14" spans="1:24" x14ac:dyDescent="0.25">
      <c r="C14" s="72"/>
    </row>
  </sheetData>
  <conditionalFormatting sqref="K3:K12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{A9A005FA-36E6-4B2E-965E-47881144EB5F}</x14:id>
        </ext>
      </extLst>
    </cfRule>
  </conditionalFormatting>
  <conditionalFormatting sqref="L3:L12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{C64E13AC-624B-4F36-8CD9-088D17E3C911}</x14:id>
        </ext>
      </extLst>
    </cfRule>
  </conditionalFormatting>
  <conditionalFormatting sqref="M2:M12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{68A5426F-7C78-48A1-8AAD-AB6676ECF65B}</x14:id>
        </ext>
      </extLst>
    </cfRule>
  </conditionalFormatting>
  <conditionalFormatting sqref="M2:M12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{9A85307B-D56B-4E36-A162-F0AFF1800644}</x14:id>
        </ext>
      </extLst>
    </cfRule>
  </conditionalFormatting>
  <conditionalFormatting sqref="O2:O12">
    <cfRule type="containsText" dxfId="108" priority="4" operator="containsText" text="Diamond">
      <formula>NOT(ISERROR(SEARCH("Diamond",O2)))</formula>
    </cfRule>
    <cfRule type="containsText" dxfId="107" priority="5" operator="containsText" text="Grandmaster">
      <formula>NOT(ISERROR(SEARCH("Grandmaster",O2)))</formula>
    </cfRule>
    <cfRule type="containsText" dxfId="106" priority="6" operator="containsText" text="Bronze">
      <formula>NOT(ISERROR(SEARCH("Bronze",O2)))</formula>
    </cfRule>
    <cfRule type="containsText" dxfId="105" priority="7" operator="containsText" text="Silver">
      <formula>NOT(ISERROR(SEARCH("Silver",O2)))</formula>
    </cfRule>
    <cfRule type="containsText" dxfId="104" priority="8" operator="containsText" text="Gold">
      <formula>NOT(ISERROR(SEARCH("Gold",O2)))</formula>
    </cfRule>
    <cfRule type="containsText" dxfId="103" priority="9" operator="containsText" text="Platinum">
      <formula>NOT(ISERROR(SEARCH("Platinum",O2)))</formula>
    </cfRule>
  </conditionalFormatting>
  <conditionalFormatting sqref="K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{6ACB973A-DB0B-4874-8659-810BD2B6FB2D}</x14:id>
        </ext>
      </extLst>
    </cfRule>
  </conditionalFormatting>
  <conditionalFormatting sqref="L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{593440CF-7A75-418F-85ED-F9739C45A50C}</x14:id>
        </ext>
      </extLst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A005FA-36E6-4B2E-965E-47881144EB5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K3:K12</xm:sqref>
        </x14:conditionalFormatting>
        <x14:conditionalFormatting xmlns:xm="http://schemas.microsoft.com/office/excel/2006/main">
          <x14:cfRule type="dataBar" id="{C64E13AC-624B-4F36-8CD9-088D17E3C91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L3:L12</xm:sqref>
        </x14:conditionalFormatting>
        <x14:conditionalFormatting xmlns:xm="http://schemas.microsoft.com/office/excel/2006/main">
          <x14:cfRule type="dataBar" id="{68A5426F-7C78-48A1-8AAD-AB6676ECF65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M2:M12</xm:sqref>
        </x14:conditionalFormatting>
        <x14:conditionalFormatting xmlns:xm="http://schemas.microsoft.com/office/excel/2006/main">
          <x14:cfRule type="dataBar" id="{9A85307B-D56B-4E36-A162-F0AFF180064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M2:M12</xm:sqref>
        </x14:conditionalFormatting>
        <x14:conditionalFormatting xmlns:xm="http://schemas.microsoft.com/office/excel/2006/main">
          <x14:cfRule type="dataBar" id="{6ACB973A-DB0B-4874-8659-810BD2B6FB2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</xm:sqref>
        </x14:conditionalFormatting>
        <x14:conditionalFormatting xmlns:xm="http://schemas.microsoft.com/office/excel/2006/main">
          <x14:cfRule type="dataBar" id="{593440CF-7A75-418F-85ED-F9739C45A50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L2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3145-8451-40DA-A4BF-4B41B20B4819}">
  <sheetPr codeName="Blad13"/>
  <dimension ref="K3:Z39"/>
  <sheetViews>
    <sheetView showGridLines="0" topLeftCell="D1" zoomScale="90" zoomScaleNormal="90" workbookViewId="0">
      <selection activeCell="O18" sqref="O18"/>
    </sheetView>
  </sheetViews>
  <sheetFormatPr defaultColWidth="9.140625" defaultRowHeight="15" x14ac:dyDescent="0.25"/>
  <cols>
    <col min="1" max="10" width="9.140625" style="293"/>
    <col min="11" max="12" width="13.85546875" style="293" bestFit="1" customWidth="1"/>
    <col min="13" max="13" width="9.85546875" style="293" customWidth="1"/>
    <col min="14" max="14" width="8.5703125" style="293" bestFit="1" customWidth="1"/>
    <col min="15" max="15" width="8.140625" style="293" bestFit="1" customWidth="1"/>
    <col min="16" max="16" width="8.5703125" style="293" bestFit="1" customWidth="1"/>
    <col min="17" max="17" width="8.42578125" style="293" bestFit="1" customWidth="1"/>
    <col min="18" max="18" width="8.85546875" style="293" bestFit="1" customWidth="1"/>
    <col min="19" max="19" width="9.28515625" style="293" bestFit="1" customWidth="1"/>
    <col min="20" max="20" width="11" style="293" bestFit="1" customWidth="1"/>
    <col min="21" max="21" width="9.140625" style="293" bestFit="1" customWidth="1"/>
    <col min="22" max="22" width="8.85546875" style="293" bestFit="1" customWidth="1"/>
    <col min="23" max="23" width="10.5703125" style="293" bestFit="1" customWidth="1"/>
    <col min="24" max="24" width="9.7109375" style="293" bestFit="1" customWidth="1"/>
    <col min="25" max="25" width="12.42578125" style="293" bestFit="1" customWidth="1"/>
    <col min="26" max="26" width="11.140625" style="293" bestFit="1" customWidth="1"/>
    <col min="27" max="16384" width="9.140625" style="293"/>
  </cols>
  <sheetData>
    <row r="3" spans="11:26" ht="15.75" thickBot="1" x14ac:dyDescent="0.3"/>
    <row r="4" spans="11:26" ht="15.75" thickBot="1" x14ac:dyDescent="0.3">
      <c r="K4" s="197" t="s">
        <v>122</v>
      </c>
      <c r="L4" s="198" t="s">
        <v>123</v>
      </c>
      <c r="M4" s="198" t="s">
        <v>47</v>
      </c>
      <c r="N4" s="284" t="s">
        <v>169</v>
      </c>
      <c r="O4" s="285" t="s">
        <v>157</v>
      </c>
      <c r="P4" s="286" t="s">
        <v>158</v>
      </c>
      <c r="Q4" s="285" t="s">
        <v>168</v>
      </c>
      <c r="R4" s="286" t="s">
        <v>164</v>
      </c>
      <c r="S4" s="285" t="s">
        <v>163</v>
      </c>
      <c r="T4" s="286" t="s">
        <v>160</v>
      </c>
      <c r="U4" s="285" t="s">
        <v>159</v>
      </c>
      <c r="V4" s="286" t="s">
        <v>161</v>
      </c>
      <c r="W4" s="285" t="s">
        <v>162</v>
      </c>
      <c r="X4" s="286" t="s">
        <v>170</v>
      </c>
      <c r="Y4" s="285" t="s">
        <v>165</v>
      </c>
      <c r="Z4" s="286" t="s">
        <v>166</v>
      </c>
    </row>
    <row r="5" spans="11:26" x14ac:dyDescent="0.25">
      <c r="K5" s="335" t="s">
        <v>117</v>
      </c>
      <c r="L5" s="186">
        <v>5</v>
      </c>
      <c r="M5" s="186">
        <v>0</v>
      </c>
      <c r="N5" s="222" t="str">
        <f>_xlfn.XLOOKUP(Tabel614[[#This Row],[Score]],'ELO rekenblad'!$H$43,'ELO rekenblad'!$A$43,"")</f>
        <v/>
      </c>
      <c r="O5" s="142" t="str">
        <f>_xlfn.XLOOKUP(Tabel614[[#This Row],[Score]],'ELO rekenblad'!$H$44,'ELO rekenblad'!$A$44,"")</f>
        <v/>
      </c>
      <c r="P5" s="142" t="str">
        <f>_xlfn.XLOOKUP(Tabel614[[#This Row],[Score]],'ELO rekenblad'!$H$45,'ELO rekenblad'!$A$45,"")</f>
        <v/>
      </c>
      <c r="Q5" s="142" t="str">
        <f>_xlfn.XLOOKUP(Tabel614[[#This Row],[Score]],'ELO rekenblad'!$H$46,'ELO rekenblad'!$A$46,"")</f>
        <v/>
      </c>
      <c r="R5" s="142" t="str">
        <f>_xlfn.XLOOKUP(Tabel614[[#This Row],[Score]],'ELO rekenblad'!$H$47,'ELO rekenblad'!$A$47,"")</f>
        <v/>
      </c>
      <c r="S5" s="142" t="str">
        <f>_xlfn.XLOOKUP(Tabel614[[#This Row],[Score]],'ELO rekenblad'!$H$48,'ELO rekenblad'!$A$48,"")</f>
        <v/>
      </c>
      <c r="T5" s="142" t="str">
        <f>_xlfn.XLOOKUP(Tabel614[[#This Row],[Score]],'ELO rekenblad'!$H$49,'ELO rekenblad'!$A$49,"")</f>
        <v/>
      </c>
      <c r="U5" s="142" t="str">
        <f>_xlfn.XLOOKUP(Tabel614[[#This Row],[Score]],'ELO rekenblad'!$H$50,'ELO rekenblad'!$A$50,"")</f>
        <v/>
      </c>
      <c r="V5" s="142" t="str">
        <f>_xlfn.XLOOKUP(Tabel614[[#This Row],[Score]],'ELO rekenblad'!$H$51,'ELO rekenblad'!$A$51,"")</f>
        <v/>
      </c>
      <c r="W5" s="142" t="str">
        <f>_xlfn.XLOOKUP(Tabel614[[#This Row],[Score]],'ELO rekenblad'!$H$52,'ELO rekenblad'!$A$52,"")</f>
        <v/>
      </c>
      <c r="X5" s="142" t="str">
        <f>_xlfn.XLOOKUP(Tabel614[[#This Row],[Score]],'ELO rekenblad'!$H$53,'ELO rekenblad'!$A$53,"")</f>
        <v/>
      </c>
      <c r="Y5" s="142" t="str">
        <f>_xlfn.XLOOKUP(Tabel614[[#This Row],[Score]],'ELO rekenblad'!$H$54,'ELO rekenblad'!$A$54,"")</f>
        <v/>
      </c>
      <c r="Z5" s="183" t="str">
        <f>_xlfn.XLOOKUP(Tabel614[[#This Row],[Score]],'ELO rekenblad'!$H$55,'ELO rekenblad'!$A$55,"")</f>
        <v/>
      </c>
    </row>
    <row r="6" spans="11:26" x14ac:dyDescent="0.25">
      <c r="K6" s="336"/>
      <c r="L6" s="186">
        <v>4</v>
      </c>
      <c r="M6" s="186">
        <f>M5+'ELO rekenblad'!$Q$2</f>
        <v>175</v>
      </c>
      <c r="N6" s="224" t="str">
        <f>_xlfn.XLOOKUP(Tabel614[[#This Row],[Score]],'ELO rekenblad'!$H$43,'ELO rekenblad'!$A$43,"")</f>
        <v/>
      </c>
      <c r="O6" s="214" t="str">
        <f>_xlfn.XLOOKUP(Tabel614[[#This Row],[Score]],'ELO rekenblad'!$H$44,'ELO rekenblad'!$A$44,"")</f>
        <v/>
      </c>
      <c r="P6" s="214" t="str">
        <f>_xlfn.XLOOKUP(Tabel614[[#This Row],[Score]],'ELO rekenblad'!$H$45,'ELO rekenblad'!$A$45,"")</f>
        <v/>
      </c>
      <c r="Q6" s="214" t="str">
        <f>_xlfn.XLOOKUP(Tabel614[[#This Row],[Score]],'ELO rekenblad'!$H$46,'ELO rekenblad'!$A$46,"")</f>
        <v/>
      </c>
      <c r="R6" s="214" t="str">
        <f>_xlfn.XLOOKUP(Tabel614[[#This Row],[Score]],'ELO rekenblad'!$H$47,'ELO rekenblad'!$A$47,"")</f>
        <v/>
      </c>
      <c r="S6" s="214" t="str">
        <f>_xlfn.XLOOKUP(Tabel614[[#This Row],[Score]],'ELO rekenblad'!$H$48,'ELO rekenblad'!$A$48,"")</f>
        <v/>
      </c>
      <c r="T6" s="214" t="str">
        <f>_xlfn.XLOOKUP(Tabel614[[#This Row],[Score]],'ELO rekenblad'!$H$49,'ELO rekenblad'!$A$49,"")</f>
        <v/>
      </c>
      <c r="U6" s="214" t="str">
        <f>_xlfn.XLOOKUP(Tabel614[[#This Row],[Score]],'ELO rekenblad'!$H$50,'ELO rekenblad'!$A$50,"")</f>
        <v/>
      </c>
      <c r="V6" s="214" t="str">
        <f>_xlfn.XLOOKUP(Tabel614[[#This Row],[Score]],'ELO rekenblad'!$H$51,'ELO rekenblad'!$A$51,"")</f>
        <v/>
      </c>
      <c r="W6" s="214" t="str">
        <f>_xlfn.XLOOKUP(Tabel614[[#This Row],[Score]],'ELO rekenblad'!$H$52,'ELO rekenblad'!$A$52,"")</f>
        <v/>
      </c>
      <c r="X6" s="214" t="str">
        <f>_xlfn.XLOOKUP(Tabel614[[#This Row],[Score]],'ELO rekenblad'!$H$53,'ELO rekenblad'!$A$53,"")</f>
        <v/>
      </c>
      <c r="Y6" s="214" t="str">
        <f>_xlfn.XLOOKUP(Tabel614[[#This Row],[Score]],'ELO rekenblad'!$H$54,'ELO rekenblad'!$A$54,"")</f>
        <v/>
      </c>
      <c r="Z6" s="137" t="str">
        <f>_xlfn.XLOOKUP(Tabel614[[#This Row],[Score]],'ELO rekenblad'!$H$55,'ELO rekenblad'!$A$55,"")</f>
        <v/>
      </c>
    </row>
    <row r="7" spans="11:26" x14ac:dyDescent="0.25">
      <c r="K7" s="336"/>
      <c r="L7" s="186">
        <v>3</v>
      </c>
      <c r="M7" s="186">
        <f>M6+'ELO rekenblad'!$Q$2</f>
        <v>350</v>
      </c>
      <c r="N7" s="224" t="str">
        <f>_xlfn.XLOOKUP(Tabel614[[#This Row],[Score]],'ELO rekenblad'!$H$43,'ELO rekenblad'!$A$43,"")</f>
        <v/>
      </c>
      <c r="O7" s="214" t="str">
        <f>_xlfn.XLOOKUP(Tabel614[[#This Row],[Score]],'ELO rekenblad'!$H$44,'ELO rekenblad'!$A$44,"")</f>
        <v/>
      </c>
      <c r="P7" s="214" t="str">
        <f>_xlfn.XLOOKUP(Tabel614[[#This Row],[Score]],'ELO rekenblad'!$H$45,'ELO rekenblad'!$A$45,"")</f>
        <v/>
      </c>
      <c r="Q7" s="214" t="str">
        <f>_xlfn.XLOOKUP(Tabel614[[#This Row],[Score]],'ELO rekenblad'!$H$46,'ELO rekenblad'!$A$46,"")</f>
        <v/>
      </c>
      <c r="R7" s="214" t="str">
        <f>_xlfn.XLOOKUP(Tabel614[[#This Row],[Score]],'ELO rekenblad'!$H$47,'ELO rekenblad'!$A$47,"")</f>
        <v/>
      </c>
      <c r="S7" s="214" t="str">
        <f>_xlfn.XLOOKUP(Tabel614[[#This Row],[Score]],'ELO rekenblad'!$H$48,'ELO rekenblad'!$A$48,"")</f>
        <v/>
      </c>
      <c r="T7" s="214" t="str">
        <f>_xlfn.XLOOKUP(Tabel614[[#This Row],[Score]],'ELO rekenblad'!$H$49,'ELO rekenblad'!$A$49,"")</f>
        <v/>
      </c>
      <c r="U7" s="214" t="str">
        <f>_xlfn.XLOOKUP(Tabel614[[#This Row],[Score]],'ELO rekenblad'!$H$50,'ELO rekenblad'!$A$50,"")</f>
        <v/>
      </c>
      <c r="V7" s="214" t="str">
        <f>_xlfn.XLOOKUP(Tabel614[[#This Row],[Score]],'ELO rekenblad'!$H$51,'ELO rekenblad'!$A$51,"")</f>
        <v/>
      </c>
      <c r="W7" s="214" t="str">
        <f>_xlfn.XLOOKUP(Tabel614[[#This Row],[Score]],'ELO rekenblad'!$H$52,'ELO rekenblad'!$A$52,"")</f>
        <v/>
      </c>
      <c r="X7" s="214" t="str">
        <f>_xlfn.XLOOKUP(Tabel614[[#This Row],[Score]],'ELO rekenblad'!$H$53,'ELO rekenblad'!$A$53,"")</f>
        <v/>
      </c>
      <c r="Y7" s="214" t="str">
        <f>_xlfn.XLOOKUP(Tabel614[[#This Row],[Score]],'ELO rekenblad'!$H$54,'ELO rekenblad'!$A$54,"")</f>
        <v/>
      </c>
      <c r="Z7" s="137" t="str">
        <f>_xlfn.XLOOKUP(Tabel614[[#This Row],[Score]],'ELO rekenblad'!$H$55,'ELO rekenblad'!$A$55,"")</f>
        <v/>
      </c>
    </row>
    <row r="8" spans="11:26" x14ac:dyDescent="0.25">
      <c r="K8" s="336"/>
      <c r="L8" s="186">
        <v>2</v>
      </c>
      <c r="M8" s="186">
        <f>M7+'ELO rekenblad'!$Q$2</f>
        <v>525</v>
      </c>
      <c r="N8" s="224" t="str">
        <f>_xlfn.XLOOKUP(Tabel614[[#This Row],[Score]],'ELO rekenblad'!$H$43,'ELO rekenblad'!$A$43,"")</f>
        <v/>
      </c>
      <c r="O8" s="214" t="str">
        <f>_xlfn.XLOOKUP(Tabel614[[#This Row],[Score]],'ELO rekenblad'!$H$44,'ELO rekenblad'!$A$44,"")</f>
        <v/>
      </c>
      <c r="P8" s="214" t="str">
        <f>_xlfn.XLOOKUP(Tabel614[[#This Row],[Score]],'ELO rekenblad'!$H$45,'ELO rekenblad'!$A$45,"")</f>
        <v/>
      </c>
      <c r="Q8" s="214" t="str">
        <f>_xlfn.XLOOKUP(Tabel614[[#This Row],[Score]],'ELO rekenblad'!$H$46,'ELO rekenblad'!$A$46,"")</f>
        <v/>
      </c>
      <c r="R8" s="214" t="str">
        <f>_xlfn.XLOOKUP(Tabel614[[#This Row],[Score]],'ELO rekenblad'!$H$47,'ELO rekenblad'!$A$47,"")</f>
        <v/>
      </c>
      <c r="S8" s="214" t="str">
        <f>_xlfn.XLOOKUP(Tabel614[[#This Row],[Score]],'ELO rekenblad'!$H$48,'ELO rekenblad'!$A$48,"")</f>
        <v/>
      </c>
      <c r="T8" s="214" t="str">
        <f>_xlfn.XLOOKUP(Tabel614[[#This Row],[Score]],'ELO rekenblad'!$H$49,'ELO rekenblad'!$A$49,"")</f>
        <v/>
      </c>
      <c r="U8" s="214" t="str">
        <f>_xlfn.XLOOKUP(Tabel614[[#This Row],[Score]],'ELO rekenblad'!$H$50,'ELO rekenblad'!$A$50,"")</f>
        <v/>
      </c>
      <c r="V8" s="214" t="str">
        <f>_xlfn.XLOOKUP(Tabel614[[#This Row],[Score]],'ELO rekenblad'!$H$51,'ELO rekenblad'!$A$51,"")</f>
        <v/>
      </c>
      <c r="W8" s="214" t="str">
        <f>_xlfn.XLOOKUP(Tabel614[[#This Row],[Score]],'ELO rekenblad'!$H$52,'ELO rekenblad'!$A$52,"")</f>
        <v/>
      </c>
      <c r="X8" s="214" t="str">
        <f>_xlfn.XLOOKUP(Tabel614[[#This Row],[Score]],'ELO rekenblad'!$H$53,'ELO rekenblad'!$A$53,"")</f>
        <v/>
      </c>
      <c r="Y8" s="214" t="str">
        <f>_xlfn.XLOOKUP(Tabel614[[#This Row],[Score]],'ELO rekenblad'!$H$54,'ELO rekenblad'!$A$54,"")</f>
        <v/>
      </c>
      <c r="Z8" s="137" t="str">
        <f>_xlfn.XLOOKUP(Tabel614[[#This Row],[Score]],'ELO rekenblad'!$H$55,'ELO rekenblad'!$A$55,"")</f>
        <v/>
      </c>
    </row>
    <row r="9" spans="11:26" ht="15.75" thickBot="1" x14ac:dyDescent="0.3">
      <c r="K9" s="337"/>
      <c r="L9" s="187">
        <v>1</v>
      </c>
      <c r="M9" s="186">
        <f>M8+'ELO rekenblad'!$Q$2</f>
        <v>700</v>
      </c>
      <c r="N9" s="224" t="str">
        <f>_xlfn.XLOOKUP(Tabel614[[#This Row],[Score]],'ELO rekenblad'!$H$43,'ELO rekenblad'!$A$43,"")</f>
        <v/>
      </c>
      <c r="O9" s="214" t="str">
        <f>_xlfn.XLOOKUP(Tabel614[[#This Row],[Score]],'ELO rekenblad'!$H$44,'ELO rekenblad'!$A$44,"")</f>
        <v/>
      </c>
      <c r="P9" s="214" t="str">
        <f>_xlfn.XLOOKUP(Tabel614[[#This Row],[Score]],'ELO rekenblad'!$H$45,'ELO rekenblad'!$A$45,"")</f>
        <v/>
      </c>
      <c r="Q9" s="214" t="str">
        <f>_xlfn.XLOOKUP(Tabel614[[#This Row],[Score]],'ELO rekenblad'!$H$46,'ELO rekenblad'!$A$46,"")</f>
        <v/>
      </c>
      <c r="R9" s="214" t="str">
        <f>_xlfn.XLOOKUP(Tabel614[[#This Row],[Score]],'ELO rekenblad'!$H$47,'ELO rekenblad'!$A$47,"")</f>
        <v/>
      </c>
      <c r="S9" s="214" t="str">
        <f>_xlfn.XLOOKUP(Tabel614[[#This Row],[Score]],'ELO rekenblad'!$H$48,'ELO rekenblad'!$A$48,"")</f>
        <v/>
      </c>
      <c r="T9" s="214" t="str">
        <f>_xlfn.XLOOKUP(Tabel614[[#This Row],[Score]],'ELO rekenblad'!$H$49,'ELO rekenblad'!$A$49,"")</f>
        <v/>
      </c>
      <c r="U9" s="214" t="str">
        <f>_xlfn.XLOOKUP(Tabel614[[#This Row],[Score]],'ELO rekenblad'!$H$50,'ELO rekenblad'!$A$50,"")</f>
        <v/>
      </c>
      <c r="V9" s="214" t="str">
        <f>_xlfn.XLOOKUP(Tabel614[[#This Row],[Score]],'ELO rekenblad'!$H$51,'ELO rekenblad'!$A$51,"")</f>
        <v/>
      </c>
      <c r="W9" s="214" t="str">
        <f>_xlfn.XLOOKUP(Tabel614[[#This Row],[Score]],'ELO rekenblad'!$H$52,'ELO rekenblad'!$A$52,"")</f>
        <v/>
      </c>
      <c r="X9" s="214" t="str">
        <f>_xlfn.XLOOKUP(Tabel614[[#This Row],[Score]],'ELO rekenblad'!$H$53,'ELO rekenblad'!$A$53,"")</f>
        <v/>
      </c>
      <c r="Y9" s="214" t="str">
        <f>_xlfn.XLOOKUP(Tabel614[[#This Row],[Score]],'ELO rekenblad'!$H$54,'ELO rekenblad'!$A$54,"")</f>
        <v/>
      </c>
      <c r="Z9" s="137" t="str">
        <f>_xlfn.XLOOKUP(Tabel614[[#This Row],[Score]],'ELO rekenblad'!$H$55,'ELO rekenblad'!$A$55,"")</f>
        <v/>
      </c>
    </row>
    <row r="10" spans="11:26" x14ac:dyDescent="0.25">
      <c r="K10" s="332" t="s">
        <v>118</v>
      </c>
      <c r="L10" s="188">
        <v>5</v>
      </c>
      <c r="M10" s="188">
        <f>M9+'ELO rekenblad'!$Q$2</f>
        <v>875</v>
      </c>
      <c r="N10" s="222" t="str">
        <f>_xlfn.XLOOKUP(Tabel614[[#This Row],[Score]],'ELO rekenblad'!$H$43,'ELO rekenblad'!$A$43,"")</f>
        <v/>
      </c>
      <c r="O10" s="142" t="str">
        <f>_xlfn.XLOOKUP(Tabel614[[#This Row],[Score]],'ELO rekenblad'!$H$44,'ELO rekenblad'!$A$44,"")</f>
        <v/>
      </c>
      <c r="P10" s="142" t="str">
        <f>_xlfn.XLOOKUP(Tabel614[[#This Row],[Score]],'ELO rekenblad'!$H$45,'ELO rekenblad'!$A$45,"")</f>
        <v/>
      </c>
      <c r="Q10" s="142" t="str">
        <f>_xlfn.XLOOKUP(Tabel614[[#This Row],[Score]],'ELO rekenblad'!$H$46,'ELO rekenblad'!$A$46,"")</f>
        <v/>
      </c>
      <c r="R10" s="142" t="str">
        <f>_xlfn.XLOOKUP(Tabel614[[#This Row],[Score]],'ELO rekenblad'!$H$47,'ELO rekenblad'!$A$47,"")</f>
        <v/>
      </c>
      <c r="S10" s="142" t="str">
        <f>_xlfn.XLOOKUP(Tabel614[[#This Row],[Score]],'ELO rekenblad'!$H$48,'ELO rekenblad'!$A$48,"")</f>
        <v/>
      </c>
      <c r="T10" s="142" t="str">
        <f>_xlfn.XLOOKUP(Tabel614[[#This Row],[Score]],'ELO rekenblad'!$H$49,'ELO rekenblad'!$A$49,"")</f>
        <v/>
      </c>
      <c r="U10" s="142" t="str">
        <f>_xlfn.XLOOKUP(Tabel614[[#This Row],[Score]],'ELO rekenblad'!$H$50,'ELO rekenblad'!$A$50,"")</f>
        <v/>
      </c>
      <c r="V10" s="142" t="str">
        <f>_xlfn.XLOOKUP(Tabel614[[#This Row],[Score]],'ELO rekenblad'!$H$51,'ELO rekenblad'!$A$51,"")</f>
        <v/>
      </c>
      <c r="W10" s="142" t="str">
        <f>_xlfn.XLOOKUP(Tabel614[[#This Row],[Score]],'ELO rekenblad'!$H$52,'ELO rekenblad'!$A$52,"")</f>
        <v/>
      </c>
      <c r="X10" s="142" t="str">
        <f>_xlfn.XLOOKUP(Tabel614[[#This Row],[Score]],'ELO rekenblad'!$H$53,'ELO rekenblad'!$A$53,"")</f>
        <v/>
      </c>
      <c r="Y10" s="142" t="str">
        <f>_xlfn.XLOOKUP(Tabel614[[#This Row],[Score]],'ELO rekenblad'!$H$54,'ELO rekenblad'!$A$54,"")</f>
        <v/>
      </c>
      <c r="Z10" s="183" t="str">
        <f>_xlfn.XLOOKUP(Tabel614[[#This Row],[Score]],'ELO rekenblad'!$H$55,'ELO rekenblad'!$A$55,"")</f>
        <v/>
      </c>
    </row>
    <row r="11" spans="11:26" x14ac:dyDescent="0.25">
      <c r="K11" s="333"/>
      <c r="L11" s="189">
        <v>4</v>
      </c>
      <c r="M11" s="189">
        <f>M10+'ELO rekenblad'!$Q$2</f>
        <v>1050</v>
      </c>
      <c r="N11" s="287" t="str">
        <f>_xlfn.XLOOKUP(Tabel614[[#This Row],[Score]],'ELO rekenblad'!$H$43,'ELO rekenblad'!$A$43,"")</f>
        <v/>
      </c>
      <c r="O11" s="214" t="str">
        <f>_xlfn.XLOOKUP(Tabel614[[#This Row],[Score]],'ELO rekenblad'!$H$44,'ELO rekenblad'!$A$44,"")</f>
        <v/>
      </c>
      <c r="P11" s="214" t="str">
        <f>_xlfn.XLOOKUP(Tabel614[[#This Row],[Score]],'ELO rekenblad'!$H$45,'ELO rekenblad'!$A$45,"")</f>
        <v/>
      </c>
      <c r="Q11" s="214" t="str">
        <f>_xlfn.XLOOKUP(Tabel614[[#This Row],[Score]],'ELO rekenblad'!$H$46,'ELO rekenblad'!$A$46,"")</f>
        <v/>
      </c>
      <c r="R11" s="214" t="str">
        <f>_xlfn.XLOOKUP(Tabel614[[#This Row],[Score]],'ELO rekenblad'!$H$47,'ELO rekenblad'!$A$47,"")</f>
        <v/>
      </c>
      <c r="S11" s="214" t="str">
        <f>_xlfn.XLOOKUP(Tabel614[[#This Row],[Score]],'ELO rekenblad'!$H$48,'ELO rekenblad'!$A$48,"")</f>
        <v/>
      </c>
      <c r="T11" s="214" t="str">
        <f>_xlfn.XLOOKUP(Tabel614[[#This Row],[Score]],'ELO rekenblad'!$H$49,'ELO rekenblad'!$A$49,"")</f>
        <v/>
      </c>
      <c r="U11" s="214" t="str">
        <f>_xlfn.XLOOKUP(Tabel614[[#This Row],[Score]],'ELO rekenblad'!$H$50,'ELO rekenblad'!$A$50,"")</f>
        <v/>
      </c>
      <c r="V11" s="214" t="str">
        <f>_xlfn.XLOOKUP(Tabel614[[#This Row],[Score]],'ELO rekenblad'!$H$51,'ELO rekenblad'!$A$51,"")</f>
        <v/>
      </c>
      <c r="W11" s="214" t="str">
        <f>_xlfn.XLOOKUP(Tabel614[[#This Row],[Score]],'ELO rekenblad'!$H$52,'ELO rekenblad'!$A$52,"")</f>
        <v/>
      </c>
      <c r="X11" s="214" t="str">
        <f>_xlfn.XLOOKUP(Tabel614[[#This Row],[Score]],'ELO rekenblad'!$H$53,'ELO rekenblad'!$A$53,"")</f>
        <v/>
      </c>
      <c r="Y11" s="214" t="str">
        <f>_xlfn.XLOOKUP(Tabel614[[#This Row],[Score]],'ELO rekenblad'!$H$54,'ELO rekenblad'!$A$54,"")</f>
        <v/>
      </c>
      <c r="Z11" s="137" t="str">
        <f>_xlfn.XLOOKUP(Tabel614[[#This Row],[Score]],'ELO rekenblad'!$H$55,'ELO rekenblad'!$A$55,"")</f>
        <v/>
      </c>
    </row>
    <row r="12" spans="11:26" x14ac:dyDescent="0.25">
      <c r="K12" s="333"/>
      <c r="L12" s="189">
        <v>3</v>
      </c>
      <c r="M12" s="189">
        <f>M11+'ELO rekenblad'!$Q$2</f>
        <v>1225</v>
      </c>
      <c r="N12" s="224" t="str">
        <f>_xlfn.XLOOKUP(Tabel614[[#This Row],[Score]],'ELO rekenblad'!$H$43,'ELO rekenblad'!$A$43,"")</f>
        <v/>
      </c>
      <c r="O12" s="214" t="str">
        <f>_xlfn.XLOOKUP(Tabel614[[#This Row],[Score]],'ELO rekenblad'!$H$44,'ELO rekenblad'!$A$44,"")</f>
        <v/>
      </c>
      <c r="P12" s="214" t="str">
        <f>_xlfn.XLOOKUP(Tabel614[[#This Row],[Score]],'ELO rekenblad'!$H$45,'ELO rekenblad'!$A$45,"")</f>
        <v/>
      </c>
      <c r="Q12" s="214" t="str">
        <f>_xlfn.XLOOKUP(Tabel614[[#This Row],[Score]],'ELO rekenblad'!$H$46,'ELO rekenblad'!$A$46,"")</f>
        <v/>
      </c>
      <c r="R12" s="214" t="str">
        <f>_xlfn.XLOOKUP(Tabel614[[#This Row],[Score]],'ELO rekenblad'!$H$47,'ELO rekenblad'!$A$47,"")</f>
        <v/>
      </c>
      <c r="S12" s="214" t="str">
        <f>_xlfn.XLOOKUP(Tabel614[[#This Row],[Score]],'ELO rekenblad'!$H$48,'ELO rekenblad'!$A$48,"")</f>
        <v/>
      </c>
      <c r="T12" s="214" t="str">
        <f>_xlfn.XLOOKUP(Tabel614[[#This Row],[Score]],'ELO rekenblad'!$H$49,'ELO rekenblad'!$A$49,"")</f>
        <v/>
      </c>
      <c r="U12" s="214" t="str">
        <f>_xlfn.XLOOKUP(Tabel614[[#This Row],[Score]],'ELO rekenblad'!$H$50,'ELO rekenblad'!$A$50,"")</f>
        <v/>
      </c>
      <c r="V12" s="214" t="str">
        <f>_xlfn.XLOOKUP(Tabel614[[#This Row],[Score]],'ELO rekenblad'!$H$51,'ELO rekenblad'!$A$51,"")</f>
        <v/>
      </c>
      <c r="W12" s="214" t="str">
        <f>_xlfn.XLOOKUP(Tabel614[[#This Row],[Score]],'ELO rekenblad'!$H$52,'ELO rekenblad'!$A$52,"")</f>
        <v/>
      </c>
      <c r="X12" s="214" t="str">
        <f>_xlfn.XLOOKUP(Tabel614[[#This Row],[Score]],'ELO rekenblad'!$H$53,'ELO rekenblad'!$A$53,"")</f>
        <v/>
      </c>
      <c r="Y12" s="214" t="str">
        <f>_xlfn.XLOOKUP(Tabel614[[#This Row],[Score]],'ELO rekenblad'!$H$54,'ELO rekenblad'!$A$54,"")</f>
        <v/>
      </c>
      <c r="Z12" s="137" t="str">
        <f>_xlfn.XLOOKUP(Tabel614[[#This Row],[Score]],'ELO rekenblad'!$H$55,'ELO rekenblad'!$A$55,"")</f>
        <v/>
      </c>
    </row>
    <row r="13" spans="11:26" x14ac:dyDescent="0.25">
      <c r="K13" s="333"/>
      <c r="L13" s="189">
        <v>2</v>
      </c>
      <c r="M13" s="189">
        <f>M12+'ELO rekenblad'!$Q$2</f>
        <v>1400</v>
      </c>
      <c r="N13" s="224" t="str">
        <f>_xlfn.XLOOKUP(Tabel614[[#This Row],[Score]],'ELO rekenblad'!$H$43,'ELO rekenblad'!$A$43,"")</f>
        <v/>
      </c>
      <c r="O13" s="214" t="str">
        <f>_xlfn.XLOOKUP(Tabel614[[#This Row],[Score]],'ELO rekenblad'!$H$44,'ELO rekenblad'!$A$44,"")</f>
        <v/>
      </c>
      <c r="P13" s="214" t="str">
        <f>_xlfn.XLOOKUP(Tabel614[[#This Row],[Score]],'ELO rekenblad'!$H$45,'ELO rekenblad'!$A$45,"")</f>
        <v/>
      </c>
      <c r="Q13" s="214" t="str">
        <f>_xlfn.XLOOKUP(Tabel614[[#This Row],[Score]],'ELO rekenblad'!$H$46,'ELO rekenblad'!$A$46,"")</f>
        <v/>
      </c>
      <c r="R13" s="214" t="str">
        <f>_xlfn.XLOOKUP(Tabel614[[#This Row],[Score]],'ELO rekenblad'!$H$47,'ELO rekenblad'!$A$47,"")</f>
        <v/>
      </c>
      <c r="S13" s="214" t="str">
        <f>_xlfn.XLOOKUP(Tabel614[[#This Row],[Score]],'ELO rekenblad'!$H$48,'ELO rekenblad'!$A$48,"")</f>
        <v/>
      </c>
      <c r="T13" s="214" t="str">
        <f>_xlfn.XLOOKUP(Tabel614[[#This Row],[Score]],'ELO rekenblad'!$H$49,'ELO rekenblad'!$A$49,"")</f>
        <v/>
      </c>
      <c r="U13" s="214" t="str">
        <f>_xlfn.XLOOKUP(Tabel614[[#This Row],[Score]],'ELO rekenblad'!$H$50,'ELO rekenblad'!$A$50,"")</f>
        <v/>
      </c>
      <c r="V13" s="214" t="str">
        <f>_xlfn.XLOOKUP(Tabel614[[#This Row],[Score]],'ELO rekenblad'!$H$51,'ELO rekenblad'!$A$51,"")</f>
        <v/>
      </c>
      <c r="W13" s="214" t="str">
        <f>_xlfn.XLOOKUP(Tabel614[[#This Row],[Score]],'ELO rekenblad'!$H$52,'ELO rekenblad'!$A$52,"")</f>
        <v/>
      </c>
      <c r="X13" s="214" t="str">
        <f>_xlfn.XLOOKUP(Tabel614[[#This Row],[Score]],'ELO rekenblad'!$H$53,'ELO rekenblad'!$A$53,"")</f>
        <v/>
      </c>
      <c r="Y13" s="214" t="str">
        <f>_xlfn.XLOOKUP(Tabel614[[#This Row],[Score]],'ELO rekenblad'!$H$54,'ELO rekenblad'!$A$54,"")</f>
        <v/>
      </c>
      <c r="Z13" s="137" t="str">
        <f>_xlfn.XLOOKUP(Tabel614[[#This Row],[Score]],'ELO rekenblad'!$H$55,'ELO rekenblad'!$A$55,"")</f>
        <v/>
      </c>
    </row>
    <row r="14" spans="11:26" ht="15.75" thickBot="1" x14ac:dyDescent="0.3">
      <c r="K14" s="334"/>
      <c r="L14" s="190">
        <v>1</v>
      </c>
      <c r="M14" s="189">
        <f>M13+'ELO rekenblad'!$Q$2</f>
        <v>1575</v>
      </c>
      <c r="N14" s="184" t="str">
        <f>_xlfn.XLOOKUP(Tabel614[[#This Row],[Score]],'ELO rekenblad'!$H$43,'ELO rekenblad'!$A$43,"")</f>
        <v/>
      </c>
      <c r="O14" s="196" t="str">
        <f>_xlfn.XLOOKUP(Tabel614[[#This Row],[Score]],'ELO rekenblad'!$H$44,'ELO rekenblad'!$A$44,"")</f>
        <v/>
      </c>
      <c r="P14" s="196" t="str">
        <f>_xlfn.XLOOKUP(Tabel614[[#This Row],[Score]],'ELO rekenblad'!$H$45,'ELO rekenblad'!$A$45,"")</f>
        <v/>
      </c>
      <c r="Q14" s="196" t="str">
        <f>_xlfn.XLOOKUP(Tabel614[[#This Row],[Score]],'ELO rekenblad'!$H$46,'ELO rekenblad'!$A$46,"")</f>
        <v/>
      </c>
      <c r="R14" s="196" t="str">
        <f>_xlfn.XLOOKUP(Tabel614[[#This Row],[Score]],'ELO rekenblad'!$H$47,'ELO rekenblad'!$A$47,"")</f>
        <v/>
      </c>
      <c r="S14" s="196" t="str">
        <f>_xlfn.XLOOKUP(Tabel614[[#This Row],[Score]],'ELO rekenblad'!$H$48,'ELO rekenblad'!$A$48,"")</f>
        <v>Matthijs*</v>
      </c>
      <c r="T14" s="196" t="str">
        <f>_xlfn.XLOOKUP(Tabel614[[#This Row],[Score]],'ELO rekenblad'!$H$49,'ELO rekenblad'!$A$49,"")</f>
        <v/>
      </c>
      <c r="U14" s="196" t="str">
        <f>_xlfn.XLOOKUP(Tabel614[[#This Row],[Score]],'ELO rekenblad'!$H$50,'ELO rekenblad'!$A$50,"")</f>
        <v/>
      </c>
      <c r="V14" s="196" t="str">
        <f>_xlfn.XLOOKUP(Tabel614[[#This Row],[Score]],'ELO rekenblad'!$H$51,'ELO rekenblad'!$A$51,"")</f>
        <v/>
      </c>
      <c r="W14" s="196" t="str">
        <f>_xlfn.XLOOKUP(Tabel614[[#This Row],[Score]],'ELO rekenblad'!$H$52,'ELO rekenblad'!$A$52,"")</f>
        <v/>
      </c>
      <c r="X14" s="196" t="str">
        <f>_xlfn.XLOOKUP(Tabel614[[#This Row],[Score]],'ELO rekenblad'!$H$53,'ELO rekenblad'!$A$53,"")</f>
        <v/>
      </c>
      <c r="Y14" s="196" t="str">
        <f>_xlfn.XLOOKUP(Tabel614[[#This Row],[Score]],'ELO rekenblad'!$H$54,'ELO rekenblad'!$A$54,"")</f>
        <v/>
      </c>
      <c r="Z14" s="185" t="str">
        <f>_xlfn.XLOOKUP(Tabel614[[#This Row],[Score]],'ELO rekenblad'!$H$55,'ELO rekenblad'!$A$55,"")</f>
        <v/>
      </c>
    </row>
    <row r="15" spans="11:26" x14ac:dyDescent="0.25">
      <c r="K15" s="329" t="s">
        <v>119</v>
      </c>
      <c r="L15" s="191">
        <v>5</v>
      </c>
      <c r="M15" s="191">
        <f>M14+'ELO rekenblad'!$Q$2</f>
        <v>1750</v>
      </c>
      <c r="N15" s="222" t="str">
        <f>_xlfn.XLOOKUP(Tabel614[[#This Row],[Score]],'ELO rekenblad'!$H$43,'ELO rekenblad'!$A$43,"")</f>
        <v/>
      </c>
      <c r="O15" s="142" t="str">
        <f>_xlfn.XLOOKUP(Tabel614[[#This Row],[Score]],'ELO rekenblad'!$H$44,'ELO rekenblad'!$A$44,"")</f>
        <v/>
      </c>
      <c r="P15" s="142" t="str">
        <f>_xlfn.XLOOKUP(Tabel614[[#This Row],[Score]],'ELO rekenblad'!$H$45,'ELO rekenblad'!$A$45,"")</f>
        <v/>
      </c>
      <c r="Q15" s="142" t="str">
        <f>_xlfn.XLOOKUP(Tabel614[[#This Row],[Score]],'ELO rekenblad'!$H$46,'ELO rekenblad'!$A$46,"")</f>
        <v/>
      </c>
      <c r="R15" s="142" t="str">
        <f>_xlfn.XLOOKUP(Tabel614[[#This Row],[Score]],'ELO rekenblad'!$H$47,'ELO rekenblad'!$A$47,"")</f>
        <v/>
      </c>
      <c r="S15" s="142" t="str">
        <f>_xlfn.XLOOKUP(Tabel614[[#This Row],[Score]],'ELO rekenblad'!$H$48,'ELO rekenblad'!$A$48,"")</f>
        <v/>
      </c>
      <c r="T15" s="142" t="str">
        <f>_xlfn.XLOOKUP(Tabel614[[#This Row],[Score]],'ELO rekenblad'!$H$49,'ELO rekenblad'!$A$49,"")</f>
        <v>Tobi*</v>
      </c>
      <c r="U15" s="142" t="str">
        <f>_xlfn.XLOOKUP(Tabel614[[#This Row],[Score]],'ELO rekenblad'!$H$50,'ELO rekenblad'!$A$50,"")</f>
        <v>Arno*</v>
      </c>
      <c r="V15" s="142" t="str">
        <f>_xlfn.XLOOKUP(Tabel614[[#This Row],[Score]],'ELO rekenblad'!$H$51,'ELO rekenblad'!$A$51,"")</f>
        <v/>
      </c>
      <c r="W15" s="142" t="str">
        <f>_xlfn.XLOOKUP(Tabel614[[#This Row],[Score]],'ELO rekenblad'!$H$52,'ELO rekenblad'!$A$52,"")</f>
        <v>Coghe*</v>
      </c>
      <c r="X15" s="142" t="str">
        <f>_xlfn.XLOOKUP(Tabel614[[#This Row],[Score]],'ELO rekenblad'!$H$53,'ELO rekenblad'!$A$53,"")</f>
        <v>Nico*</v>
      </c>
      <c r="Y15" s="142" t="str">
        <f>_xlfn.XLOOKUP(Tabel614[[#This Row],[Score]],'ELO rekenblad'!$H$54,'ELO rekenblad'!$A$54,"")</f>
        <v>Stijn*</v>
      </c>
      <c r="Z15" s="183" t="str">
        <f>_xlfn.XLOOKUP(Tabel614[[#This Row],[Score]],'ELO rekenblad'!$H$55,'ELO rekenblad'!$A$55,"")</f>
        <v>Alexander*</v>
      </c>
    </row>
    <row r="16" spans="11:26" x14ac:dyDescent="0.25">
      <c r="K16" s="330"/>
      <c r="L16" s="33">
        <v>4</v>
      </c>
      <c r="M16" s="33">
        <f>M15+'ELO rekenblad'!$Q$2</f>
        <v>1925</v>
      </c>
      <c r="N16" s="224" t="str">
        <f>_xlfn.XLOOKUP(Tabel614[[#This Row],[Score]],'ELO rekenblad'!$H$43,'ELO rekenblad'!$A$43,"")</f>
        <v/>
      </c>
      <c r="O16" s="214" t="str">
        <f>_xlfn.XLOOKUP(Tabel614[[#This Row],[Score]],'ELO rekenblad'!$H$44,'ELO rekenblad'!$A$44,"")</f>
        <v/>
      </c>
      <c r="P16" s="214" t="str">
        <f>_xlfn.XLOOKUP(Tabel614[[#This Row],[Score]],'ELO rekenblad'!$H$45,'ELO rekenblad'!$A$45,"")</f>
        <v>Karel*</v>
      </c>
      <c r="Q16" s="214" t="str">
        <f>_xlfn.XLOOKUP(Tabel614[[#This Row],[Score]],'ELO rekenblad'!$H$46,'ELO rekenblad'!$A$46,"")</f>
        <v>Louis*</v>
      </c>
      <c r="R16" s="214" t="str">
        <f>_xlfn.XLOOKUP(Tabel614[[#This Row],[Score]],'ELO rekenblad'!$H$47,'ELO rekenblad'!$A$47,"")</f>
        <v/>
      </c>
      <c r="S16" s="214" t="str">
        <f>_xlfn.XLOOKUP(Tabel614[[#This Row],[Score]],'ELO rekenblad'!$H$48,'ELO rekenblad'!$A$48,"")</f>
        <v/>
      </c>
      <c r="T16" s="214" t="str">
        <f>_xlfn.XLOOKUP(Tabel614[[#This Row],[Score]],'ELO rekenblad'!$H$49,'ELO rekenblad'!$A$49,"")</f>
        <v/>
      </c>
      <c r="U16" s="214" t="str">
        <f>_xlfn.XLOOKUP(Tabel614[[#This Row],[Score]],'ELO rekenblad'!$H$50,'ELO rekenblad'!$A$50,"")</f>
        <v/>
      </c>
      <c r="V16" s="214" t="str">
        <f>_xlfn.XLOOKUP(Tabel614[[#This Row],[Score]],'ELO rekenblad'!$H$51,'ELO rekenblad'!$A$51,"")</f>
        <v>Bert*</v>
      </c>
      <c r="W16" s="214" t="str">
        <f>_xlfn.XLOOKUP(Tabel614[[#This Row],[Score]],'ELO rekenblad'!$H$52,'ELO rekenblad'!$A$52,"")</f>
        <v/>
      </c>
      <c r="X16" s="214" t="str">
        <f>_xlfn.XLOOKUP(Tabel614[[#This Row],[Score]],'ELO rekenblad'!$H$53,'ELO rekenblad'!$A$53,"")</f>
        <v/>
      </c>
      <c r="Y16" s="214" t="str">
        <f>_xlfn.XLOOKUP(Tabel614[[#This Row],[Score]],'ELO rekenblad'!$H$54,'ELO rekenblad'!$A$54,"")</f>
        <v/>
      </c>
      <c r="Z16" s="137" t="str">
        <f>_xlfn.XLOOKUP(Tabel614[[#This Row],[Score]],'ELO rekenblad'!$H$55,'ELO rekenblad'!$A$55,"")</f>
        <v/>
      </c>
    </row>
    <row r="17" spans="11:26" x14ac:dyDescent="0.25">
      <c r="K17" s="330"/>
      <c r="L17" s="33">
        <v>3</v>
      </c>
      <c r="M17" s="33">
        <f>M16+'ELO rekenblad'!$Q$2</f>
        <v>2100</v>
      </c>
      <c r="N17" s="224" t="str">
        <f>_xlfn.XLOOKUP(Tabel614[[#This Row],[Score]],'ELO rekenblad'!$H$43,'ELO rekenblad'!$A$43,"")</f>
        <v/>
      </c>
      <c r="O17" s="214" t="str">
        <f>_xlfn.XLOOKUP(Tabel614[[#This Row],[Score]],'ELO rekenblad'!$H$44,'ELO rekenblad'!$A$44,"")</f>
        <v>Jonas*</v>
      </c>
      <c r="P17" s="214" t="str">
        <f>_xlfn.XLOOKUP(Tabel614[[#This Row],[Score]],'ELO rekenblad'!$H$45,'ELO rekenblad'!$A$45,"")</f>
        <v/>
      </c>
      <c r="Q17" s="214" t="str">
        <f>_xlfn.XLOOKUP(Tabel614[[#This Row],[Score]],'ELO rekenblad'!$H$46,'ELO rekenblad'!$A$46,"")</f>
        <v/>
      </c>
      <c r="R17" s="214" t="str">
        <f>_xlfn.XLOOKUP(Tabel614[[#This Row],[Score]],'ELO rekenblad'!$H$47,'ELO rekenblad'!$A$47,"")</f>
        <v>Tiemen*</v>
      </c>
      <c r="S17" s="214" t="str">
        <f>_xlfn.XLOOKUP(Tabel614[[#This Row],[Score]],'ELO rekenblad'!$H$48,'ELO rekenblad'!$A$48,"")</f>
        <v/>
      </c>
      <c r="T17" s="214" t="str">
        <f>_xlfn.XLOOKUP(Tabel614[[#This Row],[Score]],'ELO rekenblad'!$H$49,'ELO rekenblad'!$A$49,"")</f>
        <v/>
      </c>
      <c r="U17" s="214" t="str">
        <f>_xlfn.XLOOKUP(Tabel614[[#This Row],[Score]],'ELO rekenblad'!$H$50,'ELO rekenblad'!$A$50,"")</f>
        <v/>
      </c>
      <c r="V17" s="214" t="str">
        <f>_xlfn.XLOOKUP(Tabel614[[#This Row],[Score]],'ELO rekenblad'!$H$51,'ELO rekenblad'!$A$51,"")</f>
        <v/>
      </c>
      <c r="W17" s="214" t="str">
        <f>_xlfn.XLOOKUP(Tabel614[[#This Row],[Score]],'ELO rekenblad'!$H$52,'ELO rekenblad'!$A$52,"")</f>
        <v/>
      </c>
      <c r="X17" s="214" t="str">
        <f>_xlfn.XLOOKUP(Tabel614[[#This Row],[Score]],'ELO rekenblad'!$H$53,'ELO rekenblad'!$A$53,"")</f>
        <v/>
      </c>
      <c r="Y17" s="214" t="str">
        <f>_xlfn.XLOOKUP(Tabel614[[#This Row],[Score]],'ELO rekenblad'!$H$54,'ELO rekenblad'!$A$54,"")</f>
        <v/>
      </c>
      <c r="Z17" s="137" t="str">
        <f>_xlfn.XLOOKUP(Tabel614[[#This Row],[Score]],'ELO rekenblad'!$H$55,'ELO rekenblad'!$A$55,"")</f>
        <v/>
      </c>
    </row>
    <row r="18" spans="11:26" x14ac:dyDescent="0.25">
      <c r="K18" s="330"/>
      <c r="L18" s="33">
        <v>2</v>
      </c>
      <c r="M18" s="33">
        <f>M17+'ELO rekenblad'!$Q$2</f>
        <v>2275</v>
      </c>
      <c r="N18" s="224" t="str">
        <f>_xlfn.XLOOKUP(Tabel614[[#This Row],[Score]],'ELO rekenblad'!$H$43,'ELO rekenblad'!$A$43,"")</f>
        <v/>
      </c>
      <c r="O18" s="214" t="str">
        <f>_xlfn.XLOOKUP(Tabel614[[#This Row],[Score]],'ELO rekenblad'!$H$44,'ELO rekenblad'!$A$44,"")</f>
        <v/>
      </c>
      <c r="P18" s="214" t="str">
        <f>_xlfn.XLOOKUP(Tabel614[[#This Row],[Score]],'ELO rekenblad'!$H$45,'ELO rekenblad'!$A$45,"")</f>
        <v/>
      </c>
      <c r="Q18" s="214" t="str">
        <f>_xlfn.XLOOKUP(Tabel614[[#This Row],[Score]],'ELO rekenblad'!$H$46,'ELO rekenblad'!$A$46,"")</f>
        <v/>
      </c>
      <c r="R18" s="214" t="str">
        <f>_xlfn.XLOOKUP(Tabel614[[#This Row],[Score]],'ELO rekenblad'!$H$47,'ELO rekenblad'!$A$47,"")</f>
        <v/>
      </c>
      <c r="S18" s="214" t="str">
        <f>_xlfn.XLOOKUP(Tabel614[[#This Row],[Score]],'ELO rekenblad'!$H$48,'ELO rekenblad'!$A$48,"")</f>
        <v/>
      </c>
      <c r="T18" s="214" t="str">
        <f>_xlfn.XLOOKUP(Tabel614[[#This Row],[Score]],'ELO rekenblad'!$H$49,'ELO rekenblad'!$A$49,"")</f>
        <v/>
      </c>
      <c r="U18" s="214" t="str">
        <f>_xlfn.XLOOKUP(Tabel614[[#This Row],[Score]],'ELO rekenblad'!$H$50,'ELO rekenblad'!$A$50,"")</f>
        <v/>
      </c>
      <c r="V18" s="214" t="str">
        <f>_xlfn.XLOOKUP(Tabel614[[#This Row],[Score]],'ELO rekenblad'!$H$51,'ELO rekenblad'!$A$51,"")</f>
        <v/>
      </c>
      <c r="W18" s="214" t="str">
        <f>_xlfn.XLOOKUP(Tabel614[[#This Row],[Score]],'ELO rekenblad'!$H$52,'ELO rekenblad'!$A$52,"")</f>
        <v/>
      </c>
      <c r="X18" s="214" t="str">
        <f>_xlfn.XLOOKUP(Tabel614[[#This Row],[Score]],'ELO rekenblad'!$H$53,'ELO rekenblad'!$A$53,"")</f>
        <v/>
      </c>
      <c r="Y18" s="214" t="str">
        <f>_xlfn.XLOOKUP(Tabel614[[#This Row],[Score]],'ELO rekenblad'!$H$54,'ELO rekenblad'!$A$54,"")</f>
        <v/>
      </c>
      <c r="Z18" s="137" t="str">
        <f>_xlfn.XLOOKUP(Tabel614[[#This Row],[Score]],'ELO rekenblad'!$H$55,'ELO rekenblad'!$A$55,"")</f>
        <v/>
      </c>
    </row>
    <row r="19" spans="11:26" ht="15.75" thickBot="1" x14ac:dyDescent="0.3">
      <c r="K19" s="331"/>
      <c r="L19" s="33">
        <v>1</v>
      </c>
      <c r="M19" s="33">
        <f>M18+'ELO rekenblad'!$Q$2</f>
        <v>2450</v>
      </c>
      <c r="N19" s="184" t="str">
        <f>_xlfn.XLOOKUP(Tabel614[[#This Row],[Score]],'ELO rekenblad'!$H$43,'ELO rekenblad'!$A$43,"")</f>
        <v/>
      </c>
      <c r="O19" s="196" t="str">
        <f>_xlfn.XLOOKUP(Tabel614[[#This Row],[Score]],'ELO rekenblad'!$H$44,'ELO rekenblad'!$A$44,"")</f>
        <v/>
      </c>
      <c r="P19" s="196" t="str">
        <f>_xlfn.XLOOKUP(Tabel614[[#This Row],[Score]],'ELO rekenblad'!$H$45,'ELO rekenblad'!$A$45,"")</f>
        <v/>
      </c>
      <c r="Q19" s="196" t="str">
        <f>_xlfn.XLOOKUP(Tabel614[[#This Row],[Score]],'ELO rekenblad'!$H$46,'ELO rekenblad'!$A$46,"")</f>
        <v/>
      </c>
      <c r="R19" s="196" t="str">
        <f>_xlfn.XLOOKUP(Tabel614[[#This Row],[Score]],'ELO rekenblad'!$H$47,'ELO rekenblad'!$A$47,"")</f>
        <v/>
      </c>
      <c r="S19" s="196" t="str">
        <f>_xlfn.XLOOKUP(Tabel614[[#This Row],[Score]],'ELO rekenblad'!$H$48,'ELO rekenblad'!$A$48,"")</f>
        <v/>
      </c>
      <c r="T19" s="196" t="str">
        <f>_xlfn.XLOOKUP(Tabel614[[#This Row],[Score]],'ELO rekenblad'!$H$49,'ELO rekenblad'!$A$49,"")</f>
        <v/>
      </c>
      <c r="U19" s="196" t="str">
        <f>_xlfn.XLOOKUP(Tabel614[[#This Row],[Score]],'ELO rekenblad'!$H$50,'ELO rekenblad'!$A$50,"")</f>
        <v/>
      </c>
      <c r="V19" s="196" t="str">
        <f>_xlfn.XLOOKUP(Tabel614[[#This Row],[Score]],'ELO rekenblad'!$H$51,'ELO rekenblad'!$A$51,"")</f>
        <v/>
      </c>
      <c r="W19" s="196" t="str">
        <f>_xlfn.XLOOKUP(Tabel614[[#This Row],[Score]],'ELO rekenblad'!$H$52,'ELO rekenblad'!$A$52,"")</f>
        <v/>
      </c>
      <c r="X19" s="196" t="str">
        <f>_xlfn.XLOOKUP(Tabel614[[#This Row],[Score]],'ELO rekenblad'!$H$53,'ELO rekenblad'!$A$53,"")</f>
        <v/>
      </c>
      <c r="Y19" s="196" t="str">
        <f>_xlfn.XLOOKUP(Tabel614[[#This Row],[Score]],'ELO rekenblad'!$H$54,'ELO rekenblad'!$A$54,"")</f>
        <v/>
      </c>
      <c r="Z19" s="185" t="str">
        <f>_xlfn.XLOOKUP(Tabel614[[#This Row],[Score]],'ELO rekenblad'!$H$55,'ELO rekenblad'!$A$55,"")</f>
        <v/>
      </c>
    </row>
    <row r="20" spans="11:26" x14ac:dyDescent="0.25">
      <c r="K20" s="326" t="s">
        <v>120</v>
      </c>
      <c r="L20" s="192">
        <v>5</v>
      </c>
      <c r="M20" s="312">
        <f>M19+'ELO rekenblad'!$Q$2</f>
        <v>2625</v>
      </c>
      <c r="N20" s="142" t="str">
        <f>_xlfn.XLOOKUP(Tabel614[[#This Row],[Score]],'ELO rekenblad'!$H$43,'ELO rekenblad'!$A$43,"")</f>
        <v>Stef*</v>
      </c>
      <c r="O20" s="142" t="str">
        <f>_xlfn.XLOOKUP(Tabel614[[#This Row],[Score]],'ELO rekenblad'!$H$44,'ELO rekenblad'!$A$44,"")</f>
        <v/>
      </c>
      <c r="P20" s="142" t="str">
        <f>_xlfn.XLOOKUP(Tabel614[[#This Row],[Score]],'ELO rekenblad'!$H$45,'ELO rekenblad'!$A$45,"")</f>
        <v/>
      </c>
      <c r="Q20" s="142" t="str">
        <f>_xlfn.XLOOKUP(Tabel614[[#This Row],[Score]],'ELO rekenblad'!$H$46,'ELO rekenblad'!$A$46,"")</f>
        <v/>
      </c>
      <c r="R20" s="142" t="str">
        <f>_xlfn.XLOOKUP(Tabel614[[#This Row],[Score]],'ELO rekenblad'!$H$47,'ELO rekenblad'!$A$47,"")</f>
        <v/>
      </c>
      <c r="S20" s="142" t="str">
        <f>_xlfn.XLOOKUP(Tabel614[[#This Row],[Score]],'ELO rekenblad'!$H$48,'ELO rekenblad'!$A$48,"")</f>
        <v/>
      </c>
      <c r="T20" s="142" t="str">
        <f>_xlfn.XLOOKUP(Tabel614[[#This Row],[Score]],'ELO rekenblad'!$H$49,'ELO rekenblad'!$A$49,"")</f>
        <v/>
      </c>
      <c r="U20" s="142" t="str">
        <f>_xlfn.XLOOKUP(Tabel614[[#This Row],[Score]],'ELO rekenblad'!$H$50,'ELO rekenblad'!$A$50,"")</f>
        <v/>
      </c>
      <c r="V20" s="142" t="str">
        <f>_xlfn.XLOOKUP(Tabel614[[#This Row],[Score]],'ELO rekenblad'!$H$51,'ELO rekenblad'!$A$51,"")</f>
        <v/>
      </c>
      <c r="W20" s="142" t="str">
        <f>_xlfn.XLOOKUP(Tabel614[[#This Row],[Score]],'ELO rekenblad'!$H$52,'ELO rekenblad'!$A$52,"")</f>
        <v/>
      </c>
      <c r="X20" s="142" t="str">
        <f>_xlfn.XLOOKUP(Tabel614[[#This Row],[Score]],'ELO rekenblad'!$H$53,'ELO rekenblad'!$A$53,"")</f>
        <v/>
      </c>
      <c r="Y20" s="142" t="str">
        <f>_xlfn.XLOOKUP(Tabel614[[#This Row],[Score]],'ELO rekenblad'!$H$54,'ELO rekenblad'!$A$54,"")</f>
        <v/>
      </c>
      <c r="Z20" s="183" t="str">
        <f>_xlfn.XLOOKUP(Tabel614[[#This Row],[Score]],'ELO rekenblad'!$H$55,'ELO rekenblad'!$A$55,"")</f>
        <v/>
      </c>
    </row>
    <row r="21" spans="11:26" x14ac:dyDescent="0.25">
      <c r="K21" s="327"/>
      <c r="L21" s="193">
        <v>4</v>
      </c>
      <c r="M21" s="313">
        <f>M20+'ELO rekenblad'!$Q$2</f>
        <v>2800</v>
      </c>
      <c r="N21" s="214" t="str">
        <f>_xlfn.XLOOKUP(Tabel614[[#This Row],[Score]],'ELO rekenblad'!$H$43,'ELO rekenblad'!$A$43,"")</f>
        <v/>
      </c>
      <c r="O21" s="214" t="str">
        <f>_xlfn.XLOOKUP(Tabel614[[#This Row],[Score]],'ELO rekenblad'!$H$44,'ELO rekenblad'!$A$44,"")</f>
        <v/>
      </c>
      <c r="P21" s="214" t="str">
        <f>_xlfn.XLOOKUP(Tabel614[[#This Row],[Score]],'ELO rekenblad'!$H$45,'ELO rekenblad'!$A$45,"")</f>
        <v/>
      </c>
      <c r="Q21" s="214" t="str">
        <f>_xlfn.XLOOKUP(Tabel614[[#This Row],[Score]],'ELO rekenblad'!$H$46,'ELO rekenblad'!$A$46,"")</f>
        <v/>
      </c>
      <c r="R21" s="214" t="str">
        <f>_xlfn.XLOOKUP(Tabel614[[#This Row],[Score]],'ELO rekenblad'!$H$47,'ELO rekenblad'!$A$47,"")</f>
        <v/>
      </c>
      <c r="S21" s="214" t="str">
        <f>_xlfn.XLOOKUP(Tabel614[[#This Row],[Score]],'ELO rekenblad'!$H$48,'ELO rekenblad'!$A$48,"")</f>
        <v/>
      </c>
      <c r="T21" s="214" t="str">
        <f>_xlfn.XLOOKUP(Tabel614[[#This Row],[Score]],'ELO rekenblad'!$H$49,'ELO rekenblad'!$A$49,"")</f>
        <v/>
      </c>
      <c r="U21" s="214" t="str">
        <f>_xlfn.XLOOKUP(Tabel614[[#This Row],[Score]],'ELO rekenblad'!$H$50,'ELO rekenblad'!$A$50,"")</f>
        <v/>
      </c>
      <c r="V21" s="214" t="str">
        <f>_xlfn.XLOOKUP(Tabel614[[#This Row],[Score]],'ELO rekenblad'!$H$51,'ELO rekenblad'!$A$51,"")</f>
        <v/>
      </c>
      <c r="W21" s="214" t="str">
        <f>_xlfn.XLOOKUP(Tabel614[[#This Row],[Score]],'ELO rekenblad'!$H$52,'ELO rekenblad'!$A$52,"")</f>
        <v/>
      </c>
      <c r="X21" s="214" t="str">
        <f>_xlfn.XLOOKUP(Tabel614[[#This Row],[Score]],'ELO rekenblad'!$H$53,'ELO rekenblad'!$A$53,"")</f>
        <v/>
      </c>
      <c r="Y21" s="214" t="str">
        <f>_xlfn.XLOOKUP(Tabel614[[#This Row],[Score]],'ELO rekenblad'!$H$54,'ELO rekenblad'!$A$54,"")</f>
        <v/>
      </c>
      <c r="Z21" s="137" t="str">
        <f>_xlfn.XLOOKUP(Tabel614[[#This Row],[Score]],'ELO rekenblad'!$H$55,'ELO rekenblad'!$A$55,"")</f>
        <v/>
      </c>
    </row>
    <row r="22" spans="11:26" x14ac:dyDescent="0.25">
      <c r="K22" s="327"/>
      <c r="L22" s="193">
        <v>3</v>
      </c>
      <c r="M22" s="313">
        <f>M21+'ELO rekenblad'!$Q$2</f>
        <v>2975</v>
      </c>
      <c r="N22" s="214" t="str">
        <f>_xlfn.XLOOKUP(Tabel614[[#This Row],[Score]],'ELO rekenblad'!$H$43,'ELO rekenblad'!$A$43,"")</f>
        <v/>
      </c>
      <c r="O22" s="214" t="str">
        <f>_xlfn.XLOOKUP(Tabel614[[#This Row],[Score]],'ELO rekenblad'!$H$44,'ELO rekenblad'!$A$44,"")</f>
        <v/>
      </c>
      <c r="P22" s="214" t="str">
        <f>_xlfn.XLOOKUP(Tabel614[[#This Row],[Score]],'ELO rekenblad'!$H$45,'ELO rekenblad'!$A$45,"")</f>
        <v/>
      </c>
      <c r="Q22" s="214" t="str">
        <f>_xlfn.XLOOKUP(Tabel614[[#This Row],[Score]],'ELO rekenblad'!$H$46,'ELO rekenblad'!$A$46,"")</f>
        <v/>
      </c>
      <c r="R22" s="214" t="str">
        <f>_xlfn.XLOOKUP(Tabel614[[#This Row],[Score]],'ELO rekenblad'!$H$47,'ELO rekenblad'!$A$47,"")</f>
        <v/>
      </c>
      <c r="S22" s="214" t="str">
        <f>_xlfn.XLOOKUP(Tabel614[[#This Row],[Score]],'ELO rekenblad'!$H$48,'ELO rekenblad'!$A$48,"")</f>
        <v/>
      </c>
      <c r="T22" s="214" t="str">
        <f>_xlfn.XLOOKUP(Tabel614[[#This Row],[Score]],'ELO rekenblad'!$H$49,'ELO rekenblad'!$A$49,"")</f>
        <v/>
      </c>
      <c r="U22" s="214" t="str">
        <f>_xlfn.XLOOKUP(Tabel614[[#This Row],[Score]],'ELO rekenblad'!$H$50,'ELO rekenblad'!$A$50,"")</f>
        <v/>
      </c>
      <c r="V22" s="214" t="str">
        <f>_xlfn.XLOOKUP(Tabel614[[#This Row],[Score]],'ELO rekenblad'!$H$51,'ELO rekenblad'!$A$51,"")</f>
        <v/>
      </c>
      <c r="W22" s="214" t="str">
        <f>_xlfn.XLOOKUP(Tabel614[[#This Row],[Score]],'ELO rekenblad'!$H$52,'ELO rekenblad'!$A$52,"")</f>
        <v/>
      </c>
      <c r="X22" s="214" t="str">
        <f>_xlfn.XLOOKUP(Tabel614[[#This Row],[Score]],'ELO rekenblad'!$H$53,'ELO rekenblad'!$A$53,"")</f>
        <v/>
      </c>
      <c r="Y22" s="214" t="str">
        <f>_xlfn.XLOOKUP(Tabel614[[#This Row],[Score]],'ELO rekenblad'!$H$54,'ELO rekenblad'!$A$54,"")</f>
        <v/>
      </c>
      <c r="Z22" s="137" t="str">
        <f>_xlfn.XLOOKUP(Tabel614[[#This Row],[Score]],'ELO rekenblad'!$H$55,'ELO rekenblad'!$A$55,"")</f>
        <v/>
      </c>
    </row>
    <row r="23" spans="11:26" x14ac:dyDescent="0.25">
      <c r="K23" s="327"/>
      <c r="L23" s="193">
        <v>2</v>
      </c>
      <c r="M23" s="313">
        <f>M22+'ELO rekenblad'!$Q$2</f>
        <v>3150</v>
      </c>
      <c r="N23" s="214" t="str">
        <f>_xlfn.XLOOKUP(Tabel614[[#This Row],[Score]],'ELO rekenblad'!$H$43,'ELO rekenblad'!$A$43,"")</f>
        <v/>
      </c>
      <c r="O23" s="214" t="str">
        <f>_xlfn.XLOOKUP(Tabel614[[#This Row],[Score]],'ELO rekenblad'!$H$44,'ELO rekenblad'!$A$44,"")</f>
        <v/>
      </c>
      <c r="P23" s="214" t="str">
        <f>_xlfn.XLOOKUP(Tabel614[[#This Row],[Score]],'ELO rekenblad'!$H$45,'ELO rekenblad'!$A$45,"")</f>
        <v/>
      </c>
      <c r="Q23" s="214" t="str">
        <f>_xlfn.XLOOKUP(Tabel614[[#This Row],[Score]],'ELO rekenblad'!$H$46,'ELO rekenblad'!$A$46,"")</f>
        <v/>
      </c>
      <c r="R23" s="214" t="str">
        <f>_xlfn.XLOOKUP(Tabel614[[#This Row],[Score]],'ELO rekenblad'!$H$47,'ELO rekenblad'!$A$47,"")</f>
        <v/>
      </c>
      <c r="S23" s="214" t="str">
        <f>_xlfn.XLOOKUP(Tabel614[[#This Row],[Score]],'ELO rekenblad'!$H$48,'ELO rekenblad'!$A$48,"")</f>
        <v/>
      </c>
      <c r="T23" s="214" t="str">
        <f>_xlfn.XLOOKUP(Tabel614[[#This Row],[Score]],'ELO rekenblad'!$H$49,'ELO rekenblad'!$A$49,"")</f>
        <v/>
      </c>
      <c r="U23" s="214" t="str">
        <f>_xlfn.XLOOKUP(Tabel614[[#This Row],[Score]],'ELO rekenblad'!$H$50,'ELO rekenblad'!$A$50,"")</f>
        <v/>
      </c>
      <c r="V23" s="214" t="str">
        <f>_xlfn.XLOOKUP(Tabel614[[#This Row],[Score]],'ELO rekenblad'!$H$51,'ELO rekenblad'!$A$51,"")</f>
        <v/>
      </c>
      <c r="W23" s="214" t="str">
        <f>_xlfn.XLOOKUP(Tabel614[[#This Row],[Score]],'ELO rekenblad'!$H$52,'ELO rekenblad'!$A$52,"")</f>
        <v/>
      </c>
      <c r="X23" s="214" t="str">
        <f>_xlfn.XLOOKUP(Tabel614[[#This Row],[Score]],'ELO rekenblad'!$H$53,'ELO rekenblad'!$A$53,"")</f>
        <v/>
      </c>
      <c r="Y23" s="214" t="str">
        <f>_xlfn.XLOOKUP(Tabel614[[#This Row],[Score]],'ELO rekenblad'!$H$54,'ELO rekenblad'!$A$54,"")</f>
        <v/>
      </c>
      <c r="Z23" s="137" t="str">
        <f>_xlfn.XLOOKUP(Tabel614[[#This Row],[Score]],'ELO rekenblad'!$H$55,'ELO rekenblad'!$A$55,"")</f>
        <v/>
      </c>
    </row>
    <row r="24" spans="11:26" ht="15.75" thickBot="1" x14ac:dyDescent="0.3">
      <c r="K24" s="328"/>
      <c r="L24" s="193">
        <v>1</v>
      </c>
      <c r="M24" s="313">
        <f>M23+'ELO rekenblad'!$Q$2</f>
        <v>3325</v>
      </c>
      <c r="N24" s="196" t="str">
        <f>_xlfn.XLOOKUP(Tabel614[[#This Row],[Score]],'ELO rekenblad'!$H$43,'ELO rekenblad'!$A$43,"")</f>
        <v/>
      </c>
      <c r="O24" s="196" t="str">
        <f>_xlfn.XLOOKUP(Tabel614[[#This Row],[Score]],'ELO rekenblad'!$H$44,'ELO rekenblad'!$A$44,"")</f>
        <v/>
      </c>
      <c r="P24" s="196" t="str">
        <f>_xlfn.XLOOKUP(Tabel614[[#This Row],[Score]],'ELO rekenblad'!$H$45,'ELO rekenblad'!$A$45,"")</f>
        <v/>
      </c>
      <c r="Q24" s="196" t="str">
        <f>_xlfn.XLOOKUP(Tabel614[[#This Row],[Score]],'ELO rekenblad'!$H$46,'ELO rekenblad'!$A$46,"")</f>
        <v/>
      </c>
      <c r="R24" s="196" t="str">
        <f>_xlfn.XLOOKUP(Tabel614[[#This Row],[Score]],'ELO rekenblad'!$H$47,'ELO rekenblad'!$A$47,"")</f>
        <v/>
      </c>
      <c r="S24" s="196" t="str">
        <f>_xlfn.XLOOKUP(Tabel614[[#This Row],[Score]],'ELO rekenblad'!$H$48,'ELO rekenblad'!$A$48,"")</f>
        <v/>
      </c>
      <c r="T24" s="196" t="str">
        <f>_xlfn.XLOOKUP(Tabel614[[#This Row],[Score]],'ELO rekenblad'!$H$49,'ELO rekenblad'!$A$49,"")</f>
        <v/>
      </c>
      <c r="U24" s="196" t="str">
        <f>_xlfn.XLOOKUP(Tabel614[[#This Row],[Score]],'ELO rekenblad'!$H$50,'ELO rekenblad'!$A$50,"")</f>
        <v/>
      </c>
      <c r="V24" s="196" t="str">
        <f>_xlfn.XLOOKUP(Tabel614[[#This Row],[Score]],'ELO rekenblad'!$H$51,'ELO rekenblad'!$A$51,"")</f>
        <v/>
      </c>
      <c r="W24" s="196" t="str">
        <f>_xlfn.XLOOKUP(Tabel614[[#This Row],[Score]],'ELO rekenblad'!$H$52,'ELO rekenblad'!$A$52,"")</f>
        <v/>
      </c>
      <c r="X24" s="196" t="str">
        <f>_xlfn.XLOOKUP(Tabel614[[#This Row],[Score]],'ELO rekenblad'!$H$53,'ELO rekenblad'!$A$53,"")</f>
        <v/>
      </c>
      <c r="Y24" s="196" t="str">
        <f>_xlfn.XLOOKUP(Tabel614[[#This Row],[Score]],'ELO rekenblad'!$H$54,'ELO rekenblad'!$A$54,"")</f>
        <v/>
      </c>
      <c r="Z24" s="185" t="str">
        <f>_xlfn.XLOOKUP(Tabel614[[#This Row],[Score]],'ELO rekenblad'!$H$55,'ELO rekenblad'!$A$55,"")</f>
        <v/>
      </c>
    </row>
    <row r="25" spans="11:26" ht="16.5" thickBot="1" x14ac:dyDescent="0.3">
      <c r="K25" s="323" t="s">
        <v>156</v>
      </c>
      <c r="L25" s="194">
        <v>5</v>
      </c>
      <c r="M25" s="314">
        <f>M24+'ELO rekenblad'!$Q$2</f>
        <v>3500</v>
      </c>
      <c r="N25" s="142" t="str">
        <f>_xlfn.XLOOKUP(Tabel614[[#This Row],[Score]],'ELO rekenblad'!$H$43,'ELO rekenblad'!$A$43,"")</f>
        <v/>
      </c>
      <c r="O25" s="142" t="str">
        <f>_xlfn.XLOOKUP(Tabel614[[#This Row],[Score]],'ELO rekenblad'!$H$44,'ELO rekenblad'!$A$44,"")</f>
        <v/>
      </c>
      <c r="P25" s="142" t="str">
        <f>_xlfn.XLOOKUP(Tabel614[[#This Row],[Score]],'ELO rekenblad'!$H$45,'ELO rekenblad'!$A$45,"")</f>
        <v/>
      </c>
      <c r="Q25" s="142" t="str">
        <f>_xlfn.XLOOKUP(Tabel614[[#This Row],[Score]],'ELO rekenblad'!$H$46,'ELO rekenblad'!$A$46,"")</f>
        <v/>
      </c>
      <c r="R25" s="142" t="str">
        <f>_xlfn.XLOOKUP(Tabel614[[#This Row],[Score]],'ELO rekenblad'!$H$47,'ELO rekenblad'!$A$47,"")</f>
        <v/>
      </c>
      <c r="S25" s="142" t="str">
        <f>_xlfn.XLOOKUP(Tabel614[[#This Row],[Score]],'ELO rekenblad'!$H$48,'ELO rekenblad'!$A$48,"")</f>
        <v/>
      </c>
      <c r="T25" s="142" t="str">
        <f>_xlfn.XLOOKUP(Tabel614[[#This Row],[Score]],'ELO rekenblad'!$H$49,'ELO rekenblad'!$A$49,"")</f>
        <v/>
      </c>
      <c r="U25" s="142" t="str">
        <f>_xlfn.XLOOKUP(Tabel614[[#This Row],[Score]],'ELO rekenblad'!$H$50,'ELO rekenblad'!$A$50,"")</f>
        <v/>
      </c>
      <c r="V25" s="142" t="str">
        <f>_xlfn.XLOOKUP(Tabel614[[#This Row],[Score]],'ELO rekenblad'!$H$51,'ELO rekenblad'!$A$51,"")</f>
        <v/>
      </c>
      <c r="W25" s="142" t="str">
        <f>_xlfn.XLOOKUP(Tabel614[[#This Row],[Score]],'ELO rekenblad'!$H$52,'ELO rekenblad'!$A$52,"")</f>
        <v/>
      </c>
      <c r="X25" s="142" t="str">
        <f>_xlfn.XLOOKUP(Tabel614[[#This Row],[Score]],'ELO rekenblad'!$H$53,'ELO rekenblad'!$A$53,"")</f>
        <v/>
      </c>
      <c r="Y25" s="142" t="str">
        <f>_xlfn.XLOOKUP(Tabel614[[#This Row],[Score]],'ELO rekenblad'!$H$54,'ELO rekenblad'!$A$54,"")</f>
        <v/>
      </c>
      <c r="Z25" s="183" t="str">
        <f>_xlfn.XLOOKUP(Tabel614[[#This Row],[Score]],'ELO rekenblad'!$H$55,'ELO rekenblad'!$A$55,"")</f>
        <v/>
      </c>
    </row>
    <row r="26" spans="11:26" ht="16.5" thickBot="1" x14ac:dyDescent="0.3">
      <c r="K26" s="324"/>
      <c r="L26" s="195">
        <v>4</v>
      </c>
      <c r="M26" s="315">
        <f>M25+'ELO rekenblad'!$Q$2</f>
        <v>3675</v>
      </c>
      <c r="N26" s="214" t="str">
        <f>_xlfn.XLOOKUP(Tabel614[[#This Row],[Score]],'ELO rekenblad'!$H$43,'ELO rekenblad'!$A$43,"")</f>
        <v/>
      </c>
      <c r="O26" s="214" t="str">
        <f>_xlfn.XLOOKUP(Tabel614[[#This Row],[Score]],'ELO rekenblad'!$H$44,'ELO rekenblad'!$A$44,"")</f>
        <v/>
      </c>
      <c r="P26" s="214" t="str">
        <f>_xlfn.XLOOKUP(Tabel614[[#This Row],[Score]],'ELO rekenblad'!$H$45,'ELO rekenblad'!$A$45,"")</f>
        <v/>
      </c>
      <c r="Q26" s="214" t="str">
        <f>_xlfn.XLOOKUP(Tabel614[[#This Row],[Score]],'ELO rekenblad'!$H$46,'ELO rekenblad'!$A$46,"")</f>
        <v/>
      </c>
      <c r="R26" s="214" t="str">
        <f>_xlfn.XLOOKUP(Tabel614[[#This Row],[Score]],'ELO rekenblad'!$H$47,'ELO rekenblad'!$A$47,"")</f>
        <v/>
      </c>
      <c r="S26" s="214" t="str">
        <f>_xlfn.XLOOKUP(Tabel614[[#This Row],[Score]],'ELO rekenblad'!$H$48,'ELO rekenblad'!$A$48,"")</f>
        <v/>
      </c>
      <c r="T26" s="214" t="str">
        <f>_xlfn.XLOOKUP(Tabel614[[#This Row],[Score]],'ELO rekenblad'!$H$49,'ELO rekenblad'!$A$49,"")</f>
        <v/>
      </c>
      <c r="U26" s="214" t="str">
        <f>_xlfn.XLOOKUP(Tabel614[[#This Row],[Score]],'ELO rekenblad'!$H$50,'ELO rekenblad'!$A$50,"")</f>
        <v/>
      </c>
      <c r="V26" s="214" t="str">
        <f>_xlfn.XLOOKUP(Tabel614[[#This Row],[Score]],'ELO rekenblad'!$H$51,'ELO rekenblad'!$A$51,"")</f>
        <v/>
      </c>
      <c r="W26" s="214" t="str">
        <f>_xlfn.XLOOKUP(Tabel614[[#This Row],[Score]],'ELO rekenblad'!$H$52,'ELO rekenblad'!$A$52,"")</f>
        <v/>
      </c>
      <c r="X26" s="214" t="str">
        <f>_xlfn.XLOOKUP(Tabel614[[#This Row],[Score]],'ELO rekenblad'!$H$53,'ELO rekenblad'!$A$53,"")</f>
        <v/>
      </c>
      <c r="Y26" s="214" t="str">
        <f>_xlfn.XLOOKUP(Tabel614[[#This Row],[Score]],'ELO rekenblad'!$H$54,'ELO rekenblad'!$A$54,"")</f>
        <v/>
      </c>
      <c r="Z26" s="137" t="str">
        <f>_xlfn.XLOOKUP(Tabel614[[#This Row],[Score]],'ELO rekenblad'!$H$55,'ELO rekenblad'!$A$55,"")</f>
        <v/>
      </c>
    </row>
    <row r="27" spans="11:26" ht="16.5" thickBot="1" x14ac:dyDescent="0.3">
      <c r="K27" s="324"/>
      <c r="L27" s="195">
        <v>3</v>
      </c>
      <c r="M27" s="315">
        <f>M26+'ELO rekenblad'!$Q$2</f>
        <v>3850</v>
      </c>
      <c r="N27" s="214" t="str">
        <f>_xlfn.XLOOKUP(Tabel614[[#This Row],[Score]],'ELO rekenblad'!$H$43,'ELO rekenblad'!$A$43,"")</f>
        <v/>
      </c>
      <c r="O27" s="214" t="str">
        <f>_xlfn.XLOOKUP(Tabel614[[#This Row],[Score]],'ELO rekenblad'!$H$44,'ELO rekenblad'!$A$44,"")</f>
        <v/>
      </c>
      <c r="P27" s="214" t="str">
        <f>_xlfn.XLOOKUP(Tabel614[[#This Row],[Score]],'ELO rekenblad'!$H$45,'ELO rekenblad'!$A$45,"")</f>
        <v/>
      </c>
      <c r="Q27" s="214" t="str">
        <f>_xlfn.XLOOKUP(Tabel614[[#This Row],[Score]],'ELO rekenblad'!$H$46,'ELO rekenblad'!$A$46,"")</f>
        <v/>
      </c>
      <c r="R27" s="214" t="str">
        <f>_xlfn.XLOOKUP(Tabel614[[#This Row],[Score]],'ELO rekenblad'!$H$47,'ELO rekenblad'!$A$47,"")</f>
        <v/>
      </c>
      <c r="S27" s="214" t="str">
        <f>_xlfn.XLOOKUP(Tabel614[[#This Row],[Score]],'ELO rekenblad'!$H$48,'ELO rekenblad'!$A$48,"")</f>
        <v/>
      </c>
      <c r="T27" s="214" t="str">
        <f>_xlfn.XLOOKUP(Tabel614[[#This Row],[Score]],'ELO rekenblad'!$H$49,'ELO rekenblad'!$A$49,"")</f>
        <v/>
      </c>
      <c r="U27" s="214" t="str">
        <f>_xlfn.XLOOKUP(Tabel614[[#This Row],[Score]],'ELO rekenblad'!$H$50,'ELO rekenblad'!$A$50,"")</f>
        <v/>
      </c>
      <c r="V27" s="214" t="str">
        <f>_xlfn.XLOOKUP(Tabel614[[#This Row],[Score]],'ELO rekenblad'!$H$51,'ELO rekenblad'!$A$51,"")</f>
        <v/>
      </c>
      <c r="W27" s="214" t="str">
        <f>_xlfn.XLOOKUP(Tabel614[[#This Row],[Score]],'ELO rekenblad'!$H$52,'ELO rekenblad'!$A$52,"")</f>
        <v/>
      </c>
      <c r="X27" s="214" t="str">
        <f>_xlfn.XLOOKUP(Tabel614[[#This Row],[Score]],'ELO rekenblad'!$H$53,'ELO rekenblad'!$A$53,"")</f>
        <v/>
      </c>
      <c r="Y27" s="214" t="str">
        <f>_xlfn.XLOOKUP(Tabel614[[#This Row],[Score]],'ELO rekenblad'!$H$54,'ELO rekenblad'!$A$54,"")</f>
        <v/>
      </c>
      <c r="Z27" s="137" t="str">
        <f>_xlfn.XLOOKUP(Tabel614[[#This Row],[Score]],'ELO rekenblad'!$H$55,'ELO rekenblad'!$A$55,"")</f>
        <v/>
      </c>
    </row>
    <row r="28" spans="11:26" ht="16.5" thickBot="1" x14ac:dyDescent="0.3">
      <c r="K28" s="324"/>
      <c r="L28" s="195">
        <v>2</v>
      </c>
      <c r="M28" s="315">
        <f>M27+'ELO rekenblad'!$Q$2</f>
        <v>4025</v>
      </c>
      <c r="N28" s="214" t="str">
        <f>_xlfn.XLOOKUP(Tabel614[[#This Row],[Score]],'ELO rekenblad'!$H$43,'ELO rekenblad'!$A$43,"")</f>
        <v/>
      </c>
      <c r="O28" s="214" t="str">
        <f>_xlfn.XLOOKUP(Tabel614[[#This Row],[Score]],'ELO rekenblad'!$H$44,'ELO rekenblad'!$A$44,"")</f>
        <v/>
      </c>
      <c r="P28" s="214" t="str">
        <f>_xlfn.XLOOKUP(Tabel614[[#This Row],[Score]],'ELO rekenblad'!$H$45,'ELO rekenblad'!$A$45,"")</f>
        <v/>
      </c>
      <c r="Q28" s="214" t="str">
        <f>_xlfn.XLOOKUP(Tabel614[[#This Row],[Score]],'ELO rekenblad'!$H$46,'ELO rekenblad'!$A$46,"")</f>
        <v/>
      </c>
      <c r="R28" s="214" t="str">
        <f>_xlfn.XLOOKUP(Tabel614[[#This Row],[Score]],'ELO rekenblad'!$H$47,'ELO rekenblad'!$A$47,"")</f>
        <v/>
      </c>
      <c r="S28" s="214" t="str">
        <f>_xlfn.XLOOKUP(Tabel614[[#This Row],[Score]],'ELO rekenblad'!$H$48,'ELO rekenblad'!$A$48,"")</f>
        <v/>
      </c>
      <c r="T28" s="214" t="str">
        <f>_xlfn.XLOOKUP(Tabel614[[#This Row],[Score]],'ELO rekenblad'!$H$49,'ELO rekenblad'!$A$49,"")</f>
        <v/>
      </c>
      <c r="U28" s="214" t="str">
        <f>_xlfn.XLOOKUP(Tabel614[[#This Row],[Score]],'ELO rekenblad'!$H$50,'ELO rekenblad'!$A$50,"")</f>
        <v/>
      </c>
      <c r="V28" s="214" t="str">
        <f>_xlfn.XLOOKUP(Tabel614[[#This Row],[Score]],'ELO rekenblad'!$H$51,'ELO rekenblad'!$A$51,"")</f>
        <v/>
      </c>
      <c r="W28" s="214" t="str">
        <f>_xlfn.XLOOKUP(Tabel614[[#This Row],[Score]],'ELO rekenblad'!$H$52,'ELO rekenblad'!$A$52,"")</f>
        <v/>
      </c>
      <c r="X28" s="214" t="str">
        <f>_xlfn.XLOOKUP(Tabel614[[#This Row],[Score]],'ELO rekenblad'!$H$53,'ELO rekenblad'!$A$53,"")</f>
        <v/>
      </c>
      <c r="Y28" s="214" t="str">
        <f>_xlfn.XLOOKUP(Tabel614[[#This Row],[Score]],'ELO rekenblad'!$H$54,'ELO rekenblad'!$A$54,"")</f>
        <v/>
      </c>
      <c r="Z28" s="137" t="str">
        <f>_xlfn.XLOOKUP(Tabel614[[#This Row],[Score]],'ELO rekenblad'!$H$55,'ELO rekenblad'!$A$55,"")</f>
        <v/>
      </c>
    </row>
    <row r="29" spans="11:26" ht="16.5" thickBot="1" x14ac:dyDescent="0.3">
      <c r="K29" s="325"/>
      <c r="L29" s="195">
        <v>1</v>
      </c>
      <c r="M29" s="315">
        <f>M28+'ELO rekenblad'!$Q$2</f>
        <v>4200</v>
      </c>
      <c r="N29" s="214" t="str">
        <f>_xlfn.XLOOKUP(Tabel614[[#This Row],[Score]],'ELO rekenblad'!$H$43,'ELO rekenblad'!$A$43,"")</f>
        <v/>
      </c>
      <c r="O29" s="214" t="str">
        <f>_xlfn.XLOOKUP(Tabel614[[#This Row],[Score]],'ELO rekenblad'!$H$44,'ELO rekenblad'!$A$44,"")</f>
        <v/>
      </c>
      <c r="P29" s="214" t="str">
        <f>_xlfn.XLOOKUP(Tabel614[[#This Row],[Score]],'ELO rekenblad'!$H$45,'ELO rekenblad'!$A$45,"")</f>
        <v/>
      </c>
      <c r="Q29" s="214" t="str">
        <f>_xlfn.XLOOKUP(Tabel614[[#This Row],[Score]],'ELO rekenblad'!$H$46,'ELO rekenblad'!$A$46,"")</f>
        <v/>
      </c>
      <c r="R29" s="214" t="str">
        <f>_xlfn.XLOOKUP(Tabel614[[#This Row],[Score]],'ELO rekenblad'!$H$47,'ELO rekenblad'!$A$47,"")</f>
        <v/>
      </c>
      <c r="S29" s="214" t="str">
        <f>_xlfn.XLOOKUP(Tabel614[[#This Row],[Score]],'ELO rekenblad'!$H$48,'ELO rekenblad'!$A$48,"")</f>
        <v/>
      </c>
      <c r="T29" s="214" t="str">
        <f>_xlfn.XLOOKUP(Tabel614[[#This Row],[Score]],'ELO rekenblad'!$H$49,'ELO rekenblad'!$A$49,"")</f>
        <v/>
      </c>
      <c r="U29" s="214" t="str">
        <f>_xlfn.XLOOKUP(Tabel614[[#This Row],[Score]],'ELO rekenblad'!$H$50,'ELO rekenblad'!$A$50,"")</f>
        <v/>
      </c>
      <c r="V29" s="214" t="str">
        <f>_xlfn.XLOOKUP(Tabel614[[#This Row],[Score]],'ELO rekenblad'!$H$51,'ELO rekenblad'!$A$51,"")</f>
        <v/>
      </c>
      <c r="W29" s="214" t="str">
        <f>_xlfn.XLOOKUP(Tabel614[[#This Row],[Score]],'ELO rekenblad'!$H$52,'ELO rekenblad'!$A$52,"")</f>
        <v/>
      </c>
      <c r="X29" s="214" t="str">
        <f>_xlfn.XLOOKUP(Tabel614[[#This Row],[Score]],'ELO rekenblad'!$H$53,'ELO rekenblad'!$A$53,"")</f>
        <v/>
      </c>
      <c r="Y29" s="214" t="str">
        <f>_xlfn.XLOOKUP(Tabel614[[#This Row],[Score]],'ELO rekenblad'!$H$54,'ELO rekenblad'!$A$54,"")</f>
        <v/>
      </c>
      <c r="Z29" s="137" t="str">
        <f>_xlfn.XLOOKUP(Tabel614[[#This Row],[Score]],'ELO rekenblad'!$H$55,'ELO rekenblad'!$A$55,"")</f>
        <v/>
      </c>
    </row>
    <row r="30" spans="11:26" ht="15.75" x14ac:dyDescent="0.25">
      <c r="K30" s="320" t="s">
        <v>121</v>
      </c>
      <c r="L30" s="318"/>
      <c r="M30" s="318">
        <f>M29+'ELO rekenblad'!$Q$2</f>
        <v>4375</v>
      </c>
      <c r="N30" s="222" t="str">
        <f>_xlfn.XLOOKUP(Tabel614[[#This Row],[Score]],'ELO rekenblad'!$H$43,'ELO rekenblad'!$A$43,"")</f>
        <v/>
      </c>
      <c r="O30" s="142" t="str">
        <f>_xlfn.XLOOKUP(Tabel614[[#This Row],[Score]],'ELO rekenblad'!$H$44,'ELO rekenblad'!$A$44,"")</f>
        <v/>
      </c>
      <c r="P30" s="142" t="str">
        <f>_xlfn.XLOOKUP(Tabel614[[#This Row],[Score]],'ELO rekenblad'!$H$45,'ELO rekenblad'!$A$45,"")</f>
        <v/>
      </c>
      <c r="Q30" s="142" t="str">
        <f>_xlfn.XLOOKUP(Tabel614[[#This Row],[Score]],'ELO rekenblad'!$H$46,'ELO rekenblad'!$A$46,"")</f>
        <v/>
      </c>
      <c r="R30" s="142" t="str">
        <f>_xlfn.XLOOKUP(Tabel614[[#This Row],[Score]],'ELO rekenblad'!$H$47,'ELO rekenblad'!$A$47,"")</f>
        <v/>
      </c>
      <c r="S30" s="142" t="str">
        <f>_xlfn.XLOOKUP(Tabel614[[#This Row],[Score]],'ELO rekenblad'!$H$48,'ELO rekenblad'!$A$48,"")</f>
        <v/>
      </c>
      <c r="T30" s="142" t="str">
        <f>_xlfn.XLOOKUP(Tabel614[[#This Row],[Score]],'ELO rekenblad'!$H$49,'ELO rekenblad'!$A$49,"")</f>
        <v/>
      </c>
      <c r="U30" s="142" t="str">
        <f>_xlfn.XLOOKUP(Tabel614[[#This Row],[Score]],'ELO rekenblad'!$H$50,'ELO rekenblad'!$A$50,"")</f>
        <v/>
      </c>
      <c r="V30" s="142" t="str">
        <f>_xlfn.XLOOKUP(Tabel614[[#This Row],[Score]],'ELO rekenblad'!$H$51,'ELO rekenblad'!$A$51,"")</f>
        <v/>
      </c>
      <c r="W30" s="142" t="str">
        <f>_xlfn.XLOOKUP(Tabel614[[#This Row],[Score]],'ELO rekenblad'!$H$52,'ELO rekenblad'!$A$52,"")</f>
        <v/>
      </c>
      <c r="X30" s="142" t="str">
        <f>_xlfn.XLOOKUP(Tabel614[[#This Row],[Score]],'ELO rekenblad'!$H$53,'ELO rekenblad'!$A$53,"")</f>
        <v/>
      </c>
      <c r="Y30" s="142" t="str">
        <f>_xlfn.XLOOKUP(Tabel614[[#This Row],[Score]],'ELO rekenblad'!$H$54,'ELO rekenblad'!$A$54,"")</f>
        <v/>
      </c>
      <c r="Z30" s="183" t="str">
        <f>_xlfn.XLOOKUP(Tabel614[[#This Row],[Score]],'ELO rekenblad'!$H$55,'ELO rekenblad'!$A$55,"")</f>
        <v/>
      </c>
    </row>
    <row r="31" spans="11:26" ht="15.75" x14ac:dyDescent="0.25">
      <c r="K31" s="321"/>
      <c r="L31" s="316"/>
      <c r="M31" s="316">
        <f>M30+'ELO rekenblad'!$Q$2</f>
        <v>4550</v>
      </c>
      <c r="N31" s="224" t="str">
        <f>_xlfn.XLOOKUP(Tabel614[[#This Row],[Score]],'ELO rekenblad'!$H$43,'ELO rekenblad'!$A$43,"")</f>
        <v/>
      </c>
      <c r="O31" s="214" t="str">
        <f>_xlfn.XLOOKUP(Tabel614[[#This Row],[Score]],'ELO rekenblad'!$H$44,'ELO rekenblad'!$A$44,"")</f>
        <v/>
      </c>
      <c r="P31" s="214" t="str">
        <f>_xlfn.XLOOKUP(Tabel614[[#This Row],[Score]],'ELO rekenblad'!$H$45,'ELO rekenblad'!$A$45,"")</f>
        <v/>
      </c>
      <c r="Q31" s="214" t="str">
        <f>_xlfn.XLOOKUP(Tabel614[[#This Row],[Score]],'ELO rekenblad'!$H$46,'ELO rekenblad'!$A$46,"")</f>
        <v/>
      </c>
      <c r="R31" s="214" t="str">
        <f>_xlfn.XLOOKUP(Tabel614[[#This Row],[Score]],'ELO rekenblad'!$H$47,'ELO rekenblad'!$A$47,"")</f>
        <v/>
      </c>
      <c r="S31" s="214" t="str">
        <f>_xlfn.XLOOKUP(Tabel614[[#This Row],[Score]],'ELO rekenblad'!$H$48,'ELO rekenblad'!$A$48,"")</f>
        <v/>
      </c>
      <c r="T31" s="214" t="str">
        <f>_xlfn.XLOOKUP(Tabel614[[#This Row],[Score]],'ELO rekenblad'!$H$49,'ELO rekenblad'!$A$49,"")</f>
        <v/>
      </c>
      <c r="U31" s="214" t="str">
        <f>_xlfn.XLOOKUP(Tabel614[[#This Row],[Score]],'ELO rekenblad'!$H$50,'ELO rekenblad'!$A$50,"")</f>
        <v/>
      </c>
      <c r="V31" s="214" t="str">
        <f>_xlfn.XLOOKUP(Tabel614[[#This Row],[Score]],'ELO rekenblad'!$H$51,'ELO rekenblad'!$A$51,"")</f>
        <v/>
      </c>
      <c r="W31" s="214" t="str">
        <f>_xlfn.XLOOKUP(Tabel614[[#This Row],[Score]],'ELO rekenblad'!$H$52,'ELO rekenblad'!$A$52,"")</f>
        <v/>
      </c>
      <c r="X31" s="214" t="str">
        <f>_xlfn.XLOOKUP(Tabel614[[#This Row],[Score]],'ELO rekenblad'!$H$53,'ELO rekenblad'!$A$53,"")</f>
        <v/>
      </c>
      <c r="Y31" s="214" t="str">
        <f>_xlfn.XLOOKUP(Tabel614[[#This Row],[Score]],'ELO rekenblad'!$H$54,'ELO rekenblad'!$A$54,"")</f>
        <v/>
      </c>
      <c r="Z31" s="137" t="str">
        <f>_xlfn.XLOOKUP(Tabel614[[#This Row],[Score]],'ELO rekenblad'!$H$55,'ELO rekenblad'!$A$55,"")</f>
        <v/>
      </c>
    </row>
    <row r="32" spans="11:26" ht="15.75" x14ac:dyDescent="0.25">
      <c r="K32" s="321"/>
      <c r="L32" s="316"/>
      <c r="M32" s="316">
        <f>M31+'ELO rekenblad'!$Q$2</f>
        <v>4725</v>
      </c>
      <c r="N32" s="317" t="str">
        <f>_xlfn.XLOOKUP(Tabel614[[#This Row],[Score]],'ELO rekenblad'!$H$43,'ELO rekenblad'!$A$43,"")</f>
        <v/>
      </c>
      <c r="O32" s="170" t="str">
        <f>_xlfn.XLOOKUP(Tabel614[[#This Row],[Score]],'ELO rekenblad'!$H$44,'ELO rekenblad'!$A$44,"")</f>
        <v/>
      </c>
      <c r="P32" s="170" t="str">
        <f>_xlfn.XLOOKUP(Tabel614[[#This Row],[Score]],'ELO rekenblad'!$H$45,'ELO rekenblad'!$A$45,"")</f>
        <v/>
      </c>
      <c r="Q32" s="170" t="str">
        <f>_xlfn.XLOOKUP(Tabel614[[#This Row],[Score]],'ELO rekenblad'!$H$46,'ELO rekenblad'!$A$46,"")</f>
        <v/>
      </c>
      <c r="R32" s="170" t="str">
        <f>_xlfn.XLOOKUP(Tabel614[[#This Row],[Score]],'ELO rekenblad'!$H$47,'ELO rekenblad'!$A$47,"")</f>
        <v/>
      </c>
      <c r="S32" s="170" t="str">
        <f>_xlfn.XLOOKUP(Tabel614[[#This Row],[Score]],'ELO rekenblad'!$H$48,'ELO rekenblad'!$A$48,"")</f>
        <v/>
      </c>
      <c r="T32" s="170" t="str">
        <f>_xlfn.XLOOKUP(Tabel614[[#This Row],[Score]],'ELO rekenblad'!$H$49,'ELO rekenblad'!$A$49,"")</f>
        <v/>
      </c>
      <c r="U32" s="170" t="str">
        <f>_xlfn.XLOOKUP(Tabel614[[#This Row],[Score]],'ELO rekenblad'!$H$50,'ELO rekenblad'!$A$50,"")</f>
        <v/>
      </c>
      <c r="V32" s="170" t="str">
        <f>_xlfn.XLOOKUP(Tabel614[[#This Row],[Score]],'ELO rekenblad'!$H$51,'ELO rekenblad'!$A$51,"")</f>
        <v/>
      </c>
      <c r="W32" s="170" t="str">
        <f>_xlfn.XLOOKUP(Tabel614[[#This Row],[Score]],'ELO rekenblad'!$H$52,'ELO rekenblad'!$A$52,"")</f>
        <v/>
      </c>
      <c r="X32" s="170" t="str">
        <f>_xlfn.XLOOKUP(Tabel614[[#This Row],[Score]],'ELO rekenblad'!$H$53,'ELO rekenblad'!$A$53,"")</f>
        <v/>
      </c>
      <c r="Y32" s="170" t="str">
        <f>_xlfn.XLOOKUP(Tabel614[[#This Row],[Score]],'ELO rekenblad'!$H$54,'ELO rekenblad'!$A$54,"")</f>
        <v/>
      </c>
      <c r="Z32" s="165" t="str">
        <f>_xlfn.XLOOKUP(Tabel614[[#This Row],[Score]],'ELO rekenblad'!$H$55,'ELO rekenblad'!$A$55,"")</f>
        <v/>
      </c>
    </row>
    <row r="33" spans="11:26" ht="15.75" x14ac:dyDescent="0.25">
      <c r="K33" s="321"/>
      <c r="L33" s="316"/>
      <c r="M33" s="316">
        <f>M32+'ELO rekenblad'!$Q$2</f>
        <v>4900</v>
      </c>
      <c r="N33" s="317" t="str">
        <f>_xlfn.XLOOKUP(Tabel614[[#This Row],[Score]],'ELO rekenblad'!$H$43,'ELO rekenblad'!$A$43,"")</f>
        <v/>
      </c>
      <c r="O33" s="170" t="str">
        <f>_xlfn.XLOOKUP(Tabel614[[#This Row],[Score]],'ELO rekenblad'!$H$44,'ELO rekenblad'!$A$44,"")</f>
        <v/>
      </c>
      <c r="P33" s="170" t="str">
        <f>_xlfn.XLOOKUP(Tabel614[[#This Row],[Score]],'ELO rekenblad'!$H$45,'ELO rekenblad'!$A$45,"")</f>
        <v/>
      </c>
      <c r="Q33" s="170" t="str">
        <f>_xlfn.XLOOKUP(Tabel614[[#This Row],[Score]],'ELO rekenblad'!$H$46,'ELO rekenblad'!$A$46,"")</f>
        <v/>
      </c>
      <c r="R33" s="170" t="str">
        <f>_xlfn.XLOOKUP(Tabel614[[#This Row],[Score]],'ELO rekenblad'!$H$47,'ELO rekenblad'!$A$47,"")</f>
        <v/>
      </c>
      <c r="S33" s="170" t="str">
        <f>_xlfn.XLOOKUP(Tabel614[[#This Row],[Score]],'ELO rekenblad'!$H$48,'ELO rekenblad'!$A$48,"")</f>
        <v/>
      </c>
      <c r="T33" s="170" t="str">
        <f>_xlfn.XLOOKUP(Tabel614[[#This Row],[Score]],'ELO rekenblad'!$H$49,'ELO rekenblad'!$A$49,"")</f>
        <v/>
      </c>
      <c r="U33" s="170" t="str">
        <f>_xlfn.XLOOKUP(Tabel614[[#This Row],[Score]],'ELO rekenblad'!$H$50,'ELO rekenblad'!$A$50,"")</f>
        <v/>
      </c>
      <c r="V33" s="170" t="str">
        <f>_xlfn.XLOOKUP(Tabel614[[#This Row],[Score]],'ELO rekenblad'!$H$51,'ELO rekenblad'!$A$51,"")</f>
        <v/>
      </c>
      <c r="W33" s="170" t="str">
        <f>_xlfn.XLOOKUP(Tabel614[[#This Row],[Score]],'ELO rekenblad'!$H$52,'ELO rekenblad'!$A$52,"")</f>
        <v/>
      </c>
      <c r="X33" s="170" t="str">
        <f>_xlfn.XLOOKUP(Tabel614[[#This Row],[Score]],'ELO rekenblad'!$H$53,'ELO rekenblad'!$A$53,"")</f>
        <v/>
      </c>
      <c r="Y33" s="170" t="str">
        <f>_xlfn.XLOOKUP(Tabel614[[#This Row],[Score]],'ELO rekenblad'!$H$54,'ELO rekenblad'!$A$54,"")</f>
        <v/>
      </c>
      <c r="Z33" s="165" t="str">
        <f>_xlfn.XLOOKUP(Tabel614[[#This Row],[Score]],'ELO rekenblad'!$H$55,'ELO rekenblad'!$A$55,"")</f>
        <v/>
      </c>
    </row>
    <row r="34" spans="11:26" ht="15.75" x14ac:dyDescent="0.25">
      <c r="K34" s="321"/>
      <c r="L34" s="316"/>
      <c r="M34" s="316">
        <f>M33+'ELO rekenblad'!$Q$2</f>
        <v>5075</v>
      </c>
      <c r="N34" s="317" t="str">
        <f>_xlfn.XLOOKUP(Tabel614[[#This Row],[Score]],'ELO rekenblad'!$H$43,'ELO rekenblad'!$A$43,"")</f>
        <v/>
      </c>
      <c r="O34" s="170" t="str">
        <f>_xlfn.XLOOKUP(Tabel614[[#This Row],[Score]],'ELO rekenblad'!$H$44,'ELO rekenblad'!$A$44,"")</f>
        <v/>
      </c>
      <c r="P34" s="170" t="str">
        <f>_xlfn.XLOOKUP(Tabel614[[#This Row],[Score]],'ELO rekenblad'!$H$45,'ELO rekenblad'!$A$45,"")</f>
        <v/>
      </c>
      <c r="Q34" s="170" t="str">
        <f>_xlfn.XLOOKUP(Tabel614[[#This Row],[Score]],'ELO rekenblad'!$H$46,'ELO rekenblad'!$A$46,"")</f>
        <v/>
      </c>
      <c r="R34" s="170" t="str">
        <f>_xlfn.XLOOKUP(Tabel614[[#This Row],[Score]],'ELO rekenblad'!$H$47,'ELO rekenblad'!$A$47,"")</f>
        <v/>
      </c>
      <c r="S34" s="170" t="str">
        <f>_xlfn.XLOOKUP(Tabel614[[#This Row],[Score]],'ELO rekenblad'!$H$48,'ELO rekenblad'!$A$48,"")</f>
        <v/>
      </c>
      <c r="T34" s="170" t="str">
        <f>_xlfn.XLOOKUP(Tabel614[[#This Row],[Score]],'ELO rekenblad'!$H$49,'ELO rekenblad'!$A$49,"")</f>
        <v/>
      </c>
      <c r="U34" s="170" t="str">
        <f>_xlfn.XLOOKUP(Tabel614[[#This Row],[Score]],'ELO rekenblad'!$H$50,'ELO rekenblad'!$A$50,"")</f>
        <v/>
      </c>
      <c r="V34" s="170" t="str">
        <f>_xlfn.XLOOKUP(Tabel614[[#This Row],[Score]],'ELO rekenblad'!$H$51,'ELO rekenblad'!$A$51,"")</f>
        <v/>
      </c>
      <c r="W34" s="170" t="str">
        <f>_xlfn.XLOOKUP(Tabel614[[#This Row],[Score]],'ELO rekenblad'!$H$52,'ELO rekenblad'!$A$52,"")</f>
        <v/>
      </c>
      <c r="X34" s="170" t="str">
        <f>_xlfn.XLOOKUP(Tabel614[[#This Row],[Score]],'ELO rekenblad'!$H$53,'ELO rekenblad'!$A$53,"")</f>
        <v/>
      </c>
      <c r="Y34" s="170" t="str">
        <f>_xlfn.XLOOKUP(Tabel614[[#This Row],[Score]],'ELO rekenblad'!$H$54,'ELO rekenblad'!$A$54,"")</f>
        <v/>
      </c>
      <c r="Z34" s="165" t="str">
        <f>_xlfn.XLOOKUP(Tabel614[[#This Row],[Score]],'ELO rekenblad'!$H$55,'ELO rekenblad'!$A$55,"")</f>
        <v/>
      </c>
    </row>
    <row r="35" spans="11:26" ht="15.75" x14ac:dyDescent="0.25">
      <c r="K35" s="321"/>
      <c r="L35" s="316"/>
      <c r="M35" s="316">
        <f>M34+'ELO rekenblad'!$Q$2</f>
        <v>5250</v>
      </c>
      <c r="N35" s="317" t="str">
        <f>_xlfn.XLOOKUP(Tabel614[[#This Row],[Score]],'ELO rekenblad'!$H$43,'ELO rekenblad'!$A$43,"")</f>
        <v/>
      </c>
      <c r="O35" s="170" t="str">
        <f>_xlfn.XLOOKUP(Tabel614[[#This Row],[Score]],'ELO rekenblad'!$H$44,'ELO rekenblad'!$A$44,"")</f>
        <v/>
      </c>
      <c r="P35" s="170" t="str">
        <f>_xlfn.XLOOKUP(Tabel614[[#This Row],[Score]],'ELO rekenblad'!$H$45,'ELO rekenblad'!$A$45,"")</f>
        <v/>
      </c>
      <c r="Q35" s="170" t="str">
        <f>_xlfn.XLOOKUP(Tabel614[[#This Row],[Score]],'ELO rekenblad'!$H$46,'ELO rekenblad'!$A$46,"")</f>
        <v/>
      </c>
      <c r="R35" s="170" t="str">
        <f>_xlfn.XLOOKUP(Tabel614[[#This Row],[Score]],'ELO rekenblad'!$H$47,'ELO rekenblad'!$A$47,"")</f>
        <v/>
      </c>
      <c r="S35" s="170" t="str">
        <f>_xlfn.XLOOKUP(Tabel614[[#This Row],[Score]],'ELO rekenblad'!$H$48,'ELO rekenblad'!$A$48,"")</f>
        <v/>
      </c>
      <c r="T35" s="170" t="str">
        <f>_xlfn.XLOOKUP(Tabel614[[#This Row],[Score]],'ELO rekenblad'!$H$49,'ELO rekenblad'!$A$49,"")</f>
        <v/>
      </c>
      <c r="U35" s="170" t="str">
        <f>_xlfn.XLOOKUP(Tabel614[[#This Row],[Score]],'ELO rekenblad'!$H$50,'ELO rekenblad'!$A$50,"")</f>
        <v/>
      </c>
      <c r="V35" s="170" t="str">
        <f>_xlfn.XLOOKUP(Tabel614[[#This Row],[Score]],'ELO rekenblad'!$H$51,'ELO rekenblad'!$A$51,"")</f>
        <v/>
      </c>
      <c r="W35" s="170" t="str">
        <f>_xlfn.XLOOKUP(Tabel614[[#This Row],[Score]],'ELO rekenblad'!$H$52,'ELO rekenblad'!$A$52,"")</f>
        <v/>
      </c>
      <c r="X35" s="170" t="str">
        <f>_xlfn.XLOOKUP(Tabel614[[#This Row],[Score]],'ELO rekenblad'!$H$53,'ELO rekenblad'!$A$53,"")</f>
        <v/>
      </c>
      <c r="Y35" s="170" t="str">
        <f>_xlfn.XLOOKUP(Tabel614[[#This Row],[Score]],'ELO rekenblad'!$H$54,'ELO rekenblad'!$A$54,"")</f>
        <v/>
      </c>
      <c r="Z35" s="165" t="str">
        <f>_xlfn.XLOOKUP(Tabel614[[#This Row],[Score]],'ELO rekenblad'!$H$55,'ELO rekenblad'!$A$55,"")</f>
        <v/>
      </c>
    </row>
    <row r="36" spans="11:26" ht="15.75" x14ac:dyDescent="0.25">
      <c r="K36" s="321"/>
      <c r="L36" s="316"/>
      <c r="M36" s="316">
        <f>M35+'ELO rekenblad'!$Q$2</f>
        <v>5425</v>
      </c>
      <c r="N36" s="317" t="str">
        <f>_xlfn.XLOOKUP(Tabel614[[#This Row],[Score]],'ELO rekenblad'!$H$43,'ELO rekenblad'!$A$43,"")</f>
        <v/>
      </c>
      <c r="O36" s="170" t="str">
        <f>_xlfn.XLOOKUP(Tabel614[[#This Row],[Score]],'ELO rekenblad'!$H$44,'ELO rekenblad'!$A$44,"")</f>
        <v/>
      </c>
      <c r="P36" s="170" t="str">
        <f>_xlfn.XLOOKUP(Tabel614[[#This Row],[Score]],'ELO rekenblad'!$H$45,'ELO rekenblad'!$A$45,"")</f>
        <v/>
      </c>
      <c r="Q36" s="170" t="str">
        <f>_xlfn.XLOOKUP(Tabel614[[#This Row],[Score]],'ELO rekenblad'!$H$46,'ELO rekenblad'!$A$46,"")</f>
        <v/>
      </c>
      <c r="R36" s="170" t="str">
        <f>_xlfn.XLOOKUP(Tabel614[[#This Row],[Score]],'ELO rekenblad'!$H$47,'ELO rekenblad'!$A$47,"")</f>
        <v/>
      </c>
      <c r="S36" s="170" t="str">
        <f>_xlfn.XLOOKUP(Tabel614[[#This Row],[Score]],'ELO rekenblad'!$H$48,'ELO rekenblad'!$A$48,"")</f>
        <v/>
      </c>
      <c r="T36" s="170" t="str">
        <f>_xlfn.XLOOKUP(Tabel614[[#This Row],[Score]],'ELO rekenblad'!$H$49,'ELO rekenblad'!$A$49,"")</f>
        <v/>
      </c>
      <c r="U36" s="170" t="str">
        <f>_xlfn.XLOOKUP(Tabel614[[#This Row],[Score]],'ELO rekenblad'!$H$50,'ELO rekenblad'!$A$50,"")</f>
        <v/>
      </c>
      <c r="V36" s="170" t="str">
        <f>_xlfn.XLOOKUP(Tabel614[[#This Row],[Score]],'ELO rekenblad'!$H$51,'ELO rekenblad'!$A$51,"")</f>
        <v/>
      </c>
      <c r="W36" s="170" t="str">
        <f>_xlfn.XLOOKUP(Tabel614[[#This Row],[Score]],'ELO rekenblad'!$H$52,'ELO rekenblad'!$A$52,"")</f>
        <v/>
      </c>
      <c r="X36" s="170" t="str">
        <f>_xlfn.XLOOKUP(Tabel614[[#This Row],[Score]],'ELO rekenblad'!$H$53,'ELO rekenblad'!$A$53,"")</f>
        <v/>
      </c>
      <c r="Y36" s="170" t="str">
        <f>_xlfn.XLOOKUP(Tabel614[[#This Row],[Score]],'ELO rekenblad'!$H$54,'ELO rekenblad'!$A$54,"")</f>
        <v/>
      </c>
      <c r="Z36" s="165" t="str">
        <f>_xlfn.XLOOKUP(Tabel614[[#This Row],[Score]],'ELO rekenblad'!$H$55,'ELO rekenblad'!$A$55,"")</f>
        <v/>
      </c>
    </row>
    <row r="37" spans="11:26" ht="15.75" x14ac:dyDescent="0.25">
      <c r="K37" s="321"/>
      <c r="L37" s="316"/>
      <c r="M37" s="316">
        <f>M36+'ELO rekenblad'!$Q$2</f>
        <v>5600</v>
      </c>
      <c r="N37" s="317" t="str">
        <f>_xlfn.XLOOKUP(Tabel614[[#This Row],[Score]],'ELO rekenblad'!$H$43,'ELO rekenblad'!$A$43,"")</f>
        <v/>
      </c>
      <c r="O37" s="170" t="str">
        <f>_xlfn.XLOOKUP(Tabel614[[#This Row],[Score]],'ELO rekenblad'!$H$44,'ELO rekenblad'!$A$44,"")</f>
        <v/>
      </c>
      <c r="P37" s="170" t="str">
        <f>_xlfn.XLOOKUP(Tabel614[[#This Row],[Score]],'ELO rekenblad'!$H$45,'ELO rekenblad'!$A$45,"")</f>
        <v/>
      </c>
      <c r="Q37" s="170" t="str">
        <f>_xlfn.XLOOKUP(Tabel614[[#This Row],[Score]],'ELO rekenblad'!$H$46,'ELO rekenblad'!$A$46,"")</f>
        <v/>
      </c>
      <c r="R37" s="170" t="str">
        <f>_xlfn.XLOOKUP(Tabel614[[#This Row],[Score]],'ELO rekenblad'!$H$47,'ELO rekenblad'!$A$47,"")</f>
        <v/>
      </c>
      <c r="S37" s="170" t="str">
        <f>_xlfn.XLOOKUP(Tabel614[[#This Row],[Score]],'ELO rekenblad'!$H$48,'ELO rekenblad'!$A$48,"")</f>
        <v/>
      </c>
      <c r="T37" s="170" t="str">
        <f>_xlfn.XLOOKUP(Tabel614[[#This Row],[Score]],'ELO rekenblad'!$H$49,'ELO rekenblad'!$A$49,"")</f>
        <v/>
      </c>
      <c r="U37" s="170" t="str">
        <f>_xlfn.XLOOKUP(Tabel614[[#This Row],[Score]],'ELO rekenblad'!$H$50,'ELO rekenblad'!$A$50,"")</f>
        <v/>
      </c>
      <c r="V37" s="170" t="str">
        <f>_xlfn.XLOOKUP(Tabel614[[#This Row],[Score]],'ELO rekenblad'!$H$51,'ELO rekenblad'!$A$51,"")</f>
        <v/>
      </c>
      <c r="W37" s="170" t="str">
        <f>_xlfn.XLOOKUP(Tabel614[[#This Row],[Score]],'ELO rekenblad'!$H$52,'ELO rekenblad'!$A$52,"")</f>
        <v/>
      </c>
      <c r="X37" s="170" t="str">
        <f>_xlfn.XLOOKUP(Tabel614[[#This Row],[Score]],'ELO rekenblad'!$H$53,'ELO rekenblad'!$A$53,"")</f>
        <v/>
      </c>
      <c r="Y37" s="170" t="str">
        <f>_xlfn.XLOOKUP(Tabel614[[#This Row],[Score]],'ELO rekenblad'!$H$54,'ELO rekenblad'!$A$54,"")</f>
        <v/>
      </c>
      <c r="Z37" s="165" t="str">
        <f>_xlfn.XLOOKUP(Tabel614[[#This Row],[Score]],'ELO rekenblad'!$H$55,'ELO rekenblad'!$A$55,"")</f>
        <v/>
      </c>
    </row>
    <row r="38" spans="11:26" ht="15.75" x14ac:dyDescent="0.25">
      <c r="K38" s="321"/>
      <c r="L38" s="316"/>
      <c r="M38" s="316">
        <f>M37+'ELO rekenblad'!$Q$2</f>
        <v>5775</v>
      </c>
      <c r="N38" s="317" t="str">
        <f>_xlfn.XLOOKUP(Tabel614[[#This Row],[Score]],'ELO rekenblad'!$H$43,'ELO rekenblad'!$A$43,"")</f>
        <v/>
      </c>
      <c r="O38" s="170" t="str">
        <f>_xlfn.XLOOKUP(Tabel614[[#This Row],[Score]],'ELO rekenblad'!$H$44,'ELO rekenblad'!$A$44,"")</f>
        <v/>
      </c>
      <c r="P38" s="170" t="str">
        <f>_xlfn.XLOOKUP(Tabel614[[#This Row],[Score]],'ELO rekenblad'!$H$45,'ELO rekenblad'!$A$45,"")</f>
        <v/>
      </c>
      <c r="Q38" s="170" t="str">
        <f>_xlfn.XLOOKUP(Tabel614[[#This Row],[Score]],'ELO rekenblad'!$H$46,'ELO rekenblad'!$A$46,"")</f>
        <v/>
      </c>
      <c r="R38" s="170" t="str">
        <f>_xlfn.XLOOKUP(Tabel614[[#This Row],[Score]],'ELO rekenblad'!$H$47,'ELO rekenblad'!$A$47,"")</f>
        <v/>
      </c>
      <c r="S38" s="170" t="str">
        <f>_xlfn.XLOOKUP(Tabel614[[#This Row],[Score]],'ELO rekenblad'!$H$48,'ELO rekenblad'!$A$48,"")</f>
        <v/>
      </c>
      <c r="T38" s="170" t="str">
        <f>_xlfn.XLOOKUP(Tabel614[[#This Row],[Score]],'ELO rekenblad'!$H$49,'ELO rekenblad'!$A$49,"")</f>
        <v/>
      </c>
      <c r="U38" s="170" t="str">
        <f>_xlfn.XLOOKUP(Tabel614[[#This Row],[Score]],'ELO rekenblad'!$H$50,'ELO rekenblad'!$A$50,"")</f>
        <v/>
      </c>
      <c r="V38" s="170" t="str">
        <f>_xlfn.XLOOKUP(Tabel614[[#This Row],[Score]],'ELO rekenblad'!$H$51,'ELO rekenblad'!$A$51,"")</f>
        <v/>
      </c>
      <c r="W38" s="170" t="str">
        <f>_xlfn.XLOOKUP(Tabel614[[#This Row],[Score]],'ELO rekenblad'!$H$52,'ELO rekenblad'!$A$52,"")</f>
        <v/>
      </c>
      <c r="X38" s="170" t="str">
        <f>_xlfn.XLOOKUP(Tabel614[[#This Row],[Score]],'ELO rekenblad'!$H$53,'ELO rekenblad'!$A$53,"")</f>
        <v/>
      </c>
      <c r="Y38" s="170" t="str">
        <f>_xlfn.XLOOKUP(Tabel614[[#This Row],[Score]],'ELO rekenblad'!$H$54,'ELO rekenblad'!$A$54,"")</f>
        <v/>
      </c>
      <c r="Z38" s="165" t="str">
        <f>_xlfn.XLOOKUP(Tabel614[[#This Row],[Score]],'ELO rekenblad'!$H$55,'ELO rekenblad'!$A$55,"")</f>
        <v/>
      </c>
    </row>
    <row r="39" spans="11:26" ht="16.5" thickBot="1" x14ac:dyDescent="0.3">
      <c r="K39" s="322"/>
      <c r="L39" s="319"/>
      <c r="M39" s="319">
        <f>M38+'ELO rekenblad'!$Q$2</f>
        <v>5950</v>
      </c>
      <c r="N39" s="338" t="str">
        <f>_xlfn.XLOOKUP(Tabel614[[#This Row],[Score]],'ELO rekenblad'!$H$43,'ELO rekenblad'!$A$43,"")</f>
        <v/>
      </c>
      <c r="O39" s="339" t="str">
        <f>_xlfn.XLOOKUP(Tabel614[[#This Row],[Score]],'ELO rekenblad'!$H$44,'ELO rekenblad'!$A$44,"")</f>
        <v/>
      </c>
      <c r="P39" s="339" t="str">
        <f>_xlfn.XLOOKUP(Tabel614[[#This Row],[Score]],'ELO rekenblad'!$H$45,'ELO rekenblad'!$A$45,"")</f>
        <v/>
      </c>
      <c r="Q39" s="339" t="str">
        <f>_xlfn.XLOOKUP(Tabel614[[#This Row],[Score]],'ELO rekenblad'!$H$46,'ELO rekenblad'!$A$46,"")</f>
        <v/>
      </c>
      <c r="R39" s="339" t="str">
        <f>_xlfn.XLOOKUP(Tabel614[[#This Row],[Score]],'ELO rekenblad'!$H$47,'ELO rekenblad'!$A$47,"")</f>
        <v/>
      </c>
      <c r="S39" s="339" t="str">
        <f>_xlfn.XLOOKUP(Tabel614[[#This Row],[Score]],'ELO rekenblad'!$H$48,'ELO rekenblad'!$A$48,"")</f>
        <v/>
      </c>
      <c r="T39" s="339" t="str">
        <f>_xlfn.XLOOKUP(Tabel614[[#This Row],[Score]],'ELO rekenblad'!$H$49,'ELO rekenblad'!$A$49,"")</f>
        <v/>
      </c>
      <c r="U39" s="339" t="str">
        <f>_xlfn.XLOOKUP(Tabel614[[#This Row],[Score]],'ELO rekenblad'!$H$50,'ELO rekenblad'!$A$50,"")</f>
        <v/>
      </c>
      <c r="V39" s="339" t="str">
        <f>_xlfn.XLOOKUP(Tabel614[[#This Row],[Score]],'ELO rekenblad'!$H$51,'ELO rekenblad'!$A$51,"")</f>
        <v/>
      </c>
      <c r="W39" s="339" t="str">
        <f>_xlfn.XLOOKUP(Tabel614[[#This Row],[Score]],'ELO rekenblad'!$H$52,'ELO rekenblad'!$A$52,"")</f>
        <v/>
      </c>
      <c r="X39" s="339" t="str">
        <f>_xlfn.XLOOKUP(Tabel614[[#This Row],[Score]],'ELO rekenblad'!$H$53,'ELO rekenblad'!$A$53,"")</f>
        <v/>
      </c>
      <c r="Y39" s="339" t="str">
        <f>_xlfn.XLOOKUP(Tabel614[[#This Row],[Score]],'ELO rekenblad'!$H$54,'ELO rekenblad'!$A$54,"")</f>
        <v/>
      </c>
      <c r="Z39" s="340" t="str">
        <f>_xlfn.XLOOKUP(Tabel614[[#This Row],[Score]],'ELO rekenblad'!$H$55,'ELO rekenblad'!$A$55,"")</f>
        <v/>
      </c>
    </row>
  </sheetData>
  <conditionalFormatting sqref="N5:Z9">
    <cfRule type="cellIs" dxfId="75" priority="7" operator="greaterThan">
      <formula>""""""</formula>
    </cfRule>
  </conditionalFormatting>
  <conditionalFormatting sqref="N10:Z14">
    <cfRule type="cellIs" dxfId="74" priority="6" operator="greaterThan">
      <formula>""""""</formula>
    </cfRule>
  </conditionalFormatting>
  <conditionalFormatting sqref="N15:Z19">
    <cfRule type="cellIs" dxfId="73" priority="5" operator="greaterThan">
      <formula>""""""</formula>
    </cfRule>
  </conditionalFormatting>
  <conditionalFormatting sqref="N20:Z24">
    <cfRule type="cellIs" dxfId="72" priority="4" operator="greaterThan">
      <formula>""""""</formula>
    </cfRule>
  </conditionalFormatting>
  <conditionalFormatting sqref="N25:Z29">
    <cfRule type="cellIs" dxfId="71" priority="3" operator="greaterThan">
      <formula>""""""</formula>
    </cfRule>
  </conditionalFormatting>
  <conditionalFormatting sqref="N30:Z30">
    <cfRule type="cellIs" dxfId="70" priority="2" operator="greaterThan">
      <formula>""""""</formula>
    </cfRule>
  </conditionalFormatting>
  <conditionalFormatting sqref="N31:Z31">
    <cfRule type="cellIs" dxfId="69" priority="1" operator="greaterThan">
      <formula>""""""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6F93-A571-4102-B593-B4CF3273B56B}">
  <sheetPr codeName="Blad10"/>
  <dimension ref="A1:Z2097"/>
  <sheetViews>
    <sheetView workbookViewId="0">
      <selection activeCell="K7" sqref="K7"/>
    </sheetView>
  </sheetViews>
  <sheetFormatPr defaultRowHeight="15" x14ac:dyDescent="0.25"/>
  <cols>
    <col min="1" max="1" width="17.5703125" customWidth="1"/>
    <col min="2" max="2" width="15.140625" bestFit="1" customWidth="1"/>
    <col min="3" max="3" width="13.28515625" bestFit="1" customWidth="1"/>
    <col min="4" max="4" width="17.140625" style="213" customWidth="1"/>
    <col min="5" max="5" width="16.42578125" customWidth="1"/>
    <col min="6" max="6" width="18.42578125" customWidth="1"/>
    <col min="7" max="7" width="12.7109375" style="213" bestFit="1" customWidth="1"/>
    <col min="8" max="8" width="9.140625" customWidth="1"/>
    <col min="9" max="9" width="17.5703125" customWidth="1"/>
    <col min="10" max="10" width="17.5703125" bestFit="1" customWidth="1"/>
    <col min="11" max="11" width="9.140625" customWidth="1"/>
    <col min="12" max="12" width="17.5703125" customWidth="1"/>
    <col min="13" max="13" width="18.140625" customWidth="1"/>
    <col min="14" max="14" width="17.85546875" customWidth="1"/>
    <col min="15" max="15" width="8.28515625" hidden="1" customWidth="1"/>
    <col min="16" max="16" width="11.140625" hidden="1" customWidth="1"/>
    <col min="17" max="17" width="14.5703125" hidden="1" customWidth="1"/>
    <col min="18" max="18" width="10.5703125" hidden="1" customWidth="1"/>
    <col min="19" max="20" width="10" hidden="1" customWidth="1"/>
    <col min="21" max="21" width="3.5703125" customWidth="1"/>
    <col min="22" max="22" width="9.85546875" customWidth="1"/>
    <col min="23" max="24" width="9.140625" customWidth="1"/>
    <col min="25" max="25" width="14.140625" customWidth="1"/>
    <col min="26" max="26" width="9.85546875" customWidth="1"/>
    <col min="27" max="28" width="9.140625" customWidth="1"/>
    <col min="29" max="29" width="19.85546875" customWidth="1"/>
    <col min="30" max="30" width="9.85546875" customWidth="1"/>
    <col min="31" max="31" width="12" bestFit="1" customWidth="1"/>
    <col min="32" max="36" width="9.140625" customWidth="1"/>
  </cols>
  <sheetData>
    <row r="1" spans="1:20" x14ac:dyDescent="0.25">
      <c r="Q1" t="s">
        <v>174</v>
      </c>
    </row>
    <row r="2" spans="1:20" x14ac:dyDescent="0.25">
      <c r="A2" s="265" t="s">
        <v>134</v>
      </c>
      <c r="B2" s="265" t="s">
        <v>125</v>
      </c>
      <c r="C2" t="s">
        <v>135</v>
      </c>
      <c r="D2" t="s">
        <v>133</v>
      </c>
      <c r="E2" s="213" t="s">
        <v>136</v>
      </c>
      <c r="F2" t="s">
        <v>141</v>
      </c>
      <c r="G2" s="220" t="s">
        <v>142</v>
      </c>
      <c r="H2" s="213"/>
      <c r="Q2">
        <v>175</v>
      </c>
    </row>
    <row r="3" spans="1:20" x14ac:dyDescent="0.25">
      <c r="A3" t="s">
        <v>126</v>
      </c>
      <c r="B3" s="293" t="str" cm="1">
        <f t="array" ref="B3">Naam(C3)</f>
        <v>Matthijs*</v>
      </c>
      <c r="C3" s="207" t="s">
        <v>11</v>
      </c>
      <c r="D3" s="199">
        <f>IF(_xlfn.XLOOKUP(B3,Tabel18[[Player ]],Tabel18[Win% Def])=0,0.5,IF(_xlfn.XLOOKUP(B3,Tabel18[[Player ]],Tabel18[Win% Def])=1,0.5,_xlfn.XLOOKUP(B3,Tabel18[[Player ]],Tabel18[Win% Def])))</f>
        <v>0.36363636363636365</v>
      </c>
      <c r="E3" s="219">
        <f>(1/(1 + POWER(10, ((D8-D3)*1.5))))</f>
        <v>0.18136205099156902</v>
      </c>
      <c r="F3" t="e">
        <f ca="1">IF(Tabel16[[#This Row],[Kolom1]]=$B$14,F11+(Tabel16[[#This Row],[50%]]*F11)+F65,G11+(Tabel16[[#This Row],[50%]]*ABS(G11))+F65+I65)</f>
        <v>#N/A</v>
      </c>
      <c r="G3" s="220">
        <f>0.5-Tabel16[[#This Row],[Winkans]]</f>
        <v>0.31863794900843101</v>
      </c>
      <c r="H3" s="213"/>
      <c r="Q3" s="199"/>
      <c r="R3" s="199"/>
      <c r="S3" s="199"/>
    </row>
    <row r="4" spans="1:20" x14ac:dyDescent="0.25">
      <c r="A4" t="s">
        <v>128</v>
      </c>
      <c r="B4" s="293" t="str" cm="1">
        <f t="array" ref="B4">Naam(C4)</f>
        <v>Stef*</v>
      </c>
      <c r="C4" s="203" t="s">
        <v>6</v>
      </c>
      <c r="D4" s="199">
        <f>IF(_xlfn.XLOOKUP(B4,Tabel18[[Player ]],Tabel18[Win% Def])=0,0.5,IF(_xlfn.XLOOKUP(B4,Tabel18[[Player ]],Tabel18[Win% Def])=1,0.5,_xlfn.XLOOKUP(B4,Tabel18[[Player ]],Tabel18[Win% Def])))</f>
        <v>0.77777777777777779</v>
      </c>
      <c r="E4" s="219">
        <f>(1/(1 + POWER(10, ((D7-D4)*1.5))))</f>
        <v>0.68298598694719137</v>
      </c>
      <c r="F4" s="293" t="e">
        <f ca="1">IF(Tabel16[[#This Row],[Kolom1]]=$B$14,F12+(Tabel16[[#This Row],[50%]]*F12)+F74,G12+(Tabel16[[#This Row],[50%]]*ABS(G12))+F74+I74)</f>
        <v>#N/A</v>
      </c>
      <c r="G4" s="220">
        <f>0.5-Tabel16[[#This Row],[Winkans]]</f>
        <v>-0.18298598694719137</v>
      </c>
      <c r="H4" s="213"/>
      <c r="Q4" s="199"/>
      <c r="R4" s="199"/>
      <c r="S4" s="199"/>
    </row>
    <row r="5" spans="1:20" x14ac:dyDescent="0.25">
      <c r="C5" s="199"/>
      <c r="D5" s="219"/>
      <c r="E5" s="147"/>
      <c r="I5" s="213"/>
      <c r="P5" s="199"/>
      <c r="Q5" s="199"/>
      <c r="R5" s="199"/>
    </row>
    <row r="6" spans="1:20" x14ac:dyDescent="0.25">
      <c r="A6" s="265" t="s">
        <v>134</v>
      </c>
      <c r="B6" s="265" t="s">
        <v>125</v>
      </c>
      <c r="C6" s="213" t="s">
        <v>135</v>
      </c>
      <c r="D6" s="213" t="s">
        <v>133</v>
      </c>
      <c r="E6" s="213" t="s">
        <v>136</v>
      </c>
      <c r="F6" s="213" t="s">
        <v>141</v>
      </c>
      <c r="G6" s="273" t="s">
        <v>142</v>
      </c>
      <c r="H6" s="213"/>
      <c r="R6" s="219"/>
      <c r="S6" s="219"/>
    </row>
    <row r="7" spans="1:20" x14ac:dyDescent="0.25">
      <c r="A7" s="223" t="s">
        <v>127</v>
      </c>
      <c r="B7" s="341" t="str" cm="1">
        <f t="array" ref="B7">Naam(C7)</f>
        <v>Karel*</v>
      </c>
      <c r="C7" s="207" t="s">
        <v>3</v>
      </c>
      <c r="D7" s="248">
        <f>IF(_xlfn.XLOOKUP(B7,Tabel18[[Player ]],Tabel18[Win % Aan])=1,0.5,IF(_xlfn.XLOOKUP(B7,Tabel18[[Player ]],Tabel18[Win % Aan])=0,0.5,_xlfn.XLOOKUP(B7,Tabel18[[Player ]],Tabel18[Win % Aan])))</f>
        <v>0.55555555555555558</v>
      </c>
      <c r="E7" s="266">
        <f>(1/(1 + POWER(10, (((D4+D8)/2-D7)*2.5))))</f>
        <v>0.2069884753249889</v>
      </c>
      <c r="F7" s="223" t="e">
        <f ca="1">IF(B7=$B$15,F11+(Tabel19[[#This Row],[50%]]*F11)+C65,G11+(Tabel19[[#This Row],[50%]]*ABS(G11))+C65+I65)</f>
        <v>#N/A</v>
      </c>
      <c r="G7" s="271">
        <f>0.5-Tabel19[[#This Row],[Winkans]]</f>
        <v>0.29301152467501113</v>
      </c>
      <c r="H7" s="213"/>
      <c r="Q7" s="147"/>
      <c r="R7" s="199"/>
      <c r="S7" s="199"/>
    </row>
    <row r="8" spans="1:20" x14ac:dyDescent="0.25">
      <c r="A8" s="268" t="s">
        <v>129</v>
      </c>
      <c r="B8" s="341" t="str" cm="1">
        <f t="array" ref="B8">Naam(C8)</f>
        <v>Stef*</v>
      </c>
      <c r="C8" s="203" t="s">
        <v>6</v>
      </c>
      <c r="D8" s="269">
        <f>IF(_xlfn.XLOOKUP(B8,Tabel18[[Player ]],Tabel18[Win % Aan])=1,0.5,IF(_xlfn.XLOOKUP(B8,Tabel18[[Player ]],Tabel18[Win % Aan])=0,0.5,_xlfn.XLOOKUP(B8,Tabel18[[Player ]],Tabel18[Win % Aan])))</f>
        <v>0.8</v>
      </c>
      <c r="E8" s="270">
        <f>(1/(1 + POWER(10, ((((D7+D3)/2-D8)*2.5)))))</f>
        <v>0.87648133950514107</v>
      </c>
      <c r="F8" s="223" t="e">
        <f ca="1">IF(B8=$B$15,F12+(Tabel19[[#This Row],[50%]]*F12)+C74,G12+(Tabel19[[#This Row],[50%]]*ABS(G12))+C74+I74)</f>
        <v>#N/A</v>
      </c>
      <c r="G8" s="272">
        <f>0.5-Tabel19[[#This Row],[Winkans]]</f>
        <v>-0.37648133950514107</v>
      </c>
      <c r="H8" s="213"/>
    </row>
    <row r="9" spans="1:20" x14ac:dyDescent="0.25">
      <c r="P9" s="199"/>
      <c r="Q9" s="199"/>
      <c r="R9" s="199"/>
    </row>
    <row r="10" spans="1:20" x14ac:dyDescent="0.25">
      <c r="A10" s="213" t="s">
        <v>132</v>
      </c>
      <c r="B10" s="293" t="s">
        <v>125</v>
      </c>
      <c r="C10" s="213" t="s">
        <v>83</v>
      </c>
      <c r="D10" s="264" t="s">
        <v>133</v>
      </c>
      <c r="E10" s="213" t="s">
        <v>136</v>
      </c>
      <c r="F10" t="s">
        <v>115</v>
      </c>
      <c r="G10" t="s">
        <v>116</v>
      </c>
      <c r="H10" s="213"/>
      <c r="Q10" s="213"/>
      <c r="R10" s="213"/>
    </row>
    <row r="11" spans="1:20" x14ac:dyDescent="0.25">
      <c r="A11" t="s">
        <v>130</v>
      </c>
      <c r="B11" s="293" t="str">
        <f>B3&amp;B7</f>
        <v>Matthijs*Karel*</v>
      </c>
      <c r="C11" t="str">
        <f>C3&amp;C7</f>
        <v>MatthijsKarel</v>
      </c>
      <c r="D11" s="264">
        <f>IF(IF(_xlfn.XLOOKUP(B11,Tabel511[Team],Tabel511[Win% Alg]) = 0, 0.5, IF(_xlfn.XLOOKUP(B11,Tabel511[Team],Tabel511[Win% Alg])=1,0.5,_xlfn.XLOOKUP(B11,Tabel511[Team],Tabel511[Win% Alg])))&lt;0.35,0.35,IF(IF(_xlfn.XLOOKUP(B11,Tabel511[Team],Tabel511[Win% Alg]) = 0, 0.5, IF(_xlfn.XLOOKUP(B11,Tabel511[Team],Tabel511[Win% Alg])=1,0.5,_xlfn.XLOOKUP(B11,Tabel511[Team],Tabel511[Win% Alg])))&gt;0.65,0.65,IF(_xlfn.XLOOKUP(B11,Tabel511[Team],Tabel511[Win% Alg]) = 0, 0.5, IF(_xlfn.XLOOKUP(B11,Tabel511[Team],Tabel511[Win% Alg])=1,0.5,_xlfn.XLOOKUP(B11,Tabel511[Team],Tabel511[Win% Alg])))))</f>
        <v>0.6</v>
      </c>
      <c r="E11" s="219" t="e">
        <f>(1/(1 + POWER(10, ((D12-D11)))))</f>
        <v>#N/A</v>
      </c>
      <c r="F11" t="e">
        <f>65*(1-Tabel17[[#This Row],[Winkans]])</f>
        <v>#N/A</v>
      </c>
      <c r="G11" t="e">
        <f>(55*(0-Tabel17[[#This Row],[Winkans]]))+10</f>
        <v>#N/A</v>
      </c>
      <c r="H11" s="213"/>
      <c r="R11" s="199"/>
      <c r="S11" s="199"/>
    </row>
    <row r="12" spans="1:20" x14ac:dyDescent="0.25">
      <c r="A12" t="s">
        <v>131</v>
      </c>
      <c r="B12" s="293" t="str">
        <f>B4&amp;B8</f>
        <v>Stef*Stef*</v>
      </c>
      <c r="C12" t="str">
        <f>C4&amp;C8</f>
        <v>Stef DStef D</v>
      </c>
      <c r="D12" s="264" t="e">
        <f>IF(IF(_xlfn.XLOOKUP(B12,Tabel511[Team],Tabel511[Win% Alg]) = 0, 0.5, IF(_xlfn.XLOOKUP(B12,Tabel511[Team],Tabel511[Win% Alg])=1,0.5,_xlfn.XLOOKUP(B12,Tabel511[Team],Tabel511[Win% Alg])))&lt;0.35,0.35,IF(IF(_xlfn.XLOOKUP(B12,Tabel511[Team],Tabel511[Win% Alg]) = 0, 0.5, IF(_xlfn.XLOOKUP(B12,Tabel511[Team],Tabel511[Win% Alg])=1,0.5,_xlfn.XLOOKUP(B12,Tabel511[Team],Tabel511[Win% Alg])))&gt;0.65,0.65,IF(_xlfn.XLOOKUP(B12,Tabel511[Team],Tabel511[Win% Alg]) = 0, 0.5, IF(_xlfn.XLOOKUP(B12,Tabel511[Team],Tabel511[Win% Alg])=1,0.5,_xlfn.XLOOKUP(B12,Tabel511[Team],Tabel511[Win% Alg])))))</f>
        <v>#N/A</v>
      </c>
      <c r="E12" s="219" t="e">
        <f>(1/(1 + POWER(10, ((D11-D12)))))</f>
        <v>#N/A</v>
      </c>
      <c r="F12" t="e">
        <f>65*(1-Tabel17[[#This Row],[Winkans]])</f>
        <v>#N/A</v>
      </c>
      <c r="G12" t="e">
        <f>(55*(0-Tabel17[[#This Row],[Winkans]]))+10</f>
        <v>#N/A</v>
      </c>
      <c r="H12" s="213"/>
      <c r="J12" s="213"/>
      <c r="K12" s="213"/>
      <c r="L12" s="213"/>
      <c r="M12" s="213"/>
      <c r="R12" s="147"/>
      <c r="S12" s="147"/>
    </row>
    <row r="13" spans="1:20" x14ac:dyDescent="0.25">
      <c r="I13" s="213"/>
      <c r="J13" s="213"/>
      <c r="K13" s="213"/>
      <c r="L13" s="213"/>
      <c r="P13" s="213"/>
      <c r="Q13" s="213"/>
      <c r="R13" s="213"/>
    </row>
    <row r="14" spans="1:20" x14ac:dyDescent="0.25">
      <c r="A14" s="213" t="s">
        <v>86</v>
      </c>
      <c r="B14" t="str" cm="1">
        <f t="array" ref="B14">Naam(C14)</f>
        <v/>
      </c>
      <c r="C14" s="213"/>
      <c r="I14" s="213"/>
      <c r="J14" s="213"/>
    </row>
    <row r="15" spans="1:20" x14ac:dyDescent="0.25">
      <c r="B15" s="293" t="str" cm="1">
        <f t="array" ref="B15">Naam(C15)</f>
        <v/>
      </c>
      <c r="C15" s="213"/>
      <c r="P15" s="342" t="s">
        <v>125</v>
      </c>
      <c r="Q15" s="223" t="s">
        <v>188</v>
      </c>
      <c r="R15" s="223" t="s">
        <v>189</v>
      </c>
      <c r="S15" s="223" t="s">
        <v>190</v>
      </c>
      <c r="T15" s="223" t="s">
        <v>191</v>
      </c>
    </row>
    <row r="16" spans="1:20" x14ac:dyDescent="0.25">
      <c r="P16" s="342" t="s">
        <v>162</v>
      </c>
      <c r="Q16" s="223" t="s">
        <v>11</v>
      </c>
      <c r="R16" s="223" t="s">
        <v>71</v>
      </c>
      <c r="S16" s="223" t="s">
        <v>186</v>
      </c>
      <c r="T16" s="223" t="s">
        <v>187</v>
      </c>
    </row>
    <row r="17" spans="1:20" hidden="1" x14ac:dyDescent="0.25">
      <c r="C17" s="213"/>
      <c r="P17" s="225" t="s">
        <v>159</v>
      </c>
      <c r="Q17" s="225" t="s">
        <v>0</v>
      </c>
      <c r="R17" s="225" t="s">
        <v>21</v>
      </c>
      <c r="S17" s="263"/>
      <c r="T17" s="263"/>
    </row>
    <row r="18" spans="1:20" hidden="1" x14ac:dyDescent="0.25">
      <c r="P18" s="223" t="s">
        <v>163</v>
      </c>
      <c r="Q18" s="223" t="s">
        <v>13</v>
      </c>
      <c r="R18" s="223" t="s">
        <v>18</v>
      </c>
      <c r="S18" s="344"/>
      <c r="T18" s="344"/>
    </row>
    <row r="19" spans="1:20" hidden="1" x14ac:dyDescent="0.25">
      <c r="P19" s="223" t="s">
        <v>169</v>
      </c>
      <c r="Q19" s="225" t="s">
        <v>6</v>
      </c>
      <c r="R19" s="225" t="s">
        <v>44</v>
      </c>
      <c r="S19" s="225" t="s">
        <v>4</v>
      </c>
      <c r="T19" s="225" t="s">
        <v>5</v>
      </c>
    </row>
    <row r="20" spans="1:20" hidden="1" x14ac:dyDescent="0.25">
      <c r="P20" s="223" t="s">
        <v>158</v>
      </c>
      <c r="Q20" s="223" t="s">
        <v>70</v>
      </c>
      <c r="R20" s="223" t="s">
        <v>185</v>
      </c>
      <c r="S20" s="223"/>
      <c r="T20" s="223"/>
    </row>
    <row r="21" spans="1:20" hidden="1" x14ac:dyDescent="0.25">
      <c r="P21" s="223" t="s">
        <v>161</v>
      </c>
      <c r="Q21" s="225" t="s">
        <v>8</v>
      </c>
      <c r="R21" s="225" t="s">
        <v>43</v>
      </c>
      <c r="S21" s="225"/>
      <c r="T21" s="225"/>
    </row>
    <row r="22" spans="1:20" hidden="1" x14ac:dyDescent="0.25">
      <c r="A22" t="s">
        <v>193</v>
      </c>
      <c r="P22" s="223" t="s">
        <v>164</v>
      </c>
      <c r="Q22" s="223" t="s">
        <v>3</v>
      </c>
      <c r="R22" s="223" t="s">
        <v>16</v>
      </c>
      <c r="S22" s="223"/>
      <c r="T22" s="223"/>
    </row>
    <row r="23" spans="1:20" hidden="1" x14ac:dyDescent="0.25">
      <c r="P23" s="225" t="s">
        <v>168</v>
      </c>
      <c r="Q23" s="225" t="s">
        <v>167</v>
      </c>
      <c r="R23" s="225" t="s">
        <v>183</v>
      </c>
      <c r="S23" s="225" t="s">
        <v>14</v>
      </c>
      <c r="T23" s="225" t="s">
        <v>184</v>
      </c>
    </row>
    <row r="24" spans="1:20" ht="15.75" hidden="1" thickBot="1" x14ac:dyDescent="0.3">
      <c r="A24" s="267" t="s">
        <v>124</v>
      </c>
      <c r="B24" s="224" t="s">
        <v>79</v>
      </c>
      <c r="C24" t="s">
        <v>147</v>
      </c>
      <c r="D24" s="213" t="s">
        <v>148</v>
      </c>
      <c r="E24" t="s">
        <v>149</v>
      </c>
      <c r="F24" t="s">
        <v>151</v>
      </c>
      <c r="G24" s="305" t="s">
        <v>150</v>
      </c>
      <c r="H24" t="s">
        <v>125</v>
      </c>
      <c r="I24" t="s">
        <v>123</v>
      </c>
      <c r="P24" s="223" t="s">
        <v>160</v>
      </c>
      <c r="Q24" s="223" t="s">
        <v>7</v>
      </c>
      <c r="R24" s="223" t="s">
        <v>17</v>
      </c>
      <c r="S24" s="223"/>
      <c r="T24" s="223"/>
    </row>
    <row r="25" spans="1:20" hidden="1" x14ac:dyDescent="0.25">
      <c r="A25" s="342" t="s">
        <v>169</v>
      </c>
      <c r="B25" s="277">
        <f>SUMIF(Tabel15[Rood Verdediging],Tabel20[[#This Row],[Players]],Tabel15[ELO gains/loss])+SUMIF(Tabel15[Rood Aanval],Tabel20[[#This Row],[Players]],Tabel15[ELO gains/loss2])</f>
        <v>509.85184262073722</v>
      </c>
      <c r="C25" s="278">
        <f>SUMIF(Tabel15[Rood Aanval],Tabel20[[#This Row],[Players]],Tabel15[ELO gains/loss2])</f>
        <v>240.2758203959456</v>
      </c>
      <c r="D25" s="278">
        <f>SUMIF(Tabel15[Groen Verdediging],Tabel20[[#This Row],[Players]],Tabel15[ELO gains/loss3])</f>
        <v>-13.31843166476505</v>
      </c>
      <c r="E25" s="279">
        <f>SUMIF(Tabel15[Groen Aanval],Tabel20[[#This Row],[Players]],Tabel15[ELO gains/loss4])</f>
        <v>163.55945498798044</v>
      </c>
      <c r="F25" s="283">
        <f t="shared" ref="F25:F37" si="0">SUM(B25:E25)</f>
        <v>900.3686863398982</v>
      </c>
      <c r="G25" s="292">
        <f>(_xlfn.XLOOKUP(Tabel20[[#This Row],[Players]],Tabel11[[Player ]],Tabel11[Win%])*2500)+( _xlfn.XLOOKUP(Tabel20[[#This Row],[Players]],Tabel11[[Player ]],Tabel11[Aantal matches])*2)+Tabel20[[#This Row],[ELO Total gain]]</f>
        <v>3692.5181525320686</v>
      </c>
      <c r="H25" s="276">
        <f>_xlfn.FLOOR.MATH(Tabel20[[#This Row],[ELO Tot]],$Q$2)</f>
        <v>3675</v>
      </c>
      <c r="I25" s="276" t="str">
        <f>IF(Tabel20[[#This Row],[Kolom1]]&lt;'ELO S3'!M$10,'ELO S3'!K$5,IF(AND(Tabel20[[#This Row],[Kolom1]]&gt;='ELO S3'!M$10,Tabel20[[#This Row],[Kolom1]]&lt;'ELO S3'!M$15),'ELO S3'!K$10,IF(AND(Tabel20[[#This Row],[Kolom1]]&gt;='ELO S3'!M$15,Tabel20[[#This Row],[Kolom1]]&lt;'ELO S3'!M$20),'ELO S3'!K$15,IF(AND(Tabel20[[#This Row],[Kolom1]]&gt;='ELO S3'!M$20,Tabel20[[#This Row],[Kolom1]]&lt;'ELO S3'!M$25),'ELO S3'!K$20,IF(AND(Tabel20[[#This Row],[Kolom1]]&gt;='ELO S3'!M$25,Tabel20[[#This Row],[Kolom1]]&lt;'ELO S3'!M$30),'ELO S3'!K$25,IF(AND(Tabel20[[#This Row],[Kolom1]]&gt;='ELO S3'!M$30,Tabel20[[#This Row],[Kolom1]]&lt;MAX(Tabel20[ELO Tot])),'ELO S3'!K$30,IF(AND(Tabel20[[#This Row],[Kolom1]]&gt;='ELO S3'!M$30,Tabel20[[#This Row],[Kolom1]]=MAX(Tabel20[ELO Tot])),'ELO S3'!K$31,"")))))))</f>
        <v>Diamond</v>
      </c>
      <c r="P25" s="223" t="s">
        <v>170</v>
      </c>
      <c r="Q25" s="225" t="s">
        <v>175</v>
      </c>
      <c r="R25" s="225" t="s">
        <v>178</v>
      </c>
      <c r="S25" s="225" t="s">
        <v>19</v>
      </c>
      <c r="T25" s="225" t="s">
        <v>179</v>
      </c>
    </row>
    <row r="26" spans="1:20" hidden="1" x14ac:dyDescent="0.25">
      <c r="A26" s="225" t="s">
        <v>159</v>
      </c>
      <c r="B26" s="280">
        <f>SUMIF(Tabel15[Rood Verdediging],Tabel20[[#This Row],[Players]],Tabel15[ELO gains/loss])+SUMIF(Tabel15[Rood Aanval],Tabel20[[#This Row],[Players]],Tabel15[ELO gains/loss2])</f>
        <v>409.13278901262197</v>
      </c>
      <c r="C26" s="281">
        <f>SUMIF(Tabel15[Rood Aanval],Tabel20[[#This Row],[Players]],Tabel15[ELO gains/loss2])</f>
        <v>252.2469630185885</v>
      </c>
      <c r="D26" s="281">
        <f>SUMIF(Tabel15[Groen Verdediging],Tabel20[[#This Row],[Players]],Tabel15[ELO gains/loss3])</f>
        <v>314.89658345307737</v>
      </c>
      <c r="E26" s="282">
        <f>SUMIF(Tabel15[Groen Aanval],Tabel20[[#This Row],[Players]],Tabel15[ELO gains/loss4])</f>
        <v>275.40022997390992</v>
      </c>
      <c r="F26" s="283">
        <f t="shared" si="0"/>
        <v>1251.6765654581977</v>
      </c>
      <c r="G26" s="291">
        <f>(_xlfn.XLOOKUP(Tabel20[[#This Row],[Players]],Tabel11[[Player ]],Tabel11[Win%])*2500)+( _xlfn.XLOOKUP(Tabel20[[#This Row],[Players]],Tabel11[[Player ]],Tabel11[Aantal matches])*2)+Tabel20[[#This Row],[ELO Total gain]]</f>
        <v>3347.927821739605</v>
      </c>
      <c r="H26" s="276">
        <f>_xlfn.FLOOR.MATH(Tabel20[[#This Row],[ELO Tot]],$Q$2)</f>
        <v>3325</v>
      </c>
      <c r="I26" s="276" t="str">
        <f>IF(Tabel20[[#This Row],[Kolom1]]&lt;'ELO S3'!M$10,'ELO S3'!K$5,IF(AND(Tabel20[[#This Row],[Kolom1]]&gt;='ELO S3'!M$10,Tabel20[[#This Row],[Kolom1]]&lt;'ELO S3'!M$15),'ELO S3'!K$10,IF(AND(Tabel20[[#This Row],[Kolom1]]&gt;='ELO S3'!M$15,Tabel20[[#This Row],[Kolom1]]&lt;'ELO S3'!M$20),'ELO S3'!K$15,IF(AND(Tabel20[[#This Row],[Kolom1]]&gt;='ELO S3'!M$20,Tabel20[[#This Row],[Kolom1]]&lt;'ELO S3'!M$25),'ELO S3'!K$20,IF(AND(Tabel20[[#This Row],[Kolom1]]&gt;='ELO S3'!M$25,Tabel20[[#This Row],[Kolom1]]&lt;'ELO S3'!M$30),'ELO S3'!K$25,IF(AND(Tabel20[[#This Row],[Kolom1]]&gt;='ELO S3'!M$30,Tabel20[[#This Row],[Kolom1]]&lt;MAX(Tabel20[ELO Tot])),'ELO S3'!K$30,IF(AND(Tabel20[[#This Row],[Kolom1]]&gt;='ELO S3'!M$30,Tabel20[[#This Row],[Kolom1]]=MAX(Tabel20[ELO Tot])),'ELO S3'!K$31,"")))))))</f>
        <v>Platinum</v>
      </c>
      <c r="P26" s="223" t="s">
        <v>157</v>
      </c>
      <c r="Q26" s="223" t="s">
        <v>80</v>
      </c>
      <c r="R26" s="223" t="s">
        <v>177</v>
      </c>
      <c r="S26" s="223" t="s">
        <v>2</v>
      </c>
      <c r="T26" s="223" t="s">
        <v>180</v>
      </c>
    </row>
    <row r="27" spans="1:20" hidden="1" x14ac:dyDescent="0.25">
      <c r="A27" s="223" t="s">
        <v>164</v>
      </c>
      <c r="B27" s="280">
        <f>SUMIF(Tabel15[Rood Verdediging],Tabel20[[#This Row],[Players]],Tabel15[ELO gains/loss])+SUMIF(Tabel15[Rood Aanval],Tabel20[[#This Row],[Players]],Tabel15[ELO gains/loss2])</f>
        <v>274.77542015205006</v>
      </c>
      <c r="C27" s="281">
        <f>SUMIF(Tabel15[Rood Aanval],Tabel20[[#This Row],[Players]],Tabel15[ELO gains/loss2])</f>
        <v>186.07264182151872</v>
      </c>
      <c r="D27" s="281">
        <f>SUMIF(Tabel15[Groen Verdediging],Tabel20[[#This Row],[Players]],Tabel15[ELO gains/loss3])</f>
        <v>68.983438826102628</v>
      </c>
      <c r="E27" s="282">
        <f>SUMIF(Tabel15[Groen Aanval],Tabel20[[#This Row],[Players]],Tabel15[ELO gains/loss4])</f>
        <v>271.91073315083327</v>
      </c>
      <c r="F27" s="283">
        <f t="shared" si="0"/>
        <v>801.74223395050467</v>
      </c>
      <c r="G27" s="291">
        <f>(_xlfn.XLOOKUP(Tabel20[[#This Row],[Players]],Tabel11[[Player ]],Tabel11[Win%])*2500)+( _xlfn.XLOOKUP(Tabel20[[#This Row],[Players]],Tabel11[[Player ]],Tabel11[Aantal matches])*2)+Tabel20[[#This Row],[ELO Total gain]]</f>
        <v>2898.1400541139928</v>
      </c>
      <c r="H27" s="276">
        <f>_xlfn.FLOOR.MATH(Tabel20[[#This Row],[ELO Tot]],$Q$2)</f>
        <v>2800</v>
      </c>
      <c r="I27" s="276" t="str">
        <f>IF(Tabel20[[#This Row],[Kolom1]]&lt;'ELO S3'!M$10,'ELO S3'!K$5,IF(AND(Tabel20[[#This Row],[Kolom1]]&gt;='ELO S3'!M$10,Tabel20[[#This Row],[Kolom1]]&lt;'ELO S3'!M$15),'ELO S3'!K$10,IF(AND(Tabel20[[#This Row],[Kolom1]]&gt;='ELO S3'!M$15,Tabel20[[#This Row],[Kolom1]]&lt;'ELO S3'!M$20),'ELO S3'!K$15,IF(AND(Tabel20[[#This Row],[Kolom1]]&gt;='ELO S3'!M$20,Tabel20[[#This Row],[Kolom1]]&lt;'ELO S3'!M$25),'ELO S3'!K$20,IF(AND(Tabel20[[#This Row],[Kolom1]]&gt;='ELO S3'!M$25,Tabel20[[#This Row],[Kolom1]]&lt;'ELO S3'!M$30),'ELO S3'!K$25,IF(AND(Tabel20[[#This Row],[Kolom1]]&gt;='ELO S3'!M$30,Tabel20[[#This Row],[Kolom1]]&lt;MAX(Tabel20[ELO Tot])),'ELO S3'!K$30,IF(AND(Tabel20[[#This Row],[Kolom1]]&gt;='ELO S3'!M$30,Tabel20[[#This Row],[Kolom1]]=MAX(Tabel20[ELO Tot])),'ELO S3'!K$31,"")))))))</f>
        <v>Platinum</v>
      </c>
      <c r="P27" s="225" t="s">
        <v>165</v>
      </c>
      <c r="Q27" s="225" t="s">
        <v>12</v>
      </c>
      <c r="R27" s="225" t="s">
        <v>176</v>
      </c>
      <c r="S27" s="225" t="s">
        <v>181</v>
      </c>
      <c r="T27" s="225" t="s">
        <v>182</v>
      </c>
    </row>
    <row r="28" spans="1:20" hidden="1" x14ac:dyDescent="0.25">
      <c r="A28" s="223" t="s">
        <v>161</v>
      </c>
      <c r="B28" s="280">
        <f>SUMIF(Tabel15[Rood Verdediging],Tabel20[[#This Row],[Players]],Tabel15[ELO gains/loss])+SUMIF(Tabel15[Rood Aanval],Tabel20[[#This Row],[Players]],Tabel15[ELO gains/loss2])</f>
        <v>332.36549211661384</v>
      </c>
      <c r="C28" s="281">
        <f>SUMIF(Tabel15[Rood Aanval],Tabel20[[#This Row],[Players]],Tabel15[ELO gains/loss2])</f>
        <v>87.04367363118871</v>
      </c>
      <c r="D28" s="281">
        <f>SUMIF(Tabel15[Groen Verdediging],Tabel20[[#This Row],[Players]],Tabel15[ELO gains/loss3])</f>
        <v>220.79966375895711</v>
      </c>
      <c r="E28" s="282">
        <f>SUMIF(Tabel15[Groen Aanval],Tabel20[[#This Row],[Players]],Tabel15[ELO gains/loss4])</f>
        <v>58.396240600347326</v>
      </c>
      <c r="F28" s="283">
        <f t="shared" si="0"/>
        <v>698.60507010710705</v>
      </c>
      <c r="G28" s="291">
        <f>(_xlfn.XLOOKUP(Tabel20[[#This Row],[Players]],Tabel11[[Player ]],Tabel11[Win%])*2500)+( _xlfn.XLOOKUP(Tabel20[[#This Row],[Players]],Tabel11[[Player ]],Tabel11[Aantal matches])*2)+Tabel20[[#This Row],[ELO Total gain]]</f>
        <v>2404.1810418385558</v>
      </c>
      <c r="H28" s="276">
        <f>_xlfn.FLOOR.MATH(Tabel20[[#This Row],[ELO Tot]],$Q$2)</f>
        <v>2275</v>
      </c>
      <c r="I28" s="276" t="str">
        <f>IF(Tabel20[[#This Row],[Kolom1]]&lt;'ELO S3'!M$10,'ELO S3'!K$5,IF(AND(Tabel20[[#This Row],[Kolom1]]&gt;='ELO S3'!M$10,Tabel20[[#This Row],[Kolom1]]&lt;'ELO S3'!M$15),'ELO S3'!K$10,IF(AND(Tabel20[[#This Row],[Kolom1]]&gt;='ELO S3'!M$15,Tabel20[[#This Row],[Kolom1]]&lt;'ELO S3'!M$20),'ELO S3'!K$15,IF(AND(Tabel20[[#This Row],[Kolom1]]&gt;='ELO S3'!M$20,Tabel20[[#This Row],[Kolom1]]&lt;'ELO S3'!M$25),'ELO S3'!K$20,IF(AND(Tabel20[[#This Row],[Kolom1]]&gt;='ELO S3'!M$25,Tabel20[[#This Row],[Kolom1]]&lt;'ELO S3'!M$30),'ELO S3'!K$25,IF(AND(Tabel20[[#This Row],[Kolom1]]&gt;='ELO S3'!M$30,Tabel20[[#This Row],[Kolom1]]&lt;MAX(Tabel20[ELO Tot])),'ELO S3'!K$30,IF(AND(Tabel20[[#This Row],[Kolom1]]&gt;='ELO S3'!M$30,Tabel20[[#This Row],[Kolom1]]=MAX(Tabel20[ELO Tot])),'ELO S3'!K$31,"")))))))</f>
        <v>Gold</v>
      </c>
      <c r="P28" s="343" t="s">
        <v>166</v>
      </c>
      <c r="Q28" s="223" t="s">
        <v>15</v>
      </c>
      <c r="R28" s="223" t="s">
        <v>45</v>
      </c>
      <c r="S28" s="223"/>
      <c r="T28" s="223"/>
    </row>
    <row r="29" spans="1:20" hidden="1" x14ac:dyDescent="0.25">
      <c r="A29" s="223" t="s">
        <v>160</v>
      </c>
      <c r="B29" s="280">
        <f>SUMIF(Tabel15[Rood Verdediging],Tabel20[[#This Row],[Players]],Tabel15[ELO gains/loss])+SUMIF(Tabel15[Rood Aanval],Tabel20[[#This Row],[Players]],Tabel15[ELO gains/loss2])</f>
        <v>23.884628921363994</v>
      </c>
      <c r="C29" s="281">
        <f>SUMIF(Tabel15[Rood Aanval],Tabel20[[#This Row],[Players]],Tabel15[ELO gains/loss2])</f>
        <v>5.6842391212058354</v>
      </c>
      <c r="D29" s="281">
        <f>SUMIF(Tabel15[Groen Verdediging],Tabel20[[#This Row],[Players]],Tabel15[ELO gains/loss3])</f>
        <v>217.69861758275167</v>
      </c>
      <c r="E29" s="282">
        <f>SUMIF(Tabel15[Groen Aanval],Tabel20[[#This Row],[Players]],Tabel15[ELO gains/loss4])</f>
        <v>123.13216442083313</v>
      </c>
      <c r="F29" s="283">
        <f t="shared" si="0"/>
        <v>370.39965004615465</v>
      </c>
      <c r="G29" s="291">
        <f>(_xlfn.XLOOKUP(Tabel20[[#This Row],[Players]],Tabel11[[Player ]],Tabel11[Win%])*2500)+( _xlfn.XLOOKUP(Tabel20[[#This Row],[Players]],Tabel11[[Player ]],Tabel11[Aantal matches])*2)+Tabel20[[#This Row],[ELO Total gain]]</f>
        <v>2208.1867222895007</v>
      </c>
      <c r="H29" s="276">
        <f>_xlfn.FLOOR.MATH(Tabel20[[#This Row],[ELO Tot]],$Q$2)</f>
        <v>2100</v>
      </c>
      <c r="I29" s="276" t="str">
        <f>IF(Tabel20[[#This Row],[Kolom1]]&lt;'ELO S3'!M$10,'ELO S3'!K$5,IF(AND(Tabel20[[#This Row],[Kolom1]]&gt;='ELO S3'!M$10,Tabel20[[#This Row],[Kolom1]]&lt;'ELO S3'!M$15),'ELO S3'!K$10,IF(AND(Tabel20[[#This Row],[Kolom1]]&gt;='ELO S3'!M$15,Tabel20[[#This Row],[Kolom1]]&lt;'ELO S3'!M$20),'ELO S3'!K$15,IF(AND(Tabel20[[#This Row],[Kolom1]]&gt;='ELO S3'!M$20,Tabel20[[#This Row],[Kolom1]]&lt;'ELO S3'!M$25),'ELO S3'!K$20,IF(AND(Tabel20[[#This Row],[Kolom1]]&gt;='ELO S3'!M$25,Tabel20[[#This Row],[Kolom1]]&lt;'ELO S3'!M$30),'ELO S3'!K$25,IF(AND(Tabel20[[#This Row],[Kolom1]]&gt;='ELO S3'!M$30,Tabel20[[#This Row],[Kolom1]]&lt;MAX(Tabel20[ELO Tot])),'ELO S3'!K$30,IF(AND(Tabel20[[#This Row],[Kolom1]]&gt;='ELO S3'!M$30,Tabel20[[#This Row],[Kolom1]]=MAX(Tabel20[ELO Tot])),'ELO S3'!K$31,"")))))))</f>
        <v>Gold</v>
      </c>
    </row>
    <row r="30" spans="1:20" hidden="1" x14ac:dyDescent="0.25">
      <c r="A30" s="225" t="s">
        <v>162</v>
      </c>
      <c r="B30" s="280">
        <f>SUMIF(Tabel15[Rood Verdediging],Tabel20[[#This Row],[Players]],Tabel15[ELO gains/loss])+SUMIF(Tabel15[Rood Aanval],Tabel20[[#This Row],[Players]],Tabel15[ELO gains/loss2])</f>
        <v>94.648118216623061</v>
      </c>
      <c r="C30" s="281">
        <f>SUMIF(Tabel15[Rood Aanval],Tabel20[[#This Row],[Players]],Tabel15[ELO gains/loss2])</f>
        <v>67.062704022597174</v>
      </c>
      <c r="D30" s="281">
        <f>SUMIF(Tabel15[Groen Verdediging],Tabel20[[#This Row],[Players]],Tabel15[ELO gains/loss3])</f>
        <v>201.35824271201062</v>
      </c>
      <c r="E30" s="282">
        <f>SUMIF(Tabel15[Groen Aanval],Tabel20[[#This Row],[Players]],Tabel15[ELO gains/loss4])</f>
        <v>81.169858036829481</v>
      </c>
      <c r="F30" s="283">
        <f t="shared" si="0"/>
        <v>444.23892298806038</v>
      </c>
      <c r="G30" s="291">
        <f>(_xlfn.XLOOKUP(Tabel20[[#This Row],[Players]],Tabel11[[Player ]],Tabel11[Win%])*2500)+( _xlfn.XLOOKUP(Tabel20[[#This Row],[Players]],Tabel11[[Player ]],Tabel11[Aantal matches])*2)+Tabel20[[#This Row],[ELO Total gain]]</f>
        <v>1960.9348936840311</v>
      </c>
      <c r="H30" s="276">
        <f>_xlfn.FLOOR.MATH(Tabel20[[#This Row],[ELO Tot]],$Q$2)</f>
        <v>1925</v>
      </c>
      <c r="I30" s="276" t="str">
        <f>IF(Tabel20[[#This Row],[Kolom1]]&lt;'ELO S3'!M$10,'ELO S3'!K$5,IF(AND(Tabel20[[#This Row],[Kolom1]]&gt;='ELO S3'!M$10,Tabel20[[#This Row],[Kolom1]]&lt;'ELO S3'!M$15),'ELO S3'!K$10,IF(AND(Tabel20[[#This Row],[Kolom1]]&gt;='ELO S3'!M$15,Tabel20[[#This Row],[Kolom1]]&lt;'ELO S3'!M$20),'ELO S3'!K$15,IF(AND(Tabel20[[#This Row],[Kolom1]]&gt;='ELO S3'!M$20,Tabel20[[#This Row],[Kolom1]]&lt;'ELO S3'!M$25),'ELO S3'!K$20,IF(AND(Tabel20[[#This Row],[Kolom1]]&gt;='ELO S3'!M$25,Tabel20[[#This Row],[Kolom1]]&lt;'ELO S3'!M$30),'ELO S3'!K$25,IF(AND(Tabel20[[#This Row],[Kolom1]]&gt;='ELO S3'!M$30,Tabel20[[#This Row],[Kolom1]]&lt;MAX(Tabel20[ELO Tot])),'ELO S3'!K$30,IF(AND(Tabel20[[#This Row],[Kolom1]]&gt;='ELO S3'!M$30,Tabel20[[#This Row],[Kolom1]]=MAX(Tabel20[ELO Tot])),'ELO S3'!K$31,"")))))))</f>
        <v>Gold</v>
      </c>
    </row>
    <row r="31" spans="1:20" hidden="1" x14ac:dyDescent="0.25">
      <c r="A31" s="225" t="s">
        <v>157</v>
      </c>
      <c r="B31" s="280">
        <f>SUMIF(Tabel15[Rood Verdediging],Tabel20[[#This Row],[Players]],Tabel15[ELO gains/loss])+SUMIF(Tabel15[Rood Aanval],Tabel20[[#This Row],[Players]],Tabel15[ELO gains/loss2])</f>
        <v>0</v>
      </c>
      <c r="C31" s="281">
        <f>SUMIF(Tabel15[Rood Aanval],Tabel20[[#This Row],[Players]],Tabel15[ELO gains/loss2])</f>
        <v>0</v>
      </c>
      <c r="D31" s="281">
        <f>SUMIF(Tabel15[Groen Verdediging],Tabel20[[#This Row],[Players]],Tabel15[ELO gains/loss3])</f>
        <v>0</v>
      </c>
      <c r="E31" s="282">
        <f>SUMIF(Tabel15[Groen Aanval],Tabel20[[#This Row],[Players]],Tabel15[ELO gains/loss4])</f>
        <v>0</v>
      </c>
      <c r="F31" s="283">
        <f t="shared" si="0"/>
        <v>0</v>
      </c>
      <c r="G31" s="291">
        <f>(_xlfn.XLOOKUP(Tabel20[[#This Row],[Players]],Tabel11[[Player ]],Tabel11[Win%])*2500)+( _xlfn.XLOOKUP(Tabel20[[#This Row],[Players]],Tabel11[[Player ]],Tabel11[Aantal matches])*2)+Tabel20[[#This Row],[ELO Total gain]]</f>
        <v>1676.4347826086957</v>
      </c>
      <c r="H31" s="276">
        <f>_xlfn.FLOOR.MATH(Tabel20[[#This Row],[ELO Tot]],$Q$2)</f>
        <v>1575</v>
      </c>
      <c r="I31" s="276" t="str">
        <f>IF(Tabel20[[#This Row],[Kolom1]]&lt;'ELO S3'!M$10,'ELO S3'!K$5,IF(AND(Tabel20[[#This Row],[Kolom1]]&gt;='ELO S3'!M$10,Tabel20[[#This Row],[Kolom1]]&lt;'ELO S3'!M$15),'ELO S3'!K$10,IF(AND(Tabel20[[#This Row],[Kolom1]]&gt;='ELO S3'!M$15,Tabel20[[#This Row],[Kolom1]]&lt;'ELO S3'!M$20),'ELO S3'!K$15,IF(AND(Tabel20[[#This Row],[Kolom1]]&gt;='ELO S3'!M$20,Tabel20[[#This Row],[Kolom1]]&lt;'ELO S3'!M$25),'ELO S3'!K$20,IF(AND(Tabel20[[#This Row],[Kolom1]]&gt;='ELO S3'!M$25,Tabel20[[#This Row],[Kolom1]]&lt;'ELO S3'!M$30),'ELO S3'!K$25,IF(AND(Tabel20[[#This Row],[Kolom1]]&gt;='ELO S3'!M$30,Tabel20[[#This Row],[Kolom1]]&lt;MAX(Tabel20[ELO Tot])),'ELO S3'!K$30,IF(AND(Tabel20[[#This Row],[Kolom1]]&gt;='ELO S3'!M$30,Tabel20[[#This Row],[Kolom1]]=MAX(Tabel20[ELO Tot])),'ELO S3'!K$31,"")))))))</f>
        <v>Silver</v>
      </c>
    </row>
    <row r="32" spans="1:20" hidden="1" x14ac:dyDescent="0.25">
      <c r="A32" s="223" t="s">
        <v>158</v>
      </c>
      <c r="B32" s="280">
        <f>SUMIF(Tabel15[Rood Verdediging],Tabel20[[#This Row],[Players]],Tabel15[ELO gains/loss])+SUMIF(Tabel15[Rood Aanval],Tabel20[[#This Row],[Players]],Tabel15[ELO gains/loss2])</f>
        <v>85.18909095893261</v>
      </c>
      <c r="C32" s="281">
        <f>SUMIF(Tabel15[Rood Aanval],Tabel20[[#This Row],[Players]],Tabel15[ELO gains/loss2])</f>
        <v>41.741527415327013</v>
      </c>
      <c r="D32" s="281">
        <f>SUMIF(Tabel15[Groen Verdediging],Tabel20[[#This Row],[Players]],Tabel15[ELO gains/loss3])</f>
        <v>3.112921877861448</v>
      </c>
      <c r="E32" s="282">
        <f>SUMIF(Tabel15[Groen Aanval],Tabel20[[#This Row],[Players]],Tabel15[ELO gains/loss4])</f>
        <v>32.451173265316072</v>
      </c>
      <c r="F32" s="283">
        <f t="shared" si="0"/>
        <v>162.49471351743713</v>
      </c>
      <c r="G32" s="291">
        <f>(_xlfn.XLOOKUP(Tabel20[[#This Row],[Players]],Tabel11[[Player ]],Tabel11[Win%])*2500)+( _xlfn.XLOOKUP(Tabel20[[#This Row],[Players]],Tabel11[[Player ]],Tabel11[Aantal matches])*2)+Tabel20[[#This Row],[ELO Total gain]]</f>
        <v>1803.9232849460084</v>
      </c>
      <c r="H32" s="276">
        <f>_xlfn.FLOOR.MATH(Tabel20[[#This Row],[ELO Tot]],$Q$2)</f>
        <v>1750</v>
      </c>
      <c r="I32" s="276" t="str">
        <f>IF(Tabel20[[#This Row],[Kolom1]]&lt;'ELO S3'!M$10,'ELO S3'!K$5,IF(AND(Tabel20[[#This Row],[Kolom1]]&gt;='ELO S3'!M$10,Tabel20[[#This Row],[Kolom1]]&lt;'ELO S3'!M$15),'ELO S3'!K$10,IF(AND(Tabel20[[#This Row],[Kolom1]]&gt;='ELO S3'!M$15,Tabel20[[#This Row],[Kolom1]]&lt;'ELO S3'!M$20),'ELO S3'!K$15,IF(AND(Tabel20[[#This Row],[Kolom1]]&gt;='ELO S3'!M$20,Tabel20[[#This Row],[Kolom1]]&lt;'ELO S3'!M$25),'ELO S3'!K$20,IF(AND(Tabel20[[#This Row],[Kolom1]]&gt;='ELO S3'!M$25,Tabel20[[#This Row],[Kolom1]]&lt;'ELO S3'!M$30),'ELO S3'!K$25,IF(AND(Tabel20[[#This Row],[Kolom1]]&gt;='ELO S3'!M$30,Tabel20[[#This Row],[Kolom1]]&lt;MAX(Tabel20[ELO Tot])),'ELO S3'!K$30,IF(AND(Tabel20[[#This Row],[Kolom1]]&gt;='ELO S3'!M$30,Tabel20[[#This Row],[Kolom1]]=MAX(Tabel20[ELO Tot])),'ELO S3'!K$31,"")))))))</f>
        <v>Gold</v>
      </c>
    </row>
    <row r="33" spans="1:12" hidden="1" x14ac:dyDescent="0.25">
      <c r="A33" s="225" t="s">
        <v>163</v>
      </c>
      <c r="B33" s="280">
        <f>SUMIF(Tabel15[Rood Verdediging],Tabel20[[#This Row],[Players]],Tabel15[ELO gains/loss])+SUMIF(Tabel15[Rood Aanval],Tabel20[[#This Row],[Players]],Tabel15[ELO gains/loss2])</f>
        <v>224.39543805907169</v>
      </c>
      <c r="C33" s="281">
        <f>SUMIF(Tabel15[Rood Aanval],Tabel20[[#This Row],[Players]],Tabel15[ELO gains/loss2])</f>
        <v>146.74451188810346</v>
      </c>
      <c r="D33" s="281">
        <f>SUMIF(Tabel15[Groen Verdediging],Tabel20[[#This Row],[Players]],Tabel15[ELO gains/loss3])</f>
        <v>46.501808065033543</v>
      </c>
      <c r="E33" s="282">
        <f>SUMIF(Tabel15[Groen Aanval],Tabel20[[#This Row],[Players]],Tabel15[ELO gains/loss4])</f>
        <v>170.68787651128315</v>
      </c>
      <c r="F33" s="283">
        <f t="shared" si="0"/>
        <v>588.3296345234919</v>
      </c>
      <c r="G33" s="291">
        <f>(_xlfn.XLOOKUP(Tabel20[[#This Row],[Players]],Tabel11[[Player ]],Tabel11[Win%])*2500)+( _xlfn.XLOOKUP(Tabel20[[#This Row],[Players]],Tabel11[[Player ]],Tabel11[Aantal matches])*2)+Tabel20[[#This Row],[ELO Total gain]]</f>
        <v>2255.448515642373</v>
      </c>
      <c r="H33" s="276">
        <f>_xlfn.FLOOR.MATH(Tabel20[[#This Row],[ELO Tot]],$Q$2)</f>
        <v>2100</v>
      </c>
      <c r="I33" s="276" t="str">
        <f>IF(Tabel20[[#This Row],[Kolom1]]&lt;'ELO S3'!M$10,'ELO S3'!K$5,IF(AND(Tabel20[[#This Row],[Kolom1]]&gt;='ELO S3'!M$10,Tabel20[[#This Row],[Kolom1]]&lt;'ELO S3'!M$15),'ELO S3'!K$10,IF(AND(Tabel20[[#This Row],[Kolom1]]&gt;='ELO S3'!M$15,Tabel20[[#This Row],[Kolom1]]&lt;'ELO S3'!M$20),'ELO S3'!K$15,IF(AND(Tabel20[[#This Row],[Kolom1]]&gt;='ELO S3'!M$20,Tabel20[[#This Row],[Kolom1]]&lt;'ELO S3'!M$25),'ELO S3'!K$20,IF(AND(Tabel20[[#This Row],[Kolom1]]&gt;='ELO S3'!M$25,Tabel20[[#This Row],[Kolom1]]&lt;'ELO S3'!M$30),'ELO S3'!K$25,IF(AND(Tabel20[[#This Row],[Kolom1]]&gt;='ELO S3'!M$30,Tabel20[[#This Row],[Kolom1]]&lt;MAX(Tabel20[ELO Tot])),'ELO S3'!K$30,IF(AND(Tabel20[[#This Row],[Kolom1]]&gt;='ELO S3'!M$30,Tabel20[[#This Row],[Kolom1]]=MAX(Tabel20[ELO Tot])),'ELO S3'!K$31,"")))))))</f>
        <v>Gold</v>
      </c>
    </row>
    <row r="34" spans="1:12" hidden="1" x14ac:dyDescent="0.25">
      <c r="A34" s="225" t="s">
        <v>168</v>
      </c>
      <c r="B34" s="280">
        <f>SUMIF(Tabel15[Rood Verdediging],Tabel20[[#This Row],[Players]],Tabel15[ELO gains/loss])+SUMIF(Tabel15[Rood Aanval],Tabel20[[#This Row],[Players]],Tabel15[ELO gains/loss2])</f>
        <v>34.809900352597772</v>
      </c>
      <c r="C34" s="281">
        <f>SUMIF(Tabel15[Rood Aanval],Tabel20[[#This Row],[Players]],Tabel15[ELO gains/loss2])</f>
        <v>14.40883096607298</v>
      </c>
      <c r="D34" s="281">
        <f>SUMIF(Tabel15[Groen Verdediging],Tabel20[[#This Row],[Players]],Tabel15[ELO gains/loss3])</f>
        <v>133.56304340316433</v>
      </c>
      <c r="E34" s="282">
        <f>SUMIF(Tabel15[Groen Aanval],Tabel20[[#This Row],[Players]],Tabel15[ELO gains/loss4])</f>
        <v>18.963160287084069</v>
      </c>
      <c r="F34" s="283">
        <f t="shared" si="0"/>
        <v>201.74493500891913</v>
      </c>
      <c r="G34" s="291">
        <f>(_xlfn.XLOOKUP(Tabel20[[#This Row],[Players]],Tabel11[[Player ]],Tabel11[Win%])*2500)+( _xlfn.XLOOKUP(Tabel20[[#This Row],[Players]],Tabel11[[Player ]],Tabel11[Aantal matches])*2)+Tabel20[[#This Row],[ELO Total gain]]</f>
        <v>1626.633823897808</v>
      </c>
      <c r="H34" s="276">
        <f>_xlfn.FLOOR.MATH(Tabel20[[#This Row],[ELO Tot]],$Q$2)</f>
        <v>1575</v>
      </c>
      <c r="I34" s="276" t="str">
        <f>IF(Tabel20[[#This Row],[Kolom1]]&lt;'ELO S3'!M$10,'ELO S3'!K$5,IF(AND(Tabel20[[#This Row],[Kolom1]]&gt;='ELO S3'!M$10,Tabel20[[#This Row],[Kolom1]]&lt;'ELO S3'!M$15),'ELO S3'!K$10,IF(AND(Tabel20[[#This Row],[Kolom1]]&gt;='ELO S3'!M$15,Tabel20[[#This Row],[Kolom1]]&lt;'ELO S3'!M$20),'ELO S3'!K$15,IF(AND(Tabel20[[#This Row],[Kolom1]]&gt;='ELO S3'!M$20,Tabel20[[#This Row],[Kolom1]]&lt;'ELO S3'!M$25),'ELO S3'!K$20,IF(AND(Tabel20[[#This Row],[Kolom1]]&gt;='ELO S3'!M$25,Tabel20[[#This Row],[Kolom1]]&lt;'ELO S3'!M$30),'ELO S3'!K$25,IF(AND(Tabel20[[#This Row],[Kolom1]]&gt;='ELO S3'!M$30,Tabel20[[#This Row],[Kolom1]]&lt;MAX(Tabel20[ELO Tot])),'ELO S3'!K$30,IF(AND(Tabel20[[#This Row],[Kolom1]]&gt;='ELO S3'!M$30,Tabel20[[#This Row],[Kolom1]]=MAX(Tabel20[ELO Tot])),'ELO S3'!K$31,"")))))))</f>
        <v>Silver</v>
      </c>
    </row>
    <row r="35" spans="1:12" hidden="1" x14ac:dyDescent="0.25">
      <c r="A35" s="223" t="s">
        <v>170</v>
      </c>
      <c r="B35" s="280">
        <f>SUMIF(Tabel15[Rood Verdediging],Tabel20[[#This Row],[Players]],Tabel15[ELO gains/loss])+SUMIF(Tabel15[Rood Aanval],Tabel20[[#This Row],[Players]],Tabel15[ELO gains/loss2])</f>
        <v>146.41240108573473</v>
      </c>
      <c r="C35" s="281">
        <f>SUMIF(Tabel15[Rood Aanval],Tabel20[[#This Row],[Players]],Tabel15[ELO gains/loss2])</f>
        <v>7.8288644615007632</v>
      </c>
      <c r="D35" s="281">
        <f>SUMIF(Tabel15[Groen Verdediging],Tabel20[[#This Row],[Players]],Tabel15[ELO gains/loss3])</f>
        <v>9.2559585034430825</v>
      </c>
      <c r="E35" s="282">
        <f>SUMIF(Tabel15[Groen Aanval],Tabel20[[#This Row],[Players]],Tabel15[ELO gains/loss4])</f>
        <v>10.138151202888512</v>
      </c>
      <c r="F35" s="283">
        <f t="shared" si="0"/>
        <v>173.63537525356708</v>
      </c>
      <c r="G35" s="291">
        <f>(_xlfn.XLOOKUP(Tabel20[[#This Row],[Players]],Tabel11[[Player ]],Tabel11[Win%])*2500)+( _xlfn.XLOOKUP(Tabel20[[#This Row],[Players]],Tabel11[[Player ]],Tabel11[Aantal matches])*2)+Tabel20[[#This Row],[ELO Total gain]]</f>
        <v>1033.9561299705483</v>
      </c>
      <c r="H35" s="276">
        <f>_xlfn.FLOOR.MATH(Tabel20[[#This Row],[ELO Tot]],$Q$2)</f>
        <v>875</v>
      </c>
      <c r="I35" s="276" t="str">
        <f>IF(Tabel20[[#This Row],[Kolom1]]&lt;'ELO S3'!M$10,'ELO S3'!K$5,IF(AND(Tabel20[[#This Row],[Kolom1]]&gt;='ELO S3'!M$10,Tabel20[[#This Row],[Kolom1]]&lt;'ELO S3'!M$15),'ELO S3'!K$10,IF(AND(Tabel20[[#This Row],[Kolom1]]&gt;='ELO S3'!M$15,Tabel20[[#This Row],[Kolom1]]&lt;'ELO S3'!M$20),'ELO S3'!K$15,IF(AND(Tabel20[[#This Row],[Kolom1]]&gt;='ELO S3'!M$20,Tabel20[[#This Row],[Kolom1]]&lt;'ELO S3'!M$25),'ELO S3'!K$20,IF(AND(Tabel20[[#This Row],[Kolom1]]&gt;='ELO S3'!M$25,Tabel20[[#This Row],[Kolom1]]&lt;'ELO S3'!M$30),'ELO S3'!K$25,IF(AND(Tabel20[[#This Row],[Kolom1]]&gt;='ELO S3'!M$30,Tabel20[[#This Row],[Kolom1]]&lt;MAX(Tabel20[ELO Tot])),'ELO S3'!K$30,IF(AND(Tabel20[[#This Row],[Kolom1]]&gt;='ELO S3'!M$30,Tabel20[[#This Row],[Kolom1]]=MAX(Tabel20[ELO Tot])),'ELO S3'!K$31,"")))))))</f>
        <v>Silver</v>
      </c>
    </row>
    <row r="36" spans="1:12" hidden="1" x14ac:dyDescent="0.25">
      <c r="A36" s="223" t="s">
        <v>166</v>
      </c>
      <c r="B36" s="280">
        <f>SUMIF(Tabel15[Rood Verdediging],Tabel20[[#This Row],[Players]],Tabel15[ELO gains/loss])+SUMIF(Tabel15[Rood Aanval],Tabel20[[#This Row],[Players]],Tabel15[ELO gains/loss2])</f>
        <v>0</v>
      </c>
      <c r="C36" s="281">
        <f>SUMIF(Tabel15[Rood Aanval],Tabel20[[#This Row],[Players]],Tabel15[ELO gains/loss2])</f>
        <v>0</v>
      </c>
      <c r="D36" s="281">
        <f>SUMIF(Tabel15[Groen Verdediging],Tabel20[[#This Row],[Players]],Tabel15[ELO gains/loss3])</f>
        <v>0</v>
      </c>
      <c r="E36" s="282">
        <f>SUMIF(Tabel15[Groen Aanval],Tabel20[[#This Row],[Players]],Tabel15[ELO gains/loss4])</f>
        <v>0</v>
      </c>
      <c r="F36" s="283">
        <f t="shared" si="0"/>
        <v>0</v>
      </c>
      <c r="G36" s="291">
        <f>(_xlfn.XLOOKUP(Tabel20[[#This Row],[Players]],Tabel11[[Player ]],Tabel11[Win%])*2500)+( _xlfn.XLOOKUP(Tabel20[[#This Row],[Players]],Tabel11[[Player ]],Tabel11[Aantal matches])*2)+Tabel20[[#This Row],[ELO Total gain]]</f>
        <v>536.69230769230762</v>
      </c>
      <c r="H36" s="276">
        <f>_xlfn.FLOOR.MATH(Tabel20[[#This Row],[ELO Tot]],$Q$2)</f>
        <v>525</v>
      </c>
      <c r="I36" s="276" t="str">
        <f>IF(Tabel20[[#This Row],[Kolom1]]&lt;'ELO S3'!M$10,'ELO S3'!K$5,IF(AND(Tabel20[[#This Row],[Kolom1]]&gt;='ELO S3'!M$10,Tabel20[[#This Row],[Kolom1]]&lt;'ELO S3'!M$15),'ELO S3'!K$10,IF(AND(Tabel20[[#This Row],[Kolom1]]&gt;='ELO S3'!M$15,Tabel20[[#This Row],[Kolom1]]&lt;'ELO S3'!M$20),'ELO S3'!K$15,IF(AND(Tabel20[[#This Row],[Kolom1]]&gt;='ELO S3'!M$20,Tabel20[[#This Row],[Kolom1]]&lt;'ELO S3'!M$25),'ELO S3'!K$20,IF(AND(Tabel20[[#This Row],[Kolom1]]&gt;='ELO S3'!M$25,Tabel20[[#This Row],[Kolom1]]&lt;'ELO S3'!M$30),'ELO S3'!K$25,IF(AND(Tabel20[[#This Row],[Kolom1]]&gt;='ELO S3'!M$30,Tabel20[[#This Row],[Kolom1]]&lt;MAX(Tabel20[ELO Tot])),'ELO S3'!K$30,IF(AND(Tabel20[[#This Row],[Kolom1]]&gt;='ELO S3'!M$30,Tabel20[[#This Row],[Kolom1]]=MAX(Tabel20[ELO Tot])),'ELO S3'!K$31,"")))))))</f>
        <v>Bronze</v>
      </c>
    </row>
    <row r="37" spans="1:12" hidden="1" x14ac:dyDescent="0.25">
      <c r="A37" s="225" t="s">
        <v>165</v>
      </c>
      <c r="B37" s="280">
        <f>SUMIF(Tabel15[Rood Verdediging],Tabel20[[#This Row],[Players]],Tabel15[ELO gains/loss])+SUMIF(Tabel15[Rood Aanval],Tabel20[[#This Row],[Players]],Tabel15[ELO gains/loss2])</f>
        <v>0</v>
      </c>
      <c r="C37" s="281">
        <f>SUMIF(Tabel15[Rood Aanval],Tabel20[[#This Row],[Players]],Tabel15[ELO gains/loss2])</f>
        <v>0</v>
      </c>
      <c r="D37" s="281">
        <f>SUMIF(Tabel15[Groen Verdediging],Tabel20[[#This Row],[Players]],Tabel15[ELO gains/loss3])</f>
        <v>0</v>
      </c>
      <c r="E37" s="282">
        <f>SUMIF(Tabel15[Groen Aanval],Tabel20[[#This Row],[Players]],Tabel15[ELO gains/loss4])</f>
        <v>0</v>
      </c>
      <c r="F37" s="283">
        <f t="shared" si="0"/>
        <v>0</v>
      </c>
      <c r="G37" s="291">
        <f>(_xlfn.XLOOKUP(Tabel20[[#This Row],[Players]],Tabel11[[Player ]],Tabel11[Win%])*2500)+( _xlfn.XLOOKUP(Tabel20[[#This Row],[Players]],Tabel11[[Player ]],Tabel11[Aantal matches])*2)+Tabel20[[#This Row],[ELO Total gain]]</f>
        <v>464.66666666666663</v>
      </c>
      <c r="H37" s="276">
        <f>_xlfn.FLOOR.MATH(Tabel20[[#This Row],[ELO Tot]],$Q$2)</f>
        <v>350</v>
      </c>
      <c r="I37" s="276" t="str">
        <f>IF(Tabel20[[#This Row],[Kolom1]]&lt;'ELO S3'!M$10,'ELO S3'!K$5,IF(AND(Tabel20[[#This Row],[Kolom1]]&gt;='ELO S3'!M$10,Tabel20[[#This Row],[Kolom1]]&lt;'ELO S3'!M$15),'ELO S3'!K$10,IF(AND(Tabel20[[#This Row],[Kolom1]]&gt;='ELO S3'!M$15,Tabel20[[#This Row],[Kolom1]]&lt;'ELO S3'!M$20),'ELO S3'!K$15,IF(AND(Tabel20[[#This Row],[Kolom1]]&gt;='ELO S3'!M$20,Tabel20[[#This Row],[Kolom1]]&lt;'ELO S3'!M$25),'ELO S3'!K$20,IF(AND(Tabel20[[#This Row],[Kolom1]]&gt;='ELO S3'!M$25,Tabel20[[#This Row],[Kolom1]]&lt;'ELO S3'!M$30),'ELO S3'!K$25,IF(AND(Tabel20[[#This Row],[Kolom1]]&gt;='ELO S3'!M$30,Tabel20[[#This Row],[Kolom1]]&lt;MAX(Tabel20[ELO Tot])),'ELO S3'!K$30,IF(AND(Tabel20[[#This Row],[Kolom1]]&gt;='ELO S3'!M$30,Tabel20[[#This Row],[Kolom1]]=MAX(Tabel20[ELO Tot])),'ELO S3'!K$31,"")))))))</f>
        <v>Bronze</v>
      </c>
    </row>
    <row r="38" spans="1:12" hidden="1" x14ac:dyDescent="0.25"/>
    <row r="40" spans="1:12" x14ac:dyDescent="0.25">
      <c r="A40" s="293" t="s">
        <v>194</v>
      </c>
      <c r="B40" s="293"/>
      <c r="C40" s="293"/>
      <c r="D40" s="293"/>
      <c r="E40" s="293"/>
      <c r="F40" s="293"/>
      <c r="G40" s="293"/>
      <c r="H40" s="293"/>
      <c r="I40" s="293"/>
    </row>
    <row r="41" spans="1:12" x14ac:dyDescent="0.25">
      <c r="A41" s="293"/>
      <c r="B41" s="293"/>
      <c r="C41" s="293"/>
      <c r="D41" s="293"/>
      <c r="E41" s="293"/>
      <c r="F41" s="293"/>
      <c r="G41" s="293"/>
      <c r="H41" s="293"/>
      <c r="I41" s="293"/>
    </row>
    <row r="42" spans="1:12" ht="15.75" thickBot="1" x14ac:dyDescent="0.3">
      <c r="A42" s="267" t="s">
        <v>124</v>
      </c>
      <c r="B42" s="224" t="s">
        <v>79</v>
      </c>
      <c r="C42" s="293" t="s">
        <v>147</v>
      </c>
      <c r="D42" s="293" t="s">
        <v>148</v>
      </c>
      <c r="E42" s="293" t="s">
        <v>149</v>
      </c>
      <c r="F42" s="293" t="s">
        <v>151</v>
      </c>
      <c r="G42" s="305" t="s">
        <v>150</v>
      </c>
      <c r="H42" s="293" t="s">
        <v>125</v>
      </c>
      <c r="I42" s="293" t="s">
        <v>123</v>
      </c>
    </row>
    <row r="43" spans="1:12" x14ac:dyDescent="0.25">
      <c r="A43" s="342" t="s">
        <v>169</v>
      </c>
      <c r="B43" s="277">
        <f>SUMIF(Tabel152[Rood Verdediging],Tabel2015[[#This Row],[Players]],Tabel152[ELO gains/loss])+SUMIF(Tabel152[Rood Aanval],Tabel2015[[#This Row],[Players]],Tabel152[ELO gains/loss2])</f>
        <v>426.74961769632091</v>
      </c>
      <c r="C43" s="278">
        <f>SUMIF(Tabel152[Rood Aanval],Tabel2015[[#This Row],[Players]],Tabel152[ELO gains/loss2])</f>
        <v>222.44787104049689</v>
      </c>
      <c r="D43" s="278">
        <f>SUMIF(Tabel152[Groen Verdediging],Tabel2015[[#This Row],[Players]],Tabel152[ELO gains/loss3])</f>
        <v>120.39059119447754</v>
      </c>
      <c r="E43" s="279">
        <f>SUMIF(Tabel152[Groen Aanval],Tabel2015[[#This Row],[Players]],Tabel152[ELO gains/loss4])</f>
        <v>119.40895898916861</v>
      </c>
      <c r="F43" s="283">
        <f t="shared" ref="F43:F55" si="1">SUM(B43:E43)</f>
        <v>888.99703892046398</v>
      </c>
      <c r="G43" s="292">
        <f>1850+Tabel2015[[#This Row],[ELO Total gain]]</f>
        <v>2738.9970389204641</v>
      </c>
      <c r="H43" s="276">
        <f>_xlfn.FLOOR.MATH(Tabel2015[[#This Row],[ELO Tot]],$Q$2)</f>
        <v>2625</v>
      </c>
      <c r="I43" s="365" t="str">
        <f>IF(Tabel2015[[#This Row],[Kolom1]]&lt;'ELO S4'!M$10,'ELO S4'!K$5,IF(AND(Tabel2015[[#This Row],[Kolom1]]&gt;='ELO S4'!M$10,Tabel2015[[#This Row],[Kolom1]]&lt;'ELO S4'!M$15),'ELO S4'!K$10,IF(AND(Tabel2015[[#This Row],[Kolom1]]&gt;='ELO S4'!M$15,Tabel2015[[#This Row],[Kolom1]]&lt;'ELO S4'!M$20),'ELO S4'!K$15,IF(AND(Tabel2015[[#This Row],[Kolom1]]&gt;='ELO S4'!M$20,Tabel2015[[#This Row],[Kolom1]]&lt;'ELO S4'!M$25),'ELO S4'!K$20,IF(AND(Tabel2015[[#This Row],[Kolom1]]&gt;='ELO S4'!M$25,Tabel2015[[#This Row],[Kolom1]]&lt;'ELO S4'!M$30),'ELO S4'!K$25,IF(AND(Tabel2015[[#This Row],[Kolom1]]&gt;='ELO S4'!M$30,Tabel2015[[#This Row],[Kolom1]]&lt;MAX(Tabel2015[ELO Tot])),'ELO S4'!K$30,IF(AND(Tabel2015[[#This Row],[Kolom1]]&gt;='ELO S4'!M$30,Tabel2015[[#This Row],[Kolom1]]=MAX(Tabel2015[ELO Tot])),'ELO S4'!K$31,"")))))))</f>
        <v>Platinum</v>
      </c>
      <c r="L43" s="404"/>
    </row>
    <row r="44" spans="1:12" x14ac:dyDescent="0.25">
      <c r="A44" s="225" t="s">
        <v>159</v>
      </c>
      <c r="B44" s="280">
        <f>SUMIF(Tabel152[Rood Verdediging],Tabel2015[[#This Row],[Players]],Tabel152[ELO gains/loss])+SUMIF(Tabel152[Rood Aanval],Tabel2015[[#This Row],[Players]],Tabel152[ELO gains/loss2])</f>
        <v>79.574532136880237</v>
      </c>
      <c r="C44" s="281">
        <f>SUMIF(Tabel152[Rood Aanval],Tabel2015[[#This Row],[Players]],Tabel152[ELO gains/loss2])</f>
        <v>30.829122285732929</v>
      </c>
      <c r="D44" s="281">
        <f>SUMIF(Tabel152[Groen Verdediging],Tabel2015[[#This Row],[Players]],Tabel152[ELO gains/loss3])</f>
        <v>121.02316643973441</v>
      </c>
      <c r="E44" s="282">
        <f>SUMIF(Tabel152[Groen Aanval],Tabel2015[[#This Row],[Players]],Tabel152[ELO gains/loss4])</f>
        <v>27.589723831348302</v>
      </c>
      <c r="F44" s="283">
        <f t="shared" si="1"/>
        <v>259.01654469369589</v>
      </c>
      <c r="G44" s="291">
        <f>1850+Tabel2015[[#This Row],[ELO Total gain]]</f>
        <v>2109.0165446936958</v>
      </c>
      <c r="H44" s="276">
        <f>_xlfn.FLOOR.MATH(Tabel2015[[#This Row],[ELO Tot]],$Q$2)</f>
        <v>2100</v>
      </c>
      <c r="I44" s="366" t="str">
        <f>IF(Tabel2015[[#This Row],[Kolom1]]&lt;'ELO S4'!M$10,'ELO S4'!K$5,IF(AND(Tabel2015[[#This Row],[Kolom1]]&gt;='ELO S4'!M$10,Tabel2015[[#This Row],[Kolom1]]&lt;'ELO S4'!M$15),'ELO S4'!K$10,IF(AND(Tabel2015[[#This Row],[Kolom1]]&gt;='ELO S4'!M$15,Tabel2015[[#This Row],[Kolom1]]&lt;'ELO S4'!M$20),'ELO S4'!K$15,IF(AND(Tabel2015[[#This Row],[Kolom1]]&gt;='ELO S4'!M$20,Tabel2015[[#This Row],[Kolom1]]&lt;'ELO S4'!M$25),'ELO S4'!K$20,IF(AND(Tabel2015[[#This Row],[Kolom1]]&gt;='ELO S4'!M$25,Tabel2015[[#This Row],[Kolom1]]&lt;'ELO S4'!M$30),'ELO S4'!K$25,IF(AND(Tabel2015[[#This Row],[Kolom1]]&gt;='ELO S4'!M$30,Tabel2015[[#This Row],[Kolom1]]&lt;MAX(Tabel2015[ELO Tot])),'ELO S4'!K$30,IF(AND(Tabel2015[[#This Row],[Kolom1]]&gt;='ELO S4'!M$30,Tabel2015[[#This Row],[Kolom1]]=MAX(Tabel2015[ELO Tot])),'ELO S4'!K$31,"")))))))</f>
        <v>Gold</v>
      </c>
      <c r="L44" s="404"/>
    </row>
    <row r="45" spans="1:12" x14ac:dyDescent="0.25">
      <c r="A45" s="223" t="s">
        <v>164</v>
      </c>
      <c r="B45" s="280">
        <f>SUMIF(Tabel152[Rood Verdediging],Tabel2015[[#This Row],[Players]],Tabel152[ELO gains/loss])+SUMIF(Tabel152[Rood Aanval],Tabel2015[[#This Row],[Players]],Tabel152[ELO gains/loss2])</f>
        <v>-12.796195603237553</v>
      </c>
      <c r="C45" s="281">
        <f>SUMIF(Tabel152[Rood Aanval],Tabel2015[[#This Row],[Players]],Tabel152[ELO gains/loss2])</f>
        <v>13.34095268229035</v>
      </c>
      <c r="D45" s="281">
        <f>SUMIF(Tabel152[Groen Verdediging],Tabel2015[[#This Row],[Players]],Tabel152[ELO gains/loss3])</f>
        <v>115.07928087667779</v>
      </c>
      <c r="E45" s="282">
        <f>SUMIF(Tabel152[Groen Aanval],Tabel2015[[#This Row],[Players]],Tabel152[ELO gains/loss4])</f>
        <v>86.448840549135184</v>
      </c>
      <c r="F45" s="283">
        <f t="shared" si="1"/>
        <v>202.07287850486577</v>
      </c>
      <c r="G45" s="291">
        <f>1850+Tabel2015[[#This Row],[ELO Total gain]]</f>
        <v>2052.0728785048659</v>
      </c>
      <c r="H45" s="276">
        <f>_xlfn.FLOOR.MATH(Tabel2015[[#This Row],[ELO Tot]],$Q$2)</f>
        <v>1925</v>
      </c>
      <c r="I45" s="365" t="str">
        <f>IF(Tabel2015[[#This Row],[Kolom1]]&lt;'ELO S4'!M$10,'ELO S4'!K$5,IF(AND(Tabel2015[[#This Row],[Kolom1]]&gt;='ELO S4'!M$10,Tabel2015[[#This Row],[Kolom1]]&lt;'ELO S4'!M$15),'ELO S4'!K$10,IF(AND(Tabel2015[[#This Row],[Kolom1]]&gt;='ELO S4'!M$15,Tabel2015[[#This Row],[Kolom1]]&lt;'ELO S4'!M$20),'ELO S4'!K$15,IF(AND(Tabel2015[[#This Row],[Kolom1]]&gt;='ELO S4'!M$20,Tabel2015[[#This Row],[Kolom1]]&lt;'ELO S4'!M$25),'ELO S4'!K$20,IF(AND(Tabel2015[[#This Row],[Kolom1]]&gt;='ELO S4'!M$25,Tabel2015[[#This Row],[Kolom1]]&lt;'ELO S4'!M$30),'ELO S4'!K$25,IF(AND(Tabel2015[[#This Row],[Kolom1]]&gt;='ELO S4'!M$30,Tabel2015[[#This Row],[Kolom1]]&lt;MAX(Tabel2015[ELO Tot])),'ELO S4'!K$30,IF(AND(Tabel2015[[#This Row],[Kolom1]]&gt;='ELO S4'!M$30,Tabel2015[[#This Row],[Kolom1]]=MAX(Tabel2015[ELO Tot])),'ELO S4'!K$31,"")))))))</f>
        <v>Gold</v>
      </c>
      <c r="L45" s="404"/>
    </row>
    <row r="46" spans="1:12" x14ac:dyDescent="0.25">
      <c r="A46" s="223" t="s">
        <v>161</v>
      </c>
      <c r="B46" s="280">
        <f>SUMIF(Tabel152[Rood Verdediging],Tabel2015[[#This Row],[Players]],Tabel152[ELO gains/loss])+SUMIF(Tabel152[Rood Aanval],Tabel2015[[#This Row],[Players]],Tabel152[ELO gains/loss2])</f>
        <v>157.30215418521027</v>
      </c>
      <c r="C46" s="281">
        <f>SUMIF(Tabel152[Rood Aanval],Tabel2015[[#This Row],[Players]],Tabel152[ELO gains/loss2])</f>
        <v>0</v>
      </c>
      <c r="D46" s="281">
        <f>SUMIF(Tabel152[Groen Verdediging],Tabel2015[[#This Row],[Players]],Tabel152[ELO gains/loss3])</f>
        <v>18.156594766681813</v>
      </c>
      <c r="E46" s="282">
        <f>SUMIF(Tabel152[Groen Aanval],Tabel2015[[#This Row],[Players]],Tabel152[ELO gains/loss4])</f>
        <v>-29.804369326102314</v>
      </c>
      <c r="F46" s="283">
        <f t="shared" si="1"/>
        <v>145.65437962578977</v>
      </c>
      <c r="G46" s="291">
        <f>1850+Tabel2015[[#This Row],[ELO Total gain]]</f>
        <v>1995.6543796257897</v>
      </c>
      <c r="H46" s="276">
        <f>_xlfn.FLOOR.MATH(Tabel2015[[#This Row],[ELO Tot]],$Q$2)</f>
        <v>1925</v>
      </c>
      <c r="I46" s="366" t="str">
        <f>IF(Tabel2015[[#This Row],[Kolom1]]&lt;'ELO S4'!M$10,'ELO S4'!K$5,IF(AND(Tabel2015[[#This Row],[Kolom1]]&gt;='ELO S4'!M$10,Tabel2015[[#This Row],[Kolom1]]&lt;'ELO S4'!M$15),'ELO S4'!K$10,IF(AND(Tabel2015[[#This Row],[Kolom1]]&gt;='ELO S4'!M$15,Tabel2015[[#This Row],[Kolom1]]&lt;'ELO S4'!M$20),'ELO S4'!K$15,IF(AND(Tabel2015[[#This Row],[Kolom1]]&gt;='ELO S4'!M$20,Tabel2015[[#This Row],[Kolom1]]&lt;'ELO S4'!M$25),'ELO S4'!K$20,IF(AND(Tabel2015[[#This Row],[Kolom1]]&gt;='ELO S4'!M$25,Tabel2015[[#This Row],[Kolom1]]&lt;'ELO S4'!M$30),'ELO S4'!K$25,IF(AND(Tabel2015[[#This Row],[Kolom1]]&gt;='ELO S4'!M$30,Tabel2015[[#This Row],[Kolom1]]&lt;MAX(Tabel2015[ELO Tot])),'ELO S4'!K$30,IF(AND(Tabel2015[[#This Row],[Kolom1]]&gt;='ELO S4'!M$30,Tabel2015[[#This Row],[Kolom1]]=MAX(Tabel2015[ELO Tot])),'ELO S4'!K$31,"")))))))</f>
        <v>Gold</v>
      </c>
      <c r="L46" s="404"/>
    </row>
    <row r="47" spans="1:12" x14ac:dyDescent="0.25">
      <c r="A47" s="223" t="s">
        <v>160</v>
      </c>
      <c r="B47" s="280">
        <f>SUMIF(Tabel152[Rood Verdediging],Tabel2015[[#This Row],[Players]],Tabel152[ELO gains/loss])+SUMIF(Tabel152[Rood Aanval],Tabel2015[[#This Row],[Players]],Tabel152[ELO gains/loss2])</f>
        <v>99.813841632151366</v>
      </c>
      <c r="C47" s="281">
        <f>SUMIF(Tabel152[Rood Aanval],Tabel2015[[#This Row],[Players]],Tabel152[ELO gains/loss2])</f>
        <v>-3.569987625475072</v>
      </c>
      <c r="D47" s="281">
        <f>SUMIF(Tabel152[Groen Verdediging],Tabel2015[[#This Row],[Players]],Tabel152[ELO gains/loss3])</f>
        <v>146.72852992946611</v>
      </c>
      <c r="E47" s="282">
        <f>SUMIF(Tabel152[Groen Aanval],Tabel2015[[#This Row],[Players]],Tabel152[ELO gains/loss4])</f>
        <v>95.018932449318612</v>
      </c>
      <c r="F47" s="283">
        <f t="shared" si="1"/>
        <v>337.991316385461</v>
      </c>
      <c r="G47" s="291">
        <f>1850+Tabel2015[[#This Row],[ELO Total gain]]</f>
        <v>2187.9913163854608</v>
      </c>
      <c r="H47" s="276">
        <f>_xlfn.FLOOR.MATH(Tabel2015[[#This Row],[ELO Tot]],$Q$2)</f>
        <v>2100</v>
      </c>
      <c r="I47" s="365" t="str">
        <f>IF(Tabel2015[[#This Row],[Kolom1]]&lt;'ELO S4'!M$10,'ELO S4'!K$5,IF(AND(Tabel2015[[#This Row],[Kolom1]]&gt;='ELO S4'!M$10,Tabel2015[[#This Row],[Kolom1]]&lt;'ELO S4'!M$15),'ELO S4'!K$10,IF(AND(Tabel2015[[#This Row],[Kolom1]]&gt;='ELO S4'!M$15,Tabel2015[[#This Row],[Kolom1]]&lt;'ELO S4'!M$20),'ELO S4'!K$15,IF(AND(Tabel2015[[#This Row],[Kolom1]]&gt;='ELO S4'!M$20,Tabel2015[[#This Row],[Kolom1]]&lt;'ELO S4'!M$25),'ELO S4'!K$20,IF(AND(Tabel2015[[#This Row],[Kolom1]]&gt;='ELO S4'!M$25,Tabel2015[[#This Row],[Kolom1]]&lt;'ELO S4'!M$30),'ELO S4'!K$25,IF(AND(Tabel2015[[#This Row],[Kolom1]]&gt;='ELO S4'!M$30,Tabel2015[[#This Row],[Kolom1]]&lt;MAX(Tabel2015[ELO Tot])),'ELO S4'!K$30,IF(AND(Tabel2015[[#This Row],[Kolom1]]&gt;='ELO S4'!M$30,Tabel2015[[#This Row],[Kolom1]]=MAX(Tabel2015[ELO Tot])),'ELO S4'!K$31,"")))))))</f>
        <v>Gold</v>
      </c>
      <c r="L47" s="404"/>
    </row>
    <row r="48" spans="1:12" x14ac:dyDescent="0.25">
      <c r="A48" s="225" t="s">
        <v>162</v>
      </c>
      <c r="B48" s="280">
        <f>SUMIF(Tabel152[Rood Verdediging],Tabel2015[[#This Row],[Players]],Tabel152[ELO gains/loss])+SUMIF(Tabel152[Rood Aanval],Tabel2015[[#This Row],[Players]],Tabel152[ELO gains/loss2])</f>
        <v>-90.078767780422353</v>
      </c>
      <c r="C48" s="281">
        <f>SUMIF(Tabel152[Rood Aanval],Tabel2015[[#This Row],[Players]],Tabel152[ELO gains/loss2])</f>
        <v>-84.104193044953035</v>
      </c>
      <c r="D48" s="281">
        <f>SUMIF(Tabel152[Groen Verdediging],Tabel2015[[#This Row],[Players]],Tabel152[ELO gains/loss3])</f>
        <v>91.307941085874532</v>
      </c>
      <c r="E48" s="282">
        <f>SUMIF(Tabel152[Groen Aanval],Tabel2015[[#This Row],[Players]],Tabel152[ELO gains/loss4])</f>
        <v>-24.427728814849029</v>
      </c>
      <c r="F48" s="283">
        <f t="shared" si="1"/>
        <v>-107.3027485543499</v>
      </c>
      <c r="G48" s="291">
        <f>1850+Tabel2015[[#This Row],[ELO Total gain]]</f>
        <v>1742.6972514456502</v>
      </c>
      <c r="H48" s="276">
        <f>_xlfn.FLOOR.MATH(Tabel2015[[#This Row],[ELO Tot]],$Q$2)</f>
        <v>1575</v>
      </c>
      <c r="I48" s="366" t="str">
        <f>IF(Tabel2015[[#This Row],[Kolom1]]&lt;'ELO S4'!M$10,'ELO S4'!K$5,IF(AND(Tabel2015[[#This Row],[Kolom1]]&gt;='ELO S4'!M$10,Tabel2015[[#This Row],[Kolom1]]&lt;'ELO S4'!M$15),'ELO S4'!K$10,IF(AND(Tabel2015[[#This Row],[Kolom1]]&gt;='ELO S4'!M$15,Tabel2015[[#This Row],[Kolom1]]&lt;'ELO S4'!M$20),'ELO S4'!K$15,IF(AND(Tabel2015[[#This Row],[Kolom1]]&gt;='ELO S4'!M$20,Tabel2015[[#This Row],[Kolom1]]&lt;'ELO S4'!M$25),'ELO S4'!K$20,IF(AND(Tabel2015[[#This Row],[Kolom1]]&gt;='ELO S4'!M$25,Tabel2015[[#This Row],[Kolom1]]&lt;'ELO S4'!M$30),'ELO S4'!K$25,IF(AND(Tabel2015[[#This Row],[Kolom1]]&gt;='ELO S4'!M$30,Tabel2015[[#This Row],[Kolom1]]&lt;MAX(Tabel2015[ELO Tot])),'ELO S4'!K$30,IF(AND(Tabel2015[[#This Row],[Kolom1]]&gt;='ELO S4'!M$30,Tabel2015[[#This Row],[Kolom1]]=MAX(Tabel2015[ELO Tot])),'ELO S4'!K$31,"")))))))</f>
        <v>Silver</v>
      </c>
      <c r="L48" s="404"/>
    </row>
    <row r="49" spans="1:12" x14ac:dyDescent="0.25">
      <c r="A49" s="225" t="s">
        <v>157</v>
      </c>
      <c r="B49" s="280">
        <f>SUMIF(Tabel152[Rood Verdediging],Tabel2015[[#This Row],[Players]],Tabel152[ELO gains/loss])+SUMIF(Tabel152[Rood Aanval],Tabel2015[[#This Row],[Players]],Tabel152[ELO gains/loss2])</f>
        <v>0</v>
      </c>
      <c r="C49" s="281">
        <f>SUMIF(Tabel152[Rood Aanval],Tabel2015[[#This Row],[Players]],Tabel152[ELO gains/loss2])</f>
        <v>0</v>
      </c>
      <c r="D49" s="281">
        <f>SUMIF(Tabel152[Groen Verdediging],Tabel2015[[#This Row],[Players]],Tabel152[ELO gains/loss3])</f>
        <v>0</v>
      </c>
      <c r="E49" s="282">
        <f>SUMIF(Tabel152[Groen Aanval],Tabel2015[[#This Row],[Players]],Tabel152[ELO gains/loss4])</f>
        <v>0</v>
      </c>
      <c r="F49" s="283">
        <f t="shared" si="1"/>
        <v>0</v>
      </c>
      <c r="G49" s="291">
        <f>1850+Tabel2015[[#This Row],[ELO Total gain]]</f>
        <v>1850</v>
      </c>
      <c r="H49" s="276">
        <f>_xlfn.FLOOR.MATH(Tabel2015[[#This Row],[ELO Tot]],$Q$2)</f>
        <v>1750</v>
      </c>
      <c r="I49" s="365" t="str">
        <f>IF(Tabel2015[[#This Row],[Kolom1]]&lt;'ELO S4'!M$10,'ELO S4'!K$5,IF(AND(Tabel2015[[#This Row],[Kolom1]]&gt;='ELO S4'!M$10,Tabel2015[[#This Row],[Kolom1]]&lt;'ELO S4'!M$15),'ELO S4'!K$10,IF(AND(Tabel2015[[#This Row],[Kolom1]]&gt;='ELO S4'!M$15,Tabel2015[[#This Row],[Kolom1]]&lt;'ELO S4'!M$20),'ELO S4'!K$15,IF(AND(Tabel2015[[#This Row],[Kolom1]]&gt;='ELO S4'!M$20,Tabel2015[[#This Row],[Kolom1]]&lt;'ELO S4'!M$25),'ELO S4'!K$20,IF(AND(Tabel2015[[#This Row],[Kolom1]]&gt;='ELO S4'!M$25,Tabel2015[[#This Row],[Kolom1]]&lt;'ELO S4'!M$30),'ELO S4'!K$25,IF(AND(Tabel2015[[#This Row],[Kolom1]]&gt;='ELO S4'!M$30,Tabel2015[[#This Row],[Kolom1]]&lt;MAX(Tabel2015[ELO Tot])),'ELO S4'!K$30,IF(AND(Tabel2015[[#This Row],[Kolom1]]&gt;='ELO S4'!M$30,Tabel2015[[#This Row],[Kolom1]]=MAX(Tabel2015[ELO Tot])),'ELO S4'!K$31,"")))))))</f>
        <v>Gold</v>
      </c>
      <c r="L49" s="404"/>
    </row>
    <row r="50" spans="1:12" x14ac:dyDescent="0.25">
      <c r="A50" s="223" t="s">
        <v>158</v>
      </c>
      <c r="B50" s="280">
        <f>SUMIF(Tabel152[Rood Verdediging],Tabel2015[[#This Row],[Players]],Tabel152[ELO gains/loss])+SUMIF(Tabel152[Rood Aanval],Tabel2015[[#This Row],[Players]],Tabel152[ELO gains/loss2])</f>
        <v>0</v>
      </c>
      <c r="C50" s="281">
        <f>SUMIF(Tabel152[Rood Aanval],Tabel2015[[#This Row],[Players]],Tabel152[ELO gains/loss2])</f>
        <v>0</v>
      </c>
      <c r="D50" s="281">
        <f>SUMIF(Tabel152[Groen Verdediging],Tabel2015[[#This Row],[Players]],Tabel152[ELO gains/loss3])</f>
        <v>0</v>
      </c>
      <c r="E50" s="282">
        <f>SUMIF(Tabel152[Groen Aanval],Tabel2015[[#This Row],[Players]],Tabel152[ELO gains/loss4])</f>
        <v>0</v>
      </c>
      <c r="F50" s="283">
        <f t="shared" si="1"/>
        <v>0</v>
      </c>
      <c r="G50" s="291">
        <f>1850+Tabel2015[[#This Row],[ELO Total gain]]</f>
        <v>1850</v>
      </c>
      <c r="H50" s="276">
        <f>_xlfn.FLOOR.MATH(Tabel2015[[#This Row],[ELO Tot]],$Q$2)</f>
        <v>1750</v>
      </c>
      <c r="I50" s="366" t="str">
        <f>IF(Tabel2015[[#This Row],[Kolom1]]&lt;'ELO S4'!M$10,'ELO S4'!K$5,IF(AND(Tabel2015[[#This Row],[Kolom1]]&gt;='ELO S4'!M$10,Tabel2015[[#This Row],[Kolom1]]&lt;'ELO S4'!M$15),'ELO S4'!K$10,IF(AND(Tabel2015[[#This Row],[Kolom1]]&gt;='ELO S4'!M$15,Tabel2015[[#This Row],[Kolom1]]&lt;'ELO S4'!M$20),'ELO S4'!K$15,IF(AND(Tabel2015[[#This Row],[Kolom1]]&gt;='ELO S4'!M$20,Tabel2015[[#This Row],[Kolom1]]&lt;'ELO S4'!M$25),'ELO S4'!K$20,IF(AND(Tabel2015[[#This Row],[Kolom1]]&gt;='ELO S4'!M$25,Tabel2015[[#This Row],[Kolom1]]&lt;'ELO S4'!M$30),'ELO S4'!K$25,IF(AND(Tabel2015[[#This Row],[Kolom1]]&gt;='ELO S4'!M$30,Tabel2015[[#This Row],[Kolom1]]&lt;MAX(Tabel2015[ELO Tot])),'ELO S4'!K$30,IF(AND(Tabel2015[[#This Row],[Kolom1]]&gt;='ELO S4'!M$30,Tabel2015[[#This Row],[Kolom1]]=MAX(Tabel2015[ELO Tot])),'ELO S4'!K$31,"")))))))</f>
        <v>Gold</v>
      </c>
      <c r="L50" s="404"/>
    </row>
    <row r="51" spans="1:12" x14ac:dyDescent="0.25">
      <c r="A51" s="225" t="s">
        <v>163</v>
      </c>
      <c r="B51" s="280">
        <f>SUMIF(Tabel152[Rood Verdediging],Tabel2015[[#This Row],[Players]],Tabel152[ELO gains/loss])+SUMIF(Tabel152[Rood Aanval],Tabel2015[[#This Row],[Players]],Tabel152[ELO gains/loss2])</f>
        <v>-9.8433449647149871</v>
      </c>
      <c r="C51" s="281">
        <f>SUMIF(Tabel152[Rood Aanval],Tabel2015[[#This Row],[Players]],Tabel152[ELO gains/loss2])</f>
        <v>-9.8433449647149871</v>
      </c>
      <c r="D51" s="281">
        <f>SUMIF(Tabel152[Groen Verdediging],Tabel2015[[#This Row],[Players]],Tabel152[ELO gains/loss3])</f>
        <v>-13.799287013717514</v>
      </c>
      <c r="E51" s="282">
        <f>SUMIF(Tabel152[Groen Aanval],Tabel2015[[#This Row],[Players]],Tabel152[ELO gains/loss4])</f>
        <v>146.24733138280013</v>
      </c>
      <c r="F51" s="283">
        <f t="shared" si="1"/>
        <v>112.76135443965264</v>
      </c>
      <c r="G51" s="291">
        <f>1850+Tabel2015[[#This Row],[ELO Total gain]]</f>
        <v>1962.7613544396527</v>
      </c>
      <c r="H51" s="276">
        <f>_xlfn.FLOOR.MATH(Tabel2015[[#This Row],[ELO Tot]],$Q$2)</f>
        <v>1925</v>
      </c>
      <c r="I51" s="365" t="str">
        <f>IF(Tabel2015[[#This Row],[Kolom1]]&lt;'ELO S4'!M$10,'ELO S4'!K$5,IF(AND(Tabel2015[[#This Row],[Kolom1]]&gt;='ELO S4'!M$10,Tabel2015[[#This Row],[Kolom1]]&lt;'ELO S4'!M$15),'ELO S4'!K$10,IF(AND(Tabel2015[[#This Row],[Kolom1]]&gt;='ELO S4'!M$15,Tabel2015[[#This Row],[Kolom1]]&lt;'ELO S4'!M$20),'ELO S4'!K$15,IF(AND(Tabel2015[[#This Row],[Kolom1]]&gt;='ELO S4'!M$20,Tabel2015[[#This Row],[Kolom1]]&lt;'ELO S4'!M$25),'ELO S4'!K$20,IF(AND(Tabel2015[[#This Row],[Kolom1]]&gt;='ELO S4'!M$25,Tabel2015[[#This Row],[Kolom1]]&lt;'ELO S4'!M$30),'ELO S4'!K$25,IF(AND(Tabel2015[[#This Row],[Kolom1]]&gt;='ELO S4'!M$30,Tabel2015[[#This Row],[Kolom1]]&lt;MAX(Tabel2015[ELO Tot])),'ELO S4'!K$30,IF(AND(Tabel2015[[#This Row],[Kolom1]]&gt;='ELO S4'!M$30,Tabel2015[[#This Row],[Kolom1]]=MAX(Tabel2015[ELO Tot])),'ELO S4'!K$31,"")))))))</f>
        <v>Gold</v>
      </c>
      <c r="L51" s="404"/>
    </row>
    <row r="52" spans="1:12" x14ac:dyDescent="0.25">
      <c r="A52" s="225" t="s">
        <v>168</v>
      </c>
      <c r="B52" s="280">
        <f>SUMIF(Tabel152[Rood Verdediging],Tabel2015[[#This Row],[Players]],Tabel152[ELO gains/loss])+SUMIF(Tabel152[Rood Aanval],Tabel2015[[#This Row],[Players]],Tabel152[ELO gains/loss2])</f>
        <v>-30.705572000063469</v>
      </c>
      <c r="C52" s="281">
        <f>SUMIF(Tabel152[Rood Aanval],Tabel2015[[#This Row],[Players]],Tabel152[ELO gains/loss2])</f>
        <v>-11.744320753110472</v>
      </c>
      <c r="D52" s="281">
        <f>SUMIF(Tabel152[Groen Verdediging],Tabel2015[[#This Row],[Players]],Tabel152[ELO gains/loss3])</f>
        <v>143.27156722769917</v>
      </c>
      <c r="E52" s="282">
        <f>SUMIF(Tabel152[Groen Aanval],Tabel2015[[#This Row],[Players]],Tabel152[ELO gains/loss4])</f>
        <v>-48.9473592015745</v>
      </c>
      <c r="F52" s="283">
        <f t="shared" si="1"/>
        <v>51.874315272950724</v>
      </c>
      <c r="G52" s="291">
        <f>1850+Tabel2015[[#This Row],[ELO Total gain]]</f>
        <v>1901.8743152729508</v>
      </c>
      <c r="H52" s="276">
        <f>_xlfn.FLOOR.MATH(Tabel2015[[#This Row],[ELO Tot]],$Q$2)</f>
        <v>1750</v>
      </c>
      <c r="I52" s="366" t="str">
        <f>IF(Tabel2015[[#This Row],[Kolom1]]&lt;'ELO S4'!M$10,'ELO S4'!K$5,IF(AND(Tabel2015[[#This Row],[Kolom1]]&gt;='ELO S4'!M$10,Tabel2015[[#This Row],[Kolom1]]&lt;'ELO S4'!M$15),'ELO S4'!K$10,IF(AND(Tabel2015[[#This Row],[Kolom1]]&gt;='ELO S4'!M$15,Tabel2015[[#This Row],[Kolom1]]&lt;'ELO S4'!M$20),'ELO S4'!K$15,IF(AND(Tabel2015[[#This Row],[Kolom1]]&gt;='ELO S4'!M$20,Tabel2015[[#This Row],[Kolom1]]&lt;'ELO S4'!M$25),'ELO S4'!K$20,IF(AND(Tabel2015[[#This Row],[Kolom1]]&gt;='ELO S4'!M$25,Tabel2015[[#This Row],[Kolom1]]&lt;'ELO S4'!M$30),'ELO S4'!K$25,IF(AND(Tabel2015[[#This Row],[Kolom1]]&gt;='ELO S4'!M$30,Tabel2015[[#This Row],[Kolom1]]&lt;MAX(Tabel2015[ELO Tot])),'ELO S4'!K$30,IF(AND(Tabel2015[[#This Row],[Kolom1]]&gt;='ELO S4'!M$30,Tabel2015[[#This Row],[Kolom1]]=MAX(Tabel2015[ELO Tot])),'ELO S4'!K$31,"")))))))</f>
        <v>Gold</v>
      </c>
      <c r="L52" s="404"/>
    </row>
    <row r="53" spans="1:12" x14ac:dyDescent="0.25">
      <c r="A53" s="223" t="s">
        <v>170</v>
      </c>
      <c r="B53" s="280">
        <f>SUMIF(Tabel152[Rood Verdediging],Tabel2015[[#This Row],[Players]],Tabel152[ELO gains/loss])+SUMIF(Tabel152[Rood Aanval],Tabel2015[[#This Row],[Players]],Tabel152[ELO gains/loss2])</f>
        <v>-9.3986892631764221</v>
      </c>
      <c r="C53" s="281">
        <f>SUMIF(Tabel152[Rood Aanval],Tabel2015[[#This Row],[Players]],Tabel152[ELO gains/loss2])</f>
        <v>-29.515595776772244</v>
      </c>
      <c r="D53" s="281">
        <f>SUMIF(Tabel152[Groen Verdediging],Tabel2015[[#This Row],[Players]],Tabel152[ELO gains/loss3])</f>
        <v>-17.5</v>
      </c>
      <c r="E53" s="282">
        <f>SUMIF(Tabel152[Groen Aanval],Tabel2015[[#This Row],[Players]],Tabel152[ELO gains/loss4])</f>
        <v>0</v>
      </c>
      <c r="F53" s="283">
        <f t="shared" si="1"/>
        <v>-56.414285039948666</v>
      </c>
      <c r="G53" s="291">
        <f>1850+Tabel2015[[#This Row],[ELO Total gain]]</f>
        <v>1793.5857149600513</v>
      </c>
      <c r="H53" s="276">
        <f>_xlfn.FLOOR.MATH(Tabel2015[[#This Row],[ELO Tot]],$Q$2)</f>
        <v>1750</v>
      </c>
      <c r="I53" s="365" t="str">
        <f>IF(Tabel2015[[#This Row],[Kolom1]]&lt;'ELO S4'!M$10,'ELO S4'!K$5,IF(AND(Tabel2015[[#This Row],[Kolom1]]&gt;='ELO S4'!M$10,Tabel2015[[#This Row],[Kolom1]]&lt;'ELO S4'!M$15),'ELO S4'!K$10,IF(AND(Tabel2015[[#This Row],[Kolom1]]&gt;='ELO S4'!M$15,Tabel2015[[#This Row],[Kolom1]]&lt;'ELO S4'!M$20),'ELO S4'!K$15,IF(AND(Tabel2015[[#This Row],[Kolom1]]&gt;='ELO S4'!M$20,Tabel2015[[#This Row],[Kolom1]]&lt;'ELO S4'!M$25),'ELO S4'!K$20,IF(AND(Tabel2015[[#This Row],[Kolom1]]&gt;='ELO S4'!M$25,Tabel2015[[#This Row],[Kolom1]]&lt;'ELO S4'!M$30),'ELO S4'!K$25,IF(AND(Tabel2015[[#This Row],[Kolom1]]&gt;='ELO S4'!M$30,Tabel2015[[#This Row],[Kolom1]]&lt;MAX(Tabel2015[ELO Tot])),'ELO S4'!K$30,IF(AND(Tabel2015[[#This Row],[Kolom1]]&gt;='ELO S4'!M$30,Tabel2015[[#This Row],[Kolom1]]=MAX(Tabel2015[ELO Tot])),'ELO S4'!K$31,"")))))))</f>
        <v>Gold</v>
      </c>
      <c r="L53" s="404"/>
    </row>
    <row r="54" spans="1:12" x14ac:dyDescent="0.25">
      <c r="A54" s="223" t="s">
        <v>166</v>
      </c>
      <c r="B54" s="280">
        <f>SUMIF(Tabel152[Rood Verdediging],Tabel2015[[#This Row],[Players]],Tabel152[ELO gains/loss])+SUMIF(Tabel152[Rood Aanval],Tabel2015[[#This Row],[Players]],Tabel152[ELO gains/loss2])</f>
        <v>0</v>
      </c>
      <c r="C54" s="281">
        <f>SUMIF(Tabel152[Rood Aanval],Tabel2015[[#This Row],[Players]],Tabel152[ELO gains/loss2])</f>
        <v>0</v>
      </c>
      <c r="D54" s="281">
        <f>SUMIF(Tabel152[Groen Verdediging],Tabel2015[[#This Row],[Players]],Tabel152[ELO gains/loss3])</f>
        <v>0</v>
      </c>
      <c r="E54" s="282">
        <f>SUMIF(Tabel152[Groen Aanval],Tabel2015[[#This Row],[Players]],Tabel152[ELO gains/loss4])</f>
        <v>0</v>
      </c>
      <c r="F54" s="283">
        <f t="shared" si="1"/>
        <v>0</v>
      </c>
      <c r="G54" s="291">
        <f>1850+Tabel2015[[#This Row],[ELO Total gain]]</f>
        <v>1850</v>
      </c>
      <c r="H54" s="276">
        <f>_xlfn.FLOOR.MATH(Tabel2015[[#This Row],[ELO Tot]],$Q$2)</f>
        <v>1750</v>
      </c>
      <c r="I54" s="365" t="str">
        <f>IF(Tabel2015[[#This Row],[Kolom1]]&lt;'ELO S4'!M$10,'ELO S4'!K$5,IF(AND(Tabel2015[[#This Row],[Kolom1]]&gt;='ELO S4'!M$10,Tabel2015[[#This Row],[Kolom1]]&lt;'ELO S4'!M$15),'ELO S4'!K$10,IF(AND(Tabel2015[[#This Row],[Kolom1]]&gt;='ELO S4'!M$15,Tabel2015[[#This Row],[Kolom1]]&lt;'ELO S4'!M$20),'ELO S4'!K$15,IF(AND(Tabel2015[[#This Row],[Kolom1]]&gt;='ELO S4'!M$20,Tabel2015[[#This Row],[Kolom1]]&lt;'ELO S4'!M$25),'ELO S4'!K$20,IF(AND(Tabel2015[[#This Row],[Kolom1]]&gt;='ELO S4'!M$25,Tabel2015[[#This Row],[Kolom1]]&lt;'ELO S4'!M$30),'ELO S4'!K$25,IF(AND(Tabel2015[[#This Row],[Kolom1]]&gt;='ELO S4'!M$30,Tabel2015[[#This Row],[Kolom1]]&lt;MAX(Tabel2015[ELO Tot])),'ELO S4'!K$30,IF(AND(Tabel2015[[#This Row],[Kolom1]]&gt;='ELO S4'!M$30,Tabel2015[[#This Row],[Kolom1]]=MAX(Tabel2015[ELO Tot])),'ELO S4'!K$31,"")))))))</f>
        <v>Gold</v>
      </c>
      <c r="L54" s="404"/>
    </row>
    <row r="55" spans="1:12" x14ac:dyDescent="0.25">
      <c r="A55" s="225" t="s">
        <v>165</v>
      </c>
      <c r="B55" s="280">
        <f>SUMIF(Tabel152[Rood Verdediging],Tabel2015[[#This Row],[Players]],Tabel152[ELO gains/loss])+SUMIF(Tabel152[Rood Aanval],Tabel2015[[#This Row],[Players]],Tabel152[ELO gains/loss2])</f>
        <v>0</v>
      </c>
      <c r="C55" s="281">
        <f>SUMIF(Tabel152[Rood Aanval],Tabel2015[[#This Row],[Players]],Tabel152[ELO gains/loss2])</f>
        <v>0</v>
      </c>
      <c r="D55" s="281">
        <f>SUMIF(Tabel152[Groen Verdediging],Tabel2015[[#This Row],[Players]],Tabel152[ELO gains/loss3])</f>
        <v>0</v>
      </c>
      <c r="E55" s="282">
        <f>SUMIF(Tabel152[Groen Aanval],Tabel2015[[#This Row],[Players]],Tabel152[ELO gains/loss4])</f>
        <v>0</v>
      </c>
      <c r="F55" s="283">
        <f t="shared" si="1"/>
        <v>0</v>
      </c>
      <c r="G55" s="291">
        <f>1850+Tabel2015[[#This Row],[ELO Total gain]]</f>
        <v>1850</v>
      </c>
      <c r="H55" s="276">
        <f>_xlfn.FLOOR.MATH(Tabel2015[[#This Row],[ELO Tot]],$Q$2)</f>
        <v>1750</v>
      </c>
      <c r="I55" s="366" t="str">
        <f>IF(Tabel2015[[#This Row],[Kolom1]]&lt;'ELO S4'!M$10,'ELO S4'!K$5,IF(AND(Tabel2015[[#This Row],[Kolom1]]&gt;='ELO S4'!M$10,Tabel2015[[#This Row],[Kolom1]]&lt;'ELO S4'!M$15),'ELO S4'!K$10,IF(AND(Tabel2015[[#This Row],[Kolom1]]&gt;='ELO S4'!M$15,Tabel2015[[#This Row],[Kolom1]]&lt;'ELO S4'!M$20),'ELO S4'!K$15,IF(AND(Tabel2015[[#This Row],[Kolom1]]&gt;='ELO S4'!M$20,Tabel2015[[#This Row],[Kolom1]]&lt;'ELO S4'!M$25),'ELO S4'!K$20,IF(AND(Tabel2015[[#This Row],[Kolom1]]&gt;='ELO S4'!M$25,Tabel2015[[#This Row],[Kolom1]]&lt;'ELO S4'!M$30),'ELO S4'!K$25,IF(AND(Tabel2015[[#This Row],[Kolom1]]&gt;='ELO S4'!M$30,Tabel2015[[#This Row],[Kolom1]]&lt;MAX(Tabel2015[ELO Tot])),'ELO S4'!K$30,IF(AND(Tabel2015[[#This Row],[Kolom1]]&gt;='ELO S4'!M$30,Tabel2015[[#This Row],[Kolom1]]=MAX(Tabel2015[ELO Tot])),'ELO S4'!K$31,"")))))))</f>
        <v>Gold</v>
      </c>
      <c r="L55" s="404"/>
    </row>
    <row r="59" spans="1:12" ht="15.75" thickBot="1" x14ac:dyDescent="0.3"/>
    <row r="60" spans="1:12" ht="15.75" thickBot="1" x14ac:dyDescent="0.3">
      <c r="B60" s="200" t="s">
        <v>137</v>
      </c>
      <c r="C60" s="213" t="str">
        <f>C7</f>
        <v>Karel</v>
      </c>
      <c r="E60" s="200" t="s">
        <v>138</v>
      </c>
      <c r="F60" s="213" t="str">
        <f>C3</f>
        <v>Matthijs</v>
      </c>
      <c r="H60" s="200" t="s">
        <v>203</v>
      </c>
      <c r="I60" s="383" t="s">
        <v>201</v>
      </c>
    </row>
    <row r="61" spans="1:12" x14ac:dyDescent="0.25">
      <c r="B61" s="224" t="s">
        <v>198</v>
      </c>
      <c r="C61" s="183">
        <v>8</v>
      </c>
      <c r="E61" s="224" t="s">
        <v>198</v>
      </c>
      <c r="F61" s="183">
        <v>0</v>
      </c>
      <c r="H61" s="224" t="s">
        <v>202</v>
      </c>
      <c r="I61" s="369">
        <v>8</v>
      </c>
    </row>
    <row r="62" spans="1:12" s="293" customFormat="1" x14ac:dyDescent="0.25">
      <c r="B62" s="224" t="s">
        <v>198</v>
      </c>
      <c r="C62" s="137">
        <f>IF(ScoreR&gt;11,(GOR*11)/ScoreR,GOR)</f>
        <v>8</v>
      </c>
      <c r="E62" s="224"/>
      <c r="F62" s="137">
        <f>IF(ScoreR&gt;11,(GDR*11)/ScoreR,GDR)</f>
        <v>0</v>
      </c>
      <c r="H62" s="224" t="s">
        <v>199</v>
      </c>
      <c r="I62" s="372">
        <v>7.6</v>
      </c>
    </row>
    <row r="63" spans="1:12" x14ac:dyDescent="0.25">
      <c r="B63" s="224" t="s">
        <v>199</v>
      </c>
      <c r="C63" s="137">
        <f ca="1">C72</f>
        <v>7.011690651359582</v>
      </c>
      <c r="E63" s="224" t="s">
        <v>199</v>
      </c>
      <c r="F63" s="137">
        <f ca="1">'Player Stats S3'!S15</f>
        <v>2.9191779788838614</v>
      </c>
      <c r="H63" s="224" t="s">
        <v>200</v>
      </c>
      <c r="I63" s="372">
        <f>ScoreR-I62</f>
        <v>0.40000000000000036</v>
      </c>
    </row>
    <row r="64" spans="1:12" s="293" customFormat="1" x14ac:dyDescent="0.25">
      <c r="B64" s="405" t="s">
        <v>200</v>
      </c>
      <c r="C64" s="137">
        <f ca="1">C62-C63</f>
        <v>0.98830934864041797</v>
      </c>
      <c r="E64" s="405" t="s">
        <v>200</v>
      </c>
      <c r="F64" s="137">
        <f ca="1">F62-F63</f>
        <v>-2.9191779788838614</v>
      </c>
      <c r="H64" s="405" t="s">
        <v>205</v>
      </c>
      <c r="I64" s="372" t="str">
        <f>IF(AND(ScoreR&lt;ScoreG,I63&gt;0),"+","-")</f>
        <v>+</v>
      </c>
    </row>
    <row r="65" spans="2:9" x14ac:dyDescent="0.25">
      <c r="B65" s="406" t="s">
        <v>207</v>
      </c>
      <c r="C65" s="185">
        <f ca="1">IF(C64&gt;0,(C64*3)+((-F73)*4)+((-C73)*2),(C64*3)+((-F73)*4)+((-C73)*3))</f>
        <v>0.66502126417586371</v>
      </c>
      <c r="E65" s="406" t="s">
        <v>207</v>
      </c>
      <c r="F65" s="185">
        <f ca="1">IF(F64&gt;0,F64*5,0)+IF(C73&gt;0,0,(-C73*5))</f>
        <v>0</v>
      </c>
      <c r="H65" s="406" t="s">
        <v>206</v>
      </c>
      <c r="I65" s="376">
        <f>IF(I64="+",IF(ScoreR&gt;8,5,5),IF(ScoreG=0,50,IF(I72&lt;-3,5,0)))</f>
        <v>5</v>
      </c>
    </row>
    <row r="66" spans="2:9" x14ac:dyDescent="0.25">
      <c r="B66" s="213"/>
      <c r="C66" s="213"/>
      <c r="E66" s="213"/>
      <c r="F66" s="213"/>
    </row>
    <row r="67" spans="2:9" x14ac:dyDescent="0.25">
      <c r="B67" s="213"/>
      <c r="C67" s="213"/>
      <c r="D67"/>
      <c r="E67" s="213"/>
      <c r="F67" s="213"/>
      <c r="I67" s="383"/>
    </row>
    <row r="68" spans="2:9" ht="15.75" thickBot="1" x14ac:dyDescent="0.3">
      <c r="D68"/>
      <c r="I68" s="383"/>
    </row>
    <row r="69" spans="2:9" ht="15.75" thickBot="1" x14ac:dyDescent="0.3">
      <c r="B69" s="200" t="s">
        <v>139</v>
      </c>
      <c r="C69" s="213" t="str">
        <f>C8</f>
        <v>Stef D</v>
      </c>
      <c r="E69" s="200" t="s">
        <v>140</v>
      </c>
      <c r="F69" s="213" t="str">
        <f>C4</f>
        <v>Stef D</v>
      </c>
      <c r="H69" s="200" t="s">
        <v>204</v>
      </c>
      <c r="I69" s="383" t="s">
        <v>201</v>
      </c>
    </row>
    <row r="70" spans="2:9" x14ac:dyDescent="0.25">
      <c r="B70" s="224" t="s">
        <v>198</v>
      </c>
      <c r="C70" s="183">
        <v>8</v>
      </c>
      <c r="E70" s="224" t="s">
        <v>198</v>
      </c>
      <c r="F70" s="183">
        <v>3</v>
      </c>
      <c r="H70" s="224" t="s">
        <v>202</v>
      </c>
      <c r="I70" s="369">
        <v>11</v>
      </c>
    </row>
    <row r="71" spans="2:9" s="293" customFormat="1" x14ac:dyDescent="0.25">
      <c r="B71" s="224"/>
      <c r="C71" s="137">
        <f>IF(ScoreG&gt;11,(GOG*11)/ScoreG,GOG)</f>
        <v>8</v>
      </c>
      <c r="E71" s="224"/>
      <c r="F71" s="137">
        <f>IF(ScoreG&gt;11,(GDG*11)/ScoreG,GDG)</f>
        <v>3</v>
      </c>
      <c r="H71" s="224" t="s">
        <v>199</v>
      </c>
      <c r="I71" s="372">
        <v>7.6</v>
      </c>
    </row>
    <row r="72" spans="2:9" x14ac:dyDescent="0.25">
      <c r="B72" s="224" t="s">
        <v>199</v>
      </c>
      <c r="C72" s="137">
        <f ca="1">'Player Stats S3'!T15+1.25</f>
        <v>7.011690651359582</v>
      </c>
      <c r="E72" s="224" t="s">
        <v>199</v>
      </c>
      <c r="F72" s="137">
        <f ca="1">F63</f>
        <v>2.9191779788838614</v>
      </c>
      <c r="H72" s="224" t="s">
        <v>200</v>
      </c>
      <c r="I72" s="372">
        <f>ScoreG-I71</f>
        <v>3.4000000000000004</v>
      </c>
    </row>
    <row r="73" spans="2:9" x14ac:dyDescent="0.25">
      <c r="B73" s="405" t="s">
        <v>200</v>
      </c>
      <c r="C73" s="407">
        <f ca="1">C71-C72</f>
        <v>0.98830934864041797</v>
      </c>
      <c r="E73" s="405" t="s">
        <v>200</v>
      </c>
      <c r="F73" s="137">
        <f ca="1">F71-F72</f>
        <v>8.0822021116138565E-2</v>
      </c>
      <c r="H73" s="224" t="s">
        <v>205</v>
      </c>
      <c r="I73" s="372" t="str">
        <f>IF(AND(ScoreG&lt;ScoreR,I72&gt;0),"+","-")</f>
        <v>-</v>
      </c>
    </row>
    <row r="74" spans="2:9" x14ac:dyDescent="0.25">
      <c r="B74" s="406" t="s">
        <v>207</v>
      </c>
      <c r="C74" s="185">
        <f ca="1">IF(C73&gt;0,(C73*3)+((-F64)*4)+((-C64)*2),(C73*3)+((-F64)*4)+((-C64)*3))</f>
        <v>12.665021264175865</v>
      </c>
      <c r="E74" s="406" t="s">
        <v>207</v>
      </c>
      <c r="F74" s="185">
        <f ca="1">IF(F73&gt;0,F73*5,0)+IF(C64&gt;0,0,(-C64)*5)</f>
        <v>0.40411010558069282</v>
      </c>
      <c r="H74" s="184" t="s">
        <v>206</v>
      </c>
      <c r="I74" s="376">
        <f>IF(I73="+",IF(ScoreG&gt;8,5,5),IF(ScoreR=0,50,IF(I63&lt;-3,5,0)))</f>
        <v>0</v>
      </c>
    </row>
    <row r="1823" spans="26:26" x14ac:dyDescent="0.25">
      <c r="Z1823" s="213"/>
    </row>
    <row r="1824" spans="26:26" x14ac:dyDescent="0.25">
      <c r="Z1824" s="213"/>
    </row>
    <row r="1825" spans="26:26" x14ac:dyDescent="0.25">
      <c r="Z1825" s="213"/>
    </row>
    <row r="1826" spans="26:26" x14ac:dyDescent="0.25">
      <c r="Z1826" s="213"/>
    </row>
    <row r="1827" spans="26:26" x14ac:dyDescent="0.25">
      <c r="Z1827" s="213"/>
    </row>
    <row r="1828" spans="26:26" x14ac:dyDescent="0.25">
      <c r="Z1828" s="213"/>
    </row>
    <row r="1829" spans="26:26" x14ac:dyDescent="0.25">
      <c r="Z1829" s="213"/>
    </row>
    <row r="1830" spans="26:26" x14ac:dyDescent="0.25">
      <c r="Z1830" s="213"/>
    </row>
    <row r="1831" spans="26:26" x14ac:dyDescent="0.25">
      <c r="Z1831" s="213"/>
    </row>
    <row r="1832" spans="26:26" x14ac:dyDescent="0.25">
      <c r="Z1832" s="213"/>
    </row>
    <row r="1833" spans="26:26" x14ac:dyDescent="0.25">
      <c r="Z1833" s="213"/>
    </row>
    <row r="1834" spans="26:26" x14ac:dyDescent="0.25">
      <c r="Z1834" s="213"/>
    </row>
    <row r="1835" spans="26:26" x14ac:dyDescent="0.25">
      <c r="Z1835" s="213"/>
    </row>
    <row r="1836" spans="26:26" x14ac:dyDescent="0.25">
      <c r="Z1836" s="213"/>
    </row>
    <row r="1837" spans="26:26" x14ac:dyDescent="0.25">
      <c r="Z1837" s="213"/>
    </row>
    <row r="1838" spans="26:26" x14ac:dyDescent="0.25">
      <c r="Z1838" s="213"/>
    </row>
    <row r="1839" spans="26:26" x14ac:dyDescent="0.25">
      <c r="Z1839" s="213"/>
    </row>
    <row r="1840" spans="26:26" x14ac:dyDescent="0.25">
      <c r="Z1840" s="213"/>
    </row>
    <row r="1841" spans="26:26" x14ac:dyDescent="0.25">
      <c r="Z1841" s="213"/>
    </row>
    <row r="1842" spans="26:26" x14ac:dyDescent="0.25">
      <c r="Z1842" s="213"/>
    </row>
    <row r="1843" spans="26:26" x14ac:dyDescent="0.25">
      <c r="Z1843" s="213"/>
    </row>
    <row r="1844" spans="26:26" x14ac:dyDescent="0.25">
      <c r="Z1844" s="213"/>
    </row>
    <row r="1845" spans="26:26" x14ac:dyDescent="0.25">
      <c r="Z1845" s="213"/>
    </row>
    <row r="1846" spans="26:26" x14ac:dyDescent="0.25">
      <c r="Z1846" s="213"/>
    </row>
    <row r="1847" spans="26:26" x14ac:dyDescent="0.25">
      <c r="Z1847" s="213"/>
    </row>
    <row r="1848" spans="26:26" x14ac:dyDescent="0.25">
      <c r="Z1848" s="213"/>
    </row>
    <row r="1849" spans="26:26" x14ac:dyDescent="0.25">
      <c r="Z1849" s="213"/>
    </row>
    <row r="1850" spans="26:26" x14ac:dyDescent="0.25">
      <c r="Z1850" s="213"/>
    </row>
    <row r="1851" spans="26:26" x14ac:dyDescent="0.25">
      <c r="Z1851" s="213"/>
    </row>
    <row r="1852" spans="26:26" x14ac:dyDescent="0.25">
      <c r="Z1852" s="213"/>
    </row>
    <row r="1853" spans="26:26" x14ac:dyDescent="0.25">
      <c r="Z1853" s="213"/>
    </row>
    <row r="1854" spans="26:26" x14ac:dyDescent="0.25">
      <c r="Z1854" s="213"/>
    </row>
    <row r="1855" spans="26:26" x14ac:dyDescent="0.25">
      <c r="Z1855" s="213"/>
    </row>
    <row r="1856" spans="26:26" x14ac:dyDescent="0.25">
      <c r="Z1856" s="213"/>
    </row>
    <row r="1857" spans="26:26" x14ac:dyDescent="0.25">
      <c r="Z1857" s="213"/>
    </row>
    <row r="1858" spans="26:26" x14ac:dyDescent="0.25">
      <c r="Z1858" s="213"/>
    </row>
    <row r="1859" spans="26:26" x14ac:dyDescent="0.25">
      <c r="Z1859" s="213"/>
    </row>
    <row r="1860" spans="26:26" x14ac:dyDescent="0.25">
      <c r="Z1860" s="213"/>
    </row>
    <row r="1861" spans="26:26" x14ac:dyDescent="0.25">
      <c r="Z1861" s="213"/>
    </row>
    <row r="1862" spans="26:26" x14ac:dyDescent="0.25">
      <c r="Z1862" s="213"/>
    </row>
    <row r="1863" spans="26:26" x14ac:dyDescent="0.25">
      <c r="Z1863" s="213"/>
    </row>
    <row r="1864" spans="26:26" x14ac:dyDescent="0.25">
      <c r="Z1864" s="213"/>
    </row>
    <row r="1865" spans="26:26" x14ac:dyDescent="0.25">
      <c r="Z1865" s="213"/>
    </row>
    <row r="1866" spans="26:26" x14ac:dyDescent="0.25">
      <c r="Z1866" s="213"/>
    </row>
    <row r="1867" spans="26:26" x14ac:dyDescent="0.25">
      <c r="Z1867" s="213"/>
    </row>
    <row r="1868" spans="26:26" x14ac:dyDescent="0.25">
      <c r="Z1868" s="213"/>
    </row>
    <row r="1869" spans="26:26" x14ac:dyDescent="0.25">
      <c r="Z1869" s="213"/>
    </row>
    <row r="1870" spans="26:26" x14ac:dyDescent="0.25">
      <c r="Z1870" s="213"/>
    </row>
    <row r="1871" spans="26:26" x14ac:dyDescent="0.25">
      <c r="Z1871" s="213"/>
    </row>
    <row r="1872" spans="26:26" x14ac:dyDescent="0.25">
      <c r="Z1872" s="213"/>
    </row>
    <row r="1873" spans="26:26" x14ac:dyDescent="0.25">
      <c r="Z1873" s="213"/>
    </row>
    <row r="1874" spans="26:26" x14ac:dyDescent="0.25">
      <c r="Z1874" s="213"/>
    </row>
    <row r="1875" spans="26:26" x14ac:dyDescent="0.25">
      <c r="Z1875" s="213"/>
    </row>
    <row r="1876" spans="26:26" x14ac:dyDescent="0.25">
      <c r="Z1876" s="213"/>
    </row>
    <row r="1877" spans="26:26" x14ac:dyDescent="0.25">
      <c r="Z1877" s="213"/>
    </row>
    <row r="1878" spans="26:26" x14ac:dyDescent="0.25">
      <c r="Z1878" s="213"/>
    </row>
    <row r="1879" spans="26:26" x14ac:dyDescent="0.25">
      <c r="Z1879" s="213"/>
    </row>
    <row r="1880" spans="26:26" x14ac:dyDescent="0.25">
      <c r="Z1880" s="213"/>
    </row>
    <row r="1881" spans="26:26" x14ac:dyDescent="0.25">
      <c r="Z1881" s="213"/>
    </row>
    <row r="1882" spans="26:26" x14ac:dyDescent="0.25">
      <c r="Z1882" s="213"/>
    </row>
    <row r="1883" spans="26:26" x14ac:dyDescent="0.25">
      <c r="Z1883" s="213"/>
    </row>
    <row r="1884" spans="26:26" x14ac:dyDescent="0.25">
      <c r="Z1884" s="213"/>
    </row>
    <row r="1885" spans="26:26" x14ac:dyDescent="0.25">
      <c r="Z1885" s="213"/>
    </row>
    <row r="1886" spans="26:26" x14ac:dyDescent="0.25">
      <c r="Z1886" s="213"/>
    </row>
    <row r="1887" spans="26:26" x14ac:dyDescent="0.25">
      <c r="Z1887" s="213"/>
    </row>
    <row r="1888" spans="26:26" x14ac:dyDescent="0.25">
      <c r="Z1888" s="213"/>
    </row>
    <row r="1889" spans="26:26" x14ac:dyDescent="0.25">
      <c r="Z1889" s="213"/>
    </row>
    <row r="1890" spans="26:26" x14ac:dyDescent="0.25">
      <c r="Z1890" s="213"/>
    </row>
    <row r="1891" spans="26:26" x14ac:dyDescent="0.25">
      <c r="Z1891" s="213"/>
    </row>
    <row r="1892" spans="26:26" x14ac:dyDescent="0.25">
      <c r="Z1892" s="213"/>
    </row>
    <row r="1893" spans="26:26" x14ac:dyDescent="0.25">
      <c r="Z1893" s="213"/>
    </row>
    <row r="1894" spans="26:26" x14ac:dyDescent="0.25">
      <c r="Z1894" s="213"/>
    </row>
    <row r="1895" spans="26:26" x14ac:dyDescent="0.25">
      <c r="Z1895" s="213"/>
    </row>
    <row r="1896" spans="26:26" x14ac:dyDescent="0.25">
      <c r="Z1896" s="213"/>
    </row>
    <row r="1897" spans="26:26" x14ac:dyDescent="0.25">
      <c r="Z1897" s="213"/>
    </row>
    <row r="1898" spans="26:26" x14ac:dyDescent="0.25">
      <c r="Z1898" s="213"/>
    </row>
    <row r="1899" spans="26:26" x14ac:dyDescent="0.25">
      <c r="Z1899" s="213"/>
    </row>
    <row r="1900" spans="26:26" x14ac:dyDescent="0.25">
      <c r="Z1900" s="213"/>
    </row>
    <row r="1901" spans="26:26" x14ac:dyDescent="0.25">
      <c r="Z1901" s="213"/>
    </row>
    <row r="1902" spans="26:26" x14ac:dyDescent="0.25">
      <c r="Z1902" s="213"/>
    </row>
    <row r="1903" spans="26:26" x14ac:dyDescent="0.25">
      <c r="Z1903" s="213"/>
    </row>
    <row r="1904" spans="26:26" x14ac:dyDescent="0.25">
      <c r="Z1904" s="213"/>
    </row>
    <row r="1905" spans="26:26" x14ac:dyDescent="0.25">
      <c r="Z1905" s="213"/>
    </row>
    <row r="1906" spans="26:26" x14ac:dyDescent="0.25">
      <c r="Z1906" s="213"/>
    </row>
    <row r="1907" spans="26:26" x14ac:dyDescent="0.25">
      <c r="Z1907" s="213"/>
    </row>
    <row r="1908" spans="26:26" x14ac:dyDescent="0.25">
      <c r="Z1908" s="213"/>
    </row>
    <row r="1909" spans="26:26" x14ac:dyDescent="0.25">
      <c r="Z1909" s="213"/>
    </row>
    <row r="1910" spans="26:26" x14ac:dyDescent="0.25">
      <c r="Z1910" s="213"/>
    </row>
    <row r="1911" spans="26:26" x14ac:dyDescent="0.25">
      <c r="Z1911" s="213"/>
    </row>
    <row r="1912" spans="26:26" x14ac:dyDescent="0.25">
      <c r="Z1912" s="213"/>
    </row>
    <row r="1913" spans="26:26" x14ac:dyDescent="0.25">
      <c r="Z1913" s="213"/>
    </row>
    <row r="1914" spans="26:26" x14ac:dyDescent="0.25">
      <c r="Z1914" s="213"/>
    </row>
    <row r="1915" spans="26:26" x14ac:dyDescent="0.25">
      <c r="Z1915" s="213"/>
    </row>
    <row r="1916" spans="26:26" x14ac:dyDescent="0.25">
      <c r="Z1916" s="213"/>
    </row>
    <row r="1917" spans="26:26" x14ac:dyDescent="0.25">
      <c r="Z1917" s="213"/>
    </row>
    <row r="1918" spans="26:26" x14ac:dyDescent="0.25">
      <c r="Z1918" s="213"/>
    </row>
    <row r="1919" spans="26:26" x14ac:dyDescent="0.25">
      <c r="Z1919" s="213"/>
    </row>
    <row r="1920" spans="26:26" x14ac:dyDescent="0.25">
      <c r="Z1920" s="213"/>
    </row>
    <row r="1921" spans="26:26" x14ac:dyDescent="0.25">
      <c r="Z1921" s="213"/>
    </row>
    <row r="1922" spans="26:26" x14ac:dyDescent="0.25">
      <c r="Z1922" s="213"/>
    </row>
    <row r="1923" spans="26:26" x14ac:dyDescent="0.25">
      <c r="Z1923" s="213"/>
    </row>
    <row r="1924" spans="26:26" x14ac:dyDescent="0.25">
      <c r="Z1924" s="213"/>
    </row>
    <row r="1925" spans="26:26" x14ac:dyDescent="0.25">
      <c r="Z1925" s="213"/>
    </row>
    <row r="1926" spans="26:26" x14ac:dyDescent="0.25">
      <c r="Z1926" s="213"/>
    </row>
    <row r="1927" spans="26:26" x14ac:dyDescent="0.25">
      <c r="Z1927" s="213"/>
    </row>
    <row r="1928" spans="26:26" x14ac:dyDescent="0.25">
      <c r="Z1928" s="213"/>
    </row>
    <row r="1929" spans="26:26" x14ac:dyDescent="0.25">
      <c r="Z1929" s="213"/>
    </row>
    <row r="1930" spans="26:26" x14ac:dyDescent="0.25">
      <c r="Z1930" s="213"/>
    </row>
    <row r="1931" spans="26:26" x14ac:dyDescent="0.25">
      <c r="Z1931" s="213"/>
    </row>
    <row r="1932" spans="26:26" x14ac:dyDescent="0.25">
      <c r="Z1932" s="213"/>
    </row>
    <row r="1933" spans="26:26" x14ac:dyDescent="0.25">
      <c r="Z1933" s="213"/>
    </row>
    <row r="1934" spans="26:26" x14ac:dyDescent="0.25">
      <c r="Z1934" s="213"/>
    </row>
    <row r="1935" spans="26:26" x14ac:dyDescent="0.25">
      <c r="Z1935" s="213"/>
    </row>
    <row r="1936" spans="26:26" x14ac:dyDescent="0.25">
      <c r="Z1936" s="213"/>
    </row>
    <row r="1937" spans="26:26" x14ac:dyDescent="0.25">
      <c r="Z1937" s="213"/>
    </row>
    <row r="1938" spans="26:26" x14ac:dyDescent="0.25">
      <c r="Z1938" s="213"/>
    </row>
    <row r="1939" spans="26:26" x14ac:dyDescent="0.25">
      <c r="Z1939" s="213"/>
    </row>
    <row r="1940" spans="26:26" x14ac:dyDescent="0.25">
      <c r="Z1940" s="213"/>
    </row>
    <row r="1941" spans="26:26" x14ac:dyDescent="0.25">
      <c r="Z1941" s="213"/>
    </row>
    <row r="1942" spans="26:26" x14ac:dyDescent="0.25">
      <c r="Z1942" s="213"/>
    </row>
    <row r="1943" spans="26:26" x14ac:dyDescent="0.25">
      <c r="Z1943" s="213"/>
    </row>
    <row r="1944" spans="26:26" x14ac:dyDescent="0.25">
      <c r="Z1944" s="213"/>
    </row>
    <row r="1945" spans="26:26" x14ac:dyDescent="0.25">
      <c r="Z1945" s="213"/>
    </row>
    <row r="1946" spans="26:26" x14ac:dyDescent="0.25">
      <c r="Z1946" s="213"/>
    </row>
    <row r="1947" spans="26:26" x14ac:dyDescent="0.25">
      <c r="Z1947" s="213"/>
    </row>
    <row r="1948" spans="26:26" x14ac:dyDescent="0.25">
      <c r="Z1948" s="213"/>
    </row>
    <row r="1949" spans="26:26" x14ac:dyDescent="0.25">
      <c r="Z1949" s="213"/>
    </row>
    <row r="1950" spans="26:26" x14ac:dyDescent="0.25">
      <c r="Z1950" s="213"/>
    </row>
    <row r="1951" spans="26:26" x14ac:dyDescent="0.25">
      <c r="Z1951" s="213"/>
    </row>
    <row r="1952" spans="26:26" x14ac:dyDescent="0.25">
      <c r="Z1952" s="213"/>
    </row>
    <row r="1953" spans="26:26" x14ac:dyDescent="0.25">
      <c r="Z1953" s="213"/>
    </row>
    <row r="1954" spans="26:26" x14ac:dyDescent="0.25">
      <c r="Z1954" s="213"/>
    </row>
    <row r="1955" spans="26:26" x14ac:dyDescent="0.25">
      <c r="Z1955" s="213"/>
    </row>
    <row r="1956" spans="26:26" x14ac:dyDescent="0.25">
      <c r="Z1956" s="213"/>
    </row>
    <row r="1957" spans="26:26" x14ac:dyDescent="0.25">
      <c r="Z1957" s="213"/>
    </row>
    <row r="1958" spans="26:26" x14ac:dyDescent="0.25">
      <c r="Z1958" s="213"/>
    </row>
    <row r="1959" spans="26:26" x14ac:dyDescent="0.25">
      <c r="Z1959" s="213"/>
    </row>
    <row r="1960" spans="26:26" x14ac:dyDescent="0.25">
      <c r="Z1960" s="213"/>
    </row>
    <row r="1961" spans="26:26" x14ac:dyDescent="0.25">
      <c r="Z1961" s="213"/>
    </row>
    <row r="1962" spans="26:26" x14ac:dyDescent="0.25">
      <c r="Z1962" s="213"/>
    </row>
    <row r="1963" spans="26:26" x14ac:dyDescent="0.25">
      <c r="Z1963" s="213"/>
    </row>
    <row r="1964" spans="26:26" x14ac:dyDescent="0.25">
      <c r="Z1964" s="213"/>
    </row>
    <row r="1965" spans="26:26" x14ac:dyDescent="0.25">
      <c r="Z1965" s="213"/>
    </row>
    <row r="1966" spans="26:26" x14ac:dyDescent="0.25">
      <c r="Z1966" s="213"/>
    </row>
    <row r="1967" spans="26:26" x14ac:dyDescent="0.25">
      <c r="Z1967" s="213"/>
    </row>
    <row r="1968" spans="26:26" x14ac:dyDescent="0.25">
      <c r="Z1968" s="213"/>
    </row>
    <row r="1969" spans="26:26" x14ac:dyDescent="0.25">
      <c r="Z1969" s="213"/>
    </row>
    <row r="1970" spans="26:26" x14ac:dyDescent="0.25">
      <c r="Z1970" s="213"/>
    </row>
    <row r="1971" spans="26:26" x14ac:dyDescent="0.25">
      <c r="Z1971" s="213"/>
    </row>
    <row r="1972" spans="26:26" x14ac:dyDescent="0.25">
      <c r="Z1972" s="213"/>
    </row>
    <row r="1973" spans="26:26" x14ac:dyDescent="0.25">
      <c r="Z1973" s="213"/>
    </row>
    <row r="1974" spans="26:26" x14ac:dyDescent="0.25">
      <c r="Z1974" s="213"/>
    </row>
    <row r="1975" spans="26:26" x14ac:dyDescent="0.25">
      <c r="Z1975" s="213"/>
    </row>
    <row r="1976" spans="26:26" x14ac:dyDescent="0.25">
      <c r="Z1976" s="213"/>
    </row>
    <row r="1977" spans="26:26" x14ac:dyDescent="0.25">
      <c r="Z1977" s="213"/>
    </row>
    <row r="1978" spans="26:26" x14ac:dyDescent="0.25">
      <c r="Z1978" s="213"/>
    </row>
    <row r="1979" spans="26:26" x14ac:dyDescent="0.25">
      <c r="Z1979" s="213"/>
    </row>
    <row r="1980" spans="26:26" x14ac:dyDescent="0.25">
      <c r="Z1980" s="213"/>
    </row>
    <row r="1981" spans="26:26" x14ac:dyDescent="0.25">
      <c r="Z1981" s="213"/>
    </row>
    <row r="1982" spans="26:26" x14ac:dyDescent="0.25">
      <c r="Z1982" s="213"/>
    </row>
    <row r="1983" spans="26:26" x14ac:dyDescent="0.25">
      <c r="Z1983" s="213"/>
    </row>
    <row r="1984" spans="26:26" x14ac:dyDescent="0.25">
      <c r="Z1984" s="213"/>
    </row>
    <row r="1985" spans="26:26" x14ac:dyDescent="0.25">
      <c r="Z1985" s="213"/>
    </row>
    <row r="1986" spans="26:26" x14ac:dyDescent="0.25">
      <c r="Z1986" s="213"/>
    </row>
    <row r="1987" spans="26:26" x14ac:dyDescent="0.25">
      <c r="Z1987" s="213"/>
    </row>
    <row r="1988" spans="26:26" x14ac:dyDescent="0.25">
      <c r="Z1988" s="213"/>
    </row>
    <row r="1989" spans="26:26" x14ac:dyDescent="0.25">
      <c r="Z1989" s="213"/>
    </row>
    <row r="1990" spans="26:26" x14ac:dyDescent="0.25">
      <c r="Z1990" s="213"/>
    </row>
    <row r="1991" spans="26:26" x14ac:dyDescent="0.25">
      <c r="Z1991" s="213"/>
    </row>
    <row r="1992" spans="26:26" x14ac:dyDescent="0.25">
      <c r="Z1992" s="213"/>
    </row>
    <row r="1993" spans="26:26" x14ac:dyDescent="0.25">
      <c r="Z1993" s="213"/>
    </row>
    <row r="1994" spans="26:26" x14ac:dyDescent="0.25">
      <c r="Z1994" s="213"/>
    </row>
    <row r="1995" spans="26:26" x14ac:dyDescent="0.25">
      <c r="Z1995" s="213"/>
    </row>
    <row r="1996" spans="26:26" x14ac:dyDescent="0.25">
      <c r="Z1996" s="213"/>
    </row>
    <row r="1997" spans="26:26" x14ac:dyDescent="0.25">
      <c r="Z1997" s="213"/>
    </row>
    <row r="1998" spans="26:26" x14ac:dyDescent="0.25">
      <c r="Z1998" s="213"/>
    </row>
    <row r="1999" spans="26:26" x14ac:dyDescent="0.25">
      <c r="Z1999" s="213"/>
    </row>
    <row r="2000" spans="26:26" x14ac:dyDescent="0.25">
      <c r="Z2000" s="213"/>
    </row>
    <row r="2001" spans="26:26" x14ac:dyDescent="0.25">
      <c r="Z2001" s="213"/>
    </row>
    <row r="2002" spans="26:26" x14ac:dyDescent="0.25">
      <c r="Z2002" s="213"/>
    </row>
    <row r="2003" spans="26:26" x14ac:dyDescent="0.25">
      <c r="Z2003" s="213"/>
    </row>
    <row r="2004" spans="26:26" x14ac:dyDescent="0.25">
      <c r="Z2004" s="213"/>
    </row>
    <row r="2005" spans="26:26" x14ac:dyDescent="0.25">
      <c r="Z2005" s="213"/>
    </row>
    <row r="2006" spans="26:26" x14ac:dyDescent="0.25">
      <c r="Z2006" s="213"/>
    </row>
    <row r="2007" spans="26:26" x14ac:dyDescent="0.25">
      <c r="Z2007" s="213"/>
    </row>
    <row r="2008" spans="26:26" x14ac:dyDescent="0.25">
      <c r="Z2008" s="213"/>
    </row>
    <row r="2009" spans="26:26" x14ac:dyDescent="0.25">
      <c r="Z2009" s="213"/>
    </row>
    <row r="2010" spans="26:26" x14ac:dyDescent="0.25">
      <c r="Z2010" s="213"/>
    </row>
    <row r="2011" spans="26:26" x14ac:dyDescent="0.25">
      <c r="Z2011" s="213"/>
    </row>
    <row r="2012" spans="26:26" x14ac:dyDescent="0.25">
      <c r="Z2012" s="213"/>
    </row>
    <row r="2013" spans="26:26" x14ac:dyDescent="0.25">
      <c r="Z2013" s="213"/>
    </row>
    <row r="2014" spans="26:26" x14ac:dyDescent="0.25">
      <c r="Z2014" s="213"/>
    </row>
    <row r="2015" spans="26:26" x14ac:dyDescent="0.25">
      <c r="Z2015" s="213"/>
    </row>
    <row r="2016" spans="26:26" x14ac:dyDescent="0.25">
      <c r="Z2016" s="213"/>
    </row>
    <row r="2017" spans="26:26" x14ac:dyDescent="0.25">
      <c r="Z2017" s="213"/>
    </row>
    <row r="2018" spans="26:26" x14ac:dyDescent="0.25">
      <c r="Z2018" s="213"/>
    </row>
    <row r="2019" spans="26:26" x14ac:dyDescent="0.25">
      <c r="Z2019" s="213"/>
    </row>
    <row r="2020" spans="26:26" x14ac:dyDescent="0.25">
      <c r="Z2020" s="213"/>
    </row>
    <row r="2021" spans="26:26" x14ac:dyDescent="0.25">
      <c r="Z2021" s="213"/>
    </row>
    <row r="2022" spans="26:26" x14ac:dyDescent="0.25">
      <c r="Z2022" s="213"/>
    </row>
    <row r="2023" spans="26:26" x14ac:dyDescent="0.25">
      <c r="Z2023" s="213"/>
    </row>
    <row r="2024" spans="26:26" x14ac:dyDescent="0.25">
      <c r="Z2024" s="213"/>
    </row>
    <row r="2025" spans="26:26" x14ac:dyDescent="0.25">
      <c r="Z2025" s="213"/>
    </row>
    <row r="2026" spans="26:26" x14ac:dyDescent="0.25">
      <c r="Z2026" s="213"/>
    </row>
    <row r="2027" spans="26:26" x14ac:dyDescent="0.25">
      <c r="Z2027" s="213"/>
    </row>
    <row r="2028" spans="26:26" x14ac:dyDescent="0.25">
      <c r="Z2028" s="213"/>
    </row>
    <row r="2029" spans="26:26" x14ac:dyDescent="0.25">
      <c r="Z2029" s="213"/>
    </row>
    <row r="2030" spans="26:26" x14ac:dyDescent="0.25">
      <c r="Z2030" s="213"/>
    </row>
    <row r="2031" spans="26:26" x14ac:dyDescent="0.25">
      <c r="Z2031" s="213"/>
    </row>
    <row r="2032" spans="26:26" x14ac:dyDescent="0.25">
      <c r="Z2032" s="213"/>
    </row>
    <row r="2033" spans="26:26" x14ac:dyDescent="0.25">
      <c r="Z2033" s="213"/>
    </row>
    <row r="2034" spans="26:26" x14ac:dyDescent="0.25">
      <c r="Z2034" s="213"/>
    </row>
    <row r="2035" spans="26:26" x14ac:dyDescent="0.25">
      <c r="Z2035" s="213"/>
    </row>
    <row r="2036" spans="26:26" x14ac:dyDescent="0.25">
      <c r="Z2036" s="213"/>
    </row>
    <row r="2037" spans="26:26" x14ac:dyDescent="0.25">
      <c r="Z2037" s="213"/>
    </row>
    <row r="2038" spans="26:26" x14ac:dyDescent="0.25">
      <c r="Z2038" s="213"/>
    </row>
    <row r="2039" spans="26:26" x14ac:dyDescent="0.25">
      <c r="Z2039" s="213"/>
    </row>
    <row r="2040" spans="26:26" x14ac:dyDescent="0.25">
      <c r="Z2040" s="213"/>
    </row>
    <row r="2041" spans="26:26" x14ac:dyDescent="0.25">
      <c r="Z2041" s="213"/>
    </row>
    <row r="2042" spans="26:26" x14ac:dyDescent="0.25">
      <c r="Z2042" s="213"/>
    </row>
    <row r="2043" spans="26:26" x14ac:dyDescent="0.25">
      <c r="Z2043" s="213"/>
    </row>
    <row r="2044" spans="26:26" x14ac:dyDescent="0.25">
      <c r="Z2044" s="213"/>
    </row>
    <row r="2045" spans="26:26" x14ac:dyDescent="0.25">
      <c r="Z2045" s="213"/>
    </row>
    <row r="2046" spans="26:26" x14ac:dyDescent="0.25">
      <c r="Z2046" s="213"/>
    </row>
    <row r="2047" spans="26:26" x14ac:dyDescent="0.25">
      <c r="Z2047" s="213"/>
    </row>
    <row r="2048" spans="26:26" x14ac:dyDescent="0.25">
      <c r="Z2048" s="213"/>
    </row>
    <row r="2049" spans="26:26" x14ac:dyDescent="0.25">
      <c r="Z2049" s="213"/>
    </row>
    <row r="2050" spans="26:26" x14ac:dyDescent="0.25">
      <c r="Z2050" s="213"/>
    </row>
    <row r="2051" spans="26:26" x14ac:dyDescent="0.25">
      <c r="Z2051" s="213"/>
    </row>
    <row r="2052" spans="26:26" x14ac:dyDescent="0.25">
      <c r="Z2052" s="213"/>
    </row>
    <row r="2053" spans="26:26" x14ac:dyDescent="0.25">
      <c r="Z2053" s="213"/>
    </row>
    <row r="2054" spans="26:26" x14ac:dyDescent="0.25">
      <c r="Z2054" s="213"/>
    </row>
    <row r="2055" spans="26:26" x14ac:dyDescent="0.25">
      <c r="Z2055" s="213"/>
    </row>
    <row r="2056" spans="26:26" x14ac:dyDescent="0.25">
      <c r="Z2056" s="213"/>
    </row>
    <row r="2057" spans="26:26" x14ac:dyDescent="0.25">
      <c r="Z2057" s="213"/>
    </row>
    <row r="2058" spans="26:26" x14ac:dyDescent="0.25">
      <c r="Z2058" s="213"/>
    </row>
    <row r="2059" spans="26:26" x14ac:dyDescent="0.25">
      <c r="Z2059" s="213"/>
    </row>
    <row r="2060" spans="26:26" x14ac:dyDescent="0.25">
      <c r="Z2060" s="213"/>
    </row>
    <row r="2061" spans="26:26" x14ac:dyDescent="0.25">
      <c r="Z2061" s="213"/>
    </row>
    <row r="2062" spans="26:26" x14ac:dyDescent="0.25">
      <c r="Z2062" s="213"/>
    </row>
    <row r="2063" spans="26:26" x14ac:dyDescent="0.25">
      <c r="Z2063" s="213"/>
    </row>
    <row r="2064" spans="26:26" x14ac:dyDescent="0.25">
      <c r="Z2064" s="213"/>
    </row>
    <row r="2065" spans="26:26" x14ac:dyDescent="0.25">
      <c r="Z2065" s="213"/>
    </row>
    <row r="2066" spans="26:26" x14ac:dyDescent="0.25">
      <c r="Z2066" s="213"/>
    </row>
    <row r="2067" spans="26:26" x14ac:dyDescent="0.25">
      <c r="Z2067" s="213"/>
    </row>
    <row r="2068" spans="26:26" x14ac:dyDescent="0.25">
      <c r="Z2068" s="213"/>
    </row>
    <row r="2069" spans="26:26" x14ac:dyDescent="0.25">
      <c r="Z2069" s="213"/>
    </row>
    <row r="2070" spans="26:26" x14ac:dyDescent="0.25">
      <c r="Z2070" s="213"/>
    </row>
    <row r="2071" spans="26:26" x14ac:dyDescent="0.25">
      <c r="Z2071" s="213"/>
    </row>
    <row r="2072" spans="26:26" x14ac:dyDescent="0.25">
      <c r="Z2072" s="213"/>
    </row>
    <row r="2073" spans="26:26" x14ac:dyDescent="0.25">
      <c r="Z2073" s="213"/>
    </row>
    <row r="2074" spans="26:26" x14ac:dyDescent="0.25">
      <c r="Z2074" s="213"/>
    </row>
    <row r="2075" spans="26:26" x14ac:dyDescent="0.25">
      <c r="Z2075" s="213"/>
    </row>
    <row r="2076" spans="26:26" x14ac:dyDescent="0.25">
      <c r="Z2076" s="213"/>
    </row>
    <row r="2077" spans="26:26" x14ac:dyDescent="0.25">
      <c r="Z2077" s="213"/>
    </row>
    <row r="2078" spans="26:26" x14ac:dyDescent="0.25">
      <c r="Z2078" s="213"/>
    </row>
    <row r="2079" spans="26:26" x14ac:dyDescent="0.25">
      <c r="Z2079" s="213"/>
    </row>
    <row r="2080" spans="26:26" x14ac:dyDescent="0.25">
      <c r="Z2080" s="213"/>
    </row>
    <row r="2081" spans="26:26" x14ac:dyDescent="0.25">
      <c r="Z2081" s="213"/>
    </row>
    <row r="2082" spans="26:26" x14ac:dyDescent="0.25">
      <c r="Z2082" s="213"/>
    </row>
    <row r="2083" spans="26:26" x14ac:dyDescent="0.25">
      <c r="Z2083" s="213"/>
    </row>
    <row r="2084" spans="26:26" x14ac:dyDescent="0.25">
      <c r="Z2084" s="213"/>
    </row>
    <row r="2085" spans="26:26" x14ac:dyDescent="0.25">
      <c r="Z2085" s="213"/>
    </row>
    <row r="2086" spans="26:26" x14ac:dyDescent="0.25">
      <c r="Z2086" s="213"/>
    </row>
    <row r="2087" spans="26:26" x14ac:dyDescent="0.25">
      <c r="Z2087" s="213"/>
    </row>
    <row r="2088" spans="26:26" x14ac:dyDescent="0.25">
      <c r="Z2088" s="213"/>
    </row>
    <row r="2089" spans="26:26" x14ac:dyDescent="0.25">
      <c r="Z2089" s="213"/>
    </row>
    <row r="2090" spans="26:26" x14ac:dyDescent="0.25">
      <c r="Z2090" s="213"/>
    </row>
    <row r="2091" spans="26:26" x14ac:dyDescent="0.25">
      <c r="Z2091" s="213"/>
    </row>
    <row r="2092" spans="26:26" x14ac:dyDescent="0.25">
      <c r="Z2092" s="213"/>
    </row>
    <row r="2093" spans="26:26" x14ac:dyDescent="0.25">
      <c r="Z2093" s="213"/>
    </row>
    <row r="2094" spans="26:26" x14ac:dyDescent="0.25">
      <c r="Z2094" s="213"/>
    </row>
    <row r="2095" spans="26:26" x14ac:dyDescent="0.25">
      <c r="Z2095" s="213"/>
    </row>
    <row r="2096" spans="26:26" x14ac:dyDescent="0.25">
      <c r="Z2096" s="213"/>
    </row>
    <row r="2097" spans="26:26" x14ac:dyDescent="0.25">
      <c r="Z2097" s="213"/>
    </row>
  </sheetData>
  <sheetProtection algorithmName="SHA-512" hashValue="6czCjJSfv/3GwP8quLF+DAhKsyOhevo/H4CVDpYushktx8zae5WBy7jaGbWTnIpkCMmHJ/arlzAWIRp7tUSf3w==" saltValue="v5I4kLRRfZTd8wsuHyemiQ==" spinCount="100000" sheet="1" objects="1" scenarios="1" selectLockedCells="1" selectUnlockedCells="1"/>
  <phoneticPr fontId="14" type="noConversion"/>
  <conditionalFormatting sqref="I43:I55">
    <cfRule type="containsText" dxfId="53" priority="1" operator="containsText" text="Diamond">
      <formula>NOT(ISERROR(SEARCH("Diamond",I43)))</formula>
    </cfRule>
    <cfRule type="containsText" dxfId="52" priority="2" operator="containsText" text="Grandmaster">
      <formula>NOT(ISERROR(SEARCH("Grandmaster",I43)))</formula>
    </cfRule>
    <cfRule type="containsText" dxfId="51" priority="3" operator="containsText" text="Bronze">
      <formula>NOT(ISERROR(SEARCH("Bronze",I43)))</formula>
    </cfRule>
    <cfRule type="containsText" dxfId="50" priority="4" operator="containsText" text="Silver">
      <formula>NOT(ISERROR(SEARCH("Silver",I43)))</formula>
    </cfRule>
    <cfRule type="containsText" dxfId="49" priority="5" operator="containsText" text="Gold">
      <formula>NOT(ISERROR(SEARCH("Gold",I43)))</formula>
    </cfRule>
    <cfRule type="containsText" dxfId="48" priority="6" operator="containsText" text="Platinum">
      <formula>NOT(ISERROR(SEARCH("Platinum",I43)))</formula>
    </cfRule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</vt:i4>
      </vt:variant>
    </vt:vector>
  </HeadingPairs>
  <TitlesOfParts>
    <vt:vector size="37" baseType="lpstr">
      <vt:lpstr>All Time</vt:lpstr>
      <vt:lpstr>All Time stats</vt:lpstr>
      <vt:lpstr>Season 1</vt:lpstr>
      <vt:lpstr>Player Stats S1</vt:lpstr>
      <vt:lpstr>Season 2</vt:lpstr>
      <vt:lpstr>Player Stats S2</vt:lpstr>
      <vt:lpstr>Season 3</vt:lpstr>
      <vt:lpstr>Player Stats S3</vt:lpstr>
      <vt:lpstr>ELO S3</vt:lpstr>
      <vt:lpstr>Season 4</vt:lpstr>
      <vt:lpstr>Player Stats S4</vt:lpstr>
      <vt:lpstr>ELO S4</vt:lpstr>
      <vt:lpstr>ELO rekenblad</vt:lpstr>
      <vt:lpstr>AanvGroen</vt:lpstr>
      <vt:lpstr>AanvGroenELO</vt:lpstr>
      <vt:lpstr>AanvRood</vt:lpstr>
      <vt:lpstr>AanvRoodELO</vt:lpstr>
      <vt:lpstr>AanvWin</vt:lpstr>
      <vt:lpstr>GDG</vt:lpstr>
      <vt:lpstr>GDR</vt:lpstr>
      <vt:lpstr>GOG</vt:lpstr>
      <vt:lpstr>GOR</vt:lpstr>
      <vt:lpstr>'Season 4'!KleurWinnaar</vt:lpstr>
      <vt:lpstr>KleurWinnaar</vt:lpstr>
      <vt:lpstr>'ELO S4'!Macro</vt:lpstr>
      <vt:lpstr>'Player Stats S4'!Macro</vt:lpstr>
      <vt:lpstr>'Season 4'!Macro</vt:lpstr>
      <vt:lpstr>Macro</vt:lpstr>
      <vt:lpstr>'Season 4'!Score4</vt:lpstr>
      <vt:lpstr>Score4</vt:lpstr>
      <vt:lpstr>ScoreG</vt:lpstr>
      <vt:lpstr>ScoreR</vt:lpstr>
      <vt:lpstr>VerGroen</vt:lpstr>
      <vt:lpstr>VerGroenELO</vt:lpstr>
      <vt:lpstr>VerRood</vt:lpstr>
      <vt:lpstr>VerRoodELO</vt:lpstr>
      <vt:lpstr>VerWin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Bert Vandewalle</cp:lastModifiedBy>
  <dcterms:created xsi:type="dcterms:W3CDTF">2019-06-04T19:03:27Z</dcterms:created>
  <dcterms:modified xsi:type="dcterms:W3CDTF">2021-08-23T17:26:20Z</dcterms:modified>
</cp:coreProperties>
</file>