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F:\avitava\JRC_BIOMASS\REF_STAT\"/>
    </mc:Choice>
  </mc:AlternateContent>
  <xr:revisionPtr revIDLastSave="0" documentId="13_ncr:1_{D520A50F-65AA-492E-BB38-217D160CE021}" xr6:coauthVersionLast="47" xr6:coauthVersionMax="47" xr10:uidLastSave="{00000000-0000-0000-0000-000000000000}"/>
  <bookViews>
    <workbookView xWindow="-120" yWindow="-120" windowWidth="24240" windowHeight="13140" xr2:uid="{00000000-000D-0000-FFFF-FFFF00000000}"/>
  </bookViews>
  <sheets>
    <sheet name="ReadMe" sheetId="25" r:id="rId1"/>
    <sheet name="OUTPUT 2020" sheetId="8" r:id="rId2"/>
    <sheet name="OUTPUT 2020 Uncertainty" sheetId="26" r:id="rId3"/>
    <sheet name="NATIONAL 2020" sheetId="12" r:id="rId4"/>
    <sheet name="NFI 2020" sheetId="4" r:id="rId5"/>
    <sheet name="AREA CorrFactor" sheetId="14" r:id="rId6"/>
    <sheet name="INPUT SoEF" sheetId="24" r:id="rId7"/>
    <sheet name="INPUT NFI" sheetId="22" r:id="rId8"/>
    <sheet name="INPUT CBM" sheetId="10" r:id="rId9"/>
  </sheets>
  <externalReferences>
    <externalReference r:id="rId10"/>
  </externalReferences>
  <definedNames>
    <definedName name="Country" localSheetId="8">#REF!</definedName>
    <definedName name="Country">#REF!</definedName>
    <definedName name="_xlnm.Database">#REF!</definedName>
    <definedName name="MS">[1]Annex!$S$4:$S$33</definedName>
    <definedName name="Pop_region">#REF!</definedName>
    <definedName name="Population">#REF!</definedName>
    <definedName name="test">#REF!</definedName>
    <definedName name="Year">#REF!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22" l="1"/>
  <c r="F10" i="22"/>
  <c r="F9" i="22"/>
  <c r="F8" i="22"/>
  <c r="F7" i="22"/>
  <c r="F6" i="22"/>
  <c r="F4" i="22"/>
  <c r="F3" i="22"/>
  <c r="I3" i="22" s="1"/>
  <c r="J3" i="22"/>
  <c r="M102" i="4"/>
  <c r="Q102" i="4" s="1"/>
  <c r="J272" i="22"/>
  <c r="H272" i="22"/>
  <c r="J271" i="22"/>
  <c r="H271" i="22"/>
  <c r="J270" i="22"/>
  <c r="H270" i="22"/>
  <c r="G272" i="22"/>
  <c r="E272" i="22"/>
  <c r="G271" i="22"/>
  <c r="E271" i="22"/>
  <c r="E270" i="22"/>
  <c r="G270" i="22"/>
  <c r="K14" i="10"/>
  <c r="H3" i="22" l="1"/>
  <c r="J4" i="10"/>
  <c r="J5" i="10"/>
  <c r="J6" i="10"/>
  <c r="J7" i="10"/>
  <c r="J8" i="10"/>
  <c r="J9" i="10"/>
  <c r="J10" i="10"/>
  <c r="J11" i="10"/>
  <c r="J12" i="10"/>
  <c r="J13" i="10"/>
  <c r="J14" i="10"/>
  <c r="J15" i="10"/>
  <c r="J16" i="10"/>
  <c r="J17" i="10"/>
  <c r="J18" i="10"/>
  <c r="J19" i="10"/>
  <c r="J20" i="10"/>
  <c r="J21" i="10"/>
  <c r="J22" i="10"/>
  <c r="J23" i="10"/>
  <c r="J24" i="10"/>
  <c r="J3" i="10"/>
  <c r="G24" i="10"/>
  <c r="G23" i="10"/>
  <c r="G22" i="10"/>
  <c r="G21" i="10"/>
  <c r="G20" i="10"/>
  <c r="G19" i="10"/>
  <c r="G18" i="10"/>
  <c r="G17" i="10"/>
  <c r="G16" i="10"/>
  <c r="G15" i="10"/>
  <c r="G14" i="10"/>
  <c r="G13" i="10"/>
  <c r="G12" i="10"/>
  <c r="G11" i="10"/>
  <c r="G10" i="10"/>
  <c r="G9" i="10"/>
  <c r="G8" i="10"/>
  <c r="G7" i="10"/>
  <c r="G6" i="10"/>
  <c r="G5" i="10"/>
  <c r="G4" i="10"/>
  <c r="G3" i="10"/>
  <c r="K9" i="10" l="1"/>
  <c r="P70" i="4" s="1"/>
  <c r="P113" i="4" l="1"/>
  <c r="P105" i="4"/>
  <c r="P97" i="4"/>
  <c r="P89" i="4"/>
  <c r="P85" i="4"/>
  <c r="P77" i="4"/>
  <c r="P73" i="4"/>
  <c r="P116" i="4"/>
  <c r="P104" i="4"/>
  <c r="P96" i="4"/>
  <c r="P88" i="4"/>
  <c r="P80" i="4"/>
  <c r="P72" i="4"/>
  <c r="P69" i="4"/>
  <c r="P115" i="4"/>
  <c r="P111" i="4"/>
  <c r="P107" i="4"/>
  <c r="P103" i="4"/>
  <c r="P99" i="4"/>
  <c r="P95" i="4"/>
  <c r="P91" i="4"/>
  <c r="P87" i="4"/>
  <c r="P83" i="4"/>
  <c r="P79" i="4"/>
  <c r="P75" i="4"/>
  <c r="P71" i="4"/>
  <c r="P117" i="4"/>
  <c r="P109" i="4"/>
  <c r="P101" i="4"/>
  <c r="P93" i="4"/>
  <c r="P81" i="4"/>
  <c r="P112" i="4"/>
  <c r="P108" i="4"/>
  <c r="P100" i="4"/>
  <c r="P92" i="4"/>
  <c r="P84" i="4"/>
  <c r="P76" i="4"/>
  <c r="P118" i="4"/>
  <c r="P114" i="4"/>
  <c r="P110" i="4"/>
  <c r="P106" i="4"/>
  <c r="P102" i="4"/>
  <c r="P98" i="4"/>
  <c r="P94" i="4"/>
  <c r="P90" i="4"/>
  <c r="P86" i="4"/>
  <c r="P82" i="4"/>
  <c r="P78" i="4"/>
  <c r="P74" i="4"/>
  <c r="G36" i="24"/>
  <c r="F36" i="24"/>
  <c r="E36" i="24"/>
  <c r="F35" i="14"/>
  <c r="D36" i="24"/>
  <c r="C36" i="24"/>
  <c r="T21" i="24" l="1"/>
  <c r="K146" i="22" l="1"/>
  <c r="K3" i="10" l="1"/>
  <c r="B4" i="26" l="1"/>
  <c r="C4" i="26"/>
  <c r="D4" i="26"/>
  <c r="E4" i="26"/>
  <c r="B5" i="26"/>
  <c r="C5" i="26"/>
  <c r="D5" i="26"/>
  <c r="E5" i="26"/>
  <c r="B6" i="26"/>
  <c r="C6" i="26"/>
  <c r="D6" i="26"/>
  <c r="E6" i="26"/>
  <c r="B7" i="26"/>
  <c r="C7" i="26"/>
  <c r="D7" i="26"/>
  <c r="E7" i="26"/>
  <c r="B9" i="26"/>
  <c r="C9" i="26"/>
  <c r="D9" i="26"/>
  <c r="E9" i="26"/>
  <c r="B10" i="26"/>
  <c r="C10" i="26"/>
  <c r="D10" i="26"/>
  <c r="E10" i="26"/>
  <c r="B11" i="26"/>
  <c r="C11" i="26"/>
  <c r="D11" i="26"/>
  <c r="E11" i="26"/>
  <c r="B12" i="26"/>
  <c r="C12" i="26"/>
  <c r="D12" i="26"/>
  <c r="E12" i="26"/>
  <c r="B13" i="26"/>
  <c r="C13" i="26"/>
  <c r="D13" i="26"/>
  <c r="E13" i="26"/>
  <c r="B14" i="26"/>
  <c r="C14" i="26"/>
  <c r="D14" i="26"/>
  <c r="E14" i="26"/>
  <c r="B15" i="26"/>
  <c r="C15" i="26"/>
  <c r="D15" i="26"/>
  <c r="E15" i="26"/>
  <c r="B16" i="26"/>
  <c r="C16" i="26"/>
  <c r="D16" i="26"/>
  <c r="E16" i="26"/>
  <c r="B17" i="26"/>
  <c r="C17" i="26"/>
  <c r="D17" i="26"/>
  <c r="E17" i="26"/>
  <c r="B18" i="26"/>
  <c r="C18" i="26"/>
  <c r="D18" i="26"/>
  <c r="E18" i="26"/>
  <c r="B19" i="26"/>
  <c r="C19" i="26"/>
  <c r="D19" i="26"/>
  <c r="E19" i="26"/>
  <c r="B20" i="26"/>
  <c r="C20" i="26"/>
  <c r="D20" i="26"/>
  <c r="E20" i="26"/>
  <c r="B21" i="26"/>
  <c r="C21" i="26"/>
  <c r="D21" i="26"/>
  <c r="E21" i="26"/>
  <c r="B22" i="26"/>
  <c r="C22" i="26"/>
  <c r="D22" i="26"/>
  <c r="E22" i="26"/>
  <c r="B23" i="26"/>
  <c r="C23" i="26"/>
  <c r="D23" i="26"/>
  <c r="E23" i="26"/>
  <c r="B24" i="26"/>
  <c r="C24" i="26"/>
  <c r="D24" i="26"/>
  <c r="E24" i="26"/>
  <c r="B25" i="26"/>
  <c r="C25" i="26"/>
  <c r="D25" i="26"/>
  <c r="E25" i="26"/>
  <c r="B26" i="26"/>
  <c r="C26" i="26"/>
  <c r="D26" i="26"/>
  <c r="E26" i="26"/>
  <c r="B27" i="26"/>
  <c r="C27" i="26"/>
  <c r="D27" i="26"/>
  <c r="E27" i="26"/>
  <c r="B28" i="26"/>
  <c r="C28" i="26"/>
  <c r="D28" i="26"/>
  <c r="E28" i="26"/>
  <c r="B29" i="26"/>
  <c r="C29" i="26"/>
  <c r="D29" i="26"/>
  <c r="E29" i="26"/>
  <c r="B30" i="26"/>
  <c r="C30" i="26"/>
  <c r="D30" i="26"/>
  <c r="E30" i="26"/>
  <c r="B31" i="26"/>
  <c r="C31" i="26"/>
  <c r="D31" i="26"/>
  <c r="E31" i="26"/>
  <c r="B32" i="26"/>
  <c r="C32" i="26"/>
  <c r="D32" i="26"/>
  <c r="E32" i="26"/>
  <c r="B33" i="26"/>
  <c r="C33" i="26"/>
  <c r="D33" i="26"/>
  <c r="E33" i="26"/>
  <c r="B34" i="26"/>
  <c r="C34" i="26"/>
  <c r="D34" i="26"/>
  <c r="E34" i="26"/>
  <c r="B35" i="26"/>
  <c r="C35" i="26"/>
  <c r="D35" i="26"/>
  <c r="E35" i="26"/>
  <c r="B36" i="26"/>
  <c r="C36" i="26"/>
  <c r="D36" i="26"/>
  <c r="E36" i="26"/>
  <c r="B37" i="26"/>
  <c r="C37" i="26"/>
  <c r="D37" i="26"/>
  <c r="E37" i="26"/>
  <c r="B38" i="26"/>
  <c r="C38" i="26"/>
  <c r="D38" i="26"/>
  <c r="E38" i="26"/>
  <c r="B39" i="26"/>
  <c r="C39" i="26"/>
  <c r="D39" i="26"/>
  <c r="E39" i="26"/>
  <c r="B40" i="26"/>
  <c r="C40" i="26"/>
  <c r="D40" i="26"/>
  <c r="E40" i="26"/>
  <c r="C3" i="26"/>
  <c r="D3" i="26"/>
  <c r="E3" i="26"/>
  <c r="B3" i="26"/>
  <c r="J57" i="22" l="1"/>
  <c r="J56" i="22"/>
  <c r="J55" i="22"/>
  <c r="J54" i="22"/>
  <c r="J53" i="22"/>
  <c r="J52" i="22"/>
  <c r="J51" i="22"/>
  <c r="J50" i="22"/>
  <c r="J49" i="22"/>
  <c r="J48" i="22"/>
  <c r="J47" i="22"/>
  <c r="J46" i="22"/>
  <c r="J45" i="22"/>
  <c r="J44" i="22"/>
  <c r="J43" i="22"/>
  <c r="J42" i="22"/>
  <c r="J11" i="22"/>
  <c r="J10" i="22"/>
  <c r="J9" i="22"/>
  <c r="J8" i="22"/>
  <c r="J7" i="22"/>
  <c r="J6" i="22"/>
  <c r="J5" i="22"/>
  <c r="J4" i="22"/>
  <c r="H4" i="12" l="1"/>
  <c r="J4" i="12"/>
  <c r="H7" i="12"/>
  <c r="H10" i="12"/>
  <c r="J10" i="12"/>
  <c r="H13" i="12"/>
  <c r="H14" i="12"/>
  <c r="J14" i="12"/>
  <c r="H16" i="12"/>
  <c r="H18" i="12"/>
  <c r="J18" i="12"/>
  <c r="H19" i="12"/>
  <c r="H24" i="12"/>
  <c r="H25" i="12"/>
  <c r="J25" i="12"/>
  <c r="H27" i="12"/>
  <c r="J27" i="12"/>
  <c r="H29" i="12"/>
  <c r="J29" i="12"/>
  <c r="H30" i="12"/>
  <c r="J30" i="12"/>
  <c r="P4" i="4" l="1"/>
  <c r="D132" i="8"/>
  <c r="D131" i="8"/>
  <c r="K24" i="10"/>
  <c r="P273" i="4" s="1"/>
  <c r="K23" i="10"/>
  <c r="P275" i="4" s="1"/>
  <c r="K22" i="10"/>
  <c r="P271" i="4" s="1"/>
  <c r="K21" i="10"/>
  <c r="P256" i="4" s="1"/>
  <c r="K20" i="10"/>
  <c r="P254" i="4" s="1"/>
  <c r="K19" i="10"/>
  <c r="P238" i="4" s="1"/>
  <c r="K18" i="10"/>
  <c r="P212" i="4" s="1"/>
  <c r="K17" i="10"/>
  <c r="P204" i="4" s="1"/>
  <c r="K16" i="10"/>
  <c r="P196" i="4" s="1"/>
  <c r="K15" i="10"/>
  <c r="P183" i="4" s="1"/>
  <c r="P171" i="4"/>
  <c r="K13" i="10"/>
  <c r="P153" i="4" s="1"/>
  <c r="K12" i="10"/>
  <c r="P148" i="4" s="1"/>
  <c r="K11" i="10"/>
  <c r="P126" i="4" s="1"/>
  <c r="K10" i="10"/>
  <c r="P122" i="4" s="1"/>
  <c r="K8" i="10"/>
  <c r="P59" i="4" s="1"/>
  <c r="K7" i="10"/>
  <c r="P47" i="4" s="1"/>
  <c r="K6" i="10"/>
  <c r="P31" i="4" s="1"/>
  <c r="K5" i="10"/>
  <c r="P18" i="4" s="1"/>
  <c r="K4" i="10"/>
  <c r="P13" i="4" s="1"/>
  <c r="P51" i="4"/>
  <c r="P206" i="4"/>
  <c r="P7" i="4"/>
  <c r="P9" i="4"/>
  <c r="P146" i="4"/>
  <c r="P147" i="4"/>
  <c r="P211" i="4"/>
  <c r="P216" i="4"/>
  <c r="P267" i="4"/>
  <c r="P268" i="4"/>
  <c r="P278" i="4" l="1"/>
  <c r="P119" i="4"/>
  <c r="P30" i="4"/>
  <c r="P12" i="4"/>
  <c r="P208" i="4"/>
  <c r="P266" i="4"/>
  <c r="P150" i="4"/>
  <c r="P235" i="4"/>
  <c r="P131" i="4"/>
  <c r="P11" i="4"/>
  <c r="P6" i="4"/>
  <c r="P187" i="4"/>
  <c r="P243" i="4"/>
  <c r="P8" i="4"/>
  <c r="P10" i="4"/>
  <c r="P66" i="4"/>
  <c r="P36" i="4"/>
  <c r="P35" i="4"/>
  <c r="P28" i="4"/>
  <c r="P203" i="4"/>
  <c r="P62" i="4"/>
  <c r="P199" i="4"/>
  <c r="P58" i="4"/>
  <c r="P253" i="4"/>
  <c r="P195" i="4"/>
  <c r="P15" i="4"/>
  <c r="P252" i="4"/>
  <c r="P202" i="4"/>
  <c r="P198" i="4"/>
  <c r="P194" i="4"/>
  <c r="P149" i="4"/>
  <c r="P65" i="4"/>
  <c r="P61" i="4"/>
  <c r="P274" i="4"/>
  <c r="P255" i="4"/>
  <c r="P251" i="4"/>
  <c r="P201" i="4"/>
  <c r="P197" i="4"/>
  <c r="P68" i="4"/>
  <c r="P64" i="4"/>
  <c r="P60" i="4"/>
  <c r="P14" i="4"/>
  <c r="P200" i="4"/>
  <c r="P166" i="4"/>
  <c r="P67" i="4"/>
  <c r="P63" i="4"/>
  <c r="P272" i="4"/>
  <c r="P259" i="4"/>
  <c r="P215" i="4"/>
  <c r="P207" i="4"/>
  <c r="P158" i="4"/>
  <c r="P123" i="4"/>
  <c r="P40" i="4"/>
  <c r="P32" i="4"/>
  <c r="P170" i="4"/>
  <c r="P162" i="4"/>
  <c r="P257" i="4"/>
  <c r="P154" i="4"/>
  <c r="P120" i="4"/>
  <c r="P39" i="4"/>
  <c r="P19" i="4"/>
  <c r="P258" i="4"/>
  <c r="P167" i="4"/>
  <c r="P163" i="4"/>
  <c r="P159" i="4"/>
  <c r="P155" i="4"/>
  <c r="P151" i="4"/>
  <c r="P20" i="4"/>
  <c r="P16" i="4"/>
  <c r="P168" i="4"/>
  <c r="P164" i="4"/>
  <c r="P160" i="4"/>
  <c r="P156" i="4"/>
  <c r="P152" i="4"/>
  <c r="P17" i="4"/>
  <c r="P169" i="4"/>
  <c r="P165" i="4"/>
  <c r="P161" i="4"/>
  <c r="P157" i="4"/>
  <c r="P279" i="4"/>
  <c r="P239" i="4"/>
  <c r="P179" i="4"/>
  <c r="P143" i="4"/>
  <c r="P127" i="4"/>
  <c r="P43" i="4"/>
  <c r="P174" i="4"/>
  <c r="P42" i="4"/>
  <c r="P191" i="4"/>
  <c r="P175" i="4"/>
  <c r="P139" i="4"/>
  <c r="P55" i="4"/>
  <c r="P247" i="4"/>
  <c r="P135" i="4"/>
  <c r="P280" i="4"/>
  <c r="P244" i="4"/>
  <c r="P236" i="4"/>
  <c r="P192" i="4"/>
  <c r="P184" i="4"/>
  <c r="P140" i="4"/>
  <c r="P124" i="4"/>
  <c r="P281" i="4"/>
  <c r="P277" i="4"/>
  <c r="P269" i="4"/>
  <c r="P265" i="4"/>
  <c r="P249" i="4"/>
  <c r="P245" i="4"/>
  <c r="P241" i="4"/>
  <c r="P237" i="4"/>
  <c r="P213" i="4"/>
  <c r="P209" i="4"/>
  <c r="P205" i="4"/>
  <c r="P193" i="4"/>
  <c r="P189" i="4"/>
  <c r="P185" i="4"/>
  <c r="P181" i="4"/>
  <c r="P177" i="4"/>
  <c r="P173" i="4"/>
  <c r="P145" i="4"/>
  <c r="P141" i="4"/>
  <c r="P137" i="4"/>
  <c r="P133" i="4"/>
  <c r="P129" i="4"/>
  <c r="P125" i="4"/>
  <c r="P121" i="4"/>
  <c r="P57" i="4"/>
  <c r="P53" i="4"/>
  <c r="P49" i="4"/>
  <c r="P45" i="4"/>
  <c r="P41" i="4"/>
  <c r="P37" i="4"/>
  <c r="P33" i="4"/>
  <c r="P29" i="4"/>
  <c r="P276" i="4"/>
  <c r="P248" i="4"/>
  <c r="P240" i="4"/>
  <c r="P188" i="4"/>
  <c r="P180" i="4"/>
  <c r="P176" i="4"/>
  <c r="P144" i="4"/>
  <c r="P136" i="4"/>
  <c r="P132" i="4"/>
  <c r="P128" i="4"/>
  <c r="P56" i="4"/>
  <c r="P52" i="4"/>
  <c r="P48" i="4"/>
  <c r="P44" i="4"/>
  <c r="P282" i="4"/>
  <c r="P270" i="4"/>
  <c r="P250" i="4"/>
  <c r="P246" i="4"/>
  <c r="P242" i="4"/>
  <c r="P214" i="4"/>
  <c r="P210" i="4"/>
  <c r="P190" i="4"/>
  <c r="P186" i="4"/>
  <c r="P182" i="4"/>
  <c r="P178" i="4"/>
  <c r="P142" i="4"/>
  <c r="P138" i="4"/>
  <c r="P134" i="4"/>
  <c r="P130" i="4"/>
  <c r="P54" i="4"/>
  <c r="P50" i="4"/>
  <c r="P46" i="4"/>
  <c r="P38" i="4"/>
  <c r="P34" i="4"/>
  <c r="P5" i="4"/>
  <c r="T4" i="24" l="1"/>
  <c r="T5" i="24"/>
  <c r="K4" i="12" s="1"/>
  <c r="L4" i="12" s="1"/>
  <c r="T6" i="24"/>
  <c r="T7" i="24"/>
  <c r="T8" i="24"/>
  <c r="T9" i="24"/>
  <c r="T10" i="24"/>
  <c r="T11" i="24"/>
  <c r="K10" i="12" s="1"/>
  <c r="L10" i="12" s="1"/>
  <c r="T12" i="24"/>
  <c r="T13" i="24"/>
  <c r="T14" i="24"/>
  <c r="T15" i="24"/>
  <c r="K14" i="12" s="1"/>
  <c r="L14" i="12" s="1"/>
  <c r="T16" i="24"/>
  <c r="T17" i="24"/>
  <c r="T18" i="24"/>
  <c r="T19" i="24"/>
  <c r="K18" i="12" s="1"/>
  <c r="L18" i="12" s="1"/>
  <c r="T20" i="24"/>
  <c r="T22" i="24"/>
  <c r="T23" i="24"/>
  <c r="T24" i="24"/>
  <c r="T25" i="24"/>
  <c r="T26" i="24"/>
  <c r="K25" i="12" s="1"/>
  <c r="L25" i="12" s="1"/>
  <c r="T27" i="24"/>
  <c r="T28" i="24"/>
  <c r="T29" i="24"/>
  <c r="T30" i="24"/>
  <c r="K29" i="12" s="1"/>
  <c r="L29" i="12" s="1"/>
  <c r="T31" i="24"/>
  <c r="K30" i="12" s="1"/>
  <c r="L30" i="12" s="1"/>
  <c r="T32" i="24"/>
  <c r="T33" i="24"/>
  <c r="T34" i="24"/>
  <c r="T35" i="24"/>
  <c r="T36" i="24"/>
  <c r="T37" i="24"/>
  <c r="T38" i="24"/>
  <c r="T39" i="24"/>
  <c r="T40" i="24"/>
  <c r="T41" i="24"/>
  <c r="P3" i="4" l="1"/>
  <c r="F17" i="8"/>
  <c r="F133" i="8"/>
  <c r="F194" i="8"/>
  <c r="H146" i="22"/>
  <c r="M146" i="4" s="1"/>
  <c r="L146" i="4"/>
  <c r="L147" i="4"/>
  <c r="L4" i="4"/>
  <c r="L5" i="4"/>
  <c r="L6" i="4"/>
  <c r="L7" i="4"/>
  <c r="L8" i="4"/>
  <c r="L9" i="4"/>
  <c r="L10" i="4"/>
  <c r="L11" i="4"/>
  <c r="L15" i="4"/>
  <c r="M15" i="4"/>
  <c r="L16" i="4"/>
  <c r="M16" i="4"/>
  <c r="L17" i="4"/>
  <c r="M17" i="4"/>
  <c r="L18" i="4"/>
  <c r="M18" i="4"/>
  <c r="L19" i="4"/>
  <c r="M19" i="4"/>
  <c r="L20" i="4"/>
  <c r="M20" i="4"/>
  <c r="L21" i="4"/>
  <c r="M21" i="4"/>
  <c r="L22" i="4"/>
  <c r="M22" i="4"/>
  <c r="L23" i="4"/>
  <c r="M23" i="4"/>
  <c r="L24" i="4"/>
  <c r="M24" i="4"/>
  <c r="L25" i="4"/>
  <c r="M25" i="4"/>
  <c r="L26" i="4"/>
  <c r="M26" i="4"/>
  <c r="L27" i="4"/>
  <c r="M27" i="4"/>
  <c r="L28" i="4"/>
  <c r="M28" i="4"/>
  <c r="L29" i="4"/>
  <c r="M29" i="4"/>
  <c r="L30" i="4"/>
  <c r="M30" i="4"/>
  <c r="L31" i="4"/>
  <c r="M31" i="4"/>
  <c r="L32" i="4"/>
  <c r="M32" i="4"/>
  <c r="L33" i="4"/>
  <c r="M33" i="4"/>
  <c r="L34" i="4"/>
  <c r="M34" i="4"/>
  <c r="L35" i="4"/>
  <c r="M35" i="4"/>
  <c r="L36" i="4"/>
  <c r="M36" i="4"/>
  <c r="L37" i="4"/>
  <c r="M37" i="4"/>
  <c r="L38" i="4"/>
  <c r="M38" i="4"/>
  <c r="L39" i="4"/>
  <c r="M39" i="4"/>
  <c r="L40" i="4"/>
  <c r="M40" i="4"/>
  <c r="L41" i="4"/>
  <c r="M41" i="4"/>
  <c r="L42" i="4"/>
  <c r="L43" i="4"/>
  <c r="L44" i="4"/>
  <c r="L45" i="4"/>
  <c r="L46" i="4"/>
  <c r="L47" i="4"/>
  <c r="L48" i="4"/>
  <c r="L49" i="4"/>
  <c r="L50" i="4"/>
  <c r="L51" i="4"/>
  <c r="L52" i="4"/>
  <c r="L53" i="4"/>
  <c r="L54" i="4"/>
  <c r="L55" i="4"/>
  <c r="L56" i="4"/>
  <c r="L57" i="4"/>
  <c r="L58" i="4"/>
  <c r="M58" i="4"/>
  <c r="L59" i="4"/>
  <c r="M59" i="4"/>
  <c r="L60" i="4"/>
  <c r="M60" i="4"/>
  <c r="L61" i="4"/>
  <c r="M61" i="4"/>
  <c r="L62" i="4"/>
  <c r="M62" i="4"/>
  <c r="L63" i="4"/>
  <c r="M63" i="4"/>
  <c r="L64" i="4"/>
  <c r="M64" i="4"/>
  <c r="L65" i="4"/>
  <c r="M65" i="4"/>
  <c r="L66" i="4"/>
  <c r="M66" i="4"/>
  <c r="L67" i="4"/>
  <c r="M67" i="4"/>
  <c r="L68" i="4"/>
  <c r="M68" i="4"/>
  <c r="L69" i="4"/>
  <c r="M69" i="4"/>
  <c r="Q69" i="4" s="1"/>
  <c r="L70" i="4"/>
  <c r="M70" i="4"/>
  <c r="L71" i="4"/>
  <c r="M71" i="4"/>
  <c r="L72" i="4"/>
  <c r="M72" i="4"/>
  <c r="L73" i="4"/>
  <c r="M73" i="4"/>
  <c r="L74" i="4"/>
  <c r="M74" i="4"/>
  <c r="L75" i="4"/>
  <c r="M75" i="4"/>
  <c r="L76" i="4"/>
  <c r="M76" i="4"/>
  <c r="L77" i="4"/>
  <c r="M77" i="4"/>
  <c r="L78" i="4"/>
  <c r="M78" i="4"/>
  <c r="L79" i="4"/>
  <c r="M79" i="4"/>
  <c r="L80" i="4"/>
  <c r="M80" i="4"/>
  <c r="L81" i="4"/>
  <c r="M81" i="4"/>
  <c r="L82" i="4"/>
  <c r="M82" i="4"/>
  <c r="L83" i="4"/>
  <c r="M83" i="4"/>
  <c r="L84" i="4"/>
  <c r="M84" i="4"/>
  <c r="L85" i="4"/>
  <c r="M85" i="4"/>
  <c r="L86" i="4"/>
  <c r="M86" i="4"/>
  <c r="L87" i="4"/>
  <c r="M87" i="4"/>
  <c r="L88" i="4"/>
  <c r="M88" i="4"/>
  <c r="L89" i="4"/>
  <c r="M89" i="4"/>
  <c r="L90" i="4"/>
  <c r="M90" i="4"/>
  <c r="L91" i="4"/>
  <c r="M91" i="4"/>
  <c r="L92" i="4"/>
  <c r="M92" i="4"/>
  <c r="L93" i="4"/>
  <c r="M93" i="4"/>
  <c r="L94" i="4"/>
  <c r="M94" i="4"/>
  <c r="L95" i="4"/>
  <c r="M95" i="4"/>
  <c r="L96" i="4"/>
  <c r="M96" i="4"/>
  <c r="L97" i="4"/>
  <c r="M97" i="4"/>
  <c r="L98" i="4"/>
  <c r="M98" i="4"/>
  <c r="L99" i="4"/>
  <c r="M99" i="4"/>
  <c r="L100" i="4"/>
  <c r="M100" i="4"/>
  <c r="L101" i="4"/>
  <c r="M101" i="4"/>
  <c r="L102" i="4"/>
  <c r="L103" i="4"/>
  <c r="M103" i="4"/>
  <c r="L104" i="4"/>
  <c r="M104" i="4"/>
  <c r="L105" i="4"/>
  <c r="M105" i="4"/>
  <c r="L106" i="4"/>
  <c r="M106" i="4"/>
  <c r="L107" i="4"/>
  <c r="M107" i="4"/>
  <c r="L108" i="4"/>
  <c r="M108" i="4"/>
  <c r="L109" i="4"/>
  <c r="M109" i="4"/>
  <c r="L110" i="4"/>
  <c r="M110" i="4"/>
  <c r="L111" i="4"/>
  <c r="M111" i="4"/>
  <c r="L112" i="4"/>
  <c r="M112" i="4"/>
  <c r="L113" i="4"/>
  <c r="M113" i="4"/>
  <c r="L114" i="4"/>
  <c r="M114" i="4"/>
  <c r="L115" i="4"/>
  <c r="M115" i="4"/>
  <c r="L116" i="4"/>
  <c r="M116" i="4"/>
  <c r="L117" i="4"/>
  <c r="M117" i="4"/>
  <c r="L118" i="4"/>
  <c r="M118" i="4"/>
  <c r="L119" i="4"/>
  <c r="M119" i="4"/>
  <c r="L120" i="4"/>
  <c r="M120" i="4"/>
  <c r="L121" i="4"/>
  <c r="M121" i="4"/>
  <c r="L122" i="4"/>
  <c r="M122" i="4"/>
  <c r="L123" i="4"/>
  <c r="M123" i="4"/>
  <c r="L124" i="4"/>
  <c r="M124" i="4"/>
  <c r="L125" i="4"/>
  <c r="M125" i="4"/>
  <c r="L126" i="4"/>
  <c r="M126" i="4"/>
  <c r="L127" i="4"/>
  <c r="M127" i="4"/>
  <c r="L128" i="4"/>
  <c r="M128" i="4"/>
  <c r="L129" i="4"/>
  <c r="M129" i="4"/>
  <c r="L130" i="4"/>
  <c r="M130" i="4"/>
  <c r="L131" i="4"/>
  <c r="M131" i="4"/>
  <c r="L132" i="4"/>
  <c r="M132" i="4"/>
  <c r="L133" i="4"/>
  <c r="M133" i="4"/>
  <c r="L134" i="4"/>
  <c r="M134" i="4"/>
  <c r="L135" i="4"/>
  <c r="M135" i="4"/>
  <c r="L136" i="4"/>
  <c r="M136" i="4"/>
  <c r="L137" i="4"/>
  <c r="M137" i="4"/>
  <c r="L138" i="4"/>
  <c r="M138" i="4"/>
  <c r="L139" i="4"/>
  <c r="M139" i="4"/>
  <c r="L140" i="4"/>
  <c r="M140" i="4"/>
  <c r="L141" i="4"/>
  <c r="M141" i="4"/>
  <c r="L142" i="4"/>
  <c r="M142" i="4"/>
  <c r="L143" i="4"/>
  <c r="M143" i="4"/>
  <c r="L144" i="4"/>
  <c r="M144" i="4"/>
  <c r="L145" i="4"/>
  <c r="M145" i="4"/>
  <c r="L148" i="4"/>
  <c r="M148" i="4"/>
  <c r="L149" i="4"/>
  <c r="M149" i="4"/>
  <c r="L150" i="4"/>
  <c r="L151" i="4"/>
  <c r="L152" i="4"/>
  <c r="L153" i="4"/>
  <c r="L154" i="4"/>
  <c r="L155" i="4"/>
  <c r="L156" i="4"/>
  <c r="L157" i="4"/>
  <c r="L158" i="4"/>
  <c r="L159" i="4"/>
  <c r="L160" i="4"/>
  <c r="L161" i="4"/>
  <c r="L162" i="4"/>
  <c r="L163" i="4"/>
  <c r="L164" i="4"/>
  <c r="L165" i="4"/>
  <c r="L166" i="4"/>
  <c r="L167" i="4"/>
  <c r="L168" i="4"/>
  <c r="L169" i="4"/>
  <c r="L170" i="4"/>
  <c r="M170" i="4"/>
  <c r="L171" i="4"/>
  <c r="M171" i="4"/>
  <c r="L172" i="4"/>
  <c r="M172" i="4"/>
  <c r="L173" i="4"/>
  <c r="M173" i="4"/>
  <c r="L174" i="4"/>
  <c r="M174" i="4"/>
  <c r="L175" i="4"/>
  <c r="M175" i="4"/>
  <c r="L176" i="4"/>
  <c r="M176" i="4"/>
  <c r="L177" i="4"/>
  <c r="M177" i="4"/>
  <c r="L178" i="4"/>
  <c r="M178" i="4"/>
  <c r="L179" i="4"/>
  <c r="M179" i="4"/>
  <c r="L180" i="4"/>
  <c r="M180" i="4"/>
  <c r="L181" i="4"/>
  <c r="M181" i="4"/>
  <c r="L182" i="4"/>
  <c r="M182" i="4"/>
  <c r="L183" i="4"/>
  <c r="M183" i="4"/>
  <c r="L184" i="4"/>
  <c r="M184" i="4"/>
  <c r="L185" i="4"/>
  <c r="M185" i="4"/>
  <c r="L186" i="4"/>
  <c r="M186" i="4"/>
  <c r="L187" i="4"/>
  <c r="M187" i="4"/>
  <c r="L188" i="4"/>
  <c r="M188" i="4"/>
  <c r="L189" i="4"/>
  <c r="M189" i="4"/>
  <c r="L190" i="4"/>
  <c r="M190" i="4"/>
  <c r="L191" i="4"/>
  <c r="M191" i="4"/>
  <c r="L192" i="4"/>
  <c r="M192" i="4"/>
  <c r="L193" i="4"/>
  <c r="M193" i="4"/>
  <c r="L194" i="4"/>
  <c r="M194" i="4"/>
  <c r="L195" i="4"/>
  <c r="M195" i="4"/>
  <c r="L196" i="4"/>
  <c r="M196" i="4"/>
  <c r="L197" i="4"/>
  <c r="M197" i="4"/>
  <c r="L198" i="4"/>
  <c r="M198" i="4"/>
  <c r="L199" i="4"/>
  <c r="M199" i="4"/>
  <c r="L200" i="4"/>
  <c r="M200" i="4"/>
  <c r="L201" i="4"/>
  <c r="M201" i="4"/>
  <c r="L202" i="4"/>
  <c r="M202" i="4"/>
  <c r="L203" i="4"/>
  <c r="M203" i="4"/>
  <c r="L204" i="4"/>
  <c r="M204" i="4"/>
  <c r="L205" i="4"/>
  <c r="M205" i="4"/>
  <c r="L206" i="4"/>
  <c r="M206" i="4"/>
  <c r="L207" i="4"/>
  <c r="M207" i="4"/>
  <c r="L208" i="4"/>
  <c r="M208" i="4"/>
  <c r="L209" i="4"/>
  <c r="M209" i="4"/>
  <c r="L210" i="4"/>
  <c r="M210" i="4"/>
  <c r="L211" i="4"/>
  <c r="M211" i="4"/>
  <c r="L212" i="4"/>
  <c r="M212" i="4"/>
  <c r="L213" i="4"/>
  <c r="M213" i="4"/>
  <c r="L214" i="4"/>
  <c r="M214" i="4"/>
  <c r="L215" i="4"/>
  <c r="M215" i="4"/>
  <c r="L216" i="4"/>
  <c r="M216" i="4"/>
  <c r="L217" i="4"/>
  <c r="M217" i="4"/>
  <c r="L218" i="4"/>
  <c r="M218" i="4"/>
  <c r="L219" i="4"/>
  <c r="M219" i="4"/>
  <c r="L220" i="4"/>
  <c r="M220" i="4"/>
  <c r="L221" i="4"/>
  <c r="M221" i="4"/>
  <c r="L222" i="4"/>
  <c r="M222" i="4"/>
  <c r="L223" i="4"/>
  <c r="M223" i="4"/>
  <c r="L224" i="4"/>
  <c r="M224" i="4"/>
  <c r="L225" i="4"/>
  <c r="M225" i="4"/>
  <c r="L226" i="4"/>
  <c r="M226" i="4"/>
  <c r="L227" i="4"/>
  <c r="M227" i="4"/>
  <c r="L228" i="4"/>
  <c r="M228" i="4"/>
  <c r="L229" i="4"/>
  <c r="M229" i="4"/>
  <c r="L230" i="4"/>
  <c r="M230" i="4"/>
  <c r="L231" i="4"/>
  <c r="M231" i="4"/>
  <c r="L232" i="4"/>
  <c r="M232" i="4"/>
  <c r="L233" i="4"/>
  <c r="M233" i="4"/>
  <c r="L234" i="4"/>
  <c r="M234" i="4"/>
  <c r="L235" i="4"/>
  <c r="M235" i="4"/>
  <c r="L236" i="4"/>
  <c r="M236" i="4"/>
  <c r="L237" i="4"/>
  <c r="M237" i="4"/>
  <c r="L238" i="4"/>
  <c r="M238" i="4"/>
  <c r="L239" i="4"/>
  <c r="M239" i="4"/>
  <c r="L240" i="4"/>
  <c r="M240" i="4"/>
  <c r="L241" i="4"/>
  <c r="M241" i="4"/>
  <c r="L242" i="4"/>
  <c r="M242" i="4"/>
  <c r="L243" i="4"/>
  <c r="M243" i="4"/>
  <c r="L244" i="4"/>
  <c r="M244" i="4"/>
  <c r="L245" i="4"/>
  <c r="M245" i="4"/>
  <c r="L246" i="4"/>
  <c r="M246" i="4"/>
  <c r="L247" i="4"/>
  <c r="M247" i="4"/>
  <c r="L248" i="4"/>
  <c r="M248" i="4"/>
  <c r="L249" i="4"/>
  <c r="M249" i="4"/>
  <c r="L250" i="4"/>
  <c r="M250" i="4"/>
  <c r="L251" i="4"/>
  <c r="M251" i="4"/>
  <c r="L252" i="4"/>
  <c r="M252" i="4"/>
  <c r="L253" i="4"/>
  <c r="M253" i="4"/>
  <c r="L254" i="4"/>
  <c r="M254" i="4"/>
  <c r="L255" i="4"/>
  <c r="M255" i="4"/>
  <c r="L256" i="4"/>
  <c r="M256" i="4"/>
  <c r="L257" i="4"/>
  <c r="M257" i="4"/>
  <c r="L258" i="4"/>
  <c r="M258" i="4"/>
  <c r="L259" i="4"/>
  <c r="M259" i="4"/>
  <c r="L260" i="4"/>
  <c r="L261" i="4"/>
  <c r="L262" i="4"/>
  <c r="L263" i="4"/>
  <c r="L265" i="4"/>
  <c r="M265" i="4"/>
  <c r="L266" i="4"/>
  <c r="M266" i="4"/>
  <c r="L267" i="4"/>
  <c r="M267" i="4"/>
  <c r="L268" i="4"/>
  <c r="M268" i="4"/>
  <c r="L269" i="4"/>
  <c r="M269" i="4"/>
  <c r="L270" i="4"/>
  <c r="M270" i="4"/>
  <c r="L271" i="4"/>
  <c r="M271" i="4"/>
  <c r="L272" i="4"/>
  <c r="M272" i="4"/>
  <c r="L273" i="4"/>
  <c r="L274" i="4"/>
  <c r="L275" i="4"/>
  <c r="M275" i="4"/>
  <c r="L276" i="4"/>
  <c r="M276" i="4"/>
  <c r="L277" i="4"/>
  <c r="M277" i="4"/>
  <c r="L278" i="4"/>
  <c r="M278" i="4"/>
  <c r="L279" i="4"/>
  <c r="M279" i="4"/>
  <c r="L280" i="4"/>
  <c r="M280" i="4"/>
  <c r="L281" i="4"/>
  <c r="M281" i="4"/>
  <c r="L282" i="4"/>
  <c r="M282" i="4"/>
  <c r="Q170" i="4" l="1"/>
  <c r="Q251" i="4"/>
  <c r="Q99" i="4"/>
  <c r="Q146" i="4"/>
  <c r="Q277" i="4"/>
  <c r="Q270" i="4"/>
  <c r="Q257" i="4"/>
  <c r="Q245" i="4"/>
  <c r="Q239" i="4"/>
  <c r="Q211" i="4"/>
  <c r="Q205" i="4"/>
  <c r="Q199" i="4"/>
  <c r="Q195" i="4"/>
  <c r="Q185" i="4"/>
  <c r="Q279" i="4"/>
  <c r="Q272" i="4"/>
  <c r="Q266" i="4"/>
  <c r="Q255" i="4"/>
  <c r="Q249" i="4"/>
  <c r="Q243" i="4"/>
  <c r="Q237" i="4"/>
  <c r="Q213" i="4"/>
  <c r="Q207" i="4"/>
  <c r="Q201" i="4"/>
  <c r="Q193" i="4"/>
  <c r="Q189" i="4"/>
  <c r="Q179" i="4"/>
  <c r="Q173" i="4"/>
  <c r="Q143" i="4"/>
  <c r="Q137" i="4"/>
  <c r="Q131" i="4"/>
  <c r="Q125" i="4"/>
  <c r="Q119" i="4"/>
  <c r="Q113" i="4"/>
  <c r="Q107" i="4"/>
  <c r="Q101" i="4"/>
  <c r="Q95" i="4"/>
  <c r="Q89" i="4"/>
  <c r="Q83" i="4"/>
  <c r="Q77" i="4"/>
  <c r="Q71" i="4"/>
  <c r="Q65" i="4"/>
  <c r="Q39" i="4"/>
  <c r="Q33" i="4"/>
  <c r="Q29" i="4"/>
  <c r="Q17" i="4"/>
  <c r="Q15" i="4"/>
  <c r="Q183" i="4"/>
  <c r="Q177" i="4"/>
  <c r="Q171" i="4"/>
  <c r="Q149" i="4"/>
  <c r="Q141" i="4"/>
  <c r="Q135" i="4"/>
  <c r="Q129" i="4"/>
  <c r="Q123" i="4"/>
  <c r="Q117" i="4"/>
  <c r="Q111" i="4"/>
  <c r="Q105" i="4"/>
  <c r="Q93" i="4"/>
  <c r="Q87" i="4"/>
  <c r="Q81" i="4"/>
  <c r="Q75" i="4"/>
  <c r="Q63" i="4"/>
  <c r="Q59" i="4"/>
  <c r="Q41" i="4"/>
  <c r="Q35" i="4"/>
  <c r="Q31" i="4"/>
  <c r="Q19" i="4"/>
  <c r="Q282" i="4"/>
  <c r="Q280" i="4"/>
  <c r="Q278" i="4"/>
  <c r="Q276" i="4"/>
  <c r="Q271" i="4"/>
  <c r="Q269" i="4"/>
  <c r="Q267" i="4"/>
  <c r="Q265" i="4"/>
  <c r="Q258" i="4"/>
  <c r="Q256" i="4"/>
  <c r="Q254" i="4"/>
  <c r="Q252" i="4"/>
  <c r="Q250" i="4"/>
  <c r="Q248" i="4"/>
  <c r="Q246" i="4"/>
  <c r="Q244" i="4"/>
  <c r="Q242" i="4"/>
  <c r="Q240" i="4"/>
  <c r="Q238" i="4"/>
  <c r="Q236" i="4"/>
  <c r="Q216" i="4"/>
  <c r="Q214" i="4"/>
  <c r="Q212" i="4"/>
  <c r="Q210" i="4"/>
  <c r="Q208" i="4"/>
  <c r="Q206" i="4"/>
  <c r="Q204" i="4"/>
  <c r="Q202" i="4"/>
  <c r="Q200" i="4"/>
  <c r="Q198" i="4"/>
  <c r="Q196" i="4"/>
  <c r="Q194" i="4"/>
  <c r="Q192" i="4"/>
  <c r="Q190" i="4"/>
  <c r="Q188" i="4"/>
  <c r="Q186" i="4"/>
  <c r="Q184" i="4"/>
  <c r="Q182" i="4"/>
  <c r="Q180" i="4"/>
  <c r="Q178" i="4"/>
  <c r="Q176" i="4"/>
  <c r="Q174" i="4"/>
  <c r="Q148" i="4"/>
  <c r="Q144" i="4"/>
  <c r="Q142" i="4"/>
  <c r="Q140" i="4"/>
  <c r="Q138" i="4"/>
  <c r="Q136" i="4"/>
  <c r="Q134" i="4"/>
  <c r="Q132" i="4"/>
  <c r="Q130" i="4"/>
  <c r="Q128" i="4"/>
  <c r="Q126" i="4"/>
  <c r="Q124" i="4"/>
  <c r="Q122" i="4"/>
  <c r="Q120" i="4"/>
  <c r="Q118" i="4"/>
  <c r="Q116" i="4"/>
  <c r="Q114" i="4"/>
  <c r="Q112" i="4"/>
  <c r="Q110" i="4"/>
  <c r="Q108" i="4"/>
  <c r="Q106" i="4"/>
  <c r="Q104" i="4"/>
  <c r="Q100" i="4"/>
  <c r="Q98" i="4"/>
  <c r="Q96" i="4"/>
  <c r="Q94" i="4"/>
  <c r="Q92" i="4"/>
  <c r="Q90" i="4"/>
  <c r="Q88" i="4"/>
  <c r="Q86" i="4"/>
  <c r="Q84" i="4"/>
  <c r="Q82" i="4"/>
  <c r="Q80" i="4"/>
  <c r="Q78" i="4"/>
  <c r="Q76" i="4"/>
  <c r="Q74" i="4"/>
  <c r="Q72" i="4"/>
  <c r="Q70" i="4"/>
  <c r="Q68" i="4"/>
  <c r="Q66" i="4"/>
  <c r="Q64" i="4"/>
  <c r="Q62" i="4"/>
  <c r="Q60" i="4"/>
  <c r="Q58" i="4"/>
  <c r="Q40" i="4"/>
  <c r="Q38" i="4"/>
  <c r="Q36" i="4"/>
  <c r="Q34" i="4"/>
  <c r="Q32" i="4"/>
  <c r="Q30" i="4"/>
  <c r="Q28" i="4"/>
  <c r="Q20" i="4"/>
  <c r="Q18" i="4"/>
  <c r="Q16" i="4"/>
  <c r="Q281" i="4"/>
  <c r="Q275" i="4"/>
  <c r="Q268" i="4"/>
  <c r="Q259" i="4"/>
  <c r="Q253" i="4"/>
  <c r="Q247" i="4"/>
  <c r="Q241" i="4"/>
  <c r="Q235" i="4"/>
  <c r="Q215" i="4"/>
  <c r="Q209" i="4"/>
  <c r="Q203" i="4"/>
  <c r="Q197" i="4"/>
  <c r="Q191" i="4"/>
  <c r="Q187" i="4"/>
  <c r="Q181" i="4"/>
  <c r="Q175" i="4"/>
  <c r="Q145" i="4"/>
  <c r="Q139" i="4"/>
  <c r="Q133" i="4"/>
  <c r="Q127" i="4"/>
  <c r="Q121" i="4"/>
  <c r="Q115" i="4"/>
  <c r="Q109" i="4"/>
  <c r="Q103" i="4"/>
  <c r="Q97" i="4"/>
  <c r="Q91" i="4"/>
  <c r="Q85" i="4"/>
  <c r="Q79" i="4"/>
  <c r="Q73" i="4"/>
  <c r="Q67" i="4"/>
  <c r="Q61" i="4"/>
  <c r="Q37" i="4"/>
  <c r="L3" i="4"/>
  <c r="I4" i="14" l="1"/>
  <c r="G4" i="12" s="1"/>
  <c r="I6" i="14"/>
  <c r="G6" i="12" s="1"/>
  <c r="J6" i="12" s="1"/>
  <c r="I10" i="14"/>
  <c r="G10" i="12" s="1"/>
  <c r="I14" i="14"/>
  <c r="G14" i="12" s="1"/>
  <c r="I18" i="14"/>
  <c r="G18" i="12" s="1"/>
  <c r="I19" i="14"/>
  <c r="G19" i="12" s="1"/>
  <c r="I25" i="14"/>
  <c r="G25" i="12" s="1"/>
  <c r="I27" i="14"/>
  <c r="G27" i="12" s="1"/>
  <c r="I29" i="14"/>
  <c r="G29" i="12" s="1"/>
  <c r="I30" i="14"/>
  <c r="G30" i="12" s="1"/>
  <c r="I31" i="14"/>
  <c r="G31" i="12" s="1"/>
  <c r="I3" i="14"/>
  <c r="G3" i="12" s="1"/>
  <c r="F11" i="14"/>
  <c r="F4" i="14"/>
  <c r="J4" i="14" s="1"/>
  <c r="L264" i="4"/>
  <c r="M14" i="12" l="1"/>
  <c r="I14" i="12"/>
  <c r="N14" i="12"/>
  <c r="I25" i="12"/>
  <c r="M25" i="12"/>
  <c r="N25" i="12"/>
  <c r="N10" i="12"/>
  <c r="I10" i="12"/>
  <c r="M10" i="12"/>
  <c r="M30" i="12"/>
  <c r="I30" i="12"/>
  <c r="N30" i="12"/>
  <c r="N19" i="12"/>
  <c r="N31" i="12" s="1"/>
  <c r="H31" i="12" s="1"/>
  <c r="I31" i="12" s="1"/>
  <c r="I19" i="12"/>
  <c r="M27" i="12"/>
  <c r="N27" i="12"/>
  <c r="K27" i="12" s="1"/>
  <c r="L27" i="12" s="1"/>
  <c r="I27" i="12"/>
  <c r="I29" i="12"/>
  <c r="M29" i="12"/>
  <c r="N29" i="12"/>
  <c r="N18" i="12"/>
  <c r="M18" i="12"/>
  <c r="I18" i="12"/>
  <c r="N4" i="12"/>
  <c r="I4" i="12"/>
  <c r="M4" i="12"/>
  <c r="R25" i="22"/>
  <c r="D37" i="14" s="1"/>
  <c r="C40" i="14"/>
  <c r="C39" i="14"/>
  <c r="C38" i="14"/>
  <c r="C37" i="14"/>
  <c r="C36" i="14"/>
  <c r="C35" i="14"/>
  <c r="C34" i="14"/>
  <c r="C33" i="14"/>
  <c r="C32" i="14"/>
  <c r="C28" i="14"/>
  <c r="C26" i="14"/>
  <c r="C24" i="14"/>
  <c r="C23" i="14"/>
  <c r="C22" i="14"/>
  <c r="C21" i="14"/>
  <c r="C20" i="14"/>
  <c r="C17" i="14"/>
  <c r="C16" i="14"/>
  <c r="C13" i="14"/>
  <c r="C12" i="14"/>
  <c r="C11" i="14"/>
  <c r="C9" i="14"/>
  <c r="C8" i="14"/>
  <c r="C7" i="14"/>
  <c r="C5" i="14"/>
  <c r="F24" i="14"/>
  <c r="F25" i="14"/>
  <c r="J25" i="14" s="1"/>
  <c r="F26" i="14"/>
  <c r="F27" i="14"/>
  <c r="J27" i="14" s="1"/>
  <c r="F28" i="14"/>
  <c r="F29" i="14"/>
  <c r="J29" i="14" s="1"/>
  <c r="F30" i="14"/>
  <c r="J30" i="14" s="1"/>
  <c r="F31" i="14"/>
  <c r="J31" i="14" s="1"/>
  <c r="F32" i="14"/>
  <c r="F33" i="14"/>
  <c r="F34" i="14"/>
  <c r="F36" i="14"/>
  <c r="F37" i="14"/>
  <c r="F38" i="14"/>
  <c r="F39" i="14"/>
  <c r="F40" i="14"/>
  <c r="F12" i="14"/>
  <c r="F13" i="14"/>
  <c r="F14" i="14"/>
  <c r="J14" i="14" s="1"/>
  <c r="F15" i="14"/>
  <c r="F16" i="14"/>
  <c r="F17" i="14"/>
  <c r="F18" i="14"/>
  <c r="J18" i="14" s="1"/>
  <c r="F19" i="14"/>
  <c r="J19" i="14" s="1"/>
  <c r="F20" i="14"/>
  <c r="F21" i="14"/>
  <c r="F22" i="14"/>
  <c r="F23" i="14"/>
  <c r="F5" i="14"/>
  <c r="F6" i="14"/>
  <c r="J6" i="14" s="1"/>
  <c r="F7" i="14"/>
  <c r="F8" i="14"/>
  <c r="F9" i="14"/>
  <c r="F10" i="14"/>
  <c r="J10" i="14" s="1"/>
  <c r="F3" i="14"/>
  <c r="J3" i="14" s="1"/>
  <c r="H7" i="24"/>
  <c r="I7" i="24"/>
  <c r="J7" i="24"/>
  <c r="K7" i="24"/>
  <c r="G6" i="14" s="1"/>
  <c r="H8" i="24"/>
  <c r="I8" i="24"/>
  <c r="G7" i="14" s="1"/>
  <c r="J8" i="24"/>
  <c r="K8" i="24"/>
  <c r="H9" i="24"/>
  <c r="I9" i="24"/>
  <c r="J9" i="24"/>
  <c r="G8" i="14" s="1"/>
  <c r="K9" i="24"/>
  <c r="H10" i="24"/>
  <c r="I10" i="24"/>
  <c r="J10" i="24"/>
  <c r="G9" i="14" s="1"/>
  <c r="K10" i="24"/>
  <c r="H11" i="24"/>
  <c r="I11" i="24"/>
  <c r="J11" i="24"/>
  <c r="K11" i="24"/>
  <c r="G10" i="14" s="1"/>
  <c r="H12" i="24"/>
  <c r="I12" i="24"/>
  <c r="J12" i="24"/>
  <c r="G11" i="14" s="1"/>
  <c r="K12" i="24"/>
  <c r="H13" i="24"/>
  <c r="I13" i="24"/>
  <c r="J13" i="24"/>
  <c r="K13" i="24"/>
  <c r="G12" i="14" s="1"/>
  <c r="H14" i="24"/>
  <c r="G13" i="14" s="1"/>
  <c r="I14" i="24"/>
  <c r="J14" i="24"/>
  <c r="K14" i="24"/>
  <c r="H15" i="24"/>
  <c r="I15" i="24"/>
  <c r="J15" i="24"/>
  <c r="K15" i="24"/>
  <c r="G14" i="14" s="1"/>
  <c r="H16" i="24"/>
  <c r="I16" i="24"/>
  <c r="G15" i="14" s="1"/>
  <c r="J16" i="24"/>
  <c r="K16" i="24"/>
  <c r="H17" i="24"/>
  <c r="I17" i="24"/>
  <c r="J17" i="24"/>
  <c r="G16" i="14" s="1"/>
  <c r="K17" i="24"/>
  <c r="H18" i="24"/>
  <c r="I18" i="24"/>
  <c r="G17" i="14" s="1"/>
  <c r="J18" i="24"/>
  <c r="K18" i="24"/>
  <c r="H19" i="24"/>
  <c r="I19" i="24"/>
  <c r="J19" i="24"/>
  <c r="K19" i="24"/>
  <c r="G18" i="14" s="1"/>
  <c r="H20" i="24"/>
  <c r="I20" i="24"/>
  <c r="J20" i="24"/>
  <c r="K20" i="24"/>
  <c r="G19" i="14" s="1"/>
  <c r="H21" i="24"/>
  <c r="I21" i="24"/>
  <c r="G20" i="14" s="1"/>
  <c r="J21" i="24"/>
  <c r="K21" i="24"/>
  <c r="H22" i="24"/>
  <c r="I22" i="24"/>
  <c r="G21" i="14" s="1"/>
  <c r="J22" i="24"/>
  <c r="K22" i="24"/>
  <c r="H23" i="24"/>
  <c r="I23" i="24"/>
  <c r="J23" i="24"/>
  <c r="G22" i="14" s="1"/>
  <c r="K23" i="24"/>
  <c r="H24" i="24"/>
  <c r="I24" i="24"/>
  <c r="G23" i="14" s="1"/>
  <c r="J24" i="24"/>
  <c r="K24" i="24"/>
  <c r="H25" i="24"/>
  <c r="I25" i="24"/>
  <c r="J25" i="24"/>
  <c r="G24" i="14" s="1"/>
  <c r="K25" i="24"/>
  <c r="H26" i="24"/>
  <c r="I26" i="24"/>
  <c r="J26" i="24"/>
  <c r="K26" i="24"/>
  <c r="G25" i="14" s="1"/>
  <c r="H27" i="24"/>
  <c r="I27" i="24"/>
  <c r="G26" i="14" s="1"/>
  <c r="J27" i="24"/>
  <c r="K27" i="24"/>
  <c r="H28" i="24"/>
  <c r="I28" i="24"/>
  <c r="J28" i="24"/>
  <c r="K28" i="24"/>
  <c r="G27" i="14" s="1"/>
  <c r="H29" i="24"/>
  <c r="I29" i="24"/>
  <c r="G28" i="14" s="1"/>
  <c r="J29" i="24"/>
  <c r="K29" i="24"/>
  <c r="H30" i="24"/>
  <c r="I30" i="24"/>
  <c r="J30" i="24"/>
  <c r="K30" i="24"/>
  <c r="G29" i="14" s="1"/>
  <c r="H31" i="24"/>
  <c r="I31" i="24"/>
  <c r="J31" i="24"/>
  <c r="K31" i="24"/>
  <c r="G30" i="14" s="1"/>
  <c r="H32" i="24"/>
  <c r="I32" i="24"/>
  <c r="J32" i="24"/>
  <c r="K32" i="24"/>
  <c r="G31" i="14" s="1"/>
  <c r="H33" i="24"/>
  <c r="I33" i="24"/>
  <c r="G32" i="14" s="1"/>
  <c r="J33" i="24"/>
  <c r="K33" i="24"/>
  <c r="H34" i="24"/>
  <c r="I34" i="24"/>
  <c r="G33" i="14" s="1"/>
  <c r="J34" i="24"/>
  <c r="K34" i="24"/>
  <c r="H35" i="24"/>
  <c r="I35" i="24"/>
  <c r="G34" i="14" s="1"/>
  <c r="J35" i="24"/>
  <c r="K35" i="24"/>
  <c r="H36" i="24"/>
  <c r="I36" i="24"/>
  <c r="J36" i="24"/>
  <c r="G35" i="14" s="1"/>
  <c r="K36" i="24"/>
  <c r="H37" i="24"/>
  <c r="I37" i="24"/>
  <c r="G36" i="14" s="1"/>
  <c r="J37" i="24"/>
  <c r="K37" i="24"/>
  <c r="H38" i="24"/>
  <c r="I38" i="24"/>
  <c r="J38" i="24"/>
  <c r="G37" i="14" s="1"/>
  <c r="K38" i="24"/>
  <c r="H39" i="24"/>
  <c r="I39" i="24"/>
  <c r="G38" i="14" s="1"/>
  <c r="J39" i="24"/>
  <c r="K39" i="24"/>
  <c r="H40" i="24"/>
  <c r="I40" i="24"/>
  <c r="G39" i="14" s="1"/>
  <c r="J40" i="24"/>
  <c r="K40" i="24"/>
  <c r="H41" i="24"/>
  <c r="I41" i="24"/>
  <c r="J41" i="24"/>
  <c r="G40" i="14" s="1"/>
  <c r="K41" i="24"/>
  <c r="H4" i="24"/>
  <c r="I4" i="24"/>
  <c r="J4" i="24"/>
  <c r="K4" i="24"/>
  <c r="H5" i="24"/>
  <c r="I5" i="24"/>
  <c r="J5" i="24"/>
  <c r="K5" i="24"/>
  <c r="K6" i="24"/>
  <c r="J6" i="24"/>
  <c r="N147" i="4" l="1"/>
  <c r="R147" i="4" s="1"/>
  <c r="N146" i="4"/>
  <c r="O146" i="4" s="1"/>
  <c r="H37" i="14"/>
  <c r="I37" i="14" s="1"/>
  <c r="J37" i="14" s="1"/>
  <c r="I6" i="24"/>
  <c r="G5" i="14" s="1"/>
  <c r="H6" i="24"/>
  <c r="F282" i="22"/>
  <c r="F281" i="22"/>
  <c r="F280" i="22"/>
  <c r="F279" i="22"/>
  <c r="F278" i="22"/>
  <c r="F277" i="22"/>
  <c r="F276" i="22"/>
  <c r="F275" i="22"/>
  <c r="F274" i="22"/>
  <c r="F273" i="22"/>
  <c r="F272" i="22"/>
  <c r="F271" i="22"/>
  <c r="F270" i="22"/>
  <c r="F269" i="22"/>
  <c r="F268" i="22"/>
  <c r="F267" i="22"/>
  <c r="F266" i="22"/>
  <c r="F265" i="22"/>
  <c r="F205" i="22"/>
  <c r="F206" i="22"/>
  <c r="F207" i="22"/>
  <c r="F208" i="22"/>
  <c r="F209" i="22"/>
  <c r="F210" i="22"/>
  <c r="F211" i="22"/>
  <c r="F212" i="22"/>
  <c r="F213" i="22"/>
  <c r="F214" i="22"/>
  <c r="F215" i="22"/>
  <c r="F216" i="22"/>
  <c r="F217" i="22"/>
  <c r="F218" i="22"/>
  <c r="F219" i="22"/>
  <c r="F220" i="22"/>
  <c r="F221" i="22"/>
  <c r="F222" i="22"/>
  <c r="F223" i="22"/>
  <c r="F224" i="22"/>
  <c r="F225" i="22"/>
  <c r="F226" i="22"/>
  <c r="F227" i="22"/>
  <c r="F228" i="22"/>
  <c r="F229" i="22"/>
  <c r="F230" i="22"/>
  <c r="F231" i="22"/>
  <c r="F232" i="22"/>
  <c r="F233" i="22"/>
  <c r="F234" i="22"/>
  <c r="F235" i="22"/>
  <c r="F236" i="22"/>
  <c r="F237" i="22"/>
  <c r="F238" i="22"/>
  <c r="F239" i="22"/>
  <c r="F240" i="22"/>
  <c r="F241" i="22"/>
  <c r="F242" i="22"/>
  <c r="F243" i="22"/>
  <c r="F244" i="22"/>
  <c r="F245" i="22"/>
  <c r="F246" i="22"/>
  <c r="F247" i="22"/>
  <c r="F248" i="22"/>
  <c r="F249" i="22"/>
  <c r="F250" i="22"/>
  <c r="F256" i="22"/>
  <c r="F257" i="22"/>
  <c r="F258" i="22"/>
  <c r="F259" i="22"/>
  <c r="F204" i="22"/>
  <c r="F203" i="22"/>
  <c r="F202" i="22"/>
  <c r="F201" i="22"/>
  <c r="F200" i="22"/>
  <c r="F199" i="22"/>
  <c r="F198" i="22"/>
  <c r="F197" i="22"/>
  <c r="F196" i="22"/>
  <c r="F195" i="22"/>
  <c r="F194" i="22"/>
  <c r="F170" i="22"/>
  <c r="F171" i="22"/>
  <c r="F172" i="22"/>
  <c r="S16" i="22" s="1"/>
  <c r="F169" i="22"/>
  <c r="F168" i="22"/>
  <c r="F167" i="22"/>
  <c r="F166" i="22"/>
  <c r="F165" i="22"/>
  <c r="F164" i="22"/>
  <c r="F163" i="22"/>
  <c r="F162" i="22"/>
  <c r="F161" i="22"/>
  <c r="F160" i="22"/>
  <c r="F159" i="22"/>
  <c r="F158" i="22"/>
  <c r="F157" i="22"/>
  <c r="F156" i="22"/>
  <c r="F155" i="22"/>
  <c r="F154" i="22"/>
  <c r="F153" i="22"/>
  <c r="F152" i="22"/>
  <c r="F151" i="22"/>
  <c r="F150" i="22"/>
  <c r="F125" i="22"/>
  <c r="F126" i="22"/>
  <c r="F127" i="22"/>
  <c r="F128" i="22"/>
  <c r="F129" i="22"/>
  <c r="F130" i="22"/>
  <c r="F131" i="22"/>
  <c r="F132" i="22"/>
  <c r="F133" i="22"/>
  <c r="F134" i="22"/>
  <c r="F135" i="22"/>
  <c r="F136" i="22"/>
  <c r="F137" i="22"/>
  <c r="F138" i="22"/>
  <c r="F139" i="22"/>
  <c r="F140" i="22"/>
  <c r="F141" i="22"/>
  <c r="F142" i="22"/>
  <c r="F143" i="22"/>
  <c r="F144" i="22"/>
  <c r="F145" i="22"/>
  <c r="F124" i="22"/>
  <c r="K119" i="22"/>
  <c r="K120" i="22"/>
  <c r="K121" i="22"/>
  <c r="K122" i="22"/>
  <c r="K123" i="22"/>
  <c r="K276" i="22"/>
  <c r="K277" i="22"/>
  <c r="K278" i="22"/>
  <c r="K279" i="22"/>
  <c r="K280" i="22"/>
  <c r="K281" i="22"/>
  <c r="K282" i="22"/>
  <c r="K275" i="22"/>
  <c r="K266" i="22"/>
  <c r="K267" i="22"/>
  <c r="K268" i="22"/>
  <c r="K269" i="22"/>
  <c r="K270" i="22"/>
  <c r="K271" i="22"/>
  <c r="K272" i="22"/>
  <c r="K265" i="22"/>
  <c r="K171" i="22"/>
  <c r="K172" i="22"/>
  <c r="K173" i="22"/>
  <c r="K174" i="22"/>
  <c r="K175" i="22"/>
  <c r="K176" i="22"/>
  <c r="K177" i="22"/>
  <c r="K178" i="22"/>
  <c r="K179" i="22"/>
  <c r="K180" i="22"/>
  <c r="K181" i="22"/>
  <c r="K182" i="22"/>
  <c r="K183" i="22"/>
  <c r="K184" i="22"/>
  <c r="K185" i="22"/>
  <c r="K186" i="22"/>
  <c r="K187" i="22"/>
  <c r="K188" i="22"/>
  <c r="K189" i="22"/>
  <c r="K190" i="22"/>
  <c r="K191" i="22"/>
  <c r="K192" i="22"/>
  <c r="K193" i="22"/>
  <c r="K194" i="22"/>
  <c r="K195" i="22"/>
  <c r="K196" i="22"/>
  <c r="K197" i="22"/>
  <c r="K198" i="22"/>
  <c r="K199" i="22"/>
  <c r="K200" i="22"/>
  <c r="K201" i="22"/>
  <c r="K202" i="22"/>
  <c r="K203" i="22"/>
  <c r="K204" i="22"/>
  <c r="K205" i="22"/>
  <c r="K206" i="22"/>
  <c r="K207" i="22"/>
  <c r="K208" i="22"/>
  <c r="K209" i="22"/>
  <c r="K210" i="22"/>
  <c r="K211" i="22"/>
  <c r="K212" i="22"/>
  <c r="K213" i="22"/>
  <c r="K214" i="22"/>
  <c r="K215" i="22"/>
  <c r="K216" i="22"/>
  <c r="K217" i="22"/>
  <c r="K218" i="22"/>
  <c r="K219" i="22"/>
  <c r="K220" i="22"/>
  <c r="K221" i="22"/>
  <c r="K222" i="22"/>
  <c r="K223" i="22"/>
  <c r="K224" i="22"/>
  <c r="K225" i="22"/>
  <c r="K226" i="22"/>
  <c r="K227" i="22"/>
  <c r="K228" i="22"/>
  <c r="K229" i="22"/>
  <c r="K230" i="22"/>
  <c r="K231" i="22"/>
  <c r="K232" i="22"/>
  <c r="K233" i="22"/>
  <c r="K234" i="22"/>
  <c r="K235" i="22"/>
  <c r="K236" i="22"/>
  <c r="K237" i="22"/>
  <c r="K238" i="22"/>
  <c r="K239" i="22"/>
  <c r="K240" i="22"/>
  <c r="K241" i="22"/>
  <c r="K242" i="22"/>
  <c r="K243" i="22"/>
  <c r="K244" i="22"/>
  <c r="K245" i="22"/>
  <c r="K246" i="22"/>
  <c r="K247" i="22"/>
  <c r="K248" i="22"/>
  <c r="K249" i="22"/>
  <c r="K250" i="22"/>
  <c r="K251" i="22"/>
  <c r="K252" i="22"/>
  <c r="K253" i="22"/>
  <c r="K254" i="22"/>
  <c r="K255" i="22"/>
  <c r="K256" i="22"/>
  <c r="K257" i="22"/>
  <c r="K258" i="22"/>
  <c r="K259" i="22"/>
  <c r="K170" i="22"/>
  <c r="K149" i="22"/>
  <c r="K148" i="22"/>
  <c r="K125" i="22"/>
  <c r="K126" i="22"/>
  <c r="K127" i="22"/>
  <c r="K128" i="22"/>
  <c r="K129" i="22"/>
  <c r="K130" i="22"/>
  <c r="K131" i="22"/>
  <c r="K132" i="22"/>
  <c r="K133" i="22"/>
  <c r="K134" i="22"/>
  <c r="K135" i="22"/>
  <c r="K136" i="22"/>
  <c r="K137" i="22"/>
  <c r="K138" i="22"/>
  <c r="K139" i="22"/>
  <c r="K140" i="22"/>
  <c r="K141" i="22"/>
  <c r="K142" i="22"/>
  <c r="K143" i="22"/>
  <c r="K144" i="22"/>
  <c r="K145" i="22"/>
  <c r="K124" i="22"/>
  <c r="K59" i="22"/>
  <c r="K60" i="22"/>
  <c r="K61" i="22"/>
  <c r="K62" i="22"/>
  <c r="K63" i="22"/>
  <c r="K64" i="22"/>
  <c r="K65" i="22"/>
  <c r="K66" i="22"/>
  <c r="K67" i="22"/>
  <c r="K68" i="22"/>
  <c r="K58" i="22"/>
  <c r="K33" i="22"/>
  <c r="K34" i="22"/>
  <c r="K35" i="22"/>
  <c r="K36" i="22"/>
  <c r="K37" i="22"/>
  <c r="K38" i="22"/>
  <c r="K39" i="22"/>
  <c r="K40" i="22"/>
  <c r="K41" i="22"/>
  <c r="K16" i="22"/>
  <c r="K17" i="22"/>
  <c r="K18" i="22"/>
  <c r="K19" i="22"/>
  <c r="K20" i="22"/>
  <c r="K21" i="22"/>
  <c r="K22" i="22"/>
  <c r="K23" i="22"/>
  <c r="K24" i="22"/>
  <c r="K25" i="22"/>
  <c r="K26" i="22"/>
  <c r="K27" i="22"/>
  <c r="K28" i="22"/>
  <c r="K29" i="22"/>
  <c r="K30" i="22"/>
  <c r="K31" i="22"/>
  <c r="K32" i="22"/>
  <c r="K15" i="22"/>
  <c r="F42" i="22"/>
  <c r="F43" i="22"/>
  <c r="F44" i="22"/>
  <c r="F45" i="22"/>
  <c r="F46" i="22"/>
  <c r="F47" i="22"/>
  <c r="F48" i="22"/>
  <c r="F49" i="22"/>
  <c r="F50" i="22"/>
  <c r="F51" i="22"/>
  <c r="F52" i="22"/>
  <c r="F53" i="22"/>
  <c r="F54" i="22"/>
  <c r="F55" i="22"/>
  <c r="F56" i="22"/>
  <c r="F57" i="22"/>
  <c r="F28" i="22"/>
  <c r="F29" i="22"/>
  <c r="F30" i="22"/>
  <c r="F31" i="22"/>
  <c r="F32" i="22"/>
  <c r="F33" i="22"/>
  <c r="F34" i="22"/>
  <c r="F35" i="22"/>
  <c r="F36" i="22"/>
  <c r="F37" i="22"/>
  <c r="F38" i="22"/>
  <c r="F39" i="22"/>
  <c r="F40" i="22"/>
  <c r="F41" i="22"/>
  <c r="F21" i="22"/>
  <c r="F22" i="22"/>
  <c r="F23" i="22"/>
  <c r="F24" i="22"/>
  <c r="F25" i="22"/>
  <c r="F26" i="22"/>
  <c r="F27" i="22"/>
  <c r="V4" i="22"/>
  <c r="W4" i="22"/>
  <c r="W5" i="22"/>
  <c r="W6" i="22"/>
  <c r="W7" i="22"/>
  <c r="V9" i="22"/>
  <c r="W9" i="22"/>
  <c r="W10" i="22"/>
  <c r="V11" i="22"/>
  <c r="W11" i="22"/>
  <c r="V13" i="22"/>
  <c r="W13" i="22"/>
  <c r="W14" i="22"/>
  <c r="W15" i="22"/>
  <c r="W16" i="22"/>
  <c r="V17" i="22"/>
  <c r="W17" i="22"/>
  <c r="W18" i="22"/>
  <c r="W19" i="22"/>
  <c r="W20" i="22"/>
  <c r="W21" i="22"/>
  <c r="W22" i="22"/>
  <c r="W23" i="22"/>
  <c r="W24" i="22"/>
  <c r="V25" i="22"/>
  <c r="W25" i="22"/>
  <c r="W26" i="22"/>
  <c r="W27" i="22"/>
  <c r="W28" i="22"/>
  <c r="S4" i="22"/>
  <c r="T4" i="22"/>
  <c r="T5" i="22"/>
  <c r="T6" i="22"/>
  <c r="T7" i="22"/>
  <c r="T8" i="22"/>
  <c r="S9" i="22"/>
  <c r="T9" i="22"/>
  <c r="T10" i="22"/>
  <c r="S11" i="22"/>
  <c r="T11" i="22"/>
  <c r="T12" i="22"/>
  <c r="S13" i="22"/>
  <c r="T13" i="22"/>
  <c r="T14" i="22"/>
  <c r="T15" i="22"/>
  <c r="T16" i="22"/>
  <c r="S17" i="22"/>
  <c r="T17" i="22"/>
  <c r="T18" i="22"/>
  <c r="T19" i="22"/>
  <c r="T20" i="22"/>
  <c r="T21" i="22"/>
  <c r="T22" i="22"/>
  <c r="T23" i="22"/>
  <c r="T24" i="22"/>
  <c r="S25" i="22"/>
  <c r="T25" i="22"/>
  <c r="T26" i="22"/>
  <c r="S27" i="22"/>
  <c r="T27" i="22"/>
  <c r="T28" i="22"/>
  <c r="T3" i="22"/>
  <c r="R3" i="22"/>
  <c r="I125" i="22" l="1"/>
  <c r="I144" i="22"/>
  <c r="J144" i="22" s="1"/>
  <c r="I140" i="22"/>
  <c r="J140" i="22" s="1"/>
  <c r="I136" i="22"/>
  <c r="J136" i="22" s="1"/>
  <c r="I132" i="22"/>
  <c r="J132" i="22" s="1"/>
  <c r="I128" i="22"/>
  <c r="J128" i="22" s="1"/>
  <c r="S21" i="22"/>
  <c r="I162" i="22"/>
  <c r="H162" i="22" s="1"/>
  <c r="K162" i="22" s="1"/>
  <c r="I151" i="22"/>
  <c r="H151" i="22" s="1"/>
  <c r="K151" i="22" s="1"/>
  <c r="I155" i="22"/>
  <c r="H155" i="22" s="1"/>
  <c r="K155" i="22" s="1"/>
  <c r="I159" i="22"/>
  <c r="H159" i="22" s="1"/>
  <c r="K159" i="22" s="1"/>
  <c r="I163" i="22"/>
  <c r="H163" i="22" s="1"/>
  <c r="K163" i="22" s="1"/>
  <c r="I167" i="22"/>
  <c r="H167" i="22" s="1"/>
  <c r="K167" i="22" s="1"/>
  <c r="I152" i="22"/>
  <c r="H152" i="22" s="1"/>
  <c r="K152" i="22" s="1"/>
  <c r="I156" i="22"/>
  <c r="H156" i="22" s="1"/>
  <c r="K156" i="22" s="1"/>
  <c r="I160" i="22"/>
  <c r="H160" i="22" s="1"/>
  <c r="K160" i="22" s="1"/>
  <c r="I164" i="22"/>
  <c r="H164" i="22" s="1"/>
  <c r="K164" i="22" s="1"/>
  <c r="I168" i="22"/>
  <c r="H168" i="22" s="1"/>
  <c r="K168" i="22" s="1"/>
  <c r="I150" i="22"/>
  <c r="H150" i="22" s="1"/>
  <c r="K150" i="22" s="1"/>
  <c r="I154" i="22"/>
  <c r="H154" i="22" s="1"/>
  <c r="K154" i="22" s="1"/>
  <c r="I158" i="22"/>
  <c r="H158" i="22" s="1"/>
  <c r="K158" i="22" s="1"/>
  <c r="I166" i="22"/>
  <c r="H166" i="22" s="1"/>
  <c r="K166" i="22" s="1"/>
  <c r="I153" i="22"/>
  <c r="H153" i="22" s="1"/>
  <c r="K153" i="22" s="1"/>
  <c r="H157" i="22"/>
  <c r="K157" i="22" s="1"/>
  <c r="I157" i="22"/>
  <c r="I161" i="22"/>
  <c r="H161" i="22" s="1"/>
  <c r="K161" i="22" s="1"/>
  <c r="I165" i="22"/>
  <c r="H165" i="22" s="1"/>
  <c r="K165" i="22" s="1"/>
  <c r="I169" i="22"/>
  <c r="H169" i="22" s="1"/>
  <c r="K169" i="22" s="1"/>
  <c r="I143" i="22"/>
  <c r="J143" i="22" s="1"/>
  <c r="I139" i="22"/>
  <c r="J139" i="22" s="1"/>
  <c r="I131" i="22"/>
  <c r="J131" i="22" s="1"/>
  <c r="I124" i="22"/>
  <c r="I142" i="22"/>
  <c r="J142" i="22" s="1"/>
  <c r="I138" i="22"/>
  <c r="J138" i="22" s="1"/>
  <c r="I134" i="22"/>
  <c r="J134" i="22" s="1"/>
  <c r="I130" i="22"/>
  <c r="J130" i="22" s="1"/>
  <c r="I126" i="22"/>
  <c r="J126" i="22" s="1"/>
  <c r="I135" i="22"/>
  <c r="J135" i="22" s="1"/>
  <c r="I127" i="22"/>
  <c r="J127" i="22" s="1"/>
  <c r="I145" i="22"/>
  <c r="J145" i="22" s="1"/>
  <c r="I141" i="22"/>
  <c r="J141" i="22" s="1"/>
  <c r="I137" i="22"/>
  <c r="J137" i="22" s="1"/>
  <c r="I133" i="22"/>
  <c r="J133" i="22" s="1"/>
  <c r="I129" i="22"/>
  <c r="J129" i="22" s="1"/>
  <c r="J125" i="22"/>
  <c r="S15" i="22"/>
  <c r="S24" i="22"/>
  <c r="S22" i="22"/>
  <c r="S20" i="22"/>
  <c r="R146" i="4"/>
  <c r="D146" i="4" s="1"/>
  <c r="E164" i="8" s="1"/>
  <c r="G37" i="12"/>
  <c r="D147" i="4"/>
  <c r="E165" i="8" s="1"/>
  <c r="S10" i="22"/>
  <c r="S23" i="22"/>
  <c r="S18" i="22"/>
  <c r="S14" i="22"/>
  <c r="S12" i="22"/>
  <c r="S8" i="22"/>
  <c r="S26" i="22"/>
  <c r="S28" i="22"/>
  <c r="D5" i="14"/>
  <c r="S6" i="22"/>
  <c r="S7" i="22"/>
  <c r="E170" i="4" l="1"/>
  <c r="E171" i="4"/>
  <c r="J124" i="22"/>
  <c r="W12" i="22" s="1"/>
  <c r="V12" i="22"/>
  <c r="H37" i="12"/>
  <c r="S146" i="4"/>
  <c r="G146" i="4" s="1"/>
  <c r="E293" i="8"/>
  <c r="N263" i="4"/>
  <c r="O263" i="4" s="1"/>
  <c r="N264" i="4"/>
  <c r="O264" i="4" s="1"/>
  <c r="N260" i="4"/>
  <c r="O260" i="4" s="1"/>
  <c r="N262" i="4"/>
  <c r="O262" i="4" s="1"/>
  <c r="N261" i="4"/>
  <c r="O261" i="4" s="1"/>
  <c r="F146" i="4"/>
  <c r="G164" i="8" s="1"/>
  <c r="E146" i="4"/>
  <c r="F164" i="8" s="1"/>
  <c r="F147" i="4"/>
  <c r="G165" i="8" s="1"/>
  <c r="E147" i="4"/>
  <c r="F165" i="8" s="1"/>
  <c r="H5" i="14"/>
  <c r="I5" i="14" s="1"/>
  <c r="I4" i="22"/>
  <c r="H4" i="22" s="1"/>
  <c r="K4" i="22" s="1"/>
  <c r="F5" i="22"/>
  <c r="I5" i="22" s="1"/>
  <c r="H5" i="22" s="1"/>
  <c r="K5" i="22" s="1"/>
  <c r="I6" i="22"/>
  <c r="H6" i="22" s="1"/>
  <c r="K6" i="22" s="1"/>
  <c r="I7" i="22"/>
  <c r="H7" i="22" s="1"/>
  <c r="K7" i="22" s="1"/>
  <c r="I8" i="22"/>
  <c r="H8" i="22" s="1"/>
  <c r="K8" i="22" s="1"/>
  <c r="I9" i="22"/>
  <c r="H9" i="22" s="1"/>
  <c r="K9" i="22" s="1"/>
  <c r="I10" i="22"/>
  <c r="H10" i="22" s="1"/>
  <c r="K10" i="22" s="1"/>
  <c r="I11" i="22"/>
  <c r="H11" i="22" s="1"/>
  <c r="K11" i="22" s="1"/>
  <c r="K3" i="22"/>
  <c r="J5" i="14" l="1"/>
  <c r="I37" i="12"/>
  <c r="G293" i="8" s="1"/>
  <c r="N37" i="12"/>
  <c r="F293" i="8"/>
  <c r="H164" i="8"/>
  <c r="J146" i="4"/>
  <c r="R261" i="4"/>
  <c r="R263" i="4"/>
  <c r="R262" i="4"/>
  <c r="R260" i="4"/>
  <c r="R264" i="4"/>
  <c r="G5" i="12"/>
  <c r="S3" i="22"/>
  <c r="H273" i="22"/>
  <c r="M273" i="4" s="1"/>
  <c r="D26" i="22"/>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55" i="22"/>
  <c r="D56" i="22"/>
  <c r="D57" i="22"/>
  <c r="D58" i="22"/>
  <c r="D59" i="22"/>
  <c r="D60" i="22"/>
  <c r="D61" i="22"/>
  <c r="D62" i="22"/>
  <c r="D63" i="22"/>
  <c r="D64" i="22"/>
  <c r="D65" i="22"/>
  <c r="D66" i="22"/>
  <c r="D67" i="22"/>
  <c r="D68" i="22"/>
  <c r="D119" i="22"/>
  <c r="D120" i="22"/>
  <c r="D121" i="22"/>
  <c r="D122" i="22"/>
  <c r="D123" i="22"/>
  <c r="D124" i="22"/>
  <c r="D125" i="22"/>
  <c r="D126" i="22"/>
  <c r="D127" i="22"/>
  <c r="D128" i="22"/>
  <c r="D129" i="22"/>
  <c r="D130" i="22"/>
  <c r="D131" i="22"/>
  <c r="D132" i="22"/>
  <c r="D133" i="22"/>
  <c r="D134" i="22"/>
  <c r="D135" i="22"/>
  <c r="D136" i="22"/>
  <c r="D137" i="22"/>
  <c r="D138" i="22"/>
  <c r="D139" i="22"/>
  <c r="D140" i="22"/>
  <c r="D141" i="22"/>
  <c r="D142" i="22"/>
  <c r="D143" i="22"/>
  <c r="D144" i="22"/>
  <c r="D145" i="22"/>
  <c r="D148" i="22"/>
  <c r="D149" i="22"/>
  <c r="D150" i="22"/>
  <c r="D151" i="22"/>
  <c r="D152" i="22"/>
  <c r="D153" i="22"/>
  <c r="D154" i="22"/>
  <c r="D155" i="22"/>
  <c r="D156" i="22"/>
  <c r="D157" i="22"/>
  <c r="D158" i="22"/>
  <c r="D159" i="22"/>
  <c r="D160" i="22"/>
  <c r="D161" i="22"/>
  <c r="D162" i="22"/>
  <c r="D163" i="22"/>
  <c r="D164" i="22"/>
  <c r="D165" i="22"/>
  <c r="D166" i="22"/>
  <c r="D167" i="22"/>
  <c r="D168" i="22"/>
  <c r="D169" i="22"/>
  <c r="D170" i="22"/>
  <c r="D171" i="22"/>
  <c r="D172" i="22"/>
  <c r="D173" i="22"/>
  <c r="D174" i="22"/>
  <c r="D175" i="22"/>
  <c r="D176" i="22"/>
  <c r="D177" i="22"/>
  <c r="D178" i="22"/>
  <c r="D179" i="22"/>
  <c r="D180" i="22"/>
  <c r="D181" i="22"/>
  <c r="D182" i="22"/>
  <c r="D183" i="22"/>
  <c r="D184" i="22"/>
  <c r="D185" i="22"/>
  <c r="D186" i="22"/>
  <c r="D187" i="22"/>
  <c r="D188" i="22"/>
  <c r="D189" i="22"/>
  <c r="D190" i="22"/>
  <c r="D191" i="22"/>
  <c r="D192" i="22"/>
  <c r="D193" i="22"/>
  <c r="D194" i="22"/>
  <c r="D195" i="22"/>
  <c r="D196" i="22"/>
  <c r="D197" i="22"/>
  <c r="D198" i="22"/>
  <c r="D199" i="22"/>
  <c r="D200" i="22"/>
  <c r="D201" i="22"/>
  <c r="D202" i="22"/>
  <c r="D203" i="22"/>
  <c r="D204" i="22"/>
  <c r="D205" i="22"/>
  <c r="D206" i="22"/>
  <c r="D207" i="22"/>
  <c r="D208" i="22"/>
  <c r="D209" i="22"/>
  <c r="D210" i="22"/>
  <c r="D211" i="22"/>
  <c r="D212" i="22"/>
  <c r="D213" i="22"/>
  <c r="D214" i="22"/>
  <c r="D215" i="22"/>
  <c r="D216" i="22"/>
  <c r="D217" i="22"/>
  <c r="D218" i="22"/>
  <c r="D219" i="22"/>
  <c r="D220" i="22"/>
  <c r="D221" i="22"/>
  <c r="D222" i="22"/>
  <c r="D223" i="22"/>
  <c r="D224" i="22"/>
  <c r="D225" i="22"/>
  <c r="D226" i="22"/>
  <c r="D227" i="22"/>
  <c r="D228" i="22"/>
  <c r="D229" i="22"/>
  <c r="D230" i="22"/>
  <c r="D231" i="22"/>
  <c r="D232" i="22"/>
  <c r="D233" i="22"/>
  <c r="D234" i="22"/>
  <c r="D235" i="22"/>
  <c r="D236" i="22"/>
  <c r="D237" i="22"/>
  <c r="D238" i="22"/>
  <c r="D239" i="22"/>
  <c r="D240" i="22"/>
  <c r="D241" i="22"/>
  <c r="D242" i="22"/>
  <c r="D243" i="22"/>
  <c r="D244" i="22"/>
  <c r="D245" i="22"/>
  <c r="D246" i="22"/>
  <c r="D247" i="22"/>
  <c r="D248" i="22"/>
  <c r="D249" i="22"/>
  <c r="D250" i="22"/>
  <c r="D256" i="22"/>
  <c r="D257" i="22"/>
  <c r="D258" i="22"/>
  <c r="D259" i="22"/>
  <c r="D260" i="22"/>
  <c r="D261" i="22"/>
  <c r="D262" i="22"/>
  <c r="D263" i="22"/>
  <c r="D265" i="22"/>
  <c r="D266" i="22"/>
  <c r="D267" i="22"/>
  <c r="D268" i="22"/>
  <c r="D269" i="22"/>
  <c r="D270" i="22"/>
  <c r="D271" i="22"/>
  <c r="D272" i="22"/>
  <c r="D273" i="22"/>
  <c r="D274" i="22"/>
  <c r="D275" i="22"/>
  <c r="D276" i="22"/>
  <c r="D277" i="22"/>
  <c r="D278" i="22"/>
  <c r="D279" i="22"/>
  <c r="D280" i="22"/>
  <c r="D281" i="22"/>
  <c r="D282" i="22"/>
  <c r="D4" i="22"/>
  <c r="D5" i="22"/>
  <c r="D6" i="22"/>
  <c r="D7" i="22"/>
  <c r="D8" i="22"/>
  <c r="D9" i="22"/>
  <c r="D10" i="22"/>
  <c r="D11" i="22"/>
  <c r="D12" i="22"/>
  <c r="D13" i="22"/>
  <c r="D14" i="22"/>
  <c r="D15" i="22"/>
  <c r="D16" i="22"/>
  <c r="D17" i="22"/>
  <c r="D18" i="22"/>
  <c r="D19" i="22"/>
  <c r="D20" i="22"/>
  <c r="D21" i="22"/>
  <c r="D22" i="22"/>
  <c r="D23" i="22"/>
  <c r="D24" i="22"/>
  <c r="D25" i="22"/>
  <c r="D3" i="22"/>
  <c r="R27" i="22"/>
  <c r="U28" i="22"/>
  <c r="W28" i="4" s="1"/>
  <c r="U26" i="22"/>
  <c r="W26" i="4" s="1"/>
  <c r="U24" i="22"/>
  <c r="W24" i="4" s="1"/>
  <c r="U23" i="22"/>
  <c r="W23" i="4" s="1"/>
  <c r="U22" i="22"/>
  <c r="W22" i="4" s="1"/>
  <c r="U21" i="22"/>
  <c r="W21" i="4" s="1"/>
  <c r="U20" i="22"/>
  <c r="W20" i="4" s="1"/>
  <c r="U19" i="22"/>
  <c r="W19" i="4" s="1"/>
  <c r="U18" i="22"/>
  <c r="W18" i="4" s="1"/>
  <c r="U17" i="22"/>
  <c r="W17" i="4" s="1"/>
  <c r="U16" i="22"/>
  <c r="W16" i="4" s="1"/>
  <c r="U15" i="22"/>
  <c r="W15" i="4" s="1"/>
  <c r="U13" i="22"/>
  <c r="W13" i="4" s="1"/>
  <c r="U12" i="22"/>
  <c r="W12" i="4" s="1"/>
  <c r="U10" i="22"/>
  <c r="U9" i="22"/>
  <c r="W9" i="4" s="1"/>
  <c r="U7" i="22"/>
  <c r="W7" i="4" s="1"/>
  <c r="U6" i="22"/>
  <c r="U5" i="22"/>
  <c r="W5" i="4" s="1"/>
  <c r="R5" i="22"/>
  <c r="R6" i="22"/>
  <c r="R7" i="22"/>
  <c r="R8" i="22"/>
  <c r="R9" i="22"/>
  <c r="R10" i="22"/>
  <c r="R12" i="22"/>
  <c r="R13" i="22"/>
  <c r="R14" i="22"/>
  <c r="R15" i="22"/>
  <c r="R16" i="22"/>
  <c r="R17" i="22"/>
  <c r="R18" i="22"/>
  <c r="R19" i="22"/>
  <c r="R20" i="22"/>
  <c r="R21" i="22"/>
  <c r="R22" i="22"/>
  <c r="R23" i="22"/>
  <c r="D35" i="14" s="1"/>
  <c r="R24" i="22"/>
  <c r="R26" i="22"/>
  <c r="R28" i="22"/>
  <c r="W6" i="4" l="1"/>
  <c r="W10" i="4"/>
  <c r="I164" i="8"/>
  <c r="M31" i="12"/>
  <c r="J31" i="12" s="1"/>
  <c r="S263" i="4"/>
  <c r="N5" i="4"/>
  <c r="O5" i="4" s="1"/>
  <c r="N8" i="4"/>
  <c r="O8" i="4" s="1"/>
  <c r="N10" i="4"/>
  <c r="O10" i="4" s="1"/>
  <c r="N6" i="4"/>
  <c r="O6" i="4" s="1"/>
  <c r="N9" i="4"/>
  <c r="O9" i="4" s="1"/>
  <c r="N7" i="4"/>
  <c r="O7" i="4" s="1"/>
  <c r="N3" i="4"/>
  <c r="N11" i="4"/>
  <c r="O11" i="4" s="1"/>
  <c r="N4" i="4"/>
  <c r="O4" i="4" s="1"/>
  <c r="S260" i="4"/>
  <c r="D260" i="4"/>
  <c r="D263" i="4"/>
  <c r="S264" i="4"/>
  <c r="D264" i="4"/>
  <c r="S262" i="4"/>
  <c r="D262" i="4"/>
  <c r="S261" i="4"/>
  <c r="D261" i="4"/>
  <c r="E6" i="8"/>
  <c r="Q273" i="4"/>
  <c r="D38" i="14"/>
  <c r="D21" i="14"/>
  <c r="D33" i="14"/>
  <c r="D24" i="14"/>
  <c r="D20" i="14"/>
  <c r="D12" i="14"/>
  <c r="H12" i="14" s="1"/>
  <c r="D34" i="14"/>
  <c r="D13" i="14"/>
  <c r="H13" i="14" s="1"/>
  <c r="D39" i="14"/>
  <c r="D36" i="14"/>
  <c r="D32" i="14"/>
  <c r="D23" i="14"/>
  <c r="D17" i="14"/>
  <c r="D11" i="14"/>
  <c r="D26" i="14"/>
  <c r="D8" i="14"/>
  <c r="D40" i="14"/>
  <c r="D28" i="14"/>
  <c r="D22" i="14"/>
  <c r="D15" i="14"/>
  <c r="H15" i="14" s="1"/>
  <c r="D9" i="14"/>
  <c r="X16" i="22"/>
  <c r="X24" i="22"/>
  <c r="X5" i="22"/>
  <c r="X17" i="22"/>
  <c r="X26" i="22"/>
  <c r="X6" i="22"/>
  <c r="X28" i="22"/>
  <c r="X12" i="22"/>
  <c r="X20" i="22"/>
  <c r="X9" i="22"/>
  <c r="X13" i="22"/>
  <c r="X21" i="22"/>
  <c r="X10" i="22"/>
  <c r="X18" i="22"/>
  <c r="X22" i="22"/>
  <c r="X7" i="22"/>
  <c r="X15" i="22"/>
  <c r="X19" i="22"/>
  <c r="X23" i="22"/>
  <c r="E12" i="22"/>
  <c r="L12" i="4" s="1"/>
  <c r="E13" i="22"/>
  <c r="L13" i="4" s="1"/>
  <c r="E14" i="22"/>
  <c r="L14" i="4" s="1"/>
  <c r="H22" i="14" l="1"/>
  <c r="K31" i="12"/>
  <c r="L31" i="12" s="1"/>
  <c r="F262" i="4"/>
  <c r="E262" i="4"/>
  <c r="F263" i="4"/>
  <c r="E263" i="4"/>
  <c r="R11" i="4"/>
  <c r="R6" i="4"/>
  <c r="E260" i="4"/>
  <c r="F260" i="4"/>
  <c r="O3" i="4"/>
  <c r="R3" i="4"/>
  <c r="R10" i="4"/>
  <c r="F261" i="4"/>
  <c r="E261" i="4"/>
  <c r="E264" i="4"/>
  <c r="F264" i="4"/>
  <c r="R7" i="4"/>
  <c r="R8" i="4"/>
  <c r="R4" i="4"/>
  <c r="R9" i="4"/>
  <c r="R5" i="4"/>
  <c r="H35" i="14"/>
  <c r="I35" i="14" s="1"/>
  <c r="H23" i="14"/>
  <c r="I23" i="14" s="1"/>
  <c r="I13" i="14"/>
  <c r="H24" i="14"/>
  <c r="I24" i="14" s="1"/>
  <c r="H21" i="14"/>
  <c r="I21" i="14" s="1"/>
  <c r="I22" i="14"/>
  <c r="J22" i="14" s="1"/>
  <c r="H36" i="14"/>
  <c r="I36" i="14" s="1"/>
  <c r="I15" i="14"/>
  <c r="J15" i="14" s="1"/>
  <c r="H28" i="14"/>
  <c r="I28" i="14" s="1"/>
  <c r="H40" i="14"/>
  <c r="I40" i="14" s="1"/>
  <c r="H26" i="14"/>
  <c r="I26" i="14" s="1"/>
  <c r="H17" i="14"/>
  <c r="I17" i="14" s="1"/>
  <c r="H32" i="14"/>
  <c r="I32" i="14" s="1"/>
  <c r="H39" i="14"/>
  <c r="I39" i="14" s="1"/>
  <c r="H34" i="14"/>
  <c r="I34" i="14" s="1"/>
  <c r="H20" i="14"/>
  <c r="I20" i="14" s="1"/>
  <c r="H33" i="14"/>
  <c r="I33" i="14" s="1"/>
  <c r="H38" i="14"/>
  <c r="I38" i="14" s="1"/>
  <c r="H9" i="14"/>
  <c r="I9" i="14" s="1"/>
  <c r="H8" i="14"/>
  <c r="I8" i="14" s="1"/>
  <c r="H11" i="14"/>
  <c r="I11" i="14" s="1"/>
  <c r="I12" i="14"/>
  <c r="R4" i="22"/>
  <c r="H41" i="14" l="1"/>
  <c r="S9" i="4"/>
  <c r="S4" i="4"/>
  <c r="S6" i="4"/>
  <c r="D9" i="4"/>
  <c r="E9" i="4" s="1"/>
  <c r="D4" i="4"/>
  <c r="E4" i="4" s="1"/>
  <c r="S10" i="4"/>
  <c r="D10" i="4"/>
  <c r="S5" i="4"/>
  <c r="D5" i="4"/>
  <c r="S8" i="4"/>
  <c r="D8" i="4"/>
  <c r="D6" i="4"/>
  <c r="E6" i="4" s="1"/>
  <c r="S7" i="4"/>
  <c r="D7" i="4"/>
  <c r="S11" i="4"/>
  <c r="D11" i="4"/>
  <c r="S3" i="4"/>
  <c r="D3" i="4"/>
  <c r="E3" i="4" s="1"/>
  <c r="J38" i="14"/>
  <c r="G38" i="12"/>
  <c r="E299" i="8" s="1"/>
  <c r="J40" i="14"/>
  <c r="G40" i="12"/>
  <c r="E311" i="8" s="1"/>
  <c r="J23" i="14"/>
  <c r="N172" i="4" s="1"/>
  <c r="O172" i="4" s="1"/>
  <c r="G23" i="12"/>
  <c r="E193" i="8" s="1"/>
  <c r="J11" i="14"/>
  <c r="G11" i="12"/>
  <c r="E37" i="8" s="1"/>
  <c r="J32" i="14"/>
  <c r="G32" i="12"/>
  <c r="E233" i="8" s="1"/>
  <c r="J21" i="14"/>
  <c r="G21" i="12"/>
  <c r="E169" i="8" s="1"/>
  <c r="J8" i="14"/>
  <c r="G8" i="12"/>
  <c r="J20" i="14"/>
  <c r="G20" i="12"/>
  <c r="J17" i="14"/>
  <c r="G17" i="12"/>
  <c r="E139" i="8" s="1"/>
  <c r="G15" i="12"/>
  <c r="E82" i="8" s="1"/>
  <c r="J24" i="14"/>
  <c r="G24" i="12"/>
  <c r="J12" i="14"/>
  <c r="G12" i="12"/>
  <c r="E52" i="8" s="1"/>
  <c r="J39" i="14"/>
  <c r="G39" i="12"/>
  <c r="E308" i="8" s="1"/>
  <c r="G22" i="12"/>
  <c r="E190" i="8" s="1"/>
  <c r="J33" i="14"/>
  <c r="G33" i="12"/>
  <c r="E246" i="8" s="1"/>
  <c r="J28" i="14"/>
  <c r="G28" i="12"/>
  <c r="J35" i="14"/>
  <c r="G35" i="12"/>
  <c r="E282" i="8" s="1"/>
  <c r="J9" i="14"/>
  <c r="G9" i="12"/>
  <c r="J34" i="14"/>
  <c r="G34" i="12"/>
  <c r="E265" i="8" s="1"/>
  <c r="J26" i="14"/>
  <c r="G26" i="12"/>
  <c r="E217" i="8" s="1"/>
  <c r="J36" i="14"/>
  <c r="G36" i="12"/>
  <c r="E288" i="8" s="1"/>
  <c r="J13" i="14"/>
  <c r="G13" i="12"/>
  <c r="D7" i="14"/>
  <c r="Z28" i="22"/>
  <c r="Z26" i="22"/>
  <c r="Z24" i="22"/>
  <c r="Z23" i="22"/>
  <c r="Z22" i="22"/>
  <c r="Z21" i="22"/>
  <c r="Z20" i="22"/>
  <c r="Z19" i="22"/>
  <c r="Z18" i="22"/>
  <c r="Z17" i="22"/>
  <c r="Z16" i="22"/>
  <c r="Z15" i="22"/>
  <c r="Z13" i="22"/>
  <c r="Z12" i="22"/>
  <c r="Z9" i="22"/>
  <c r="Z7" i="22"/>
  <c r="Z6" i="22"/>
  <c r="Z5" i="22"/>
  <c r="I282" i="22"/>
  <c r="I281" i="22"/>
  <c r="I280" i="22"/>
  <c r="I279" i="22"/>
  <c r="I278" i="22"/>
  <c r="I277" i="22"/>
  <c r="I276" i="22"/>
  <c r="I275" i="22"/>
  <c r="H274" i="22"/>
  <c r="M274" i="4" s="1"/>
  <c r="I273" i="22"/>
  <c r="I272" i="22"/>
  <c r="I271" i="22"/>
  <c r="I270" i="22"/>
  <c r="I269" i="22"/>
  <c r="I268" i="22"/>
  <c r="I267" i="22"/>
  <c r="I266" i="22"/>
  <c r="I265" i="22"/>
  <c r="H263" i="22"/>
  <c r="M263" i="4" s="1"/>
  <c r="H262" i="22"/>
  <c r="M262" i="4" s="1"/>
  <c r="H261" i="22"/>
  <c r="M261" i="4" s="1"/>
  <c r="H260" i="22"/>
  <c r="M260" i="4" s="1"/>
  <c r="I259" i="22"/>
  <c r="I258" i="22"/>
  <c r="I257" i="22"/>
  <c r="I256" i="22"/>
  <c r="I250" i="22"/>
  <c r="I249" i="22"/>
  <c r="I248" i="22"/>
  <c r="I247" i="22"/>
  <c r="I246" i="22"/>
  <c r="I245" i="22"/>
  <c r="I244" i="22"/>
  <c r="I243" i="22"/>
  <c r="I242" i="22"/>
  <c r="I241" i="22"/>
  <c r="I240" i="22"/>
  <c r="I239" i="22"/>
  <c r="I238" i="22"/>
  <c r="I237" i="22"/>
  <c r="I236" i="22"/>
  <c r="I235" i="22"/>
  <c r="I234" i="22"/>
  <c r="I233" i="22"/>
  <c r="I232" i="22"/>
  <c r="I231" i="22"/>
  <c r="I230" i="22"/>
  <c r="I229" i="22"/>
  <c r="I228" i="22"/>
  <c r="I227" i="22"/>
  <c r="I226" i="22"/>
  <c r="I225" i="22"/>
  <c r="I224" i="22"/>
  <c r="I223" i="22"/>
  <c r="I222" i="22"/>
  <c r="I221" i="22"/>
  <c r="I220" i="22"/>
  <c r="I219" i="22"/>
  <c r="I218" i="22"/>
  <c r="I217" i="22"/>
  <c r="I216" i="22"/>
  <c r="I215" i="22"/>
  <c r="I214" i="22"/>
  <c r="I213" i="22"/>
  <c r="I212" i="22"/>
  <c r="I211" i="22"/>
  <c r="I210" i="22"/>
  <c r="I209" i="22"/>
  <c r="I208" i="22"/>
  <c r="I207" i="22"/>
  <c r="I206" i="22"/>
  <c r="I205" i="22"/>
  <c r="I204" i="22"/>
  <c r="S19" i="22"/>
  <c r="I203" i="22"/>
  <c r="I202" i="22"/>
  <c r="I201" i="22"/>
  <c r="I200" i="22"/>
  <c r="I199" i="22"/>
  <c r="I198" i="22"/>
  <c r="I197" i="22"/>
  <c r="I196" i="22"/>
  <c r="I195" i="22"/>
  <c r="I194" i="22"/>
  <c r="I172" i="22"/>
  <c r="I171" i="22"/>
  <c r="I170" i="22"/>
  <c r="M150" i="4"/>
  <c r="H57" i="22"/>
  <c r="H56" i="22"/>
  <c r="H55" i="22"/>
  <c r="H54" i="22"/>
  <c r="H53" i="22"/>
  <c r="H52" i="22"/>
  <c r="H51" i="22"/>
  <c r="H50" i="22"/>
  <c r="H49" i="22"/>
  <c r="H48" i="22"/>
  <c r="H47" i="22"/>
  <c r="H46" i="22"/>
  <c r="H45" i="22"/>
  <c r="H44" i="22"/>
  <c r="H43" i="22"/>
  <c r="H42" i="22"/>
  <c r="I41" i="22"/>
  <c r="I40" i="22"/>
  <c r="I39" i="22"/>
  <c r="I38" i="22"/>
  <c r="I37" i="22"/>
  <c r="I36" i="22"/>
  <c r="I35" i="22"/>
  <c r="I34" i="22"/>
  <c r="I33" i="22"/>
  <c r="I32" i="22"/>
  <c r="I31" i="22"/>
  <c r="I30" i="22"/>
  <c r="I29" i="22"/>
  <c r="I28" i="22"/>
  <c r="I27" i="22"/>
  <c r="I26" i="22"/>
  <c r="I25" i="22"/>
  <c r="I24" i="22"/>
  <c r="I23" i="22"/>
  <c r="I22" i="22"/>
  <c r="I21" i="22"/>
  <c r="I20" i="22"/>
  <c r="F20" i="22"/>
  <c r="I19" i="22"/>
  <c r="F19" i="22"/>
  <c r="I18" i="22"/>
  <c r="F18" i="22"/>
  <c r="I17" i="22"/>
  <c r="F17" i="22"/>
  <c r="I16" i="22"/>
  <c r="F16" i="22"/>
  <c r="I15" i="22"/>
  <c r="F15" i="22"/>
  <c r="H14" i="22"/>
  <c r="M14" i="4" s="1"/>
  <c r="H13" i="22"/>
  <c r="M13" i="4" s="1"/>
  <c r="H12" i="22"/>
  <c r="M12" i="4" s="1"/>
  <c r="M11" i="4"/>
  <c r="M10" i="4"/>
  <c r="M9" i="4"/>
  <c r="M8" i="4"/>
  <c r="M7" i="4"/>
  <c r="M6" i="4"/>
  <c r="M5" i="4"/>
  <c r="M4" i="4"/>
  <c r="M3" i="4"/>
  <c r="E28" i="8" l="1"/>
  <c r="H20" i="12"/>
  <c r="F166" i="8" s="1"/>
  <c r="M43" i="4"/>
  <c r="Q43" i="4" s="1"/>
  <c r="I43" i="22"/>
  <c r="M51" i="4"/>
  <c r="Q51" i="4" s="1"/>
  <c r="I51" i="22"/>
  <c r="M55" i="4"/>
  <c r="Q55" i="4" s="1"/>
  <c r="I55" i="22"/>
  <c r="M44" i="4"/>
  <c r="Q44" i="4" s="1"/>
  <c r="I44" i="22"/>
  <c r="M48" i="4"/>
  <c r="Q48" i="4" s="1"/>
  <c r="I48" i="22"/>
  <c r="M52" i="4"/>
  <c r="Q52" i="4" s="1"/>
  <c r="I52" i="22"/>
  <c r="M56" i="4"/>
  <c r="Q56" i="4" s="1"/>
  <c r="I56" i="22"/>
  <c r="M47" i="4"/>
  <c r="Q47" i="4" s="1"/>
  <c r="I47" i="22"/>
  <c r="M53" i="4"/>
  <c r="Q53" i="4" s="1"/>
  <c r="I53" i="22"/>
  <c r="M45" i="4"/>
  <c r="Q45" i="4" s="1"/>
  <c r="I45" i="22"/>
  <c r="M49" i="4"/>
  <c r="Q49" i="4" s="1"/>
  <c r="I49" i="22"/>
  <c r="M57" i="4"/>
  <c r="Q57" i="4" s="1"/>
  <c r="I57" i="22"/>
  <c r="M42" i="4"/>
  <c r="Q42" i="4" s="1"/>
  <c r="I42" i="22"/>
  <c r="M46" i="4"/>
  <c r="Q46" i="4" s="1"/>
  <c r="I46" i="22"/>
  <c r="M50" i="4"/>
  <c r="Q50" i="4" s="1"/>
  <c r="I50" i="22"/>
  <c r="M54" i="4"/>
  <c r="Q54" i="4" s="1"/>
  <c r="I54" i="22"/>
  <c r="I24" i="12"/>
  <c r="G194" i="8" s="1"/>
  <c r="N24" i="12"/>
  <c r="N13" i="12"/>
  <c r="I13" i="12"/>
  <c r="N20" i="12"/>
  <c r="N6" i="12" s="1"/>
  <c r="F4" i="4"/>
  <c r="E21" i="8"/>
  <c r="Q3" i="4"/>
  <c r="G3" i="4" s="1"/>
  <c r="F3" i="4"/>
  <c r="F9" i="4"/>
  <c r="N58" i="4"/>
  <c r="O58" i="4" s="1"/>
  <c r="N60" i="4"/>
  <c r="O60" i="4" s="1"/>
  <c r="N62" i="4"/>
  <c r="O62" i="4" s="1"/>
  <c r="N64" i="4"/>
  <c r="O64" i="4" s="1"/>
  <c r="N66" i="4"/>
  <c r="O66" i="4" s="1"/>
  <c r="N68" i="4"/>
  <c r="O68" i="4" s="1"/>
  <c r="N59" i="4"/>
  <c r="O59" i="4" s="1"/>
  <c r="N61" i="4"/>
  <c r="O61" i="4" s="1"/>
  <c r="N63" i="4"/>
  <c r="O63" i="4" s="1"/>
  <c r="N65" i="4"/>
  <c r="O65" i="4" s="1"/>
  <c r="N67" i="4"/>
  <c r="O67" i="4" s="1"/>
  <c r="N194" i="4"/>
  <c r="O194" i="4" s="1"/>
  <c r="N196" i="4"/>
  <c r="O196" i="4" s="1"/>
  <c r="N198" i="4"/>
  <c r="O198" i="4" s="1"/>
  <c r="N200" i="4"/>
  <c r="O200" i="4" s="1"/>
  <c r="N202" i="4"/>
  <c r="O202" i="4" s="1"/>
  <c r="N195" i="4"/>
  <c r="O195" i="4" s="1"/>
  <c r="N197" i="4"/>
  <c r="O197" i="4" s="1"/>
  <c r="N199" i="4"/>
  <c r="O199" i="4" s="1"/>
  <c r="N201" i="4"/>
  <c r="O201" i="4" s="1"/>
  <c r="N203" i="4"/>
  <c r="O203" i="4" s="1"/>
  <c r="N23" i="4"/>
  <c r="O23" i="4" s="1"/>
  <c r="N27" i="4"/>
  <c r="O27" i="4" s="1"/>
  <c r="N24" i="4"/>
  <c r="O24" i="4" s="1"/>
  <c r="N21" i="4"/>
  <c r="O21" i="4" s="1"/>
  <c r="N25" i="4"/>
  <c r="O25" i="4" s="1"/>
  <c r="N26" i="4"/>
  <c r="O26" i="4" s="1"/>
  <c r="N22" i="4"/>
  <c r="O22" i="4" s="1"/>
  <c r="N204" i="4"/>
  <c r="O204" i="4" s="1"/>
  <c r="N170" i="4"/>
  <c r="N171" i="4"/>
  <c r="O171" i="4" s="1"/>
  <c r="N43" i="4"/>
  <c r="O43" i="4" s="1"/>
  <c r="N47" i="4"/>
  <c r="O47" i="4" s="1"/>
  <c r="N50" i="4"/>
  <c r="O50" i="4" s="1"/>
  <c r="N54" i="4"/>
  <c r="O54" i="4" s="1"/>
  <c r="N44" i="4"/>
  <c r="O44" i="4" s="1"/>
  <c r="N51" i="4"/>
  <c r="O51" i="4" s="1"/>
  <c r="N55" i="4"/>
  <c r="O55" i="4" s="1"/>
  <c r="N45" i="4"/>
  <c r="O45" i="4" s="1"/>
  <c r="N48" i="4"/>
  <c r="O48" i="4" s="1"/>
  <c r="N52" i="4"/>
  <c r="O52" i="4" s="1"/>
  <c r="N56" i="4"/>
  <c r="O56" i="4" s="1"/>
  <c r="N42" i="4"/>
  <c r="O42" i="4" s="1"/>
  <c r="N53" i="4"/>
  <c r="O53" i="4" s="1"/>
  <c r="N46" i="4"/>
  <c r="O46" i="4" s="1"/>
  <c r="N57" i="4"/>
  <c r="O57" i="4" s="1"/>
  <c r="N49" i="4"/>
  <c r="O49" i="4" s="1"/>
  <c r="N70" i="4"/>
  <c r="O70" i="4" s="1"/>
  <c r="N77" i="4"/>
  <c r="O77" i="4" s="1"/>
  <c r="N80" i="4"/>
  <c r="O80" i="4" s="1"/>
  <c r="N83" i="4"/>
  <c r="O83" i="4" s="1"/>
  <c r="N86" i="4"/>
  <c r="O86" i="4" s="1"/>
  <c r="N93" i="4"/>
  <c r="O93" i="4" s="1"/>
  <c r="N96" i="4"/>
  <c r="O96" i="4" s="1"/>
  <c r="N99" i="4"/>
  <c r="N102" i="4"/>
  <c r="O102" i="4" s="1"/>
  <c r="N109" i="4"/>
  <c r="O109" i="4" s="1"/>
  <c r="N112" i="4"/>
  <c r="O112" i="4" s="1"/>
  <c r="N115" i="4"/>
  <c r="O115" i="4" s="1"/>
  <c r="N118" i="4"/>
  <c r="O118" i="4" s="1"/>
  <c r="N71" i="4"/>
  <c r="O71" i="4" s="1"/>
  <c r="N74" i="4"/>
  <c r="O74" i="4" s="1"/>
  <c r="N81" i="4"/>
  <c r="O81" i="4" s="1"/>
  <c r="N84" i="4"/>
  <c r="O84" i="4" s="1"/>
  <c r="N87" i="4"/>
  <c r="O87" i="4" s="1"/>
  <c r="N90" i="4"/>
  <c r="O90" i="4" s="1"/>
  <c r="N97" i="4"/>
  <c r="O97" i="4" s="1"/>
  <c r="N100" i="4"/>
  <c r="O100" i="4" s="1"/>
  <c r="N103" i="4"/>
  <c r="O103" i="4" s="1"/>
  <c r="N106" i="4"/>
  <c r="O106" i="4" s="1"/>
  <c r="N113" i="4"/>
  <c r="O113" i="4" s="1"/>
  <c r="N116" i="4"/>
  <c r="O116" i="4" s="1"/>
  <c r="N69" i="4"/>
  <c r="R69" i="4" s="1"/>
  <c r="D69" i="4" s="1"/>
  <c r="N72" i="4"/>
  <c r="O72" i="4" s="1"/>
  <c r="N75" i="4"/>
  <c r="O75" i="4" s="1"/>
  <c r="N78" i="4"/>
  <c r="O78" i="4" s="1"/>
  <c r="N85" i="4"/>
  <c r="O85" i="4" s="1"/>
  <c r="N88" i="4"/>
  <c r="O88" i="4" s="1"/>
  <c r="N91" i="4"/>
  <c r="O91" i="4" s="1"/>
  <c r="N94" i="4"/>
  <c r="O94" i="4" s="1"/>
  <c r="N101" i="4"/>
  <c r="O101" i="4" s="1"/>
  <c r="N104" i="4"/>
  <c r="O104" i="4" s="1"/>
  <c r="N107" i="4"/>
  <c r="O107" i="4" s="1"/>
  <c r="N110" i="4"/>
  <c r="O110" i="4" s="1"/>
  <c r="N117" i="4"/>
  <c r="O117" i="4" s="1"/>
  <c r="N76" i="4"/>
  <c r="O76" i="4" s="1"/>
  <c r="N82" i="4"/>
  <c r="O82" i="4" s="1"/>
  <c r="N92" i="4"/>
  <c r="O92" i="4" s="1"/>
  <c r="N98" i="4"/>
  <c r="O98" i="4" s="1"/>
  <c r="N108" i="4"/>
  <c r="O108" i="4" s="1"/>
  <c r="N114" i="4"/>
  <c r="O114" i="4" s="1"/>
  <c r="N73" i="4"/>
  <c r="O73" i="4" s="1"/>
  <c r="N79" i="4"/>
  <c r="O79" i="4" s="1"/>
  <c r="N89" i="4"/>
  <c r="O89" i="4" s="1"/>
  <c r="N95" i="4"/>
  <c r="O95" i="4" s="1"/>
  <c r="N105" i="4"/>
  <c r="O105" i="4" s="1"/>
  <c r="N111" i="4"/>
  <c r="O111" i="4" s="1"/>
  <c r="N148" i="4"/>
  <c r="O148" i="4" s="1"/>
  <c r="N149" i="4"/>
  <c r="O149" i="4" s="1"/>
  <c r="N150" i="4"/>
  <c r="O150" i="4" s="1"/>
  <c r="N153" i="4"/>
  <c r="O153" i="4" s="1"/>
  <c r="N156" i="4"/>
  <c r="O156" i="4" s="1"/>
  <c r="N159" i="4"/>
  <c r="O159" i="4" s="1"/>
  <c r="N166" i="4"/>
  <c r="O166" i="4" s="1"/>
  <c r="N169" i="4"/>
  <c r="O169" i="4" s="1"/>
  <c r="N154" i="4"/>
  <c r="O154" i="4" s="1"/>
  <c r="N157" i="4"/>
  <c r="O157" i="4" s="1"/>
  <c r="N160" i="4"/>
  <c r="O160" i="4" s="1"/>
  <c r="N163" i="4"/>
  <c r="O163" i="4" s="1"/>
  <c r="N151" i="4"/>
  <c r="O151" i="4" s="1"/>
  <c r="N158" i="4"/>
  <c r="O158" i="4" s="1"/>
  <c r="N161" i="4"/>
  <c r="O161" i="4" s="1"/>
  <c r="N164" i="4"/>
  <c r="O164" i="4" s="1"/>
  <c r="N167" i="4"/>
  <c r="O167" i="4" s="1"/>
  <c r="N165" i="4"/>
  <c r="O165" i="4" s="1"/>
  <c r="N152" i="4"/>
  <c r="O152" i="4" s="1"/>
  <c r="N162" i="4"/>
  <c r="O162" i="4" s="1"/>
  <c r="N168" i="4"/>
  <c r="O168" i="4" s="1"/>
  <c r="N155" i="4"/>
  <c r="O155" i="4" s="1"/>
  <c r="N29" i="4"/>
  <c r="O29" i="4" s="1"/>
  <c r="N32" i="4"/>
  <c r="O32" i="4" s="1"/>
  <c r="N35" i="4"/>
  <c r="O35" i="4" s="1"/>
  <c r="N31" i="4"/>
  <c r="O31" i="4" s="1"/>
  <c r="N34" i="4"/>
  <c r="O34" i="4" s="1"/>
  <c r="N37" i="4"/>
  <c r="O37" i="4" s="1"/>
  <c r="N40" i="4"/>
  <c r="O40" i="4" s="1"/>
  <c r="N28" i="4"/>
  <c r="O28" i="4" s="1"/>
  <c r="N38" i="4"/>
  <c r="O38" i="4" s="1"/>
  <c r="N36" i="4"/>
  <c r="O36" i="4" s="1"/>
  <c r="N39" i="4"/>
  <c r="O39" i="4" s="1"/>
  <c r="N41" i="4"/>
  <c r="O41" i="4" s="1"/>
  <c r="N30" i="4"/>
  <c r="O30" i="4" s="1"/>
  <c r="N33" i="4"/>
  <c r="O33" i="4" s="1"/>
  <c r="N276" i="4"/>
  <c r="O276" i="4" s="1"/>
  <c r="N280" i="4"/>
  <c r="O280" i="4" s="1"/>
  <c r="N279" i="4"/>
  <c r="O279" i="4" s="1"/>
  <c r="N277" i="4"/>
  <c r="O277" i="4" s="1"/>
  <c r="N281" i="4"/>
  <c r="O281" i="4" s="1"/>
  <c r="N275" i="4"/>
  <c r="O275" i="4" s="1"/>
  <c r="N278" i="4"/>
  <c r="O278" i="4" s="1"/>
  <c r="N282" i="4"/>
  <c r="O282" i="4" s="1"/>
  <c r="E11" i="4"/>
  <c r="F11" i="4"/>
  <c r="E194" i="8"/>
  <c r="F6" i="4"/>
  <c r="F8" i="4"/>
  <c r="E8" i="4"/>
  <c r="F10" i="4"/>
  <c r="E10" i="4"/>
  <c r="F7" i="4"/>
  <c r="E7" i="4"/>
  <c r="N257" i="4"/>
  <c r="O257" i="4" s="1"/>
  <c r="N258" i="4"/>
  <c r="O258" i="4" s="1"/>
  <c r="N259" i="4"/>
  <c r="O259" i="4" s="1"/>
  <c r="N256" i="4"/>
  <c r="O256" i="4" s="1"/>
  <c r="N239" i="4"/>
  <c r="O239" i="4" s="1"/>
  <c r="N243" i="4"/>
  <c r="O243" i="4" s="1"/>
  <c r="N246" i="4"/>
  <c r="O246" i="4" s="1"/>
  <c r="N250" i="4"/>
  <c r="O250" i="4" s="1"/>
  <c r="N236" i="4"/>
  <c r="O236" i="4" s="1"/>
  <c r="N240" i="4"/>
  <c r="O240" i="4" s="1"/>
  <c r="N247" i="4"/>
  <c r="O247" i="4" s="1"/>
  <c r="N237" i="4"/>
  <c r="O237" i="4" s="1"/>
  <c r="N241" i="4"/>
  <c r="O241" i="4" s="1"/>
  <c r="N244" i="4"/>
  <c r="O244" i="4" s="1"/>
  <c r="N248" i="4"/>
  <c r="O248" i="4" s="1"/>
  <c r="N238" i="4"/>
  <c r="O238" i="4" s="1"/>
  <c r="N249" i="4"/>
  <c r="O249" i="4" s="1"/>
  <c r="N242" i="4"/>
  <c r="O242" i="4" s="1"/>
  <c r="N245" i="4"/>
  <c r="O245" i="4" s="1"/>
  <c r="N235" i="4"/>
  <c r="O235" i="4" s="1"/>
  <c r="N251" i="4"/>
  <c r="O251" i="4" s="1"/>
  <c r="N253" i="4"/>
  <c r="O253" i="4" s="1"/>
  <c r="N254" i="4"/>
  <c r="O254" i="4" s="1"/>
  <c r="N252" i="4"/>
  <c r="O252" i="4" s="1"/>
  <c r="N255" i="4"/>
  <c r="O255" i="4" s="1"/>
  <c r="N218" i="4"/>
  <c r="O218" i="4" s="1"/>
  <c r="N220" i="4"/>
  <c r="O220" i="4" s="1"/>
  <c r="N222" i="4"/>
  <c r="O222" i="4" s="1"/>
  <c r="N224" i="4"/>
  <c r="O224" i="4" s="1"/>
  <c r="N226" i="4"/>
  <c r="O226" i="4" s="1"/>
  <c r="N228" i="4"/>
  <c r="O228" i="4" s="1"/>
  <c r="N230" i="4"/>
  <c r="O230" i="4" s="1"/>
  <c r="N232" i="4"/>
  <c r="O232" i="4" s="1"/>
  <c r="N234" i="4"/>
  <c r="O234" i="4" s="1"/>
  <c r="N223" i="4"/>
  <c r="O223" i="4" s="1"/>
  <c r="N231" i="4"/>
  <c r="O231" i="4" s="1"/>
  <c r="N233" i="4"/>
  <c r="O233" i="4" s="1"/>
  <c r="N221" i="4"/>
  <c r="O221" i="4" s="1"/>
  <c r="N229" i="4"/>
  <c r="O229" i="4" s="1"/>
  <c r="N225" i="4"/>
  <c r="O225" i="4" s="1"/>
  <c r="N219" i="4"/>
  <c r="O219" i="4" s="1"/>
  <c r="N227" i="4"/>
  <c r="O227" i="4" s="1"/>
  <c r="N217" i="4"/>
  <c r="O217" i="4" s="1"/>
  <c r="N274" i="4"/>
  <c r="R274" i="4" s="1"/>
  <c r="D274" i="4" s="1"/>
  <c r="N273" i="4"/>
  <c r="O273" i="4" s="1"/>
  <c r="N175" i="4"/>
  <c r="O175" i="4" s="1"/>
  <c r="N179" i="4"/>
  <c r="O179" i="4" s="1"/>
  <c r="N183" i="4"/>
  <c r="O183" i="4" s="1"/>
  <c r="N186" i="4"/>
  <c r="O186" i="4" s="1"/>
  <c r="N190" i="4"/>
  <c r="O190" i="4" s="1"/>
  <c r="N176" i="4"/>
  <c r="O176" i="4" s="1"/>
  <c r="N180" i="4"/>
  <c r="O180" i="4" s="1"/>
  <c r="N187" i="4"/>
  <c r="O187" i="4" s="1"/>
  <c r="N191" i="4"/>
  <c r="O191" i="4" s="1"/>
  <c r="N173" i="4"/>
  <c r="O173" i="4" s="1"/>
  <c r="N177" i="4"/>
  <c r="O177" i="4" s="1"/>
  <c r="N181" i="4"/>
  <c r="O181" i="4" s="1"/>
  <c r="N184" i="4"/>
  <c r="O184" i="4" s="1"/>
  <c r="N188" i="4"/>
  <c r="O188" i="4" s="1"/>
  <c r="N192" i="4"/>
  <c r="O192" i="4" s="1"/>
  <c r="N174" i="4"/>
  <c r="O174" i="4" s="1"/>
  <c r="N185" i="4"/>
  <c r="O185" i="4" s="1"/>
  <c r="N178" i="4"/>
  <c r="O178" i="4" s="1"/>
  <c r="N189" i="4"/>
  <c r="O189" i="4" s="1"/>
  <c r="N182" i="4"/>
  <c r="O182" i="4" s="1"/>
  <c r="N193" i="4"/>
  <c r="O193" i="4" s="1"/>
  <c r="N127" i="4"/>
  <c r="O127" i="4" s="1"/>
  <c r="N131" i="4"/>
  <c r="O131" i="4" s="1"/>
  <c r="N134" i="4"/>
  <c r="O134" i="4" s="1"/>
  <c r="N138" i="4"/>
  <c r="O138" i="4" s="1"/>
  <c r="N142" i="4"/>
  <c r="O142" i="4" s="1"/>
  <c r="N124" i="4"/>
  <c r="O124" i="4" s="1"/>
  <c r="N128" i="4"/>
  <c r="O128" i="4" s="1"/>
  <c r="N135" i="4"/>
  <c r="O135" i="4" s="1"/>
  <c r="N139" i="4"/>
  <c r="O139" i="4" s="1"/>
  <c r="N143" i="4"/>
  <c r="O143" i="4" s="1"/>
  <c r="N125" i="4"/>
  <c r="O125" i="4" s="1"/>
  <c r="N129" i="4"/>
  <c r="O129" i="4" s="1"/>
  <c r="N132" i="4"/>
  <c r="O132" i="4" s="1"/>
  <c r="N136" i="4"/>
  <c r="O136" i="4" s="1"/>
  <c r="N140" i="4"/>
  <c r="O140" i="4" s="1"/>
  <c r="N144" i="4"/>
  <c r="O144" i="4" s="1"/>
  <c r="N130" i="4"/>
  <c r="O130" i="4" s="1"/>
  <c r="N141" i="4"/>
  <c r="O141" i="4" s="1"/>
  <c r="N126" i="4"/>
  <c r="O126" i="4" s="1"/>
  <c r="N145" i="4"/>
  <c r="O145" i="4" s="1"/>
  <c r="N137" i="4"/>
  <c r="O137" i="4" s="1"/>
  <c r="N133" i="4"/>
  <c r="O133" i="4" s="1"/>
  <c r="N16" i="4"/>
  <c r="O16" i="4" s="1"/>
  <c r="N17" i="4"/>
  <c r="O17" i="4" s="1"/>
  <c r="N20" i="4"/>
  <c r="O20" i="4" s="1"/>
  <c r="N19" i="4"/>
  <c r="O19" i="4" s="1"/>
  <c r="N15" i="4"/>
  <c r="O15" i="4" s="1"/>
  <c r="N18" i="4"/>
  <c r="O18" i="4" s="1"/>
  <c r="N210" i="4"/>
  <c r="O210" i="4" s="1"/>
  <c r="N205" i="4"/>
  <c r="O205" i="4" s="1"/>
  <c r="N208" i="4"/>
  <c r="O208" i="4" s="1"/>
  <c r="N211" i="4"/>
  <c r="O211" i="4" s="1"/>
  <c r="N213" i="4"/>
  <c r="O213" i="4" s="1"/>
  <c r="N216" i="4"/>
  <c r="O216" i="4" s="1"/>
  <c r="N206" i="4"/>
  <c r="O206" i="4" s="1"/>
  <c r="N214" i="4"/>
  <c r="O214" i="4" s="1"/>
  <c r="N209" i="4"/>
  <c r="O209" i="4" s="1"/>
  <c r="N215" i="4"/>
  <c r="O215" i="4" s="1"/>
  <c r="N207" i="4"/>
  <c r="O207" i="4" s="1"/>
  <c r="N212" i="4"/>
  <c r="O212" i="4" s="1"/>
  <c r="R172" i="4"/>
  <c r="D172" i="4" s="1"/>
  <c r="N267" i="4"/>
  <c r="O267" i="4" s="1"/>
  <c r="N269" i="4"/>
  <c r="O269" i="4" s="1"/>
  <c r="N272" i="4"/>
  <c r="O272" i="4" s="1"/>
  <c r="N268" i="4"/>
  <c r="O268" i="4" s="1"/>
  <c r="N265" i="4"/>
  <c r="O265" i="4" s="1"/>
  <c r="N266" i="4"/>
  <c r="O266" i="4" s="1"/>
  <c r="N270" i="4"/>
  <c r="O270" i="4" s="1"/>
  <c r="N271" i="4"/>
  <c r="O271" i="4" s="1"/>
  <c r="E166" i="8"/>
  <c r="E5" i="4"/>
  <c r="F5" i="4"/>
  <c r="Q4" i="4"/>
  <c r="G4" i="4" s="1"/>
  <c r="Q8" i="4"/>
  <c r="G8" i="4" s="1"/>
  <c r="Q150" i="4"/>
  <c r="Q13" i="4"/>
  <c r="Q10" i="4"/>
  <c r="G10" i="4" s="1"/>
  <c r="Q7" i="4"/>
  <c r="G7" i="4" s="1"/>
  <c r="Q9" i="4"/>
  <c r="G9" i="4" s="1"/>
  <c r="Q11" i="4"/>
  <c r="G11" i="4" s="1"/>
  <c r="Q14" i="4"/>
  <c r="Q6" i="4"/>
  <c r="G6" i="4" s="1"/>
  <c r="Q12" i="4"/>
  <c r="Q5" i="4"/>
  <c r="G5" i="4" s="1"/>
  <c r="Q274" i="4"/>
  <c r="M151" i="4"/>
  <c r="M155" i="4"/>
  <c r="M159" i="4"/>
  <c r="M163" i="4"/>
  <c r="M167" i="4"/>
  <c r="V5" i="22"/>
  <c r="M152" i="4"/>
  <c r="M156" i="4"/>
  <c r="M160" i="4"/>
  <c r="M164" i="4"/>
  <c r="M168" i="4"/>
  <c r="V16" i="22"/>
  <c r="V19" i="22"/>
  <c r="V24" i="22"/>
  <c r="V26" i="22"/>
  <c r="M154" i="4"/>
  <c r="M158" i="4"/>
  <c r="M162" i="4"/>
  <c r="M166" i="4"/>
  <c r="W3" i="22"/>
  <c r="S5" i="22"/>
  <c r="V6" i="22"/>
  <c r="M153" i="4"/>
  <c r="M157" i="4"/>
  <c r="M161" i="4"/>
  <c r="M165" i="4"/>
  <c r="M169" i="4"/>
  <c r="V28" i="22"/>
  <c r="H7" i="14"/>
  <c r="I7" i="14" s="1"/>
  <c r="V10" i="22"/>
  <c r="V18" i="22"/>
  <c r="V20" i="22"/>
  <c r="V21" i="22"/>
  <c r="V15" i="22"/>
  <c r="W8" i="22"/>
  <c r="U3" i="22"/>
  <c r="V7" i="22"/>
  <c r="V22" i="22"/>
  <c r="V23" i="22"/>
  <c r="I274" i="22"/>
  <c r="U27" i="22"/>
  <c r="U14" i="22"/>
  <c r="U8" i="22"/>
  <c r="U11" i="22"/>
  <c r="W11" i="4" s="1"/>
  <c r="R11" i="22"/>
  <c r="U4" i="22"/>
  <c r="W4" i="4" s="1"/>
  <c r="J5" i="12" l="1"/>
  <c r="M5" i="12" s="1"/>
  <c r="O170" i="4"/>
  <c r="R170" i="4"/>
  <c r="D170" i="4" s="1"/>
  <c r="F170" i="4" s="1"/>
  <c r="O69" i="4"/>
  <c r="S69" i="4" s="1"/>
  <c r="G69" i="4" s="1"/>
  <c r="O274" i="4"/>
  <c r="S274" i="4" s="1"/>
  <c r="G274" i="4" s="1"/>
  <c r="J274" i="4" s="1"/>
  <c r="O99" i="4"/>
  <c r="R99" i="4"/>
  <c r="D99" i="4" s="1"/>
  <c r="I20" i="12"/>
  <c r="G166" i="8" s="1"/>
  <c r="K6" i="12"/>
  <c r="L6" i="12" s="1"/>
  <c r="H6" i="12"/>
  <c r="I6" i="12" s="1"/>
  <c r="H5" i="12"/>
  <c r="I5" i="12"/>
  <c r="R270" i="4"/>
  <c r="D270" i="4" s="1"/>
  <c r="F270" i="4" s="1"/>
  <c r="R209" i="4"/>
  <c r="D209" i="4" s="1"/>
  <c r="E209" i="4" s="1"/>
  <c r="R130" i="4"/>
  <c r="R142" i="4"/>
  <c r="R188" i="4"/>
  <c r="R217" i="4"/>
  <c r="D217" i="4" s="1"/>
  <c r="R220" i="4"/>
  <c r="R248" i="4"/>
  <c r="R259" i="4"/>
  <c r="D259" i="4" s="1"/>
  <c r="R280" i="4"/>
  <c r="D280" i="4" s="1"/>
  <c r="R155" i="4"/>
  <c r="R157" i="4"/>
  <c r="D157" i="4" s="1"/>
  <c r="R95" i="4"/>
  <c r="R91" i="4"/>
  <c r="R81" i="4"/>
  <c r="R201" i="4"/>
  <c r="D201" i="4" s="1"/>
  <c r="R212" i="4"/>
  <c r="D212" i="4" s="1"/>
  <c r="R18" i="4"/>
  <c r="R135" i="4"/>
  <c r="R234" i="4"/>
  <c r="D234" i="4" s="1"/>
  <c r="R210" i="4"/>
  <c r="D210" i="4" s="1"/>
  <c r="E210" i="4" s="1"/>
  <c r="R137" i="4"/>
  <c r="D137" i="4" s="1"/>
  <c r="R139" i="4"/>
  <c r="D139" i="4" s="1"/>
  <c r="R127" i="4"/>
  <c r="R173" i="4"/>
  <c r="R229" i="4"/>
  <c r="D229" i="4" s="1"/>
  <c r="R228" i="4"/>
  <c r="R245" i="4"/>
  <c r="D245" i="4" s="1"/>
  <c r="R246" i="4"/>
  <c r="R41" i="4"/>
  <c r="D41" i="4" s="1"/>
  <c r="R31" i="4"/>
  <c r="R158" i="4"/>
  <c r="D158" i="4" s="1"/>
  <c r="R149" i="4"/>
  <c r="R82" i="4"/>
  <c r="D82" i="4" s="1"/>
  <c r="R75" i="4"/>
  <c r="R97" i="4"/>
  <c r="D97" i="4" s="1"/>
  <c r="R49" i="4"/>
  <c r="R45" i="4"/>
  <c r="R54" i="4"/>
  <c r="D54" i="4" s="1"/>
  <c r="R22" i="4"/>
  <c r="R24" i="4"/>
  <c r="D24" i="4" s="1"/>
  <c r="R194" i="4"/>
  <c r="R64" i="4"/>
  <c r="R269" i="4"/>
  <c r="D269" i="4" s="1"/>
  <c r="R211" i="4"/>
  <c r="D211" i="4" s="1"/>
  <c r="E211" i="4" s="1"/>
  <c r="R17" i="4"/>
  <c r="D17" i="4" s="1"/>
  <c r="R144" i="4"/>
  <c r="R138" i="4"/>
  <c r="D138" i="4" s="1"/>
  <c r="R185" i="4"/>
  <c r="R191" i="4"/>
  <c r="D191" i="4" s="1"/>
  <c r="R175" i="4"/>
  <c r="D175" i="4" s="1"/>
  <c r="R221" i="4"/>
  <c r="R218" i="4"/>
  <c r="R242" i="4"/>
  <c r="D242" i="4" s="1"/>
  <c r="R240" i="4"/>
  <c r="R258" i="4"/>
  <c r="R276" i="4"/>
  <c r="D276" i="4" s="1"/>
  <c r="R40" i="4"/>
  <c r="R168" i="4"/>
  <c r="D168" i="4" s="1"/>
  <c r="R151" i="4"/>
  <c r="D151" i="4" s="1"/>
  <c r="R156" i="4"/>
  <c r="D156" i="4" s="1"/>
  <c r="R89" i="4"/>
  <c r="R108" i="4"/>
  <c r="D108" i="4" s="1"/>
  <c r="R76" i="4"/>
  <c r="R88" i="4"/>
  <c r="R72" i="4"/>
  <c r="R106" i="4"/>
  <c r="D106" i="4" s="1"/>
  <c r="R90" i="4"/>
  <c r="R74" i="4"/>
  <c r="R112" i="4"/>
  <c r="R96" i="4"/>
  <c r="R80" i="4"/>
  <c r="R57" i="4"/>
  <c r="D57" i="4" s="1"/>
  <c r="R56" i="4"/>
  <c r="R55" i="4"/>
  <c r="D55" i="4" s="1"/>
  <c r="R50" i="4"/>
  <c r="D50" i="4" s="1"/>
  <c r="R26" i="4"/>
  <c r="R27" i="4"/>
  <c r="R199" i="4"/>
  <c r="R200" i="4"/>
  <c r="R67" i="4"/>
  <c r="R59" i="4"/>
  <c r="D59" i="4" s="1"/>
  <c r="E71" i="8" s="1"/>
  <c r="R62" i="4"/>
  <c r="R265" i="4"/>
  <c r="R267" i="4"/>
  <c r="D267" i="4" s="1"/>
  <c r="R207" i="4"/>
  <c r="D207" i="4" s="1"/>
  <c r="R206" i="4"/>
  <c r="D206" i="4" s="1"/>
  <c r="F206" i="4" s="1"/>
  <c r="R208" i="4"/>
  <c r="D208" i="4" s="1"/>
  <c r="E208" i="4" s="1"/>
  <c r="R15" i="4"/>
  <c r="D15" i="4" s="1"/>
  <c r="R16" i="4"/>
  <c r="R126" i="4"/>
  <c r="R140" i="4"/>
  <c r="R125" i="4"/>
  <c r="R128" i="4"/>
  <c r="D128" i="4" s="1"/>
  <c r="R134" i="4"/>
  <c r="R182" i="4"/>
  <c r="D182" i="4" s="1"/>
  <c r="R174" i="4"/>
  <c r="R181" i="4"/>
  <c r="D181" i="4" s="1"/>
  <c r="R187" i="4"/>
  <c r="R186" i="4"/>
  <c r="D186" i="4" s="1"/>
  <c r="R273" i="4"/>
  <c r="D273" i="4" s="1"/>
  <c r="E273" i="4" s="1"/>
  <c r="R219" i="4"/>
  <c r="R233" i="4"/>
  <c r="R232" i="4"/>
  <c r="R224" i="4"/>
  <c r="D224" i="4" s="1"/>
  <c r="R255" i="4"/>
  <c r="D255" i="4" s="1"/>
  <c r="R251" i="4"/>
  <c r="R249" i="4"/>
  <c r="R241" i="4"/>
  <c r="R236" i="4"/>
  <c r="D236" i="4" s="1"/>
  <c r="R239" i="4"/>
  <c r="R257" i="4"/>
  <c r="R282" i="4"/>
  <c r="R277" i="4"/>
  <c r="R33" i="4"/>
  <c r="R36" i="4"/>
  <c r="R37" i="4"/>
  <c r="R32" i="4"/>
  <c r="D32" i="4" s="1"/>
  <c r="R162" i="4"/>
  <c r="R164" i="4"/>
  <c r="D164" i="4" s="1"/>
  <c r="R163" i="4"/>
  <c r="R169" i="4"/>
  <c r="R153" i="4"/>
  <c r="R111" i="4"/>
  <c r="D111" i="4" s="1"/>
  <c r="R79" i="4"/>
  <c r="R98" i="4"/>
  <c r="D98" i="4" s="1"/>
  <c r="R117" i="4"/>
  <c r="R101" i="4"/>
  <c r="D101" i="4" s="1"/>
  <c r="R85" i="4"/>
  <c r="R103" i="4"/>
  <c r="R87" i="4"/>
  <c r="D87" i="4" s="1"/>
  <c r="R71" i="4"/>
  <c r="R109" i="4"/>
  <c r="D109" i="4" s="1"/>
  <c r="R93" i="4"/>
  <c r="R77" i="4"/>
  <c r="R46" i="4"/>
  <c r="R52" i="4"/>
  <c r="R51" i="4"/>
  <c r="D51" i="4" s="1"/>
  <c r="R47" i="4"/>
  <c r="R204" i="4"/>
  <c r="R25" i="4"/>
  <c r="D25" i="4" s="1"/>
  <c r="R23" i="4"/>
  <c r="D23" i="4" s="1"/>
  <c r="R197" i="4"/>
  <c r="D197" i="4" s="1"/>
  <c r="R198" i="4"/>
  <c r="R65" i="4"/>
  <c r="R68" i="4"/>
  <c r="R60" i="4"/>
  <c r="R272" i="4"/>
  <c r="D272" i="4" s="1"/>
  <c r="R213" i="4"/>
  <c r="D213" i="4" s="1"/>
  <c r="R20" i="4"/>
  <c r="R132" i="4"/>
  <c r="R178" i="4"/>
  <c r="R176" i="4"/>
  <c r="R179" i="4"/>
  <c r="D179" i="4" s="1"/>
  <c r="R223" i="4"/>
  <c r="D223" i="4" s="1"/>
  <c r="R254" i="4"/>
  <c r="R247" i="4"/>
  <c r="D247" i="4" s="1"/>
  <c r="R275" i="4"/>
  <c r="D275" i="4" s="1"/>
  <c r="R28" i="4"/>
  <c r="R165" i="4"/>
  <c r="D165" i="4" s="1"/>
  <c r="R159" i="4"/>
  <c r="R114" i="4"/>
  <c r="D114" i="4" s="1"/>
  <c r="R107" i="4"/>
  <c r="R113" i="4"/>
  <c r="D113" i="4" s="1"/>
  <c r="R115" i="4"/>
  <c r="R83" i="4"/>
  <c r="D83" i="4" s="1"/>
  <c r="R42" i="4"/>
  <c r="R171" i="4"/>
  <c r="R202" i="4"/>
  <c r="R61" i="4"/>
  <c r="D61" i="4" s="1"/>
  <c r="E73" i="8" s="1"/>
  <c r="R266" i="4"/>
  <c r="D266" i="4" s="1"/>
  <c r="R214" i="4"/>
  <c r="D214" i="4" s="1"/>
  <c r="F214" i="4" s="1"/>
  <c r="R145" i="4"/>
  <c r="R129" i="4"/>
  <c r="R193" i="4"/>
  <c r="R184" i="4"/>
  <c r="D184" i="4" s="1"/>
  <c r="R190" i="4"/>
  <c r="D190" i="4" s="1"/>
  <c r="R227" i="4"/>
  <c r="R226" i="4"/>
  <c r="D226" i="4" s="1"/>
  <c r="R253" i="4"/>
  <c r="R244" i="4"/>
  <c r="R243" i="4"/>
  <c r="D243" i="4" s="1"/>
  <c r="R281" i="4"/>
  <c r="R39" i="4"/>
  <c r="D39" i="4" s="1"/>
  <c r="R35" i="4"/>
  <c r="D35" i="4" s="1"/>
  <c r="R167" i="4"/>
  <c r="D167" i="4" s="1"/>
  <c r="R154" i="4"/>
  <c r="D154" i="4" s="1"/>
  <c r="R148" i="4"/>
  <c r="D148" i="4" s="1"/>
  <c r="E167" i="8" s="1"/>
  <c r="R104" i="4"/>
  <c r="D104" i="4" s="1"/>
  <c r="R271" i="4"/>
  <c r="D271" i="4" s="1"/>
  <c r="E271" i="4" s="1"/>
  <c r="R268" i="4"/>
  <c r="D268" i="4" s="1"/>
  <c r="S172" i="4"/>
  <c r="R215" i="4"/>
  <c r="D215" i="4" s="1"/>
  <c r="F215" i="4" s="1"/>
  <c r="R216" i="4"/>
  <c r="D216" i="4" s="1"/>
  <c r="F216" i="4" s="1"/>
  <c r="R205" i="4"/>
  <c r="D205" i="4" s="1"/>
  <c r="F205" i="4" s="1"/>
  <c r="R19" i="4"/>
  <c r="R133" i="4"/>
  <c r="R141" i="4"/>
  <c r="D141" i="4" s="1"/>
  <c r="R136" i="4"/>
  <c r="R143" i="4"/>
  <c r="R124" i="4"/>
  <c r="R131" i="4"/>
  <c r="D131" i="4" s="1"/>
  <c r="R189" i="4"/>
  <c r="R192" i="4"/>
  <c r="D192" i="4" s="1"/>
  <c r="R177" i="4"/>
  <c r="R180" i="4"/>
  <c r="R183" i="4"/>
  <c r="R225" i="4"/>
  <c r="D225" i="4" s="1"/>
  <c r="R231" i="4"/>
  <c r="R230" i="4"/>
  <c r="D230" i="4" s="1"/>
  <c r="R222" i="4"/>
  <c r="R252" i="4"/>
  <c r="D252" i="4" s="1"/>
  <c r="R235" i="4"/>
  <c r="R238" i="4"/>
  <c r="D238" i="4" s="1"/>
  <c r="R237" i="4"/>
  <c r="R250" i="4"/>
  <c r="D250" i="4" s="1"/>
  <c r="R256" i="4"/>
  <c r="R278" i="4"/>
  <c r="R279" i="4"/>
  <c r="R30" i="4"/>
  <c r="D30" i="4" s="1"/>
  <c r="R38" i="4"/>
  <c r="R34" i="4"/>
  <c r="R29" i="4"/>
  <c r="R152" i="4"/>
  <c r="D152" i="4" s="1"/>
  <c r="R161" i="4"/>
  <c r="R160" i="4"/>
  <c r="R166" i="4"/>
  <c r="R150" i="4"/>
  <c r="D150" i="4" s="1"/>
  <c r="R105" i="4"/>
  <c r="R73" i="4"/>
  <c r="R92" i="4"/>
  <c r="R110" i="4"/>
  <c r="D110" i="4" s="1"/>
  <c r="R94" i="4"/>
  <c r="R78" i="4"/>
  <c r="D78" i="4" s="1"/>
  <c r="R116" i="4"/>
  <c r="R100" i="4"/>
  <c r="D100" i="4" s="1"/>
  <c r="R84" i="4"/>
  <c r="R118" i="4"/>
  <c r="D118" i="4" s="1"/>
  <c r="E132" i="8" s="1"/>
  <c r="R102" i="4"/>
  <c r="R86" i="4"/>
  <c r="R70" i="4"/>
  <c r="R53" i="4"/>
  <c r="R48" i="4"/>
  <c r="R44" i="4"/>
  <c r="D44" i="4" s="1"/>
  <c r="R43" i="4"/>
  <c r="R21" i="4"/>
  <c r="R203" i="4"/>
  <c r="R195" i="4"/>
  <c r="R196" i="4"/>
  <c r="R63" i="4"/>
  <c r="D63" i="4" s="1"/>
  <c r="E75" i="8" s="1"/>
  <c r="R66" i="4"/>
  <c r="R58" i="4"/>
  <c r="D58" i="4" s="1"/>
  <c r="E70" i="8" s="1"/>
  <c r="J11" i="4"/>
  <c r="J5" i="4"/>
  <c r="J6" i="4"/>
  <c r="J9" i="4"/>
  <c r="J10" i="4"/>
  <c r="F172" i="4"/>
  <c r="I23" i="12" s="1"/>
  <c r="J3" i="4"/>
  <c r="J7" i="4"/>
  <c r="J8" i="4"/>
  <c r="J4" i="4"/>
  <c r="Q161" i="4"/>
  <c r="Q166" i="4"/>
  <c r="Q158" i="4"/>
  <c r="Q168" i="4"/>
  <c r="Q160" i="4"/>
  <c r="Q152" i="4"/>
  <c r="Q163" i="4"/>
  <c r="Q155" i="4"/>
  <c r="Q169" i="4"/>
  <c r="Q153" i="4"/>
  <c r="Q165" i="4"/>
  <c r="Q157" i="4"/>
  <c r="Q162" i="4"/>
  <c r="Q154" i="4"/>
  <c r="Q164" i="4"/>
  <c r="Q156" i="4"/>
  <c r="Q167" i="4"/>
  <c r="Q159" i="4"/>
  <c r="Q151" i="4"/>
  <c r="X27" i="22"/>
  <c r="W27" i="4"/>
  <c r="X8" i="22"/>
  <c r="Z8" i="22" s="1"/>
  <c r="W8" i="4"/>
  <c r="X3" i="22"/>
  <c r="Z3" i="22" s="1"/>
  <c r="W3" i="4"/>
  <c r="X14" i="22"/>
  <c r="Z14" i="22" s="1"/>
  <c r="W14" i="4"/>
  <c r="E172" i="4"/>
  <c r="H23" i="12" s="1"/>
  <c r="N23" i="12" s="1"/>
  <c r="J7" i="14"/>
  <c r="G7" i="12"/>
  <c r="V27" i="22"/>
  <c r="F274" i="4"/>
  <c r="E274" i="4"/>
  <c r="V14" i="22"/>
  <c r="D16" i="14"/>
  <c r="V3" i="22"/>
  <c r="V8" i="22"/>
  <c r="X11" i="22"/>
  <c r="X4" i="22"/>
  <c r="S170" i="4" l="1"/>
  <c r="G170" i="4" s="1"/>
  <c r="H170" i="4" s="1"/>
  <c r="I170" i="4" s="1"/>
  <c r="D265" i="4"/>
  <c r="E265" i="4" s="1"/>
  <c r="D21" i="4"/>
  <c r="E21" i="4" s="1"/>
  <c r="S21" i="4"/>
  <c r="S99" i="4"/>
  <c r="G99" i="4" s="1"/>
  <c r="S105" i="4"/>
  <c r="G105" i="4" s="1"/>
  <c r="S166" i="4"/>
  <c r="S161" i="4"/>
  <c r="G161" i="4" s="1"/>
  <c r="S237" i="4"/>
  <c r="G237" i="4" s="1"/>
  <c r="S183" i="4"/>
  <c r="G183" i="4" s="1"/>
  <c r="S177" i="4"/>
  <c r="G177" i="4" s="1"/>
  <c r="S124" i="4"/>
  <c r="G124" i="4" s="1"/>
  <c r="S136" i="4"/>
  <c r="G136" i="4" s="1"/>
  <c r="S215" i="4"/>
  <c r="G215" i="4" s="1"/>
  <c r="J215" i="4" s="1"/>
  <c r="F271" i="4"/>
  <c r="N5" i="12"/>
  <c r="S102" i="4"/>
  <c r="G102" i="4" s="1"/>
  <c r="S116" i="4"/>
  <c r="G116" i="4" s="1"/>
  <c r="S94" i="4"/>
  <c r="G94" i="4" s="1"/>
  <c r="S92" i="4"/>
  <c r="G92" i="4" s="1"/>
  <c r="F211" i="4"/>
  <c r="E215" i="4"/>
  <c r="N7" i="12"/>
  <c r="I7" i="12"/>
  <c r="G17" i="8" s="1"/>
  <c r="F209" i="4"/>
  <c r="F208" i="4"/>
  <c r="H39" i="12"/>
  <c r="N39" i="12" s="1"/>
  <c r="G193" i="8"/>
  <c r="F193" i="8"/>
  <c r="S70" i="4"/>
  <c r="G70" i="4" s="1"/>
  <c r="G6" i="8"/>
  <c r="F6" i="8"/>
  <c r="S66" i="4"/>
  <c r="G66" i="4" s="1"/>
  <c r="H78" i="8" s="1"/>
  <c r="S196" i="4"/>
  <c r="G196" i="4" s="1"/>
  <c r="S43" i="4"/>
  <c r="G43" i="4" s="1"/>
  <c r="S48" i="4"/>
  <c r="G48" i="4" s="1"/>
  <c r="F210" i="4"/>
  <c r="S266" i="4"/>
  <c r="G266" i="4" s="1"/>
  <c r="J266" i="4" s="1"/>
  <c r="S208" i="4"/>
  <c r="G208" i="4" s="1"/>
  <c r="J208" i="4" s="1"/>
  <c r="S207" i="4"/>
  <c r="G207" i="4" s="1"/>
  <c r="J207" i="4" s="1"/>
  <c r="E216" i="4"/>
  <c r="E270" i="4"/>
  <c r="E206" i="4"/>
  <c r="E214" i="4"/>
  <c r="F273" i="4"/>
  <c r="I39" i="12" s="1"/>
  <c r="S270" i="4"/>
  <c r="G270" i="4" s="1"/>
  <c r="J270" i="4" s="1"/>
  <c r="F265" i="4"/>
  <c r="D124" i="4"/>
  <c r="E124" i="4" s="1"/>
  <c r="E205" i="4"/>
  <c r="S148" i="4"/>
  <c r="G148" i="4" s="1"/>
  <c r="S167" i="4"/>
  <c r="G167" i="4" s="1"/>
  <c r="J167" i="4" s="1"/>
  <c r="S39" i="4"/>
  <c r="G39" i="4" s="1"/>
  <c r="J39" i="4" s="1"/>
  <c r="S243" i="4"/>
  <c r="G243" i="4" s="1"/>
  <c r="J243" i="4" s="1"/>
  <c r="S184" i="4"/>
  <c r="G184" i="4" s="1"/>
  <c r="J184" i="4" s="1"/>
  <c r="S214" i="4"/>
  <c r="G214" i="4" s="1"/>
  <c r="J214" i="4" s="1"/>
  <c r="S68" i="4"/>
  <c r="G68" i="4" s="1"/>
  <c r="H80" i="8" s="1"/>
  <c r="S198" i="4"/>
  <c r="G198" i="4" s="1"/>
  <c r="S23" i="4"/>
  <c r="S51" i="4"/>
  <c r="G51" i="4" s="1"/>
  <c r="J51" i="4" s="1"/>
  <c r="S93" i="4"/>
  <c r="G93" i="4" s="1"/>
  <c r="S103" i="4"/>
  <c r="G103" i="4" s="1"/>
  <c r="S117" i="4"/>
  <c r="G117" i="4" s="1"/>
  <c r="H131" i="8" s="1"/>
  <c r="S79" i="4"/>
  <c r="G79" i="4" s="1"/>
  <c r="S37" i="4"/>
  <c r="G37" i="4" s="1"/>
  <c r="S33" i="4"/>
  <c r="G33" i="4" s="1"/>
  <c r="S251" i="4"/>
  <c r="G251" i="4" s="1"/>
  <c r="S224" i="4"/>
  <c r="S233" i="4"/>
  <c r="S273" i="4"/>
  <c r="G273" i="4" s="1"/>
  <c r="J39" i="12" s="1"/>
  <c r="M39" i="12" s="1"/>
  <c r="S134" i="4"/>
  <c r="G134" i="4" s="1"/>
  <c r="S125" i="4"/>
  <c r="G125" i="4" s="1"/>
  <c r="S15" i="4"/>
  <c r="G15" i="4" s="1"/>
  <c r="S206" i="4"/>
  <c r="G206" i="4" s="1"/>
  <c r="J206" i="4" s="1"/>
  <c r="S62" i="4"/>
  <c r="G62" i="4" s="1"/>
  <c r="H74" i="8" s="1"/>
  <c r="S67" i="4"/>
  <c r="G67" i="4" s="1"/>
  <c r="H79" i="8" s="1"/>
  <c r="S199" i="4"/>
  <c r="G199" i="4" s="1"/>
  <c r="S50" i="4"/>
  <c r="G50" i="4" s="1"/>
  <c r="J50" i="4" s="1"/>
  <c r="S80" i="4"/>
  <c r="G80" i="4" s="1"/>
  <c r="S112" i="4"/>
  <c r="G112" i="4" s="1"/>
  <c r="S90" i="4"/>
  <c r="G90" i="4" s="1"/>
  <c r="S89" i="4"/>
  <c r="G89" i="4" s="1"/>
  <c r="S151" i="4"/>
  <c r="G151" i="4" s="1"/>
  <c r="J151" i="4" s="1"/>
  <c r="S40" i="4"/>
  <c r="G40" i="4" s="1"/>
  <c r="S242" i="4"/>
  <c r="G242" i="4" s="1"/>
  <c r="J242" i="4" s="1"/>
  <c r="S221" i="4"/>
  <c r="S191" i="4"/>
  <c r="G191" i="4" s="1"/>
  <c r="J191" i="4" s="1"/>
  <c r="S138" i="4"/>
  <c r="G138" i="4" s="1"/>
  <c r="J138" i="4" s="1"/>
  <c r="S17" i="4"/>
  <c r="G17" i="4" s="1"/>
  <c r="J17" i="4" s="1"/>
  <c r="S269" i="4"/>
  <c r="G269" i="4" s="1"/>
  <c r="J269" i="4" s="1"/>
  <c r="S45" i="4"/>
  <c r="G45" i="4" s="1"/>
  <c r="S75" i="4"/>
  <c r="G75" i="4" s="1"/>
  <c r="S246" i="4"/>
  <c r="G246" i="4" s="1"/>
  <c r="S228" i="4"/>
  <c r="S173" i="4"/>
  <c r="G173" i="4" s="1"/>
  <c r="S139" i="4"/>
  <c r="G139" i="4" s="1"/>
  <c r="J139" i="4" s="1"/>
  <c r="S210" i="4"/>
  <c r="G210" i="4" s="1"/>
  <c r="J210" i="4" s="1"/>
  <c r="S135" i="4"/>
  <c r="G135" i="4" s="1"/>
  <c r="S95" i="4"/>
  <c r="G95" i="4" s="1"/>
  <c r="S259" i="4"/>
  <c r="G259" i="4" s="1"/>
  <c r="J259" i="4" s="1"/>
  <c r="S115" i="4"/>
  <c r="G115" i="4" s="1"/>
  <c r="S107" i="4"/>
  <c r="G107" i="4" s="1"/>
  <c r="S159" i="4"/>
  <c r="G159" i="4" s="1"/>
  <c r="S247" i="4"/>
  <c r="G247" i="4" s="1"/>
  <c r="J247" i="4" s="1"/>
  <c r="S223" i="4"/>
  <c r="S176" i="4"/>
  <c r="G176" i="4" s="1"/>
  <c r="S132" i="4"/>
  <c r="G132" i="4" s="1"/>
  <c r="S38" i="4"/>
  <c r="G38" i="4" s="1"/>
  <c r="D38" i="4"/>
  <c r="S133" i="4"/>
  <c r="G133" i="4" s="1"/>
  <c r="D133" i="4"/>
  <c r="S202" i="4"/>
  <c r="G202" i="4" s="1"/>
  <c r="D202" i="4"/>
  <c r="S204" i="4"/>
  <c r="G204" i="4" s="1"/>
  <c r="J28" i="12" s="1"/>
  <c r="M28" i="12" s="1"/>
  <c r="D204" i="4"/>
  <c r="S46" i="4"/>
  <c r="G46" i="4" s="1"/>
  <c r="D46" i="4"/>
  <c r="S71" i="4"/>
  <c r="G71" i="4" s="1"/>
  <c r="D71" i="4"/>
  <c r="S85" i="4"/>
  <c r="G85" i="4" s="1"/>
  <c r="D85" i="4"/>
  <c r="S163" i="4"/>
  <c r="G163" i="4" s="1"/>
  <c r="D163" i="4"/>
  <c r="S162" i="4"/>
  <c r="G162" i="4" s="1"/>
  <c r="D162" i="4"/>
  <c r="S239" i="4"/>
  <c r="G239" i="4" s="1"/>
  <c r="D239" i="4"/>
  <c r="S187" i="4"/>
  <c r="G187" i="4" s="1"/>
  <c r="D187" i="4"/>
  <c r="S26" i="4"/>
  <c r="D26" i="4"/>
  <c r="S194" i="4"/>
  <c r="G194" i="4" s="1"/>
  <c r="D194" i="4"/>
  <c r="S22" i="4"/>
  <c r="D22" i="4"/>
  <c r="S31" i="4"/>
  <c r="G31" i="4" s="1"/>
  <c r="D31" i="4"/>
  <c r="S155" i="4"/>
  <c r="G155" i="4" s="1"/>
  <c r="D155" i="4"/>
  <c r="S220" i="4"/>
  <c r="D220" i="4"/>
  <c r="S130" i="4"/>
  <c r="G130" i="4" s="1"/>
  <c r="D130" i="4"/>
  <c r="D80" i="4"/>
  <c r="F80" i="4" s="1"/>
  <c r="D68" i="4"/>
  <c r="D177" i="4"/>
  <c r="D132" i="4"/>
  <c r="F132" i="4" s="1"/>
  <c r="D94" i="4"/>
  <c r="J94" i="4" s="1"/>
  <c r="D251" i="4"/>
  <c r="E251" i="4" s="1"/>
  <c r="D67" i="4"/>
  <c r="E79" i="8" s="1"/>
  <c r="D161" i="4"/>
  <c r="E161" i="4" s="1"/>
  <c r="G166" i="4"/>
  <c r="S205" i="4"/>
  <c r="G205" i="4" s="1"/>
  <c r="S253" i="4"/>
  <c r="G253" i="4" s="1"/>
  <c r="D253" i="4"/>
  <c r="S227" i="4"/>
  <c r="D227" i="4"/>
  <c r="S129" i="4"/>
  <c r="G129" i="4" s="1"/>
  <c r="D129" i="4"/>
  <c r="S213" i="4"/>
  <c r="G213" i="4" s="1"/>
  <c r="J213" i="4" s="1"/>
  <c r="S267" i="4"/>
  <c r="G267" i="4" s="1"/>
  <c r="J267" i="4" s="1"/>
  <c r="S212" i="4"/>
  <c r="G212" i="4" s="1"/>
  <c r="J212" i="4" s="1"/>
  <c r="S203" i="4"/>
  <c r="G203" i="4" s="1"/>
  <c r="D203" i="4"/>
  <c r="S84" i="4"/>
  <c r="G84" i="4" s="1"/>
  <c r="D84" i="4"/>
  <c r="S29" i="4"/>
  <c r="G29" i="4" s="1"/>
  <c r="D29" i="4"/>
  <c r="S279" i="4"/>
  <c r="G279" i="4" s="1"/>
  <c r="D279" i="4"/>
  <c r="S256" i="4"/>
  <c r="G256" i="4" s="1"/>
  <c r="D256" i="4"/>
  <c r="S235" i="4"/>
  <c r="G235" i="4" s="1"/>
  <c r="D235" i="4"/>
  <c r="S222" i="4"/>
  <c r="D222" i="4"/>
  <c r="S231" i="4"/>
  <c r="D231" i="4"/>
  <c r="S189" i="4"/>
  <c r="G189" i="4" s="1"/>
  <c r="D189" i="4"/>
  <c r="S42" i="4"/>
  <c r="G42" i="4" s="1"/>
  <c r="D42" i="4"/>
  <c r="S28" i="4"/>
  <c r="G28" i="4" s="1"/>
  <c r="D28" i="4"/>
  <c r="S153" i="4"/>
  <c r="G153" i="4" s="1"/>
  <c r="D153" i="4"/>
  <c r="S282" i="4"/>
  <c r="G282" i="4" s="1"/>
  <c r="D282" i="4"/>
  <c r="S241" i="4"/>
  <c r="G241" i="4" s="1"/>
  <c r="D241" i="4"/>
  <c r="S174" i="4"/>
  <c r="G174" i="4" s="1"/>
  <c r="D174" i="4"/>
  <c r="S126" i="4"/>
  <c r="G126" i="4" s="1"/>
  <c r="D126" i="4"/>
  <c r="S56" i="4"/>
  <c r="G56" i="4" s="1"/>
  <c r="D56" i="4"/>
  <c r="S72" i="4"/>
  <c r="G72" i="4" s="1"/>
  <c r="D72" i="4"/>
  <c r="S76" i="4"/>
  <c r="G76" i="4" s="1"/>
  <c r="D76" i="4"/>
  <c r="S258" i="4"/>
  <c r="G258" i="4" s="1"/>
  <c r="D258" i="4"/>
  <c r="S149" i="4"/>
  <c r="G149" i="4" s="1"/>
  <c r="D149" i="4"/>
  <c r="S81" i="4"/>
  <c r="G81" i="4" s="1"/>
  <c r="D81" i="4"/>
  <c r="S188" i="4"/>
  <c r="G188" i="4" s="1"/>
  <c r="D188" i="4"/>
  <c r="D40" i="4"/>
  <c r="F40" i="4" s="1"/>
  <c r="D102" i="4"/>
  <c r="D198" i="4"/>
  <c r="E198" i="4" s="1"/>
  <c r="D92" i="4"/>
  <c r="D115" i="4"/>
  <c r="F115" i="4" s="1"/>
  <c r="D66" i="4"/>
  <c r="F66" i="4" s="1"/>
  <c r="G78" i="8" s="1"/>
  <c r="D134" i="4"/>
  <c r="E134" i="4" s="1"/>
  <c r="D117" i="4"/>
  <c r="E131" i="8" s="1"/>
  <c r="D48" i="4"/>
  <c r="F48" i="4" s="1"/>
  <c r="E17" i="8"/>
  <c r="D105" i="4"/>
  <c r="D89" i="4"/>
  <c r="E89" i="4" s="1"/>
  <c r="D95" i="4"/>
  <c r="E95" i="4" s="1"/>
  <c r="D125" i="4"/>
  <c r="D199" i="4"/>
  <c r="F199" i="4" s="1"/>
  <c r="D135" i="4"/>
  <c r="F135" i="4" s="1"/>
  <c r="D233" i="4"/>
  <c r="F233" i="4" s="1"/>
  <c r="D246" i="4"/>
  <c r="D33" i="4"/>
  <c r="F33" i="4" s="1"/>
  <c r="D90" i="4"/>
  <c r="E90" i="4" s="1"/>
  <c r="D79" i="4"/>
  <c r="E79" i="4" s="1"/>
  <c r="D103" i="4"/>
  <c r="E103" i="4" s="1"/>
  <c r="D70" i="4"/>
  <c r="D221" i="4"/>
  <c r="F221" i="4" s="1"/>
  <c r="D112" i="4"/>
  <c r="F112" i="4" s="1"/>
  <c r="D37" i="4"/>
  <c r="D228" i="4"/>
  <c r="F228" i="4" s="1"/>
  <c r="D166" i="4"/>
  <c r="E166" i="4" s="1"/>
  <c r="S58" i="4"/>
  <c r="G58" i="4" s="1"/>
  <c r="S63" i="4"/>
  <c r="G63" i="4" s="1"/>
  <c r="S195" i="4"/>
  <c r="G195" i="4" s="1"/>
  <c r="D195" i="4"/>
  <c r="S44" i="4"/>
  <c r="G44" i="4" s="1"/>
  <c r="J44" i="4" s="1"/>
  <c r="S53" i="4"/>
  <c r="G53" i="4" s="1"/>
  <c r="D53" i="4"/>
  <c r="S86" i="4"/>
  <c r="G86" i="4" s="1"/>
  <c r="D86" i="4"/>
  <c r="S118" i="4"/>
  <c r="G118" i="4" s="1"/>
  <c r="H132" i="8" s="1"/>
  <c r="S100" i="4"/>
  <c r="G100" i="4" s="1"/>
  <c r="J100" i="4" s="1"/>
  <c r="S78" i="4"/>
  <c r="G78" i="4" s="1"/>
  <c r="J78" i="4" s="1"/>
  <c r="S110" i="4"/>
  <c r="G110" i="4" s="1"/>
  <c r="J110" i="4" s="1"/>
  <c r="S73" i="4"/>
  <c r="G73" i="4" s="1"/>
  <c r="D73" i="4"/>
  <c r="S150" i="4"/>
  <c r="G150" i="4" s="1"/>
  <c r="S160" i="4"/>
  <c r="G160" i="4" s="1"/>
  <c r="D160" i="4"/>
  <c r="S152" i="4"/>
  <c r="G152" i="4" s="1"/>
  <c r="J152" i="4" s="1"/>
  <c r="S34" i="4"/>
  <c r="G34" i="4" s="1"/>
  <c r="D34" i="4"/>
  <c r="S30" i="4"/>
  <c r="G30" i="4" s="1"/>
  <c r="J30" i="4" s="1"/>
  <c r="S278" i="4"/>
  <c r="G278" i="4" s="1"/>
  <c r="D278" i="4"/>
  <c r="S250" i="4"/>
  <c r="G250" i="4" s="1"/>
  <c r="J250" i="4" s="1"/>
  <c r="S238" i="4"/>
  <c r="G238" i="4" s="1"/>
  <c r="J238" i="4" s="1"/>
  <c r="S252" i="4"/>
  <c r="G252" i="4" s="1"/>
  <c r="J252" i="4" s="1"/>
  <c r="S230" i="4"/>
  <c r="S225" i="4"/>
  <c r="S180" i="4"/>
  <c r="G180" i="4" s="1"/>
  <c r="D180" i="4"/>
  <c r="S192" i="4"/>
  <c r="G192" i="4" s="1"/>
  <c r="J192" i="4" s="1"/>
  <c r="S131" i="4"/>
  <c r="G131" i="4" s="1"/>
  <c r="J131" i="4" s="1"/>
  <c r="S143" i="4"/>
  <c r="G143" i="4" s="1"/>
  <c r="D143" i="4"/>
  <c r="S141" i="4"/>
  <c r="G141" i="4" s="1"/>
  <c r="J141" i="4" s="1"/>
  <c r="S19" i="4"/>
  <c r="G19" i="4" s="1"/>
  <c r="D19" i="4"/>
  <c r="S216" i="4"/>
  <c r="G216" i="4" s="1"/>
  <c r="J216" i="4" s="1"/>
  <c r="S271" i="4"/>
  <c r="G271" i="4" s="1"/>
  <c r="J271" i="4" s="1"/>
  <c r="S61" i="4"/>
  <c r="G61" i="4" s="1"/>
  <c r="S171" i="4"/>
  <c r="G171" i="4" s="1"/>
  <c r="D171" i="4"/>
  <c r="F171" i="4" s="1"/>
  <c r="S83" i="4"/>
  <c r="G83" i="4" s="1"/>
  <c r="J83" i="4" s="1"/>
  <c r="S113" i="4"/>
  <c r="G113" i="4" s="1"/>
  <c r="J113" i="4" s="1"/>
  <c r="S114" i="4"/>
  <c r="G114" i="4" s="1"/>
  <c r="J114" i="4" s="1"/>
  <c r="S165" i="4"/>
  <c r="G165" i="4" s="1"/>
  <c r="J165" i="4" s="1"/>
  <c r="S275" i="4"/>
  <c r="G275" i="4" s="1"/>
  <c r="S254" i="4"/>
  <c r="G254" i="4" s="1"/>
  <c r="D254" i="4"/>
  <c r="S179" i="4"/>
  <c r="G179" i="4" s="1"/>
  <c r="J179" i="4" s="1"/>
  <c r="S178" i="4"/>
  <c r="G178" i="4" s="1"/>
  <c r="D178" i="4"/>
  <c r="S20" i="4"/>
  <c r="G20" i="4" s="1"/>
  <c r="D20" i="4"/>
  <c r="S272" i="4"/>
  <c r="G272" i="4" s="1"/>
  <c r="J272" i="4" s="1"/>
  <c r="S60" i="4"/>
  <c r="G60" i="4" s="1"/>
  <c r="H72" i="8" s="1"/>
  <c r="D60" i="4"/>
  <c r="E72" i="8" s="1"/>
  <c r="S65" i="4"/>
  <c r="G65" i="4" s="1"/>
  <c r="H77" i="8" s="1"/>
  <c r="D65" i="4"/>
  <c r="E77" i="8" s="1"/>
  <c r="S197" i="4"/>
  <c r="G197" i="4" s="1"/>
  <c r="J197" i="4" s="1"/>
  <c r="S25" i="4"/>
  <c r="S47" i="4"/>
  <c r="G47" i="4" s="1"/>
  <c r="D47" i="4"/>
  <c r="S52" i="4"/>
  <c r="G52" i="4" s="1"/>
  <c r="D52" i="4"/>
  <c r="S77" i="4"/>
  <c r="G77" i="4" s="1"/>
  <c r="D77" i="4"/>
  <c r="S109" i="4"/>
  <c r="G109" i="4" s="1"/>
  <c r="J109" i="4" s="1"/>
  <c r="S87" i="4"/>
  <c r="G87" i="4" s="1"/>
  <c r="J87" i="4" s="1"/>
  <c r="S101" i="4"/>
  <c r="G101" i="4" s="1"/>
  <c r="J101" i="4" s="1"/>
  <c r="S98" i="4"/>
  <c r="G98" i="4" s="1"/>
  <c r="J98" i="4" s="1"/>
  <c r="S111" i="4"/>
  <c r="G111" i="4" s="1"/>
  <c r="J111" i="4" s="1"/>
  <c r="S169" i="4"/>
  <c r="G169" i="4" s="1"/>
  <c r="H169" i="4" s="1"/>
  <c r="D169" i="4"/>
  <c r="E169" i="4" s="1"/>
  <c r="S164" i="4"/>
  <c r="G164" i="4" s="1"/>
  <c r="J164" i="4" s="1"/>
  <c r="S32" i="4"/>
  <c r="G32" i="4" s="1"/>
  <c r="J32" i="4" s="1"/>
  <c r="S36" i="4"/>
  <c r="G36" i="4" s="1"/>
  <c r="D36" i="4"/>
  <c r="S277" i="4"/>
  <c r="G277" i="4" s="1"/>
  <c r="D277" i="4"/>
  <c r="S257" i="4"/>
  <c r="G257" i="4" s="1"/>
  <c r="D257" i="4"/>
  <c r="S236" i="4"/>
  <c r="G236" i="4" s="1"/>
  <c r="J236" i="4" s="1"/>
  <c r="S249" i="4"/>
  <c r="G249" i="4" s="1"/>
  <c r="D249" i="4"/>
  <c r="S255" i="4"/>
  <c r="G255" i="4" s="1"/>
  <c r="J255" i="4" s="1"/>
  <c r="S232" i="4"/>
  <c r="D232" i="4"/>
  <c r="S219" i="4"/>
  <c r="D219" i="4"/>
  <c r="S186" i="4"/>
  <c r="G186" i="4" s="1"/>
  <c r="J186" i="4" s="1"/>
  <c r="S181" i="4"/>
  <c r="G181" i="4" s="1"/>
  <c r="J181" i="4" s="1"/>
  <c r="S182" i="4"/>
  <c r="G182" i="4" s="1"/>
  <c r="J182" i="4" s="1"/>
  <c r="S128" i="4"/>
  <c r="G128" i="4" s="1"/>
  <c r="J128" i="4" s="1"/>
  <c r="S140" i="4"/>
  <c r="G140" i="4" s="1"/>
  <c r="D140" i="4"/>
  <c r="S16" i="4"/>
  <c r="G16" i="4" s="1"/>
  <c r="D16" i="4"/>
  <c r="S265" i="4"/>
  <c r="G265" i="4" s="1"/>
  <c r="S59" i="4"/>
  <c r="G59" i="4" s="1"/>
  <c r="S200" i="4"/>
  <c r="G200" i="4" s="1"/>
  <c r="D200" i="4"/>
  <c r="S27" i="4"/>
  <c r="D27" i="4"/>
  <c r="S55" i="4"/>
  <c r="G55" i="4" s="1"/>
  <c r="J55" i="4" s="1"/>
  <c r="S57" i="4"/>
  <c r="G57" i="4" s="1"/>
  <c r="J57" i="4" s="1"/>
  <c r="S96" i="4"/>
  <c r="G96" i="4" s="1"/>
  <c r="D96" i="4"/>
  <c r="S74" i="4"/>
  <c r="G74" i="4" s="1"/>
  <c r="D74" i="4"/>
  <c r="S106" i="4"/>
  <c r="G106" i="4" s="1"/>
  <c r="J106" i="4" s="1"/>
  <c r="S88" i="4"/>
  <c r="G88" i="4" s="1"/>
  <c r="D88" i="4"/>
  <c r="S108" i="4"/>
  <c r="G108" i="4" s="1"/>
  <c r="J108" i="4" s="1"/>
  <c r="S156" i="4"/>
  <c r="G156" i="4" s="1"/>
  <c r="J156" i="4" s="1"/>
  <c r="S168" i="4"/>
  <c r="G168" i="4" s="1"/>
  <c r="J168" i="4" s="1"/>
  <c r="S276" i="4"/>
  <c r="G276" i="4" s="1"/>
  <c r="J276" i="4" s="1"/>
  <c r="S240" i="4"/>
  <c r="G240" i="4" s="1"/>
  <c r="D240" i="4"/>
  <c r="S218" i="4"/>
  <c r="D218" i="4"/>
  <c r="S175" i="4"/>
  <c r="G175" i="4" s="1"/>
  <c r="J175" i="4" s="1"/>
  <c r="S185" i="4"/>
  <c r="G185" i="4" s="1"/>
  <c r="D185" i="4"/>
  <c r="S144" i="4"/>
  <c r="G144" i="4" s="1"/>
  <c r="D144" i="4"/>
  <c r="S211" i="4"/>
  <c r="G211" i="4" s="1"/>
  <c r="J211" i="4" s="1"/>
  <c r="S64" i="4"/>
  <c r="G64" i="4" s="1"/>
  <c r="H76" i="8" s="1"/>
  <c r="D64" i="4"/>
  <c r="E76" i="8" s="1"/>
  <c r="S24" i="4"/>
  <c r="S54" i="4"/>
  <c r="G54" i="4" s="1"/>
  <c r="J54" i="4" s="1"/>
  <c r="S49" i="4"/>
  <c r="G49" i="4" s="1"/>
  <c r="D49" i="4"/>
  <c r="S97" i="4"/>
  <c r="G97" i="4" s="1"/>
  <c r="J97" i="4" s="1"/>
  <c r="S82" i="4"/>
  <c r="G82" i="4" s="1"/>
  <c r="J82" i="4" s="1"/>
  <c r="S158" i="4"/>
  <c r="G158" i="4" s="1"/>
  <c r="J158" i="4" s="1"/>
  <c r="S41" i="4"/>
  <c r="G41" i="4" s="1"/>
  <c r="J41" i="4" s="1"/>
  <c r="S245" i="4"/>
  <c r="G245" i="4" s="1"/>
  <c r="J245" i="4" s="1"/>
  <c r="S229" i="4"/>
  <c r="S127" i="4"/>
  <c r="G127" i="4" s="1"/>
  <c r="D127" i="4"/>
  <c r="S137" i="4"/>
  <c r="G137" i="4" s="1"/>
  <c r="J137" i="4" s="1"/>
  <c r="S234" i="4"/>
  <c r="S18" i="4"/>
  <c r="G18" i="4" s="1"/>
  <c r="D18" i="4"/>
  <c r="S201" i="4"/>
  <c r="G201" i="4" s="1"/>
  <c r="J201" i="4" s="1"/>
  <c r="S91" i="4"/>
  <c r="G91" i="4" s="1"/>
  <c r="D91" i="4"/>
  <c r="S157" i="4"/>
  <c r="S280" i="4"/>
  <c r="G280" i="4" s="1"/>
  <c r="J280" i="4" s="1"/>
  <c r="S248" i="4"/>
  <c r="G248" i="4" s="1"/>
  <c r="D248" i="4"/>
  <c r="S217" i="4"/>
  <c r="S142" i="4"/>
  <c r="G142" i="4" s="1"/>
  <c r="D142" i="4"/>
  <c r="D75" i="4"/>
  <c r="F75" i="4" s="1"/>
  <c r="N12" i="4"/>
  <c r="O12" i="4" s="1"/>
  <c r="N14" i="4"/>
  <c r="O14" i="4" s="1"/>
  <c r="N13" i="4"/>
  <c r="O13" i="4" s="1"/>
  <c r="D62" i="4"/>
  <c r="D43" i="4"/>
  <c r="F43" i="4" s="1"/>
  <c r="D136" i="4"/>
  <c r="D183" i="4"/>
  <c r="D107" i="4"/>
  <c r="F107" i="4" s="1"/>
  <c r="D176" i="4"/>
  <c r="F176" i="4" s="1"/>
  <c r="D173" i="4"/>
  <c r="D93" i="4"/>
  <c r="D45" i="4"/>
  <c r="E45" i="4" s="1"/>
  <c r="D159" i="4"/>
  <c r="E159" i="4" s="1"/>
  <c r="D196" i="4"/>
  <c r="D237" i="4"/>
  <c r="D116" i="4"/>
  <c r="G157" i="4"/>
  <c r="J157" i="4" s="1"/>
  <c r="S268" i="4"/>
  <c r="G268" i="4" s="1"/>
  <c r="J268" i="4" s="1"/>
  <c r="S104" i="4"/>
  <c r="G104" i="4" s="1"/>
  <c r="J104" i="4" s="1"/>
  <c r="S154" i="4"/>
  <c r="G154" i="4" s="1"/>
  <c r="J154" i="4" s="1"/>
  <c r="S35" i="4"/>
  <c r="G35" i="4" s="1"/>
  <c r="J35" i="4" s="1"/>
  <c r="S281" i="4"/>
  <c r="G281" i="4" s="1"/>
  <c r="D281" i="4"/>
  <c r="S244" i="4"/>
  <c r="G244" i="4" s="1"/>
  <c r="D244" i="4"/>
  <c r="S226" i="4"/>
  <c r="S190" i="4"/>
  <c r="G190" i="4" s="1"/>
  <c r="J190" i="4" s="1"/>
  <c r="S193" i="4"/>
  <c r="G193" i="4" s="1"/>
  <c r="D193" i="4"/>
  <c r="S145" i="4"/>
  <c r="G145" i="4" s="1"/>
  <c r="D145" i="4"/>
  <c r="S209" i="4"/>
  <c r="G209" i="4" s="1"/>
  <c r="J209" i="4" s="1"/>
  <c r="E63" i="4"/>
  <c r="F75" i="8" s="1"/>
  <c r="F59" i="4"/>
  <c r="G71" i="8" s="1"/>
  <c r="E61" i="4"/>
  <c r="F73" i="8" s="1"/>
  <c r="F118" i="4"/>
  <c r="G132" i="8" s="1"/>
  <c r="F58" i="4"/>
  <c r="G70" i="8" s="1"/>
  <c r="F78" i="4"/>
  <c r="F113" i="4"/>
  <c r="F148" i="4"/>
  <c r="G167" i="8" s="1"/>
  <c r="F114" i="4"/>
  <c r="F32" i="4"/>
  <c r="F197" i="4"/>
  <c r="F217" i="4"/>
  <c r="F238" i="4"/>
  <c r="E182" i="4"/>
  <c r="E35" i="4"/>
  <c r="F175" i="4"/>
  <c r="F190" i="4"/>
  <c r="F234" i="4"/>
  <c r="F184" i="4"/>
  <c r="F151" i="4"/>
  <c r="F101" i="4"/>
  <c r="F104" i="4"/>
  <c r="F109" i="4"/>
  <c r="F110" i="4"/>
  <c r="F106" i="4"/>
  <c r="F83" i="4"/>
  <c r="F152" i="4"/>
  <c r="F247" i="4"/>
  <c r="F186" i="4"/>
  <c r="E245" i="4"/>
  <c r="F138" i="4"/>
  <c r="F259" i="4"/>
  <c r="F229" i="4"/>
  <c r="E51" i="4"/>
  <c r="E23" i="4"/>
  <c r="F50" i="4"/>
  <c r="F224" i="4"/>
  <c r="F97" i="4"/>
  <c r="E131" i="4"/>
  <c r="F255" i="4"/>
  <c r="E181" i="4"/>
  <c r="E69" i="4"/>
  <c r="E156" i="4"/>
  <c r="F82" i="4"/>
  <c r="F192" i="4"/>
  <c r="F207" i="4"/>
  <c r="F266" i="4"/>
  <c r="F25" i="4"/>
  <c r="E236" i="4"/>
  <c r="F108" i="4"/>
  <c r="F111" i="4"/>
  <c r="F213" i="4"/>
  <c r="F165" i="4"/>
  <c r="F243" i="4"/>
  <c r="F269" i="4"/>
  <c r="F250" i="4"/>
  <c r="F30" i="4"/>
  <c r="F168" i="4"/>
  <c r="F41" i="4"/>
  <c r="F39" i="4"/>
  <c r="F230" i="4"/>
  <c r="F154" i="4"/>
  <c r="F55" i="4"/>
  <c r="F24" i="4"/>
  <c r="F225" i="4"/>
  <c r="F167" i="4"/>
  <c r="F164" i="4"/>
  <c r="F87" i="4"/>
  <c r="F191" i="4"/>
  <c r="F139" i="4"/>
  <c r="F141" i="4"/>
  <c r="E223" i="4"/>
  <c r="F268" i="4"/>
  <c r="F15" i="4"/>
  <c r="F242" i="4"/>
  <c r="F157" i="4"/>
  <c r="F17" i="4"/>
  <c r="F44" i="4"/>
  <c r="F212" i="4"/>
  <c r="F201" i="4"/>
  <c r="F275" i="4"/>
  <c r="F150" i="4"/>
  <c r="E98" i="4"/>
  <c r="F57" i="4"/>
  <c r="E100" i="4"/>
  <c r="F267" i="4"/>
  <c r="F226" i="4"/>
  <c r="E137" i="4"/>
  <c r="F128" i="4"/>
  <c r="F272" i="4"/>
  <c r="E276" i="4"/>
  <c r="F54" i="4"/>
  <c r="E280" i="4"/>
  <c r="E158" i="4"/>
  <c r="F179" i="4"/>
  <c r="E252" i="4"/>
  <c r="F252" i="4"/>
  <c r="F158" i="4"/>
  <c r="F181" i="4"/>
  <c r="E30" i="4"/>
  <c r="F280" i="4"/>
  <c r="E167" i="4"/>
  <c r="E41" i="4"/>
  <c r="E44" i="4"/>
  <c r="E230" i="4"/>
  <c r="E39" i="4"/>
  <c r="E24" i="4"/>
  <c r="E179" i="4"/>
  <c r="E250" i="4"/>
  <c r="F131" i="4"/>
  <c r="E225" i="4"/>
  <c r="E184" i="4"/>
  <c r="E255" i="4"/>
  <c r="E234" i="4"/>
  <c r="Z4" i="22"/>
  <c r="Z11" i="22"/>
  <c r="E217" i="4"/>
  <c r="E269" i="4"/>
  <c r="E212" i="4"/>
  <c r="F35" i="4"/>
  <c r="E175" i="4"/>
  <c r="E128" i="4"/>
  <c r="F236" i="4"/>
  <c r="E154" i="4"/>
  <c r="F137" i="4"/>
  <c r="E55" i="4"/>
  <c r="E168" i="4"/>
  <c r="E224" i="4"/>
  <c r="E157" i="4"/>
  <c r="E111" i="4"/>
  <c r="E97" i="4"/>
  <c r="E165" i="4"/>
  <c r="E114" i="4"/>
  <c r="E17" i="4"/>
  <c r="E226" i="4"/>
  <c r="E272" i="4"/>
  <c r="E186" i="4"/>
  <c r="E213" i="4"/>
  <c r="E54" i="4"/>
  <c r="E192" i="4"/>
  <c r="E191" i="4"/>
  <c r="F276" i="4"/>
  <c r="E243" i="4"/>
  <c r="E50" i="4"/>
  <c r="E268" i="4"/>
  <c r="E108" i="4"/>
  <c r="F23" i="4"/>
  <c r="E141" i="4"/>
  <c r="F51" i="4"/>
  <c r="E190" i="4"/>
  <c r="E259" i="4"/>
  <c r="E242" i="4"/>
  <c r="E229" i="4"/>
  <c r="E139" i="4"/>
  <c r="E15" i="4"/>
  <c r="F223" i="4"/>
  <c r="E82" i="4"/>
  <c r="E138" i="4"/>
  <c r="F245" i="4"/>
  <c r="F182" i="4"/>
  <c r="E207" i="4"/>
  <c r="F61" i="4"/>
  <c r="G73" i="8" s="1"/>
  <c r="E110" i="4"/>
  <c r="E25" i="4"/>
  <c r="E266" i="4"/>
  <c r="E247" i="4"/>
  <c r="E58" i="4"/>
  <c r="F70" i="8" s="1"/>
  <c r="E238" i="4"/>
  <c r="E152" i="4"/>
  <c r="E267" i="4"/>
  <c r="E197" i="4"/>
  <c r="F69" i="4"/>
  <c r="E32" i="4"/>
  <c r="E148" i="4"/>
  <c r="F167" i="8" s="1"/>
  <c r="F156" i="4"/>
  <c r="E113" i="4"/>
  <c r="F100" i="4"/>
  <c r="F63" i="4"/>
  <c r="G75" i="8" s="1"/>
  <c r="E83" i="4"/>
  <c r="E109" i="4"/>
  <c r="E101" i="4"/>
  <c r="F98" i="4"/>
  <c r="E151" i="4"/>
  <c r="E57" i="4"/>
  <c r="E106" i="4"/>
  <c r="E87" i="4"/>
  <c r="E164" i="4"/>
  <c r="E150" i="4"/>
  <c r="E118" i="4"/>
  <c r="F132" i="8" s="1"/>
  <c r="E78" i="4"/>
  <c r="E104" i="4"/>
  <c r="E59" i="4"/>
  <c r="F71" i="8" s="1"/>
  <c r="E201" i="4"/>
  <c r="E275" i="4"/>
  <c r="H16" i="14"/>
  <c r="I16" i="14" s="1"/>
  <c r="I41" i="14" s="1"/>
  <c r="H42" i="14" s="1"/>
  <c r="J102" i="4" l="1"/>
  <c r="F21" i="4"/>
  <c r="H171" i="4"/>
  <c r="I171" i="4" s="1"/>
  <c r="J183" i="4"/>
  <c r="J116" i="4"/>
  <c r="J105" i="4"/>
  <c r="F194" i="4"/>
  <c r="E194" i="4"/>
  <c r="F308" i="8"/>
  <c r="J177" i="4"/>
  <c r="J237" i="4"/>
  <c r="J136" i="4"/>
  <c r="E80" i="4"/>
  <c r="J92" i="4"/>
  <c r="F89" i="4"/>
  <c r="M3" i="12"/>
  <c r="J3" i="12" s="1"/>
  <c r="F166" i="4"/>
  <c r="J70" i="4"/>
  <c r="E40" i="4"/>
  <c r="J37" i="4"/>
  <c r="J246" i="4"/>
  <c r="E233" i="4"/>
  <c r="I32" i="12"/>
  <c r="G233" i="8" s="1"/>
  <c r="H38" i="12"/>
  <c r="N38" i="12" s="1"/>
  <c r="J17" i="12"/>
  <c r="M17" i="12" s="1"/>
  <c r="E112" i="4"/>
  <c r="J22" i="12"/>
  <c r="M22" i="12" s="1"/>
  <c r="J40" i="12"/>
  <c r="M40" i="12" s="1"/>
  <c r="J21" i="12"/>
  <c r="M21" i="12" s="1"/>
  <c r="J13" i="12"/>
  <c r="H32" i="12"/>
  <c r="N32" i="12" s="1"/>
  <c r="J15" i="12"/>
  <c r="M15" i="12" s="1"/>
  <c r="J12" i="12"/>
  <c r="M12" i="12" s="1"/>
  <c r="J34" i="12"/>
  <c r="M34" i="12" s="1"/>
  <c r="J32" i="12"/>
  <c r="M32" i="12" s="1"/>
  <c r="J8" i="12"/>
  <c r="M8" i="12" s="1"/>
  <c r="J26" i="12"/>
  <c r="M26" i="12" s="1"/>
  <c r="I38" i="12"/>
  <c r="G299" i="8" s="1"/>
  <c r="J38" i="12"/>
  <c r="M38" i="12" s="1"/>
  <c r="J11" i="12"/>
  <c r="M11" i="12" s="1"/>
  <c r="J36" i="12"/>
  <c r="M36" i="12" s="1"/>
  <c r="J24" i="12"/>
  <c r="J35" i="12"/>
  <c r="M35" i="12" s="1"/>
  <c r="J20" i="12"/>
  <c r="K20" i="12" s="1"/>
  <c r="J93" i="4"/>
  <c r="E62" i="4"/>
  <c r="F74" i="8" s="1"/>
  <c r="E74" i="8"/>
  <c r="J68" i="4"/>
  <c r="I80" i="8" s="1"/>
  <c r="E80" i="8"/>
  <c r="J58" i="4"/>
  <c r="I70" i="8" s="1"/>
  <c r="H70" i="8"/>
  <c r="J59" i="4"/>
  <c r="I71" i="8" s="1"/>
  <c r="H71" i="8"/>
  <c r="E66" i="4"/>
  <c r="F78" i="8" s="1"/>
  <c r="E78" i="8"/>
  <c r="J61" i="4"/>
  <c r="I73" i="8" s="1"/>
  <c r="H73" i="8"/>
  <c r="J63" i="4"/>
  <c r="I75" i="8" s="1"/>
  <c r="H75" i="8"/>
  <c r="E176" i="4"/>
  <c r="J170" i="4"/>
  <c r="J69" i="4"/>
  <c r="J205" i="4"/>
  <c r="J15" i="4"/>
  <c r="J162" i="4"/>
  <c r="J112" i="4"/>
  <c r="J265" i="4"/>
  <c r="H167" i="8"/>
  <c r="J275" i="4"/>
  <c r="J150" i="4"/>
  <c r="J273" i="4"/>
  <c r="G308" i="8"/>
  <c r="J125" i="4"/>
  <c r="E102" i="4"/>
  <c r="N3" i="12" s="1"/>
  <c r="H3" i="12" s="1"/>
  <c r="I3" i="12" s="1"/>
  <c r="F102" i="4"/>
  <c r="F62" i="4"/>
  <c r="G74" i="8" s="1"/>
  <c r="F177" i="4"/>
  <c r="J66" i="4"/>
  <c r="I78" i="8" s="1"/>
  <c r="E107" i="4"/>
  <c r="F45" i="4"/>
  <c r="E43" i="4"/>
  <c r="J169" i="4"/>
  <c r="J161" i="4"/>
  <c r="E115" i="4"/>
  <c r="F159" i="4"/>
  <c r="E135" i="4"/>
  <c r="F90" i="4"/>
  <c r="E221" i="4"/>
  <c r="E48" i="4"/>
  <c r="J196" i="4"/>
  <c r="J48" i="4"/>
  <c r="J79" i="4"/>
  <c r="F95" i="4"/>
  <c r="F94" i="4"/>
  <c r="E196" i="4"/>
  <c r="F79" i="4"/>
  <c r="E94" i="4"/>
  <c r="J124" i="4"/>
  <c r="J43" i="4"/>
  <c r="E116" i="4"/>
  <c r="J40" i="4"/>
  <c r="E246" i="4"/>
  <c r="F68" i="4"/>
  <c r="G80" i="8" s="1"/>
  <c r="E37" i="4"/>
  <c r="F37" i="4"/>
  <c r="F103" i="4"/>
  <c r="F251" i="4"/>
  <c r="F125" i="4"/>
  <c r="F124" i="4"/>
  <c r="E68" i="4"/>
  <c r="F80" i="8" s="1"/>
  <c r="J166" i="4"/>
  <c r="J90" i="4"/>
  <c r="J75" i="4"/>
  <c r="J67" i="4"/>
  <c r="I79" i="8" s="1"/>
  <c r="F116" i="4"/>
  <c r="J176" i="4"/>
  <c r="J107" i="4"/>
  <c r="J135" i="4"/>
  <c r="J89" i="4"/>
  <c r="J103" i="4"/>
  <c r="J198" i="4"/>
  <c r="E75" i="4"/>
  <c r="J115" i="4"/>
  <c r="J95" i="4"/>
  <c r="J251" i="4"/>
  <c r="F246" i="4"/>
  <c r="E125" i="4"/>
  <c r="F136" i="4"/>
  <c r="F67" i="4"/>
  <c r="G79" i="8" s="1"/>
  <c r="J132" i="4"/>
  <c r="J45" i="4"/>
  <c r="J80" i="4"/>
  <c r="J62" i="4"/>
  <c r="I74" i="8" s="1"/>
  <c r="E228" i="4"/>
  <c r="E199" i="4"/>
  <c r="F105" i="4"/>
  <c r="E105" i="4"/>
  <c r="F161" i="4"/>
  <c r="E183" i="4"/>
  <c r="E117" i="4"/>
  <c r="F131" i="8" s="1"/>
  <c r="E132" i="4"/>
  <c r="F237" i="4"/>
  <c r="F183" i="4"/>
  <c r="J117" i="4"/>
  <c r="I131" i="8" s="1"/>
  <c r="J173" i="4"/>
  <c r="F93" i="4"/>
  <c r="E237" i="4"/>
  <c r="F92" i="4"/>
  <c r="J118" i="4"/>
  <c r="I132" i="8" s="1"/>
  <c r="J148" i="4"/>
  <c r="I167" i="8" s="1"/>
  <c r="F117" i="4"/>
  <c r="G131" i="8" s="1"/>
  <c r="E92" i="4"/>
  <c r="E93" i="4"/>
  <c r="J199" i="4"/>
  <c r="J81" i="4"/>
  <c r="J99" i="4"/>
  <c r="J76" i="4"/>
  <c r="J56" i="4"/>
  <c r="J174" i="4"/>
  <c r="J282" i="4"/>
  <c r="J28" i="4"/>
  <c r="J189" i="4"/>
  <c r="J256" i="4"/>
  <c r="J29" i="4"/>
  <c r="J203" i="4"/>
  <c r="J159" i="4"/>
  <c r="J188" i="4"/>
  <c r="J149" i="4"/>
  <c r="J258" i="4"/>
  <c r="J72" i="4"/>
  <c r="J126" i="4"/>
  <c r="J241" i="4"/>
  <c r="J153" i="4"/>
  <c r="J42" i="4"/>
  <c r="J235" i="4"/>
  <c r="J279" i="4"/>
  <c r="J84" i="4"/>
  <c r="J129" i="4"/>
  <c r="J253" i="4"/>
  <c r="J142" i="4"/>
  <c r="J240" i="4"/>
  <c r="J140" i="4"/>
  <c r="J277" i="4"/>
  <c r="J52" i="4"/>
  <c r="J254" i="4"/>
  <c r="J19" i="4"/>
  <c r="J160" i="4"/>
  <c r="J163" i="4"/>
  <c r="J31" i="4"/>
  <c r="J194" i="4"/>
  <c r="J187" i="4"/>
  <c r="J85" i="4"/>
  <c r="J46" i="4"/>
  <c r="J202" i="4"/>
  <c r="J38" i="4"/>
  <c r="J18" i="4"/>
  <c r="J127" i="4"/>
  <c r="J49" i="4"/>
  <c r="J88" i="4"/>
  <c r="J200" i="4"/>
  <c r="J16" i="4"/>
  <c r="J257" i="4"/>
  <c r="J36" i="4"/>
  <c r="J77" i="4"/>
  <c r="J47" i="4"/>
  <c r="J278" i="4"/>
  <c r="J130" i="4"/>
  <c r="J155" i="4"/>
  <c r="J239" i="4"/>
  <c r="J71" i="4"/>
  <c r="J133" i="4"/>
  <c r="F145" i="4"/>
  <c r="E145" i="4"/>
  <c r="F281" i="4"/>
  <c r="E281" i="4"/>
  <c r="R14" i="4"/>
  <c r="D14" i="4" s="1"/>
  <c r="F14" i="4" s="1"/>
  <c r="F144" i="4"/>
  <c r="E144" i="4"/>
  <c r="F74" i="4"/>
  <c r="E74" i="4"/>
  <c r="E178" i="4"/>
  <c r="F178" i="4"/>
  <c r="F34" i="4"/>
  <c r="E34" i="4"/>
  <c r="F86" i="4"/>
  <c r="E86" i="4"/>
  <c r="E136" i="4"/>
  <c r="E177" i="4"/>
  <c r="F173" i="4"/>
  <c r="E67" i="4"/>
  <c r="F79" i="8" s="1"/>
  <c r="E70" i="4"/>
  <c r="E33" i="4"/>
  <c r="F134" i="4"/>
  <c r="F198" i="4"/>
  <c r="E173" i="4"/>
  <c r="J33" i="4"/>
  <c r="J145" i="4"/>
  <c r="J281" i="4"/>
  <c r="R12" i="4"/>
  <c r="D12" i="4" s="1"/>
  <c r="F18" i="4"/>
  <c r="E18" i="4"/>
  <c r="F127" i="4"/>
  <c r="E127" i="4"/>
  <c r="E49" i="4"/>
  <c r="F49" i="4"/>
  <c r="J64" i="4"/>
  <c r="I76" i="8" s="1"/>
  <c r="E64" i="4"/>
  <c r="F76" i="8" s="1"/>
  <c r="F64" i="4"/>
  <c r="G76" i="8" s="1"/>
  <c r="J144" i="4"/>
  <c r="F218" i="4"/>
  <c r="E218" i="4"/>
  <c r="E88" i="4"/>
  <c r="F88" i="4"/>
  <c r="J74" i="4"/>
  <c r="E200" i="4"/>
  <c r="F200" i="4"/>
  <c r="E16" i="4"/>
  <c r="F16" i="4"/>
  <c r="F219" i="4"/>
  <c r="E219" i="4"/>
  <c r="F257" i="4"/>
  <c r="E257" i="4"/>
  <c r="E36" i="4"/>
  <c r="F36" i="4"/>
  <c r="F169" i="4"/>
  <c r="E77" i="4"/>
  <c r="F77" i="4"/>
  <c r="F47" i="4"/>
  <c r="E47" i="4"/>
  <c r="J65" i="4"/>
  <c r="I77" i="8" s="1"/>
  <c r="F65" i="4"/>
  <c r="G77" i="8" s="1"/>
  <c r="E65" i="4"/>
  <c r="F77" i="8" s="1"/>
  <c r="J178" i="4"/>
  <c r="E278" i="4"/>
  <c r="F278" i="4"/>
  <c r="J34" i="4"/>
  <c r="J86" i="4"/>
  <c r="F81" i="4"/>
  <c r="E81" i="4"/>
  <c r="E99" i="4"/>
  <c r="F99" i="4"/>
  <c r="F76" i="4"/>
  <c r="E76" i="4"/>
  <c r="F56" i="4"/>
  <c r="E56" i="4"/>
  <c r="E174" i="4"/>
  <c r="F174" i="4"/>
  <c r="E282" i="4"/>
  <c r="F282" i="4"/>
  <c r="E28" i="4"/>
  <c r="F28" i="4"/>
  <c r="F189" i="4"/>
  <c r="E189" i="4"/>
  <c r="F222" i="4"/>
  <c r="E222" i="4"/>
  <c r="F256" i="4"/>
  <c r="E256" i="4"/>
  <c r="F29" i="4"/>
  <c r="E29" i="4"/>
  <c r="F203" i="4"/>
  <c r="E203" i="4"/>
  <c r="F129" i="4"/>
  <c r="E129" i="4"/>
  <c r="E253" i="4"/>
  <c r="F253" i="4"/>
  <c r="E220" i="4"/>
  <c r="F220" i="4"/>
  <c r="F31" i="4"/>
  <c r="E31" i="4"/>
  <c r="F187" i="4"/>
  <c r="E187" i="4"/>
  <c r="E162" i="4"/>
  <c r="F162" i="4"/>
  <c r="F85" i="4"/>
  <c r="E85" i="4"/>
  <c r="E46" i="4"/>
  <c r="F46" i="4"/>
  <c r="E202" i="4"/>
  <c r="F202" i="4"/>
  <c r="E38" i="4"/>
  <c r="F38" i="4"/>
  <c r="J134" i="4"/>
  <c r="E193" i="4"/>
  <c r="F193" i="4"/>
  <c r="F244" i="4"/>
  <c r="E244" i="4"/>
  <c r="F248" i="4"/>
  <c r="E248" i="4"/>
  <c r="F91" i="4"/>
  <c r="E91" i="4"/>
  <c r="E185" i="4"/>
  <c r="F185" i="4"/>
  <c r="F96" i="4"/>
  <c r="E96" i="4"/>
  <c r="E249" i="4"/>
  <c r="F249" i="4"/>
  <c r="F20" i="4"/>
  <c r="E20" i="4"/>
  <c r="I22" i="12"/>
  <c r="H22" i="12"/>
  <c r="N22" i="12" s="1"/>
  <c r="E143" i="4"/>
  <c r="F143" i="4"/>
  <c r="F180" i="4"/>
  <c r="E180" i="4"/>
  <c r="E73" i="4"/>
  <c r="F73" i="4"/>
  <c r="F53" i="4"/>
  <c r="E53" i="4"/>
  <c r="F195" i="4"/>
  <c r="E195" i="4"/>
  <c r="F70" i="4"/>
  <c r="F196" i="4"/>
  <c r="J193" i="4"/>
  <c r="J244" i="4"/>
  <c r="R13" i="4"/>
  <c r="D13" i="4" s="1"/>
  <c r="F13" i="4" s="1"/>
  <c r="F142" i="4"/>
  <c r="E142" i="4"/>
  <c r="J248" i="4"/>
  <c r="J91" i="4"/>
  <c r="J185" i="4"/>
  <c r="F240" i="4"/>
  <c r="E240" i="4"/>
  <c r="J96" i="4"/>
  <c r="E27" i="4"/>
  <c r="F27" i="4"/>
  <c r="E140" i="4"/>
  <c r="F140" i="4"/>
  <c r="F232" i="4"/>
  <c r="E232" i="4"/>
  <c r="J249" i="4"/>
  <c r="F277" i="4"/>
  <c r="E277" i="4"/>
  <c r="F52" i="4"/>
  <c r="E52" i="4"/>
  <c r="J60" i="4"/>
  <c r="I72" i="8" s="1"/>
  <c r="F60" i="4"/>
  <c r="G72" i="8" s="1"/>
  <c r="E60" i="4"/>
  <c r="F72" i="8" s="1"/>
  <c r="J20" i="4"/>
  <c r="F254" i="4"/>
  <c r="E254" i="4"/>
  <c r="J171" i="4"/>
  <c r="E19" i="4"/>
  <c r="F19" i="4"/>
  <c r="J143" i="4"/>
  <c r="J180" i="4"/>
  <c r="F160" i="4"/>
  <c r="E160" i="4"/>
  <c r="J73" i="4"/>
  <c r="J53" i="4"/>
  <c r="J195" i="4"/>
  <c r="E188" i="4"/>
  <c r="F188" i="4"/>
  <c r="F149" i="4"/>
  <c r="E149" i="4"/>
  <c r="E258" i="4"/>
  <c r="F258" i="4"/>
  <c r="F72" i="4"/>
  <c r="E72" i="4"/>
  <c r="E126" i="4"/>
  <c r="F126" i="4"/>
  <c r="F241" i="4"/>
  <c r="E241" i="4"/>
  <c r="E153" i="4"/>
  <c r="F153" i="4"/>
  <c r="E42" i="4"/>
  <c r="F42" i="4"/>
  <c r="F231" i="4"/>
  <c r="E231" i="4"/>
  <c r="F235" i="4"/>
  <c r="E235" i="4"/>
  <c r="E279" i="4"/>
  <c r="F279" i="4"/>
  <c r="E84" i="4"/>
  <c r="F84" i="4"/>
  <c r="F227" i="4"/>
  <c r="E227" i="4"/>
  <c r="E130" i="4"/>
  <c r="F130" i="4"/>
  <c r="F155" i="4"/>
  <c r="E155" i="4"/>
  <c r="E22" i="4"/>
  <c r="F22" i="4"/>
  <c r="F26" i="4"/>
  <c r="E26" i="4"/>
  <c r="F239" i="4"/>
  <c r="E239" i="4"/>
  <c r="F163" i="4"/>
  <c r="E163" i="4"/>
  <c r="F71" i="4"/>
  <c r="E71" i="4"/>
  <c r="J204" i="4"/>
  <c r="F204" i="4"/>
  <c r="I28" i="12" s="1"/>
  <c r="E204" i="4"/>
  <c r="H28" i="12" s="1"/>
  <c r="N28" i="12" s="1"/>
  <c r="F133" i="4"/>
  <c r="E133" i="4"/>
  <c r="J16" i="14"/>
  <c r="G16" i="12"/>
  <c r="F299" i="8" l="1"/>
  <c r="K3" i="12"/>
  <c r="L3" i="12" s="1"/>
  <c r="E13" i="4"/>
  <c r="F233" i="8"/>
  <c r="H12" i="12"/>
  <c r="N12" i="12" s="1"/>
  <c r="N16" i="12"/>
  <c r="I16" i="12"/>
  <c r="G133" i="8" s="1"/>
  <c r="G41" i="12"/>
  <c r="H21" i="12"/>
  <c r="N21" i="12" s="1"/>
  <c r="I40" i="12"/>
  <c r="H9" i="12"/>
  <c r="N9" i="12" s="1"/>
  <c r="H35" i="12"/>
  <c r="N35" i="12" s="1"/>
  <c r="H8" i="12"/>
  <c r="I21" i="12"/>
  <c r="G169" i="8" s="1"/>
  <c r="H40" i="12"/>
  <c r="N40" i="12" s="1"/>
  <c r="H33" i="12"/>
  <c r="N33" i="12" s="1"/>
  <c r="H15" i="12"/>
  <c r="N15" i="12" s="1"/>
  <c r="I9" i="12"/>
  <c r="G28" i="8" s="1"/>
  <c r="I12" i="12"/>
  <c r="G52" i="8" s="1"/>
  <c r="I15" i="12"/>
  <c r="G82" i="8" s="1"/>
  <c r="I8" i="12"/>
  <c r="I33" i="12"/>
  <c r="G246" i="8" s="1"/>
  <c r="H17" i="12"/>
  <c r="N17" i="12" s="1"/>
  <c r="H26" i="12"/>
  <c r="N26" i="12" s="1"/>
  <c r="I11" i="12"/>
  <c r="G37" i="8" s="1"/>
  <c r="M24" i="12"/>
  <c r="K24" i="12"/>
  <c r="L24" i="12" s="1"/>
  <c r="I26" i="12"/>
  <c r="G217" i="8" s="1"/>
  <c r="H11" i="12"/>
  <c r="N11" i="12" s="1"/>
  <c r="I17" i="12"/>
  <c r="G139" i="8" s="1"/>
  <c r="M13" i="12"/>
  <c r="K13" i="12"/>
  <c r="L13" i="12" s="1"/>
  <c r="H34" i="12"/>
  <c r="N34" i="12" s="1"/>
  <c r="G190" i="8"/>
  <c r="H36" i="12"/>
  <c r="N36" i="12" s="1"/>
  <c r="M20" i="12"/>
  <c r="L20" i="12"/>
  <c r="I34" i="12"/>
  <c r="G265" i="8" s="1"/>
  <c r="I36" i="12"/>
  <c r="G288" i="8" s="1"/>
  <c r="I35" i="12"/>
  <c r="G282" i="8" s="1"/>
  <c r="F190" i="8"/>
  <c r="S12" i="4"/>
  <c r="E14" i="4"/>
  <c r="S14" i="4"/>
  <c r="G14" i="4" s="1"/>
  <c r="J14" i="4" s="1"/>
  <c r="E133" i="8"/>
  <c r="S13" i="4"/>
  <c r="G13" i="4" s="1"/>
  <c r="J13" i="4" s="1"/>
  <c r="N119" i="4"/>
  <c r="O119" i="4" s="1"/>
  <c r="N121" i="4"/>
  <c r="O121" i="4" s="1"/>
  <c r="N122" i="4"/>
  <c r="O122" i="4" s="1"/>
  <c r="N123" i="4"/>
  <c r="O123" i="4" s="1"/>
  <c r="N120" i="4"/>
  <c r="O120" i="4" s="1"/>
  <c r="E12" i="4"/>
  <c r="F12" i="4"/>
  <c r="J44" i="12" l="1"/>
  <c r="H43" i="12"/>
  <c r="H44" i="12"/>
  <c r="I43" i="12"/>
  <c r="J43" i="12"/>
  <c r="L44" i="12"/>
  <c r="K44" i="12"/>
  <c r="K43" i="12"/>
  <c r="F28" i="8"/>
  <c r="N8" i="12"/>
  <c r="F52" i="8"/>
  <c r="F246" i="8"/>
  <c r="F282" i="8"/>
  <c r="F169" i="8"/>
  <c r="F217" i="8"/>
  <c r="F82" i="8"/>
  <c r="F37" i="8"/>
  <c r="F265" i="8"/>
  <c r="I41" i="12"/>
  <c r="I42" i="12" s="1"/>
  <c r="F288" i="8"/>
  <c r="H41" i="12"/>
  <c r="L43" i="12"/>
  <c r="F311" i="8"/>
  <c r="G311" i="8"/>
  <c r="G21" i="8"/>
  <c r="F21" i="8"/>
  <c r="F139" i="8"/>
  <c r="G12" i="4"/>
  <c r="J7" i="12" s="1"/>
  <c r="R123" i="4"/>
  <c r="R122" i="4"/>
  <c r="R121" i="4"/>
  <c r="R120" i="4"/>
  <c r="R119" i="4"/>
  <c r="I44" i="12" l="1"/>
  <c r="N41" i="12"/>
  <c r="H42" i="12"/>
  <c r="K7" i="12"/>
  <c r="L7" i="12" s="1"/>
  <c r="M7" i="12"/>
  <c r="J12" i="4"/>
  <c r="S122" i="4"/>
  <c r="G122" i="4" s="1"/>
  <c r="D122" i="4"/>
  <c r="S119" i="4"/>
  <c r="D119" i="4"/>
  <c r="S121" i="4"/>
  <c r="G121" i="4" s="1"/>
  <c r="D121" i="4"/>
  <c r="S123" i="4"/>
  <c r="G123" i="4" s="1"/>
  <c r="D123" i="4"/>
  <c r="S120" i="4"/>
  <c r="G120" i="4" s="1"/>
  <c r="D120" i="4"/>
  <c r="I27" i="10"/>
  <c r="I26" i="10"/>
  <c r="J26" i="10" s="1"/>
  <c r="F26" i="10"/>
  <c r="G26" i="10" s="1"/>
  <c r="K26" i="10" l="1"/>
  <c r="P172" i="4" s="1"/>
  <c r="Q172" i="4" s="1"/>
  <c r="G172" i="4" s="1"/>
  <c r="G119" i="4"/>
  <c r="J16" i="12" s="1"/>
  <c r="J120" i="4"/>
  <c r="J121" i="4"/>
  <c r="J122" i="4"/>
  <c r="E123" i="4"/>
  <c r="F123" i="4"/>
  <c r="E119" i="4"/>
  <c r="F119" i="4"/>
  <c r="J123" i="4"/>
  <c r="E120" i="4"/>
  <c r="F120" i="4"/>
  <c r="E121" i="4"/>
  <c r="F121" i="4"/>
  <c r="E122" i="4"/>
  <c r="F122" i="4"/>
  <c r="F25" i="10"/>
  <c r="J119" i="4" l="1"/>
  <c r="J23" i="12"/>
  <c r="M23" i="12" s="1"/>
  <c r="J172" i="4"/>
  <c r="M16" i="12"/>
  <c r="K16" i="12"/>
  <c r="L16" i="12" s="1"/>
  <c r="D5" i="8"/>
  <c r="D16" i="8"/>
  <c r="D36" i="8"/>
  <c r="D81" i="8"/>
  <c r="D162" i="8"/>
  <c r="D163" i="8"/>
  <c r="D168" i="8"/>
  <c r="D216" i="8"/>
  <c r="D228" i="8"/>
  <c r="D229" i="8"/>
  <c r="D230" i="8"/>
  <c r="D231" i="8"/>
  <c r="D232" i="8"/>
  <c r="D298" i="8"/>
  <c r="D4" i="8"/>
  <c r="E230" i="8" l="1"/>
  <c r="J230" i="8"/>
  <c r="K230" i="8"/>
  <c r="G230" i="8"/>
  <c r="H230" i="8"/>
  <c r="F230" i="8"/>
  <c r="E69" i="8"/>
  <c r="G69" i="8"/>
  <c r="F69" i="8"/>
  <c r="F229" i="8"/>
  <c r="G229" i="8"/>
  <c r="E229" i="8"/>
  <c r="H36" i="8"/>
  <c r="F36" i="8"/>
  <c r="K36" i="8"/>
  <c r="E36" i="8"/>
  <c r="G36" i="8"/>
  <c r="J36" i="8"/>
  <c r="G232" i="8"/>
  <c r="F232" i="8"/>
  <c r="H232" i="8"/>
  <c r="K232" i="8"/>
  <c r="J232" i="8"/>
  <c r="E232" i="8"/>
  <c r="G228" i="8"/>
  <c r="H228" i="8"/>
  <c r="F228" i="8"/>
  <c r="K228" i="8"/>
  <c r="J228" i="8"/>
  <c r="E228" i="8"/>
  <c r="E162" i="8"/>
  <c r="J162" i="8"/>
  <c r="G162" i="8"/>
  <c r="H162" i="8"/>
  <c r="K162" i="8"/>
  <c r="F162" i="8"/>
  <c r="H16" i="8"/>
  <c r="E16" i="8"/>
  <c r="J16" i="8"/>
  <c r="F16" i="8"/>
  <c r="K16" i="8"/>
  <c r="G16" i="8"/>
  <c r="I16" i="8"/>
  <c r="K4" i="8"/>
  <c r="F4" i="8"/>
  <c r="H4" i="8"/>
  <c r="G4" i="8"/>
  <c r="E4" i="8"/>
  <c r="J4" i="8"/>
  <c r="G168" i="8"/>
  <c r="I168" i="8"/>
  <c r="E168" i="8"/>
  <c r="F168" i="8"/>
  <c r="H168" i="8"/>
  <c r="E298" i="8"/>
  <c r="G298" i="8"/>
  <c r="F298" i="8"/>
  <c r="F163" i="8"/>
  <c r="E163" i="8"/>
  <c r="G163" i="8"/>
  <c r="F231" i="8"/>
  <c r="K231" i="8"/>
  <c r="H231" i="8"/>
  <c r="G231" i="8"/>
  <c r="E231" i="8"/>
  <c r="J231" i="8"/>
  <c r="G216" i="8"/>
  <c r="H216" i="8"/>
  <c r="K216" i="8"/>
  <c r="F216" i="8"/>
  <c r="E216" i="8"/>
  <c r="J216" i="8"/>
  <c r="E81" i="8"/>
  <c r="J81" i="8"/>
  <c r="F81" i="8"/>
  <c r="K81" i="8"/>
  <c r="H81" i="8"/>
  <c r="G81" i="8"/>
  <c r="E5" i="8"/>
  <c r="J5" i="8"/>
  <c r="F5" i="8"/>
  <c r="K5" i="8"/>
  <c r="G5" i="8"/>
  <c r="H5" i="8"/>
  <c r="B27" i="8"/>
  <c r="D27" i="8" s="1"/>
  <c r="B26" i="8"/>
  <c r="D26" i="8" s="1"/>
  <c r="B25" i="8"/>
  <c r="D25" i="8" s="1"/>
  <c r="B24" i="8"/>
  <c r="D24" i="8" s="1"/>
  <c r="B23" i="8"/>
  <c r="D23" i="8" s="1"/>
  <c r="B22" i="8"/>
  <c r="D22" i="8" s="1"/>
  <c r="B319" i="8"/>
  <c r="D319" i="8" s="1"/>
  <c r="B318" i="8"/>
  <c r="D318" i="8" s="1"/>
  <c r="B317" i="8"/>
  <c r="D317" i="8" s="1"/>
  <c r="B316" i="8"/>
  <c r="D316" i="8" s="1"/>
  <c r="B315" i="8"/>
  <c r="D315" i="8" s="1"/>
  <c r="B314" i="8"/>
  <c r="D314" i="8" s="1"/>
  <c r="B313" i="8"/>
  <c r="D313" i="8" s="1"/>
  <c r="B312" i="8"/>
  <c r="D312" i="8" s="1"/>
  <c r="B310" i="8"/>
  <c r="D310" i="8" s="1"/>
  <c r="B309" i="8"/>
  <c r="D309" i="8" s="1"/>
  <c r="B307" i="8"/>
  <c r="D307" i="8" s="1"/>
  <c r="B306" i="8"/>
  <c r="D306" i="8" s="1"/>
  <c r="B305" i="8"/>
  <c r="D305" i="8" s="1"/>
  <c r="B304" i="8"/>
  <c r="D304" i="8" s="1"/>
  <c r="B303" i="8"/>
  <c r="D303" i="8" s="1"/>
  <c r="B302" i="8"/>
  <c r="D302" i="8" s="1"/>
  <c r="B301" i="8"/>
  <c r="D301" i="8" s="1"/>
  <c r="B300" i="8"/>
  <c r="D300" i="8" s="1"/>
  <c r="B297" i="8"/>
  <c r="D297" i="8" s="1"/>
  <c r="B296" i="8"/>
  <c r="D296" i="8" s="1"/>
  <c r="B295" i="8"/>
  <c r="D295" i="8" s="1"/>
  <c r="B294" i="8"/>
  <c r="D294" i="8" s="1"/>
  <c r="B292" i="8"/>
  <c r="D292" i="8" s="1"/>
  <c r="B291" i="8"/>
  <c r="D291" i="8" s="1"/>
  <c r="B290" i="8"/>
  <c r="D290" i="8" s="1"/>
  <c r="B289" i="8"/>
  <c r="D289" i="8" s="1"/>
  <c r="B287" i="8"/>
  <c r="D287" i="8" s="1"/>
  <c r="B286" i="8"/>
  <c r="D286" i="8" s="1"/>
  <c r="B285" i="8"/>
  <c r="D285" i="8" s="1"/>
  <c r="B284" i="8"/>
  <c r="D284" i="8" s="1"/>
  <c r="B283" i="8"/>
  <c r="D283" i="8" s="1"/>
  <c r="B281" i="8"/>
  <c r="D281" i="8" s="1"/>
  <c r="B280" i="8"/>
  <c r="D280" i="8" s="1"/>
  <c r="B279" i="8"/>
  <c r="D279" i="8" s="1"/>
  <c r="B278" i="8"/>
  <c r="D278" i="8" s="1"/>
  <c r="B277" i="8"/>
  <c r="D277" i="8" s="1"/>
  <c r="B276" i="8"/>
  <c r="D276" i="8" s="1"/>
  <c r="B275" i="8"/>
  <c r="D275" i="8" s="1"/>
  <c r="B274" i="8"/>
  <c r="D274" i="8" s="1"/>
  <c r="B273" i="8"/>
  <c r="D273" i="8" s="1"/>
  <c r="B272" i="8"/>
  <c r="D272" i="8" s="1"/>
  <c r="B271" i="8"/>
  <c r="D271" i="8" s="1"/>
  <c r="B270" i="8"/>
  <c r="D270" i="8" s="1"/>
  <c r="B269" i="8"/>
  <c r="D269" i="8" s="1"/>
  <c r="B268" i="8"/>
  <c r="D268" i="8" s="1"/>
  <c r="B267" i="8"/>
  <c r="D267" i="8" s="1"/>
  <c r="B266" i="8"/>
  <c r="D266" i="8" s="1"/>
  <c r="B264" i="8"/>
  <c r="D264" i="8" s="1"/>
  <c r="B263" i="8"/>
  <c r="D263" i="8" s="1"/>
  <c r="B262" i="8"/>
  <c r="D262" i="8" s="1"/>
  <c r="B261" i="8"/>
  <c r="D261" i="8" s="1"/>
  <c r="B260" i="8"/>
  <c r="D260" i="8" s="1"/>
  <c r="B259" i="8"/>
  <c r="D259" i="8" s="1"/>
  <c r="B258" i="8"/>
  <c r="D258" i="8" s="1"/>
  <c r="B257" i="8"/>
  <c r="D257" i="8" s="1"/>
  <c r="B256" i="8"/>
  <c r="D256" i="8" s="1"/>
  <c r="B255" i="8"/>
  <c r="D255" i="8" s="1"/>
  <c r="B254" i="8"/>
  <c r="D254" i="8" s="1"/>
  <c r="B253" i="8"/>
  <c r="D253" i="8" s="1"/>
  <c r="B252" i="8"/>
  <c r="D252" i="8" s="1"/>
  <c r="B251" i="8"/>
  <c r="D251" i="8" s="1"/>
  <c r="B250" i="8"/>
  <c r="D250" i="8" s="1"/>
  <c r="B249" i="8"/>
  <c r="D249" i="8" s="1"/>
  <c r="B248" i="8"/>
  <c r="D248" i="8" s="1"/>
  <c r="B247" i="8"/>
  <c r="D247" i="8" s="1"/>
  <c r="B245" i="8"/>
  <c r="D245" i="8" s="1"/>
  <c r="B244" i="8"/>
  <c r="D244" i="8" s="1"/>
  <c r="B243" i="8"/>
  <c r="D243" i="8" s="1"/>
  <c r="B242" i="8"/>
  <c r="D242" i="8" s="1"/>
  <c r="B241" i="8"/>
  <c r="D241" i="8" s="1"/>
  <c r="B240" i="8"/>
  <c r="D240" i="8" s="1"/>
  <c r="B239" i="8"/>
  <c r="D239" i="8" s="1"/>
  <c r="B238" i="8"/>
  <c r="D238" i="8" s="1"/>
  <c r="B237" i="8"/>
  <c r="D237" i="8" s="1"/>
  <c r="B236" i="8"/>
  <c r="D236" i="8" s="1"/>
  <c r="B235" i="8"/>
  <c r="D235" i="8" s="1"/>
  <c r="B234" i="8"/>
  <c r="D234" i="8" s="1"/>
  <c r="B227" i="8"/>
  <c r="D227" i="8" s="1"/>
  <c r="B226" i="8"/>
  <c r="D226" i="8" s="1"/>
  <c r="B225" i="8"/>
  <c r="D225" i="8" s="1"/>
  <c r="B224" i="8"/>
  <c r="D224" i="8" s="1"/>
  <c r="B223" i="8"/>
  <c r="D223" i="8" s="1"/>
  <c r="B222" i="8"/>
  <c r="D222" i="8" s="1"/>
  <c r="B221" i="8"/>
  <c r="D221" i="8" s="1"/>
  <c r="B220" i="8"/>
  <c r="D220" i="8" s="1"/>
  <c r="B219" i="8"/>
  <c r="D219" i="8" s="1"/>
  <c r="B218" i="8"/>
  <c r="D218" i="8" s="1"/>
  <c r="B215" i="8"/>
  <c r="D215" i="8" s="1"/>
  <c r="B214" i="8"/>
  <c r="D214" i="8" s="1"/>
  <c r="B213" i="8"/>
  <c r="D213" i="8" s="1"/>
  <c r="B212" i="8"/>
  <c r="D212" i="8" s="1"/>
  <c r="B211" i="8"/>
  <c r="D211" i="8" s="1"/>
  <c r="B210" i="8"/>
  <c r="D210" i="8" s="1"/>
  <c r="B209" i="8"/>
  <c r="D209" i="8" s="1"/>
  <c r="B208" i="8"/>
  <c r="D208" i="8" s="1"/>
  <c r="B207" i="8"/>
  <c r="D207" i="8" s="1"/>
  <c r="B206" i="8"/>
  <c r="D206" i="8" s="1"/>
  <c r="B205" i="8"/>
  <c r="D205" i="8" s="1"/>
  <c r="B204" i="8"/>
  <c r="D204" i="8" s="1"/>
  <c r="B203" i="8"/>
  <c r="D203" i="8" s="1"/>
  <c r="B202" i="8"/>
  <c r="D202" i="8" s="1"/>
  <c r="B201" i="8"/>
  <c r="D201" i="8" s="1"/>
  <c r="B200" i="8"/>
  <c r="D200" i="8" s="1"/>
  <c r="B199" i="8"/>
  <c r="D199" i="8" s="1"/>
  <c r="B198" i="8"/>
  <c r="D198" i="8" s="1"/>
  <c r="B197" i="8"/>
  <c r="D197" i="8" s="1"/>
  <c r="B196" i="8"/>
  <c r="D196" i="8" s="1"/>
  <c r="B195" i="8"/>
  <c r="D195" i="8" s="1"/>
  <c r="B192" i="8"/>
  <c r="D192" i="8" s="1"/>
  <c r="B191" i="8"/>
  <c r="D191" i="8" s="1"/>
  <c r="B189" i="8"/>
  <c r="D189" i="8" s="1"/>
  <c r="B188" i="8"/>
  <c r="D188" i="8" s="1"/>
  <c r="B187" i="8"/>
  <c r="D187" i="8" s="1"/>
  <c r="B186" i="8"/>
  <c r="D186" i="8" s="1"/>
  <c r="B185" i="8"/>
  <c r="D185" i="8" s="1"/>
  <c r="B184" i="8"/>
  <c r="D184" i="8" s="1"/>
  <c r="B183" i="8"/>
  <c r="D183" i="8" s="1"/>
  <c r="B182" i="8"/>
  <c r="D182" i="8" s="1"/>
  <c r="B181" i="8"/>
  <c r="D181" i="8" s="1"/>
  <c r="B180" i="8"/>
  <c r="D180" i="8" s="1"/>
  <c r="B179" i="8"/>
  <c r="D179" i="8" s="1"/>
  <c r="B178" i="8"/>
  <c r="D178" i="8" s="1"/>
  <c r="B177" i="8"/>
  <c r="D177" i="8" s="1"/>
  <c r="B176" i="8"/>
  <c r="D176" i="8" s="1"/>
  <c r="B175" i="8"/>
  <c r="D175" i="8" s="1"/>
  <c r="B174" i="8"/>
  <c r="D174" i="8" s="1"/>
  <c r="B173" i="8"/>
  <c r="D173" i="8" s="1"/>
  <c r="B172" i="8"/>
  <c r="D172" i="8" s="1"/>
  <c r="B171" i="8"/>
  <c r="D171" i="8" s="1"/>
  <c r="B170" i="8"/>
  <c r="D170" i="8" s="1"/>
  <c r="B165" i="8"/>
  <c r="B164" i="8"/>
  <c r="B161" i="8"/>
  <c r="D161" i="8" s="1"/>
  <c r="B160" i="8"/>
  <c r="D160" i="8" s="1"/>
  <c r="B159" i="8"/>
  <c r="D159" i="8" s="1"/>
  <c r="B158" i="8"/>
  <c r="D158" i="8" s="1"/>
  <c r="B157" i="8"/>
  <c r="D157" i="8" s="1"/>
  <c r="B156" i="8"/>
  <c r="D156" i="8" s="1"/>
  <c r="B155" i="8"/>
  <c r="D155" i="8" s="1"/>
  <c r="B154" i="8"/>
  <c r="D154" i="8" s="1"/>
  <c r="B153" i="8"/>
  <c r="D153" i="8" s="1"/>
  <c r="B152" i="8"/>
  <c r="D152" i="8" s="1"/>
  <c r="B151" i="8"/>
  <c r="D151" i="8" s="1"/>
  <c r="B150" i="8"/>
  <c r="D150" i="8" s="1"/>
  <c r="B149" i="8"/>
  <c r="D149" i="8" s="1"/>
  <c r="B148" i="8"/>
  <c r="D148" i="8" s="1"/>
  <c r="B147" i="8"/>
  <c r="D147" i="8" s="1"/>
  <c r="B146" i="8"/>
  <c r="D146" i="8" s="1"/>
  <c r="B145" i="8"/>
  <c r="D145" i="8" s="1"/>
  <c r="B144" i="8"/>
  <c r="D144" i="8" s="1"/>
  <c r="B143" i="8"/>
  <c r="D143" i="8" s="1"/>
  <c r="B142" i="8"/>
  <c r="D142" i="8" s="1"/>
  <c r="B141" i="8"/>
  <c r="D141" i="8" s="1"/>
  <c r="B140" i="8"/>
  <c r="D140" i="8" s="1"/>
  <c r="B138" i="8"/>
  <c r="D138" i="8" s="1"/>
  <c r="B137" i="8"/>
  <c r="D137" i="8" s="1"/>
  <c r="B136" i="8"/>
  <c r="D136" i="8" s="1"/>
  <c r="B135" i="8"/>
  <c r="D135" i="8" s="1"/>
  <c r="B134" i="8"/>
  <c r="D134" i="8" s="1"/>
  <c r="B130" i="8"/>
  <c r="D130" i="8" s="1"/>
  <c r="B129" i="8"/>
  <c r="D129" i="8" s="1"/>
  <c r="B128" i="8"/>
  <c r="D128" i="8" s="1"/>
  <c r="B127" i="8"/>
  <c r="D127" i="8" s="1"/>
  <c r="B126" i="8"/>
  <c r="D126" i="8" s="1"/>
  <c r="B125" i="8"/>
  <c r="D125" i="8" s="1"/>
  <c r="B124" i="8"/>
  <c r="D124" i="8" s="1"/>
  <c r="B123" i="8"/>
  <c r="D123" i="8" s="1"/>
  <c r="B122" i="8"/>
  <c r="D122" i="8" s="1"/>
  <c r="B121" i="8"/>
  <c r="D121" i="8" s="1"/>
  <c r="B120" i="8"/>
  <c r="D120" i="8" s="1"/>
  <c r="B119" i="8"/>
  <c r="D119" i="8" s="1"/>
  <c r="B118" i="8"/>
  <c r="D118" i="8" s="1"/>
  <c r="B117" i="8"/>
  <c r="D117" i="8" s="1"/>
  <c r="B116" i="8"/>
  <c r="D116" i="8" s="1"/>
  <c r="B115" i="8"/>
  <c r="D115" i="8" s="1"/>
  <c r="B114" i="8"/>
  <c r="D114" i="8" s="1"/>
  <c r="B113" i="8"/>
  <c r="D113" i="8" s="1"/>
  <c r="B112" i="8"/>
  <c r="D112" i="8" s="1"/>
  <c r="B111" i="8"/>
  <c r="D111" i="8" s="1"/>
  <c r="B110" i="8"/>
  <c r="D110" i="8" s="1"/>
  <c r="B109" i="8"/>
  <c r="D109" i="8" s="1"/>
  <c r="B108" i="8"/>
  <c r="D108" i="8" s="1"/>
  <c r="B107" i="8"/>
  <c r="D107" i="8" s="1"/>
  <c r="B106" i="8"/>
  <c r="D106" i="8" s="1"/>
  <c r="B105" i="8"/>
  <c r="D105" i="8" s="1"/>
  <c r="B104" i="8"/>
  <c r="D104" i="8" s="1"/>
  <c r="B103" i="8"/>
  <c r="D103" i="8" s="1"/>
  <c r="B102" i="8"/>
  <c r="D102" i="8" s="1"/>
  <c r="B101" i="8"/>
  <c r="D101" i="8" s="1"/>
  <c r="B100" i="8"/>
  <c r="D100" i="8" s="1"/>
  <c r="B99" i="8"/>
  <c r="D99" i="8" s="1"/>
  <c r="B98" i="8"/>
  <c r="D98" i="8" s="1"/>
  <c r="B97" i="8"/>
  <c r="D97" i="8" s="1"/>
  <c r="B96" i="8"/>
  <c r="D96" i="8" s="1"/>
  <c r="B95" i="8"/>
  <c r="D95" i="8" s="1"/>
  <c r="B94" i="8"/>
  <c r="D94" i="8" s="1"/>
  <c r="B93" i="8"/>
  <c r="D93" i="8" s="1"/>
  <c r="B92" i="8"/>
  <c r="D92" i="8" s="1"/>
  <c r="B91" i="8"/>
  <c r="D91" i="8" s="1"/>
  <c r="B90" i="8"/>
  <c r="D90" i="8" s="1"/>
  <c r="B89" i="8"/>
  <c r="D89" i="8" s="1"/>
  <c r="B88" i="8"/>
  <c r="D88" i="8" s="1"/>
  <c r="B87" i="8"/>
  <c r="D87" i="8" s="1"/>
  <c r="B86" i="8"/>
  <c r="D86" i="8" s="1"/>
  <c r="B85" i="8"/>
  <c r="D85" i="8" s="1"/>
  <c r="B84" i="8"/>
  <c r="D84" i="8" s="1"/>
  <c r="B83" i="8"/>
  <c r="D83" i="8" s="1"/>
  <c r="B68" i="8"/>
  <c r="D68" i="8" s="1"/>
  <c r="B67" i="8"/>
  <c r="D67" i="8" s="1"/>
  <c r="B66" i="8"/>
  <c r="D66" i="8" s="1"/>
  <c r="B65" i="8"/>
  <c r="D65" i="8" s="1"/>
  <c r="B64" i="8"/>
  <c r="D64" i="8" s="1"/>
  <c r="B63" i="8"/>
  <c r="D63" i="8" s="1"/>
  <c r="B62" i="8"/>
  <c r="D62" i="8" s="1"/>
  <c r="B61" i="8"/>
  <c r="D61" i="8" s="1"/>
  <c r="B60" i="8"/>
  <c r="D60" i="8" s="1"/>
  <c r="B59" i="8"/>
  <c r="D59" i="8" s="1"/>
  <c r="B58" i="8"/>
  <c r="D58" i="8" s="1"/>
  <c r="B57" i="8"/>
  <c r="D57" i="8" s="1"/>
  <c r="B56" i="8"/>
  <c r="D56" i="8" s="1"/>
  <c r="B55" i="8"/>
  <c r="D55" i="8" s="1"/>
  <c r="B54" i="8"/>
  <c r="D54" i="8" s="1"/>
  <c r="B53" i="8"/>
  <c r="D53" i="8" s="1"/>
  <c r="B51" i="8"/>
  <c r="D51" i="8" s="1"/>
  <c r="B50" i="8"/>
  <c r="D50" i="8" s="1"/>
  <c r="B49" i="8"/>
  <c r="D49" i="8" s="1"/>
  <c r="B48" i="8"/>
  <c r="D48" i="8" s="1"/>
  <c r="B47" i="8"/>
  <c r="D47" i="8" s="1"/>
  <c r="B46" i="8"/>
  <c r="D46" i="8" s="1"/>
  <c r="B45" i="8"/>
  <c r="D45" i="8" s="1"/>
  <c r="B44" i="8"/>
  <c r="D44" i="8" s="1"/>
  <c r="B43" i="8"/>
  <c r="D43" i="8" s="1"/>
  <c r="B42" i="8"/>
  <c r="D42" i="8" s="1"/>
  <c r="B41" i="8"/>
  <c r="D41" i="8" s="1"/>
  <c r="B40" i="8"/>
  <c r="D40" i="8" s="1"/>
  <c r="B39" i="8"/>
  <c r="D39" i="8" s="1"/>
  <c r="B38" i="8"/>
  <c r="D38" i="8" s="1"/>
  <c r="B35" i="8"/>
  <c r="D35" i="8" s="1"/>
  <c r="B34" i="8"/>
  <c r="D34" i="8" s="1"/>
  <c r="B33" i="8"/>
  <c r="D33" i="8" s="1"/>
  <c r="B32" i="8"/>
  <c r="D32" i="8" s="1"/>
  <c r="B31" i="8"/>
  <c r="D31" i="8" s="1"/>
  <c r="B30" i="8"/>
  <c r="D30" i="8" s="1"/>
  <c r="B29" i="8"/>
  <c r="D29" i="8" s="1"/>
  <c r="B20" i="8"/>
  <c r="D20" i="8" s="1"/>
  <c r="B19" i="8"/>
  <c r="D19" i="8" s="1"/>
  <c r="B18" i="8"/>
  <c r="D18" i="8" s="1"/>
  <c r="B15" i="8"/>
  <c r="D15" i="8" s="1"/>
  <c r="B14" i="8"/>
  <c r="D14" i="8" s="1"/>
  <c r="B13" i="8"/>
  <c r="D13" i="8" s="1"/>
  <c r="B12" i="8"/>
  <c r="D12" i="8" s="1"/>
  <c r="B11" i="8"/>
  <c r="D11" i="8" s="1"/>
  <c r="B10" i="8"/>
  <c r="D10" i="8" s="1"/>
  <c r="B9" i="8"/>
  <c r="D9" i="8" s="1"/>
  <c r="B8" i="8"/>
  <c r="D8" i="8" s="1"/>
  <c r="B7" i="8"/>
  <c r="D7" i="8" s="1"/>
  <c r="E13" i="8" l="1"/>
  <c r="F13" i="8"/>
  <c r="G13" i="8"/>
  <c r="I13" i="8"/>
  <c r="H13" i="8"/>
  <c r="G31" i="8"/>
  <c r="E31" i="8"/>
  <c r="F31" i="8"/>
  <c r="E41" i="8"/>
  <c r="G41" i="8"/>
  <c r="I41" i="8"/>
  <c r="H41" i="8"/>
  <c r="F41" i="8"/>
  <c r="E49" i="8"/>
  <c r="G49" i="8"/>
  <c r="I49" i="8"/>
  <c r="F49" i="8"/>
  <c r="H49" i="8"/>
  <c r="E62" i="8"/>
  <c r="F62" i="8"/>
  <c r="H62" i="8"/>
  <c r="G62" i="8"/>
  <c r="I62" i="8"/>
  <c r="H84" i="8"/>
  <c r="E84" i="8"/>
  <c r="I84" i="8"/>
  <c r="G84" i="8"/>
  <c r="F84" i="8"/>
  <c r="E92" i="8"/>
  <c r="F92" i="8"/>
  <c r="I92" i="8"/>
  <c r="H92" i="8"/>
  <c r="G92" i="8"/>
  <c r="E100" i="8"/>
  <c r="H100" i="8"/>
  <c r="I100" i="8"/>
  <c r="F100" i="8"/>
  <c r="G100" i="8"/>
  <c r="E112" i="8"/>
  <c r="F112" i="8"/>
  <c r="I112" i="8"/>
  <c r="G112" i="8"/>
  <c r="H112" i="8"/>
  <c r="E120" i="8"/>
  <c r="H120" i="8"/>
  <c r="F120" i="8"/>
  <c r="G120" i="8"/>
  <c r="I120" i="8"/>
  <c r="E128" i="8"/>
  <c r="F128" i="8"/>
  <c r="I128" i="8"/>
  <c r="G128" i="8"/>
  <c r="H128" i="8"/>
  <c r="G140" i="8"/>
  <c r="I140" i="8"/>
  <c r="F140" i="8"/>
  <c r="H140" i="8"/>
  <c r="E140" i="8"/>
  <c r="G148" i="8"/>
  <c r="I148" i="8"/>
  <c r="E148" i="8"/>
  <c r="F148" i="8"/>
  <c r="H148" i="8"/>
  <c r="G160" i="8"/>
  <c r="I160" i="8"/>
  <c r="E160" i="8"/>
  <c r="F160" i="8"/>
  <c r="H160" i="8"/>
  <c r="E174" i="8"/>
  <c r="H174" i="8"/>
  <c r="G174" i="8"/>
  <c r="I174" i="8"/>
  <c r="F174" i="8"/>
  <c r="E182" i="8"/>
  <c r="F182" i="8"/>
  <c r="H182" i="8"/>
  <c r="I182" i="8"/>
  <c r="G182" i="8"/>
  <c r="F191" i="8"/>
  <c r="G191" i="8"/>
  <c r="I191" i="8"/>
  <c r="E191" i="8"/>
  <c r="H191" i="8"/>
  <c r="H201" i="8"/>
  <c r="E201" i="8"/>
  <c r="F201" i="8"/>
  <c r="G201" i="8"/>
  <c r="I201" i="8"/>
  <c r="H209" i="8"/>
  <c r="E209" i="8"/>
  <c r="F209" i="8"/>
  <c r="G209" i="8"/>
  <c r="I209" i="8"/>
  <c r="F227" i="8"/>
  <c r="G227" i="8"/>
  <c r="I227" i="8"/>
  <c r="E227" i="8"/>
  <c r="H227" i="8"/>
  <c r="E250" i="8"/>
  <c r="G250" i="8"/>
  <c r="F250" i="8"/>
  <c r="F271" i="8"/>
  <c r="H271" i="8"/>
  <c r="E271" i="8"/>
  <c r="I271" i="8"/>
  <c r="G271" i="8"/>
  <c r="G284" i="8"/>
  <c r="I284" i="8"/>
  <c r="E284" i="8"/>
  <c r="H284" i="8"/>
  <c r="F284" i="8"/>
  <c r="G304" i="8"/>
  <c r="I304" i="8"/>
  <c r="H304" i="8"/>
  <c r="E304" i="8"/>
  <c r="F304" i="8"/>
  <c r="H318" i="8"/>
  <c r="F318" i="8"/>
  <c r="G318" i="8"/>
  <c r="E318" i="8"/>
  <c r="I318" i="8"/>
  <c r="F42" i="8"/>
  <c r="H42" i="8"/>
  <c r="I42" i="8"/>
  <c r="E42" i="8"/>
  <c r="G42" i="8"/>
  <c r="F279" i="8"/>
  <c r="E279" i="8"/>
  <c r="I279" i="8"/>
  <c r="H279" i="8"/>
  <c r="G279" i="8"/>
  <c r="E294" i="8"/>
  <c r="F294" i="8"/>
  <c r="G294" i="8"/>
  <c r="G309" i="8"/>
  <c r="I309" i="8"/>
  <c r="E309" i="8"/>
  <c r="F309" i="8"/>
  <c r="H309" i="8"/>
  <c r="F14" i="8"/>
  <c r="G14" i="8"/>
  <c r="I14" i="8"/>
  <c r="H14" i="8"/>
  <c r="E14" i="8"/>
  <c r="F46" i="8"/>
  <c r="H46" i="8"/>
  <c r="G46" i="8"/>
  <c r="E46" i="8"/>
  <c r="I46" i="8"/>
  <c r="F109" i="8"/>
  <c r="E109" i="8"/>
  <c r="I109" i="8"/>
  <c r="G109" i="8"/>
  <c r="H109" i="8"/>
  <c r="F117" i="8"/>
  <c r="H117" i="8"/>
  <c r="E117" i="8"/>
  <c r="G117" i="8"/>
  <c r="I117" i="8"/>
  <c r="G136" i="8"/>
  <c r="I136" i="8"/>
  <c r="E136" i="8"/>
  <c r="F136" i="8"/>
  <c r="H136" i="8"/>
  <c r="E210" i="8"/>
  <c r="F210" i="8"/>
  <c r="G210" i="8"/>
  <c r="H210" i="8"/>
  <c r="I210" i="8"/>
  <c r="G220" i="8"/>
  <c r="I220" i="8"/>
  <c r="E220" i="8"/>
  <c r="F220" i="8"/>
  <c r="H220" i="8"/>
  <c r="E234" i="8"/>
  <c r="G234" i="8"/>
  <c r="F234" i="8"/>
  <c r="I234" i="8"/>
  <c r="H234" i="8"/>
  <c r="F247" i="8"/>
  <c r="E247" i="8"/>
  <c r="G247" i="8"/>
  <c r="F255" i="8"/>
  <c r="G255" i="8"/>
  <c r="E255" i="8"/>
  <c r="F263" i="8"/>
  <c r="G263" i="8"/>
  <c r="E263" i="8"/>
  <c r="G272" i="8"/>
  <c r="I272" i="8"/>
  <c r="F272" i="8"/>
  <c r="E272" i="8"/>
  <c r="H272" i="8"/>
  <c r="G280" i="8"/>
  <c r="I280" i="8"/>
  <c r="F280" i="8"/>
  <c r="H280" i="8"/>
  <c r="E280" i="8"/>
  <c r="F295" i="8"/>
  <c r="G295" i="8"/>
  <c r="E295" i="8"/>
  <c r="H305" i="8"/>
  <c r="F305" i="8"/>
  <c r="I305" i="8"/>
  <c r="E305" i="8"/>
  <c r="G305" i="8"/>
  <c r="E315" i="8"/>
  <c r="G315" i="8"/>
  <c r="I315" i="8"/>
  <c r="F315" i="8"/>
  <c r="H315" i="8"/>
  <c r="E25" i="8"/>
  <c r="F25" i="8"/>
  <c r="G25" i="8"/>
  <c r="I25" i="8"/>
  <c r="H25" i="8"/>
  <c r="G11" i="8"/>
  <c r="I11" i="8"/>
  <c r="H11" i="8"/>
  <c r="E11" i="8"/>
  <c r="F11" i="8"/>
  <c r="G15" i="8"/>
  <c r="I15" i="8"/>
  <c r="H15" i="8"/>
  <c r="E15" i="8"/>
  <c r="F15" i="8"/>
  <c r="E29" i="8"/>
  <c r="G29" i="8"/>
  <c r="F29" i="8"/>
  <c r="E33" i="8"/>
  <c r="G33" i="8"/>
  <c r="F33" i="8"/>
  <c r="G39" i="8"/>
  <c r="I39" i="8"/>
  <c r="E39" i="8"/>
  <c r="H39" i="8"/>
  <c r="F39" i="8"/>
  <c r="G43" i="8"/>
  <c r="I43" i="8"/>
  <c r="E43" i="8"/>
  <c r="F43" i="8"/>
  <c r="H43" i="8"/>
  <c r="G47" i="8"/>
  <c r="I47" i="8"/>
  <c r="E47" i="8"/>
  <c r="H47" i="8"/>
  <c r="F47" i="8"/>
  <c r="G51" i="8"/>
  <c r="I51" i="8"/>
  <c r="E51" i="8"/>
  <c r="F51" i="8"/>
  <c r="H51" i="8"/>
  <c r="H56" i="8"/>
  <c r="F56" i="8"/>
  <c r="I56" i="8"/>
  <c r="E56" i="8"/>
  <c r="G56" i="8"/>
  <c r="G60" i="8"/>
  <c r="I60" i="8"/>
  <c r="H60" i="8"/>
  <c r="F60" i="8"/>
  <c r="E60" i="8"/>
  <c r="G64" i="8"/>
  <c r="I64" i="8"/>
  <c r="H64" i="8"/>
  <c r="F64" i="8"/>
  <c r="E64" i="8"/>
  <c r="G68" i="8"/>
  <c r="I68" i="8"/>
  <c r="H68" i="8"/>
  <c r="F68" i="8"/>
  <c r="E68" i="8"/>
  <c r="F86" i="8"/>
  <c r="G86" i="8"/>
  <c r="I86" i="8"/>
  <c r="E86" i="8"/>
  <c r="H86" i="8"/>
  <c r="F90" i="8"/>
  <c r="G90" i="8"/>
  <c r="I90" i="8"/>
  <c r="H90" i="8"/>
  <c r="E90" i="8"/>
  <c r="G94" i="8"/>
  <c r="I94" i="8"/>
  <c r="H94" i="8"/>
  <c r="E94" i="8"/>
  <c r="F94" i="8"/>
  <c r="G98" i="8"/>
  <c r="I98" i="8"/>
  <c r="F98" i="8"/>
  <c r="E98" i="8"/>
  <c r="H98" i="8"/>
  <c r="G102" i="8"/>
  <c r="I102" i="8"/>
  <c r="F102" i="8"/>
  <c r="H102" i="8"/>
  <c r="E102" i="8"/>
  <c r="G106" i="8"/>
  <c r="I106" i="8"/>
  <c r="E106" i="8"/>
  <c r="F106" i="8"/>
  <c r="H106" i="8"/>
  <c r="G110" i="8"/>
  <c r="I110" i="8"/>
  <c r="E110" i="8"/>
  <c r="F110" i="8"/>
  <c r="H110" i="8"/>
  <c r="G114" i="8"/>
  <c r="I114" i="8"/>
  <c r="H114" i="8"/>
  <c r="E114" i="8"/>
  <c r="F114" i="8"/>
  <c r="G118" i="8"/>
  <c r="I118" i="8"/>
  <c r="F118" i="8"/>
  <c r="H118" i="8"/>
  <c r="E118" i="8"/>
  <c r="G122" i="8"/>
  <c r="I122" i="8"/>
  <c r="E122" i="8"/>
  <c r="F122" i="8"/>
  <c r="H122" i="8"/>
  <c r="G126" i="8"/>
  <c r="I126" i="8"/>
  <c r="E126" i="8"/>
  <c r="F126" i="8"/>
  <c r="H126" i="8"/>
  <c r="G130" i="8"/>
  <c r="I130" i="8"/>
  <c r="H130" i="8"/>
  <c r="E130" i="8"/>
  <c r="F130" i="8"/>
  <c r="H137" i="8"/>
  <c r="E137" i="8"/>
  <c r="F137" i="8"/>
  <c r="G137" i="8"/>
  <c r="I137" i="8"/>
  <c r="E142" i="8"/>
  <c r="H142" i="8"/>
  <c r="I142" i="8"/>
  <c r="F142" i="8"/>
  <c r="G142" i="8"/>
  <c r="E146" i="8"/>
  <c r="G146" i="8"/>
  <c r="H146" i="8"/>
  <c r="F146" i="8"/>
  <c r="I146" i="8"/>
  <c r="E150" i="8"/>
  <c r="F150" i="8"/>
  <c r="I150" i="8"/>
  <c r="G150" i="8"/>
  <c r="H150" i="8"/>
  <c r="E154" i="8"/>
  <c r="F154" i="8"/>
  <c r="I154" i="8"/>
  <c r="G154" i="8"/>
  <c r="H154" i="8"/>
  <c r="E158" i="8"/>
  <c r="H158" i="8"/>
  <c r="F158" i="8"/>
  <c r="G158" i="8"/>
  <c r="I158" i="8"/>
  <c r="G172" i="8"/>
  <c r="I172" i="8"/>
  <c r="F172" i="8"/>
  <c r="H172" i="8"/>
  <c r="E172" i="8"/>
  <c r="G176" i="8"/>
  <c r="I176" i="8"/>
  <c r="E176" i="8"/>
  <c r="F176" i="8"/>
  <c r="H176" i="8"/>
  <c r="G180" i="8"/>
  <c r="I180" i="8"/>
  <c r="H180" i="8"/>
  <c r="F180" i="8"/>
  <c r="E180" i="8"/>
  <c r="G184" i="8"/>
  <c r="I184" i="8"/>
  <c r="H184" i="8"/>
  <c r="F184" i="8"/>
  <c r="E184" i="8"/>
  <c r="G188" i="8"/>
  <c r="I188" i="8"/>
  <c r="H188" i="8"/>
  <c r="F188" i="8"/>
  <c r="E188" i="8"/>
  <c r="F195" i="8"/>
  <c r="G195" i="8"/>
  <c r="I195" i="8"/>
  <c r="H195" i="8"/>
  <c r="E195" i="8"/>
  <c r="F199" i="8"/>
  <c r="G199" i="8"/>
  <c r="I199" i="8"/>
  <c r="H199" i="8"/>
  <c r="E199" i="8"/>
  <c r="F203" i="8"/>
  <c r="G203" i="8"/>
  <c r="I203" i="8"/>
  <c r="H203" i="8"/>
  <c r="E203" i="8"/>
  <c r="F207" i="8"/>
  <c r="G207" i="8"/>
  <c r="I207" i="8"/>
  <c r="H207" i="8"/>
  <c r="E207" i="8"/>
  <c r="F211" i="8"/>
  <c r="E211" i="8"/>
  <c r="I211" i="8"/>
  <c r="G211" i="8"/>
  <c r="H211" i="8"/>
  <c r="F215" i="8"/>
  <c r="I215" i="8"/>
  <c r="G215" i="8"/>
  <c r="E215" i="8"/>
  <c r="H215" i="8"/>
  <c r="H221" i="8"/>
  <c r="F221" i="8"/>
  <c r="E221" i="8"/>
  <c r="G221" i="8"/>
  <c r="I221" i="8"/>
  <c r="H225" i="8"/>
  <c r="G225" i="8"/>
  <c r="F225" i="8"/>
  <c r="E225" i="8"/>
  <c r="I225" i="8"/>
  <c r="F235" i="8"/>
  <c r="E235" i="8"/>
  <c r="I235" i="8"/>
  <c r="G235" i="8"/>
  <c r="H235" i="8"/>
  <c r="F239" i="8"/>
  <c r="I239" i="8"/>
  <c r="G239" i="8"/>
  <c r="E239" i="8"/>
  <c r="H239" i="8"/>
  <c r="F243" i="8"/>
  <c r="H243" i="8"/>
  <c r="I243" i="8"/>
  <c r="G243" i="8"/>
  <c r="E243" i="8"/>
  <c r="G248" i="8"/>
  <c r="E248" i="8"/>
  <c r="F248" i="8"/>
  <c r="G252" i="8"/>
  <c r="F252" i="8"/>
  <c r="E252" i="8"/>
  <c r="G256" i="8"/>
  <c r="E256" i="8"/>
  <c r="F256" i="8"/>
  <c r="G260" i="8"/>
  <c r="F260" i="8"/>
  <c r="E260" i="8"/>
  <c r="G264" i="8"/>
  <c r="E264" i="8"/>
  <c r="F264" i="8"/>
  <c r="H269" i="8"/>
  <c r="F269" i="8"/>
  <c r="I269" i="8"/>
  <c r="E269" i="8"/>
  <c r="G269" i="8"/>
  <c r="H273" i="8"/>
  <c r="E273" i="8"/>
  <c r="G273" i="8"/>
  <c r="F273" i="8"/>
  <c r="I273" i="8"/>
  <c r="H277" i="8"/>
  <c r="F277" i="8"/>
  <c r="I277" i="8"/>
  <c r="G277" i="8"/>
  <c r="E277" i="8"/>
  <c r="H281" i="8"/>
  <c r="G281" i="8"/>
  <c r="E281" i="8"/>
  <c r="F281" i="8"/>
  <c r="I281" i="8"/>
  <c r="E286" i="8"/>
  <c r="G286" i="8"/>
  <c r="H286" i="8"/>
  <c r="I286" i="8"/>
  <c r="F286" i="8"/>
  <c r="F291" i="8"/>
  <c r="G291" i="8"/>
  <c r="E291" i="8"/>
  <c r="H291" i="8"/>
  <c r="I291" i="8"/>
  <c r="G296" i="8"/>
  <c r="E296" i="8"/>
  <c r="F296" i="8"/>
  <c r="E302" i="8"/>
  <c r="F302" i="8"/>
  <c r="I302" i="8"/>
  <c r="H302" i="8"/>
  <c r="G302" i="8"/>
  <c r="E306" i="8"/>
  <c r="G306" i="8"/>
  <c r="F306" i="8"/>
  <c r="H306" i="8"/>
  <c r="I306" i="8"/>
  <c r="F312" i="8"/>
  <c r="H312" i="8"/>
  <c r="I312" i="8"/>
  <c r="G312" i="8"/>
  <c r="E312" i="8"/>
  <c r="F316" i="8"/>
  <c r="H316" i="8"/>
  <c r="E316" i="8"/>
  <c r="G316" i="8"/>
  <c r="I316" i="8"/>
  <c r="F22" i="8"/>
  <c r="G22" i="8"/>
  <c r="I22" i="8"/>
  <c r="H22" i="8"/>
  <c r="E22" i="8"/>
  <c r="F26" i="8"/>
  <c r="G26" i="8"/>
  <c r="I26" i="8"/>
  <c r="H26" i="8"/>
  <c r="E26" i="8"/>
  <c r="E9" i="8"/>
  <c r="F9" i="8"/>
  <c r="G9" i="8"/>
  <c r="I9" i="8"/>
  <c r="H9" i="8"/>
  <c r="G19" i="8"/>
  <c r="I19" i="8"/>
  <c r="H19" i="8"/>
  <c r="E19" i="8"/>
  <c r="F19" i="8"/>
  <c r="G35" i="8"/>
  <c r="E35" i="8"/>
  <c r="F35" i="8"/>
  <c r="E45" i="8"/>
  <c r="G45" i="8"/>
  <c r="I45" i="8"/>
  <c r="F45" i="8"/>
  <c r="H45" i="8"/>
  <c r="F54" i="8"/>
  <c r="H54" i="8"/>
  <c r="I54" i="8"/>
  <c r="G54" i="8"/>
  <c r="E54" i="8"/>
  <c r="F58" i="8"/>
  <c r="H58" i="8"/>
  <c r="E58" i="8"/>
  <c r="G58" i="8"/>
  <c r="I58" i="8"/>
  <c r="E66" i="8"/>
  <c r="F66" i="8"/>
  <c r="G66" i="8"/>
  <c r="H66" i="8"/>
  <c r="I66" i="8"/>
  <c r="H88" i="8"/>
  <c r="E88" i="8"/>
  <c r="G88" i="8"/>
  <c r="I88" i="8"/>
  <c r="F88" i="8"/>
  <c r="E96" i="8"/>
  <c r="H96" i="8"/>
  <c r="I96" i="8"/>
  <c r="F96" i="8"/>
  <c r="G96" i="8"/>
  <c r="E104" i="8"/>
  <c r="H104" i="8"/>
  <c r="I104" i="8"/>
  <c r="F104" i="8"/>
  <c r="G104" i="8"/>
  <c r="E108" i="8"/>
  <c r="G108" i="8"/>
  <c r="H108" i="8"/>
  <c r="F108" i="8"/>
  <c r="I108" i="8"/>
  <c r="E116" i="8"/>
  <c r="F116" i="8"/>
  <c r="I116" i="8"/>
  <c r="G116" i="8"/>
  <c r="H116" i="8"/>
  <c r="E124" i="8"/>
  <c r="G124" i="8"/>
  <c r="H124" i="8"/>
  <c r="I124" i="8"/>
  <c r="F124" i="8"/>
  <c r="F135" i="8"/>
  <c r="G135" i="8"/>
  <c r="H135" i="8"/>
  <c r="I135" i="8"/>
  <c r="E135" i="8"/>
  <c r="G144" i="8"/>
  <c r="I144" i="8"/>
  <c r="E144" i="8"/>
  <c r="F144" i="8"/>
  <c r="H144" i="8"/>
  <c r="G152" i="8"/>
  <c r="I152" i="8"/>
  <c r="H152" i="8"/>
  <c r="E152" i="8"/>
  <c r="F152" i="8"/>
  <c r="G156" i="8"/>
  <c r="I156" i="8"/>
  <c r="F156" i="8"/>
  <c r="H156" i="8"/>
  <c r="E156" i="8"/>
  <c r="E170" i="8"/>
  <c r="F170" i="8"/>
  <c r="I170" i="8"/>
  <c r="H170" i="8"/>
  <c r="G170" i="8"/>
  <c r="E178" i="8"/>
  <c r="G178" i="8"/>
  <c r="H178" i="8"/>
  <c r="I178" i="8"/>
  <c r="F178" i="8"/>
  <c r="E186" i="8"/>
  <c r="F186" i="8"/>
  <c r="H186" i="8"/>
  <c r="G186" i="8"/>
  <c r="I186" i="8"/>
  <c r="H197" i="8"/>
  <c r="E197" i="8"/>
  <c r="F197" i="8"/>
  <c r="I197" i="8"/>
  <c r="G197" i="8"/>
  <c r="H205" i="8"/>
  <c r="E205" i="8"/>
  <c r="F205" i="8"/>
  <c r="I205" i="8"/>
  <c r="G205" i="8"/>
  <c r="H213" i="8"/>
  <c r="G213" i="8"/>
  <c r="F213" i="8"/>
  <c r="E213" i="8"/>
  <c r="I213" i="8"/>
  <c r="F219" i="8"/>
  <c r="G219" i="8"/>
  <c r="E219" i="8"/>
  <c r="H219" i="8"/>
  <c r="I219" i="8"/>
  <c r="F223" i="8"/>
  <c r="E223" i="8"/>
  <c r="I223" i="8"/>
  <c r="G223" i="8"/>
  <c r="H223" i="8"/>
  <c r="H237" i="8"/>
  <c r="G237" i="8"/>
  <c r="F237" i="8"/>
  <c r="E237" i="8"/>
  <c r="I237" i="8"/>
  <c r="H241" i="8"/>
  <c r="F241" i="8"/>
  <c r="I241" i="8"/>
  <c r="G241" i="8"/>
  <c r="E241" i="8"/>
  <c r="H245" i="8"/>
  <c r="E245" i="8"/>
  <c r="I245" i="8"/>
  <c r="G245" i="8"/>
  <c r="F245" i="8"/>
  <c r="E254" i="8"/>
  <c r="F254" i="8"/>
  <c r="G254" i="8"/>
  <c r="E258" i="8"/>
  <c r="G258" i="8"/>
  <c r="F258" i="8"/>
  <c r="E262" i="8"/>
  <c r="F262" i="8"/>
  <c r="G262" i="8"/>
  <c r="F267" i="8"/>
  <c r="G267" i="8"/>
  <c r="E267" i="8"/>
  <c r="H267" i="8"/>
  <c r="I267" i="8"/>
  <c r="F275" i="8"/>
  <c r="G275" i="8"/>
  <c r="E275" i="8"/>
  <c r="I275" i="8"/>
  <c r="H275" i="8"/>
  <c r="H289" i="8"/>
  <c r="E289" i="8"/>
  <c r="G289" i="8"/>
  <c r="I289" i="8"/>
  <c r="F289" i="8"/>
  <c r="G300" i="8"/>
  <c r="I300" i="8"/>
  <c r="F300" i="8"/>
  <c r="E300" i="8"/>
  <c r="H300" i="8"/>
  <c r="H314" i="8"/>
  <c r="F314" i="8"/>
  <c r="I314" i="8"/>
  <c r="E314" i="8"/>
  <c r="G314" i="8"/>
  <c r="H24" i="8"/>
  <c r="E24" i="8"/>
  <c r="F24" i="8"/>
  <c r="I24" i="8"/>
  <c r="G24" i="8"/>
  <c r="F10" i="8"/>
  <c r="G10" i="8"/>
  <c r="I10" i="8"/>
  <c r="H10" i="8"/>
  <c r="E10" i="8"/>
  <c r="H20" i="8"/>
  <c r="E20" i="8"/>
  <c r="F20" i="8"/>
  <c r="G20" i="8"/>
  <c r="I20" i="8"/>
  <c r="F32" i="8"/>
  <c r="E32" i="8"/>
  <c r="G32" i="8"/>
  <c r="F38" i="8"/>
  <c r="H38" i="8"/>
  <c r="G38" i="8"/>
  <c r="I38" i="8"/>
  <c r="E38" i="8"/>
  <c r="F50" i="8"/>
  <c r="H50" i="8"/>
  <c r="I50" i="8"/>
  <c r="E50" i="8"/>
  <c r="G50" i="8"/>
  <c r="G55" i="8"/>
  <c r="I55" i="8"/>
  <c r="E55" i="8"/>
  <c r="F55" i="8"/>
  <c r="H55" i="8"/>
  <c r="E59" i="8"/>
  <c r="F59" i="8"/>
  <c r="G59" i="8"/>
  <c r="I59" i="8"/>
  <c r="H59" i="8"/>
  <c r="F63" i="8"/>
  <c r="G63" i="8"/>
  <c r="I63" i="8"/>
  <c r="E63" i="8"/>
  <c r="H63" i="8"/>
  <c r="F67" i="8"/>
  <c r="G67" i="8"/>
  <c r="I67" i="8"/>
  <c r="E67" i="8"/>
  <c r="H67" i="8"/>
  <c r="E85" i="8"/>
  <c r="F85" i="8"/>
  <c r="I85" i="8"/>
  <c r="G85" i="8"/>
  <c r="H85" i="8"/>
  <c r="E89" i="8"/>
  <c r="F89" i="8"/>
  <c r="H89" i="8"/>
  <c r="G89" i="8"/>
  <c r="I89" i="8"/>
  <c r="F93" i="8"/>
  <c r="H93" i="8"/>
  <c r="I93" i="8"/>
  <c r="E93" i="8"/>
  <c r="G93" i="8"/>
  <c r="F97" i="8"/>
  <c r="H97" i="8"/>
  <c r="I97" i="8"/>
  <c r="E97" i="8"/>
  <c r="G97" i="8"/>
  <c r="F101" i="8"/>
  <c r="H101" i="8"/>
  <c r="I101" i="8"/>
  <c r="E101" i="8"/>
  <c r="G101" i="8"/>
  <c r="F105" i="8"/>
  <c r="G105" i="8"/>
  <c r="H105" i="8"/>
  <c r="E105" i="8"/>
  <c r="I105" i="8"/>
  <c r="F113" i="8"/>
  <c r="E113" i="8"/>
  <c r="I113" i="8"/>
  <c r="G113" i="8"/>
  <c r="H113" i="8"/>
  <c r="F121" i="8"/>
  <c r="G121" i="8"/>
  <c r="H121" i="8"/>
  <c r="I121" i="8"/>
  <c r="E121" i="8"/>
  <c r="F125" i="8"/>
  <c r="E125" i="8"/>
  <c r="I125" i="8"/>
  <c r="G125" i="8"/>
  <c r="H125" i="8"/>
  <c r="F129" i="8"/>
  <c r="E129" i="8"/>
  <c r="I129" i="8"/>
  <c r="G129" i="8"/>
  <c r="H129" i="8"/>
  <c r="H141" i="8"/>
  <c r="E141" i="8"/>
  <c r="F141" i="8"/>
  <c r="I141" i="8"/>
  <c r="G141" i="8"/>
  <c r="H145" i="8"/>
  <c r="E145" i="8"/>
  <c r="I145" i="8"/>
  <c r="F145" i="8"/>
  <c r="G145" i="8"/>
  <c r="H149" i="8"/>
  <c r="G149" i="8"/>
  <c r="E149" i="8"/>
  <c r="F149" i="8"/>
  <c r="I149" i="8"/>
  <c r="H153" i="8"/>
  <c r="F153" i="8"/>
  <c r="I153" i="8"/>
  <c r="G153" i="8"/>
  <c r="E153" i="8"/>
  <c r="H157" i="8"/>
  <c r="E157" i="8"/>
  <c r="F157" i="8"/>
  <c r="I157" i="8"/>
  <c r="G157" i="8"/>
  <c r="H161" i="8"/>
  <c r="E161" i="8"/>
  <c r="F161" i="8"/>
  <c r="G161" i="8"/>
  <c r="I161" i="8"/>
  <c r="F171" i="8"/>
  <c r="H171" i="8"/>
  <c r="G171" i="8"/>
  <c r="I171" i="8"/>
  <c r="E171" i="8"/>
  <c r="F175" i="8"/>
  <c r="G175" i="8"/>
  <c r="H175" i="8"/>
  <c r="I175" i="8"/>
  <c r="E175" i="8"/>
  <c r="F179" i="8"/>
  <c r="E179" i="8"/>
  <c r="G179" i="8"/>
  <c r="I179" i="8"/>
  <c r="H179" i="8"/>
  <c r="F183" i="8"/>
  <c r="G183" i="8"/>
  <c r="I183" i="8"/>
  <c r="E183" i="8"/>
  <c r="H183" i="8"/>
  <c r="F187" i="8"/>
  <c r="G187" i="8"/>
  <c r="I187" i="8"/>
  <c r="E187" i="8"/>
  <c r="H187" i="8"/>
  <c r="G192" i="8"/>
  <c r="I192" i="8"/>
  <c r="H192" i="8"/>
  <c r="F192" i="8"/>
  <c r="E192" i="8"/>
  <c r="E198" i="8"/>
  <c r="F198" i="8"/>
  <c r="I198" i="8"/>
  <c r="G198" i="8"/>
  <c r="H198" i="8"/>
  <c r="E202" i="8"/>
  <c r="F202" i="8"/>
  <c r="G202" i="8"/>
  <c r="I202" i="8"/>
  <c r="H202" i="8"/>
  <c r="E206" i="8"/>
  <c r="F206" i="8"/>
  <c r="I206" i="8"/>
  <c r="G206" i="8"/>
  <c r="H206" i="8"/>
  <c r="E214" i="8"/>
  <c r="F214" i="8"/>
  <c r="I214" i="8"/>
  <c r="G214" i="8"/>
  <c r="H214" i="8"/>
  <c r="G224" i="8"/>
  <c r="I224" i="8"/>
  <c r="F224" i="8"/>
  <c r="H224" i="8"/>
  <c r="E224" i="8"/>
  <c r="E238" i="8"/>
  <c r="F238" i="8"/>
  <c r="I238" i="8"/>
  <c r="G238" i="8"/>
  <c r="H238" i="8"/>
  <c r="E242" i="8"/>
  <c r="I242" i="8"/>
  <c r="G242" i="8"/>
  <c r="H242" i="8"/>
  <c r="F242" i="8"/>
  <c r="F251" i="8"/>
  <c r="E251" i="8"/>
  <c r="G251" i="8"/>
  <c r="F259" i="8"/>
  <c r="E259" i="8"/>
  <c r="G259" i="8"/>
  <c r="G268" i="8"/>
  <c r="I268" i="8"/>
  <c r="H268" i="8"/>
  <c r="E268" i="8"/>
  <c r="F268" i="8"/>
  <c r="G276" i="8"/>
  <c r="I276" i="8"/>
  <c r="E276" i="8"/>
  <c r="H276" i="8"/>
  <c r="F276" i="8"/>
  <c r="H285" i="8"/>
  <c r="F285" i="8"/>
  <c r="I285" i="8"/>
  <c r="E285" i="8"/>
  <c r="G285" i="8"/>
  <c r="E290" i="8"/>
  <c r="H290" i="8"/>
  <c r="F290" i="8"/>
  <c r="I290" i="8"/>
  <c r="G290" i="8"/>
  <c r="H301" i="8"/>
  <c r="G301" i="8"/>
  <c r="E301" i="8"/>
  <c r="I301" i="8"/>
  <c r="F301" i="8"/>
  <c r="H310" i="8"/>
  <c r="F310" i="8"/>
  <c r="G310" i="8"/>
  <c r="E310" i="8"/>
  <c r="I310" i="8"/>
  <c r="E319" i="8"/>
  <c r="G319" i="8"/>
  <c r="I319" i="8"/>
  <c r="H319" i="8"/>
  <c r="F319" i="8"/>
  <c r="G7" i="8"/>
  <c r="I7" i="8"/>
  <c r="H7" i="8"/>
  <c r="E7" i="8"/>
  <c r="F7" i="8"/>
  <c r="H8" i="8"/>
  <c r="E8" i="8"/>
  <c r="F8" i="8"/>
  <c r="I8" i="8"/>
  <c r="G8" i="8"/>
  <c r="H12" i="8"/>
  <c r="E12" i="8"/>
  <c r="F12" i="8"/>
  <c r="G12" i="8"/>
  <c r="I12" i="8"/>
  <c r="F18" i="8"/>
  <c r="G18" i="8"/>
  <c r="I18" i="8"/>
  <c r="H18" i="8"/>
  <c r="E18" i="8"/>
  <c r="F30" i="8"/>
  <c r="G30" i="8"/>
  <c r="E30" i="8"/>
  <c r="F34" i="8"/>
  <c r="E34" i="8"/>
  <c r="G34" i="8"/>
  <c r="H40" i="8"/>
  <c r="F40" i="8"/>
  <c r="I40" i="8"/>
  <c r="E40" i="8"/>
  <c r="G40" i="8"/>
  <c r="H44" i="8"/>
  <c r="F44" i="8"/>
  <c r="E44" i="8"/>
  <c r="G44" i="8"/>
  <c r="I44" i="8"/>
  <c r="H48" i="8"/>
  <c r="F48" i="8"/>
  <c r="I48" i="8"/>
  <c r="G48" i="8"/>
  <c r="E48" i="8"/>
  <c r="E53" i="8"/>
  <c r="G53" i="8"/>
  <c r="I53" i="8"/>
  <c r="H53" i="8"/>
  <c r="F53" i="8"/>
  <c r="E57" i="8"/>
  <c r="G57" i="8"/>
  <c r="I57" i="8"/>
  <c r="F57" i="8"/>
  <c r="H57" i="8"/>
  <c r="H61" i="8"/>
  <c r="E61" i="8"/>
  <c r="G61" i="8"/>
  <c r="I61" i="8"/>
  <c r="F61" i="8"/>
  <c r="H65" i="8"/>
  <c r="E65" i="8"/>
  <c r="I65" i="8"/>
  <c r="F65" i="8"/>
  <c r="G65" i="8"/>
  <c r="G83" i="8"/>
  <c r="I83" i="8"/>
  <c r="H83" i="8"/>
  <c r="E83" i="8"/>
  <c r="F83" i="8"/>
  <c r="G87" i="8"/>
  <c r="I87" i="8"/>
  <c r="H87" i="8"/>
  <c r="F87" i="8"/>
  <c r="E87" i="8"/>
  <c r="H91" i="8"/>
  <c r="G91" i="8"/>
  <c r="I91" i="8"/>
  <c r="E91" i="8"/>
  <c r="F91" i="8"/>
  <c r="H95" i="8"/>
  <c r="F95" i="8"/>
  <c r="I95" i="8"/>
  <c r="E95" i="8"/>
  <c r="G95" i="8"/>
  <c r="H99" i="8"/>
  <c r="E99" i="8"/>
  <c r="I99" i="8"/>
  <c r="F99" i="8"/>
  <c r="G99" i="8"/>
  <c r="H103" i="8"/>
  <c r="E103" i="8"/>
  <c r="F103" i="8"/>
  <c r="I103" i="8"/>
  <c r="G103" i="8"/>
  <c r="H107" i="8"/>
  <c r="E107" i="8"/>
  <c r="I107" i="8"/>
  <c r="F107" i="8"/>
  <c r="G107" i="8"/>
  <c r="H111" i="8"/>
  <c r="G111" i="8"/>
  <c r="E111" i="8"/>
  <c r="F111" i="8"/>
  <c r="I111" i="8"/>
  <c r="H115" i="8"/>
  <c r="F115" i="8"/>
  <c r="I115" i="8"/>
  <c r="G115" i="8"/>
  <c r="E115" i="8"/>
  <c r="H119" i="8"/>
  <c r="E119" i="8"/>
  <c r="F119" i="8"/>
  <c r="I119" i="8"/>
  <c r="G119" i="8"/>
  <c r="H123" i="8"/>
  <c r="E123" i="8"/>
  <c r="F123" i="8"/>
  <c r="G123" i="8"/>
  <c r="I123" i="8"/>
  <c r="H127" i="8"/>
  <c r="G127" i="8"/>
  <c r="I127" i="8"/>
  <c r="E127" i="8"/>
  <c r="F127" i="8"/>
  <c r="E134" i="8"/>
  <c r="H134" i="8"/>
  <c r="F134" i="8"/>
  <c r="G134" i="8"/>
  <c r="I134" i="8"/>
  <c r="E138" i="8"/>
  <c r="G138" i="8"/>
  <c r="H138" i="8"/>
  <c r="I138" i="8"/>
  <c r="F138" i="8"/>
  <c r="F143" i="8"/>
  <c r="G143" i="8"/>
  <c r="H143" i="8"/>
  <c r="E143" i="8"/>
  <c r="I143" i="8"/>
  <c r="F147" i="8"/>
  <c r="E147" i="8"/>
  <c r="I147" i="8"/>
  <c r="G147" i="8"/>
  <c r="H147" i="8"/>
  <c r="F151" i="8"/>
  <c r="E151" i="8"/>
  <c r="I151" i="8"/>
  <c r="G151" i="8"/>
  <c r="H151" i="8"/>
  <c r="F155" i="8"/>
  <c r="H155" i="8"/>
  <c r="E155" i="8"/>
  <c r="G155" i="8"/>
  <c r="I155" i="8"/>
  <c r="F159" i="8"/>
  <c r="G159" i="8"/>
  <c r="H159" i="8"/>
  <c r="I159" i="8"/>
  <c r="E159" i="8"/>
  <c r="H173" i="8"/>
  <c r="E173" i="8"/>
  <c r="F173" i="8"/>
  <c r="I173" i="8"/>
  <c r="G173" i="8"/>
  <c r="H177" i="8"/>
  <c r="E177" i="8"/>
  <c r="G177" i="8"/>
  <c r="I177" i="8"/>
  <c r="F177" i="8"/>
  <c r="H181" i="8"/>
  <c r="E181" i="8"/>
  <c r="G181" i="8"/>
  <c r="I181" i="8"/>
  <c r="F181" i="8"/>
  <c r="H185" i="8"/>
  <c r="E185" i="8"/>
  <c r="I185" i="8"/>
  <c r="G185" i="8"/>
  <c r="F185" i="8"/>
  <c r="H189" i="8"/>
  <c r="E189" i="8"/>
  <c r="G189" i="8"/>
  <c r="I189" i="8"/>
  <c r="F189" i="8"/>
  <c r="G196" i="8"/>
  <c r="I196" i="8"/>
  <c r="H196" i="8"/>
  <c r="E196" i="8"/>
  <c r="F196" i="8"/>
  <c r="G200" i="8"/>
  <c r="I200" i="8"/>
  <c r="H200" i="8"/>
  <c r="E200" i="8"/>
  <c r="F200" i="8"/>
  <c r="G204" i="8"/>
  <c r="I204" i="8"/>
  <c r="H204" i="8"/>
  <c r="E204" i="8"/>
  <c r="F204" i="8"/>
  <c r="G208" i="8"/>
  <c r="I208" i="8"/>
  <c r="H208" i="8"/>
  <c r="E208" i="8"/>
  <c r="F208" i="8"/>
  <c r="G212" i="8"/>
  <c r="I212" i="8"/>
  <c r="F212" i="8"/>
  <c r="E212" i="8"/>
  <c r="H212" i="8"/>
  <c r="E218" i="8"/>
  <c r="H218" i="8"/>
  <c r="F218" i="8"/>
  <c r="I218" i="8"/>
  <c r="G218" i="8"/>
  <c r="E222" i="8"/>
  <c r="G222" i="8"/>
  <c r="F222" i="8"/>
  <c r="I222" i="8"/>
  <c r="H222" i="8"/>
  <c r="E226" i="8"/>
  <c r="F226" i="8"/>
  <c r="I226" i="8"/>
  <c r="G226" i="8"/>
  <c r="H226" i="8"/>
  <c r="G236" i="8"/>
  <c r="I236" i="8"/>
  <c r="F236" i="8"/>
  <c r="H236" i="8"/>
  <c r="E236" i="8"/>
  <c r="G240" i="8"/>
  <c r="I240" i="8"/>
  <c r="H240" i="8"/>
  <c r="F240" i="8"/>
  <c r="E240" i="8"/>
  <c r="G244" i="8"/>
  <c r="I244" i="8"/>
  <c r="F244" i="8"/>
  <c r="H244" i="8"/>
  <c r="E244" i="8"/>
  <c r="F249" i="8"/>
  <c r="E249" i="8"/>
  <c r="G249" i="8"/>
  <c r="G253" i="8"/>
  <c r="E253" i="8"/>
  <c r="F253" i="8"/>
  <c r="F257" i="8"/>
  <c r="G257" i="8"/>
  <c r="E257" i="8"/>
  <c r="E261" i="8"/>
  <c r="G261" i="8"/>
  <c r="F261" i="8"/>
  <c r="E266" i="8"/>
  <c r="F266" i="8"/>
  <c r="I266" i="8"/>
  <c r="H266" i="8"/>
  <c r="G266" i="8"/>
  <c r="E270" i="8"/>
  <c r="G270" i="8"/>
  <c r="F270" i="8"/>
  <c r="H270" i="8"/>
  <c r="I270" i="8"/>
  <c r="E274" i="8"/>
  <c r="H274" i="8"/>
  <c r="F274" i="8"/>
  <c r="I274" i="8"/>
  <c r="G274" i="8"/>
  <c r="E278" i="8"/>
  <c r="G278" i="8"/>
  <c r="F278" i="8"/>
  <c r="I278" i="8"/>
  <c r="H278" i="8"/>
  <c r="F283" i="8"/>
  <c r="G283" i="8"/>
  <c r="H283" i="8"/>
  <c r="I283" i="8"/>
  <c r="E283" i="8"/>
  <c r="F287" i="8"/>
  <c r="E287" i="8"/>
  <c r="I287" i="8"/>
  <c r="H287" i="8"/>
  <c r="G287" i="8"/>
  <c r="G292" i="8"/>
  <c r="I292" i="8"/>
  <c r="E292" i="8"/>
  <c r="H292" i="8"/>
  <c r="F292" i="8"/>
  <c r="F297" i="8"/>
  <c r="G297" i="8"/>
  <c r="E297" i="8"/>
  <c r="F303" i="8"/>
  <c r="G303" i="8"/>
  <c r="E303" i="8"/>
  <c r="H303" i="8"/>
  <c r="I303" i="8"/>
  <c r="F307" i="8"/>
  <c r="H307" i="8"/>
  <c r="E307" i="8"/>
  <c r="I307" i="8"/>
  <c r="G307" i="8"/>
  <c r="G313" i="8"/>
  <c r="I313" i="8"/>
  <c r="E313" i="8"/>
  <c r="H313" i="8"/>
  <c r="F313" i="8"/>
  <c r="G317" i="8"/>
  <c r="I317" i="8"/>
  <c r="E317" i="8"/>
  <c r="F317" i="8"/>
  <c r="H317" i="8"/>
  <c r="G23" i="8"/>
  <c r="I23" i="8"/>
  <c r="H23" i="8"/>
  <c r="E23" i="8"/>
  <c r="F23" i="8"/>
  <c r="G27" i="8"/>
  <c r="I27" i="8"/>
  <c r="H27" i="8"/>
  <c r="E27" i="8"/>
  <c r="F27" i="8"/>
  <c r="I3" i="4" l="1"/>
  <c r="H3" i="4"/>
  <c r="J7" i="8" l="1"/>
  <c r="K7" i="8"/>
  <c r="F27" i="10"/>
  <c r="I28" i="10"/>
  <c r="J28" i="10" s="1"/>
  <c r="F28" i="10"/>
  <c r="G28" i="10" s="1"/>
  <c r="K28" i="10" l="1"/>
  <c r="P218" i="4" s="1"/>
  <c r="Q218" i="4" s="1"/>
  <c r="G218" i="4" s="1"/>
  <c r="P222" i="4"/>
  <c r="Q222" i="4" s="1"/>
  <c r="G222" i="4" s="1"/>
  <c r="P230" i="4"/>
  <c r="Q230" i="4" s="1"/>
  <c r="G230" i="4" s="1"/>
  <c r="P234" i="4"/>
  <c r="Q234" i="4" s="1"/>
  <c r="G234" i="4" s="1"/>
  <c r="P224" i="4"/>
  <c r="Q224" i="4" s="1"/>
  <c r="G224" i="4" s="1"/>
  <c r="P232" i="4"/>
  <c r="Q232" i="4" s="1"/>
  <c r="G232" i="4" s="1"/>
  <c r="P217" i="4"/>
  <c r="Q217" i="4" s="1"/>
  <c r="G217" i="4" s="1"/>
  <c r="P221" i="4"/>
  <c r="Q221" i="4" s="1"/>
  <c r="G221" i="4" s="1"/>
  <c r="P225" i="4"/>
  <c r="Q225" i="4" s="1"/>
  <c r="G225" i="4" s="1"/>
  <c r="P229" i="4"/>
  <c r="Q229" i="4" s="1"/>
  <c r="G229" i="4" s="1"/>
  <c r="P233" i="4"/>
  <c r="Q233" i="4" s="1"/>
  <c r="G233" i="4" s="1"/>
  <c r="P219" i="4"/>
  <c r="Q219" i="4" s="1"/>
  <c r="G219" i="4" s="1"/>
  <c r="P223" i="4"/>
  <c r="Q223" i="4" s="1"/>
  <c r="G223" i="4" s="1"/>
  <c r="P227" i="4"/>
  <c r="Q227" i="4" s="1"/>
  <c r="G227" i="4" s="1"/>
  <c r="P231" i="4"/>
  <c r="Q231" i="4" s="1"/>
  <c r="G231" i="4" s="1"/>
  <c r="P220" i="4"/>
  <c r="Q220" i="4" s="1"/>
  <c r="G220" i="4" s="1"/>
  <c r="P228" i="4"/>
  <c r="Q228" i="4" s="1"/>
  <c r="G228" i="4" s="1"/>
  <c r="I120" i="4"/>
  <c r="K135" i="8" s="1"/>
  <c r="H120" i="4"/>
  <c r="J135" i="8" s="1"/>
  <c r="I10" i="4"/>
  <c r="K14" i="8" s="1"/>
  <c r="H10" i="4"/>
  <c r="J14" i="8" s="1"/>
  <c r="I6" i="4"/>
  <c r="K10" i="8" s="1"/>
  <c r="H6" i="4"/>
  <c r="J10" i="8" s="1"/>
  <c r="I276" i="4"/>
  <c r="K313" i="8" s="1"/>
  <c r="H274" i="4"/>
  <c r="J310" i="8" s="1"/>
  <c r="I274" i="4"/>
  <c r="K310" i="8" s="1"/>
  <c r="I123" i="4"/>
  <c r="K138" i="8" s="1"/>
  <c r="H123" i="4"/>
  <c r="J138" i="8" s="1"/>
  <c r="H119" i="4"/>
  <c r="J134" i="8" s="1"/>
  <c r="I119" i="4"/>
  <c r="K134" i="8" s="1"/>
  <c r="H133" i="8"/>
  <c r="I9" i="4"/>
  <c r="K13" i="8" s="1"/>
  <c r="H9" i="4"/>
  <c r="J13" i="8" s="1"/>
  <c r="I4" i="4"/>
  <c r="H4" i="4"/>
  <c r="H275" i="4"/>
  <c r="H278" i="4"/>
  <c r="J315" i="8" s="1"/>
  <c r="I273" i="4"/>
  <c r="L39" i="12" s="1"/>
  <c r="H273" i="4"/>
  <c r="H308" i="8"/>
  <c r="I122" i="4"/>
  <c r="K137" i="8" s="1"/>
  <c r="H122" i="4"/>
  <c r="J137" i="8" s="1"/>
  <c r="I8" i="4"/>
  <c r="K12" i="8" s="1"/>
  <c r="H8" i="4"/>
  <c r="J12" i="8" s="1"/>
  <c r="I5" i="4"/>
  <c r="K9" i="8" s="1"/>
  <c r="H5" i="4"/>
  <c r="J9" i="8" s="1"/>
  <c r="H281" i="4"/>
  <c r="J318" i="8" s="1"/>
  <c r="H121" i="4"/>
  <c r="J136" i="8" s="1"/>
  <c r="I121" i="4"/>
  <c r="K136" i="8" s="1"/>
  <c r="I11" i="4"/>
  <c r="K15" i="8" s="1"/>
  <c r="H11" i="4"/>
  <c r="J15" i="8" s="1"/>
  <c r="I7" i="4"/>
  <c r="K11" i="8" s="1"/>
  <c r="H7" i="4"/>
  <c r="J11" i="8" s="1"/>
  <c r="I280" i="4"/>
  <c r="K317" i="8" s="1"/>
  <c r="H282" i="4"/>
  <c r="J319" i="8" s="1"/>
  <c r="H279" i="4"/>
  <c r="J316" i="8" s="1"/>
  <c r="I279" i="4"/>
  <c r="K316" i="8" s="1"/>
  <c r="H276" i="4"/>
  <c r="J313" i="8" s="1"/>
  <c r="P226" i="4" l="1"/>
  <c r="Q226" i="4" s="1"/>
  <c r="G226" i="4" s="1"/>
  <c r="J226" i="4" s="1"/>
  <c r="I256" i="8" s="1"/>
  <c r="K39" i="12"/>
  <c r="J308" i="8" s="1"/>
  <c r="J231" i="4"/>
  <c r="I261" i="8" s="1"/>
  <c r="H261" i="8"/>
  <c r="J233" i="4"/>
  <c r="I263" i="8" s="1"/>
  <c r="H263" i="8"/>
  <c r="J217" i="4"/>
  <c r="I247" i="8" s="1"/>
  <c r="H247" i="8"/>
  <c r="J230" i="4"/>
  <c r="I260" i="8" s="1"/>
  <c r="H260" i="8"/>
  <c r="J227" i="4"/>
  <c r="I257" i="8" s="1"/>
  <c r="H257" i="8"/>
  <c r="J229" i="4"/>
  <c r="I259" i="8" s="1"/>
  <c r="H259" i="8"/>
  <c r="J232" i="4"/>
  <c r="I262" i="8" s="1"/>
  <c r="H262" i="8"/>
  <c r="J228" i="4"/>
  <c r="I258" i="8" s="1"/>
  <c r="H258" i="8"/>
  <c r="J223" i="4"/>
  <c r="I253" i="8" s="1"/>
  <c r="H253" i="8"/>
  <c r="J225" i="4"/>
  <c r="I255" i="8" s="1"/>
  <c r="H255" i="8"/>
  <c r="J224" i="4"/>
  <c r="I254" i="8" s="1"/>
  <c r="H254" i="8"/>
  <c r="J222" i="4"/>
  <c r="I252" i="8" s="1"/>
  <c r="H252" i="8"/>
  <c r="J220" i="4"/>
  <c r="I250" i="8" s="1"/>
  <c r="H250" i="8"/>
  <c r="J219" i="4"/>
  <c r="I249" i="8" s="1"/>
  <c r="H249" i="8"/>
  <c r="J221" i="4"/>
  <c r="I251" i="8" s="1"/>
  <c r="H251" i="8"/>
  <c r="J234" i="4"/>
  <c r="I264" i="8" s="1"/>
  <c r="H264" i="8"/>
  <c r="J218" i="4"/>
  <c r="I248" i="8" s="1"/>
  <c r="H248" i="8"/>
  <c r="K5" i="12"/>
  <c r="L5" i="12"/>
  <c r="J312" i="8"/>
  <c r="J309" i="8"/>
  <c r="J8" i="8"/>
  <c r="K309" i="8"/>
  <c r="K308" i="8"/>
  <c r="K8" i="8"/>
  <c r="H6" i="8"/>
  <c r="X27" i="4"/>
  <c r="Y27" i="4" s="1"/>
  <c r="X3" i="4"/>
  <c r="Y3" i="4" s="1"/>
  <c r="I282" i="4"/>
  <c r="K319" i="8" s="1"/>
  <c r="I275" i="4"/>
  <c r="I278" i="4"/>
  <c r="K315" i="8" s="1"/>
  <c r="H280" i="4"/>
  <c r="J317" i="8" s="1"/>
  <c r="I281" i="4"/>
  <c r="K318" i="8" s="1"/>
  <c r="H311" i="8"/>
  <c r="I277" i="4"/>
  <c r="K314" i="8" s="1"/>
  <c r="I220" i="4"/>
  <c r="K250" i="8" s="1"/>
  <c r="I227" i="4"/>
  <c r="K257" i="8" s="1"/>
  <c r="H229" i="4"/>
  <c r="J259" i="8" s="1"/>
  <c r="I225" i="4"/>
  <c r="K255" i="8" s="1"/>
  <c r="H277" i="4"/>
  <c r="J314" i="8" s="1"/>
  <c r="I172" i="4"/>
  <c r="L23" i="12" s="1"/>
  <c r="H193" i="8"/>
  <c r="H172" i="4"/>
  <c r="K23" i="12" s="1"/>
  <c r="H217" i="4"/>
  <c r="I222" i="4"/>
  <c r="K252" i="8" s="1"/>
  <c r="I221" i="4"/>
  <c r="K251" i="8" s="1"/>
  <c r="H218" i="4"/>
  <c r="J248" i="8" s="1"/>
  <c r="I233" i="4"/>
  <c r="K263" i="8" s="1"/>
  <c r="I219" i="4"/>
  <c r="K249" i="8" s="1"/>
  <c r="H230" i="4"/>
  <c r="J260" i="8" s="1"/>
  <c r="I224" i="4"/>
  <c r="K254" i="8" s="1"/>
  <c r="I234" i="4"/>
  <c r="K264" i="8" s="1"/>
  <c r="I228" i="4"/>
  <c r="K258" i="8" s="1"/>
  <c r="I223" i="4"/>
  <c r="K253" i="8" s="1"/>
  <c r="I232" i="4"/>
  <c r="K262" i="8" s="1"/>
  <c r="X11" i="4"/>
  <c r="Y11" i="4" s="1"/>
  <c r="J133" i="8"/>
  <c r="H146" i="4"/>
  <c r="J164" i="8" s="1"/>
  <c r="I146" i="4"/>
  <c r="K164" i="8" s="1"/>
  <c r="H220" i="4"/>
  <c r="J250" i="8" s="1"/>
  <c r="I231" i="4"/>
  <c r="K261" i="8" s="1"/>
  <c r="H231" i="4"/>
  <c r="J261" i="8" s="1"/>
  <c r="H225" i="4"/>
  <c r="J255" i="8" s="1"/>
  <c r="I232" i="8"/>
  <c r="I4" i="8"/>
  <c r="H226" i="4" l="1"/>
  <c r="J256" i="8" s="1"/>
  <c r="H256" i="8"/>
  <c r="J33" i="12"/>
  <c r="M33" i="12" s="1"/>
  <c r="L40" i="12"/>
  <c r="K311" i="8" s="1"/>
  <c r="K40" i="12"/>
  <c r="J311" i="8" s="1"/>
  <c r="K193" i="8"/>
  <c r="J247" i="8"/>
  <c r="K312" i="8"/>
  <c r="J193" i="8"/>
  <c r="J6" i="8"/>
  <c r="K6" i="8"/>
  <c r="X16" i="4"/>
  <c r="Y16" i="4" s="1"/>
  <c r="X28" i="4"/>
  <c r="Y28" i="4" s="1"/>
  <c r="K133" i="8"/>
  <c r="H224" i="4"/>
  <c r="J254" i="8" s="1"/>
  <c r="H221" i="4"/>
  <c r="J251" i="8" s="1"/>
  <c r="I218" i="4"/>
  <c r="K248" i="8" s="1"/>
  <c r="I230" i="4"/>
  <c r="K260" i="8" s="1"/>
  <c r="H223" i="4"/>
  <c r="J253" i="8" s="1"/>
  <c r="H227" i="4"/>
  <c r="J257" i="8" s="1"/>
  <c r="H232" i="4"/>
  <c r="J262" i="8" s="1"/>
  <c r="H233" i="4"/>
  <c r="J263" i="8" s="1"/>
  <c r="I217" i="4"/>
  <c r="I229" i="4"/>
  <c r="K259" i="8" s="1"/>
  <c r="H222" i="4"/>
  <c r="J252" i="8" s="1"/>
  <c r="H234" i="4"/>
  <c r="J264" i="8" s="1"/>
  <c r="I226" i="4"/>
  <c r="K256" i="8" s="1"/>
  <c r="H228" i="4"/>
  <c r="J258" i="8" s="1"/>
  <c r="H219" i="4"/>
  <c r="J249" i="8" s="1"/>
  <c r="H190" i="8"/>
  <c r="K192" i="8"/>
  <c r="J192" i="8"/>
  <c r="I228" i="8"/>
  <c r="I216" i="8"/>
  <c r="I230" i="8"/>
  <c r="I5" i="8"/>
  <c r="I162" i="8"/>
  <c r="I36" i="8"/>
  <c r="I81" i="8"/>
  <c r="I231" i="8"/>
  <c r="H246" i="8" l="1"/>
  <c r="L22" i="12"/>
  <c r="K190" i="8" s="1"/>
  <c r="K22" i="12"/>
  <c r="J190" i="8" s="1"/>
  <c r="L33" i="12"/>
  <c r="K246" i="8" s="1"/>
  <c r="K33" i="12"/>
  <c r="J246" i="8" s="1"/>
  <c r="K191" i="8"/>
  <c r="J191" i="8"/>
  <c r="K247" i="8"/>
  <c r="X21" i="4"/>
  <c r="Y21" i="4" s="1"/>
  <c r="X15" i="4"/>
  <c r="Y15" i="4" s="1"/>
  <c r="H264" i="22"/>
  <c r="I193" i="8"/>
  <c r="J27" i="10"/>
  <c r="G27" i="10"/>
  <c r="I25" i="10"/>
  <c r="J25" i="10" s="1"/>
  <c r="K27" i="10" l="1"/>
  <c r="U25" i="22"/>
  <c r="X25" i="22" s="1"/>
  <c r="M264" i="4"/>
  <c r="P262" i="4" l="1"/>
  <c r="Q262" i="4" s="1"/>
  <c r="G262" i="4" s="1"/>
  <c r="P263" i="4"/>
  <c r="Q263" i="4" s="1"/>
  <c r="G263" i="4" s="1"/>
  <c r="P260" i="4"/>
  <c r="Q260" i="4" s="1"/>
  <c r="G260" i="4" s="1"/>
  <c r="P264" i="4"/>
  <c r="Q264" i="4" s="1"/>
  <c r="G264" i="4" s="1"/>
  <c r="P261" i="4"/>
  <c r="Q261" i="4" s="1"/>
  <c r="G261" i="4" s="1"/>
  <c r="I257" i="4"/>
  <c r="K290" i="8" s="1"/>
  <c r="H257" i="4"/>
  <c r="J290" i="8" s="1"/>
  <c r="I256" i="4"/>
  <c r="H256" i="4"/>
  <c r="H288" i="8"/>
  <c r="I259" i="4"/>
  <c r="K292" i="8" s="1"/>
  <c r="H259" i="4"/>
  <c r="J292" i="8" s="1"/>
  <c r="I258" i="4"/>
  <c r="K291" i="8" s="1"/>
  <c r="H258" i="4"/>
  <c r="J291" i="8" s="1"/>
  <c r="Z25" i="22"/>
  <c r="W25" i="4"/>
  <c r="W29" i="4" s="1"/>
  <c r="J37" i="12" l="1"/>
  <c r="K37" i="12" s="1"/>
  <c r="K36" i="12"/>
  <c r="J288" i="8" s="1"/>
  <c r="J260" i="4"/>
  <c r="I294" i="8" s="1"/>
  <c r="H294" i="8"/>
  <c r="J263" i="4"/>
  <c r="I297" i="8" s="1"/>
  <c r="H297" i="8"/>
  <c r="J261" i="4"/>
  <c r="I295" i="8" s="1"/>
  <c r="H295" i="8"/>
  <c r="J262" i="4"/>
  <c r="I296" i="8" s="1"/>
  <c r="H296" i="8"/>
  <c r="L36" i="12"/>
  <c r="K288" i="8" s="1"/>
  <c r="K289" i="8"/>
  <c r="J289" i="8"/>
  <c r="H298" i="8"/>
  <c r="X24" i="4"/>
  <c r="Y24" i="4" s="1"/>
  <c r="I264" i="4"/>
  <c r="K298" i="8" s="1"/>
  <c r="J264" i="4"/>
  <c r="I298" i="8" s="1"/>
  <c r="I260" i="4"/>
  <c r="K294" i="8" s="1"/>
  <c r="H260" i="4"/>
  <c r="J294" i="8" s="1"/>
  <c r="I262" i="4"/>
  <c r="K296" i="8" s="1"/>
  <c r="H262" i="4"/>
  <c r="J296" i="8" s="1"/>
  <c r="I263" i="4"/>
  <c r="K297" i="8" s="1"/>
  <c r="H263" i="4"/>
  <c r="J297" i="8" s="1"/>
  <c r="I261" i="4"/>
  <c r="K295" i="8" s="1"/>
  <c r="H261" i="4"/>
  <c r="J295" i="8" s="1"/>
  <c r="H264" i="4"/>
  <c r="J298" i="8" s="1"/>
  <c r="I246" i="8"/>
  <c r="H293" i="8" l="1"/>
  <c r="L37" i="12"/>
  <c r="M37" i="12"/>
  <c r="X25" i="4"/>
  <c r="I288" i="8"/>
  <c r="J293" i="8" l="1"/>
  <c r="K293" i="8"/>
  <c r="Y25" i="4"/>
  <c r="I190" i="8"/>
  <c r="G25" i="10"/>
  <c r="K25" i="10" s="1"/>
  <c r="P22" i="4" l="1"/>
  <c r="Q22" i="4" s="1"/>
  <c r="G22" i="4" s="1"/>
  <c r="H22" i="4" s="1"/>
  <c r="J30" i="8" s="1"/>
  <c r="P27" i="4"/>
  <c r="Q27" i="4" s="1"/>
  <c r="G27" i="4" s="1"/>
  <c r="P23" i="4"/>
  <c r="Q23" i="4" s="1"/>
  <c r="G23" i="4" s="1"/>
  <c r="H23" i="4" s="1"/>
  <c r="J31" i="8" s="1"/>
  <c r="P24" i="4"/>
  <c r="Q24" i="4" s="1"/>
  <c r="G24" i="4" s="1"/>
  <c r="I24" i="4" s="1"/>
  <c r="K32" i="8" s="1"/>
  <c r="P26" i="4"/>
  <c r="Q26" i="4" s="1"/>
  <c r="G26" i="4" s="1"/>
  <c r="I26" i="4" s="1"/>
  <c r="K34" i="8" s="1"/>
  <c r="P25" i="4"/>
  <c r="Q25" i="4" s="1"/>
  <c r="G25" i="4" s="1"/>
  <c r="P21" i="4"/>
  <c r="I152" i="4"/>
  <c r="K172" i="8" s="1"/>
  <c r="H152" i="4"/>
  <c r="J172" i="8" s="1"/>
  <c r="I168" i="4"/>
  <c r="K188" i="8" s="1"/>
  <c r="H168" i="4"/>
  <c r="J188" i="8" s="1"/>
  <c r="I150" i="4"/>
  <c r="H150" i="4"/>
  <c r="H169" i="8"/>
  <c r="I163" i="4"/>
  <c r="K183" i="8" s="1"/>
  <c r="H163" i="4"/>
  <c r="J183" i="8" s="1"/>
  <c r="I164" i="4"/>
  <c r="K184" i="8" s="1"/>
  <c r="H164" i="4"/>
  <c r="J184" i="8" s="1"/>
  <c r="I165" i="4"/>
  <c r="K185" i="8" s="1"/>
  <c r="H165" i="4"/>
  <c r="J185" i="8" s="1"/>
  <c r="I167" i="4"/>
  <c r="K187" i="8" s="1"/>
  <c r="H167" i="4"/>
  <c r="J187" i="8" s="1"/>
  <c r="I154" i="4"/>
  <c r="K174" i="8" s="1"/>
  <c r="H154" i="4"/>
  <c r="J174" i="8" s="1"/>
  <c r="I22" i="4"/>
  <c r="K30" i="8" s="1"/>
  <c r="I204" i="4"/>
  <c r="L28" i="12" s="1"/>
  <c r="H204" i="4"/>
  <c r="K28" i="12" s="1"/>
  <c r="H229" i="8"/>
  <c r="I160" i="4"/>
  <c r="K180" i="8" s="1"/>
  <c r="H160" i="4"/>
  <c r="J180" i="8" s="1"/>
  <c r="I161" i="4"/>
  <c r="K181" i="8" s="1"/>
  <c r="H161" i="4"/>
  <c r="J181" i="8" s="1"/>
  <c r="I158" i="4"/>
  <c r="K178" i="8" s="1"/>
  <c r="H158" i="4"/>
  <c r="J178" i="8" s="1"/>
  <c r="I159" i="4"/>
  <c r="K179" i="8" s="1"/>
  <c r="H159" i="4"/>
  <c r="J179" i="8" s="1"/>
  <c r="I155" i="4"/>
  <c r="K175" i="8" s="1"/>
  <c r="H155" i="4"/>
  <c r="J175" i="8" s="1"/>
  <c r="I156" i="4"/>
  <c r="K176" i="8" s="1"/>
  <c r="H156" i="4"/>
  <c r="J176" i="8" s="1"/>
  <c r="I27" i="4"/>
  <c r="K35" i="8" s="1"/>
  <c r="H27" i="4"/>
  <c r="J35" i="8" s="1"/>
  <c r="I162" i="4"/>
  <c r="K182" i="8" s="1"/>
  <c r="H162" i="4"/>
  <c r="J182" i="8" s="1"/>
  <c r="I151" i="4"/>
  <c r="K171" i="8" s="1"/>
  <c r="H151" i="4"/>
  <c r="J171" i="8" s="1"/>
  <c r="I169" i="4"/>
  <c r="K189" i="8" s="1"/>
  <c r="J189" i="8"/>
  <c r="I166" i="4"/>
  <c r="K186" i="8" s="1"/>
  <c r="H166" i="4"/>
  <c r="J186" i="8" s="1"/>
  <c r="I153" i="4"/>
  <c r="K173" i="8" s="1"/>
  <c r="H153" i="4"/>
  <c r="J173" i="8" s="1"/>
  <c r="I157" i="4"/>
  <c r="K177" i="8" s="1"/>
  <c r="H157" i="4"/>
  <c r="J177" i="8" s="1"/>
  <c r="I25" i="4"/>
  <c r="K33" i="8" s="1"/>
  <c r="H25" i="4"/>
  <c r="J33" i="8" s="1"/>
  <c r="I23" i="4" l="1"/>
  <c r="K31" i="8" s="1"/>
  <c r="Q21" i="4"/>
  <c r="G21" i="4" s="1"/>
  <c r="I21" i="4" s="1"/>
  <c r="K29" i="8" s="1"/>
  <c r="H26" i="4"/>
  <c r="J34" i="8" s="1"/>
  <c r="J23" i="4"/>
  <c r="I31" i="8" s="1"/>
  <c r="H31" i="8"/>
  <c r="J24" i="4"/>
  <c r="I32" i="8" s="1"/>
  <c r="H32" i="8"/>
  <c r="H24" i="4"/>
  <c r="J32" i="8" s="1"/>
  <c r="J25" i="4"/>
  <c r="I33" i="8" s="1"/>
  <c r="H33" i="8"/>
  <c r="J27" i="4"/>
  <c r="I35" i="8" s="1"/>
  <c r="H35" i="8"/>
  <c r="J26" i="4"/>
  <c r="I34" i="8" s="1"/>
  <c r="H34" i="8"/>
  <c r="J22" i="4"/>
  <c r="I30" i="8" s="1"/>
  <c r="H30" i="8"/>
  <c r="K21" i="12"/>
  <c r="J169" i="8" s="1"/>
  <c r="L21" i="12"/>
  <c r="K169" i="8" s="1"/>
  <c r="J229" i="8"/>
  <c r="K229" i="8"/>
  <c r="J170" i="8"/>
  <c r="K170" i="8"/>
  <c r="X19" i="4"/>
  <c r="Y19" i="4" s="1"/>
  <c r="X14" i="4"/>
  <c r="Y14" i="4" s="1"/>
  <c r="I41" i="4"/>
  <c r="K51" i="8" s="1"/>
  <c r="H41" i="4"/>
  <c r="J51" i="8" s="1"/>
  <c r="H235" i="4"/>
  <c r="I235" i="4"/>
  <c r="H265" i="8"/>
  <c r="I237" i="4"/>
  <c r="K268" i="8" s="1"/>
  <c r="H237" i="4"/>
  <c r="J268" i="8" s="1"/>
  <c r="I246" i="4"/>
  <c r="K277" i="8" s="1"/>
  <c r="H246" i="4"/>
  <c r="J277" i="8" s="1"/>
  <c r="I240" i="4"/>
  <c r="K271" i="8" s="1"/>
  <c r="H240" i="4"/>
  <c r="J271" i="8" s="1"/>
  <c r="I188" i="4"/>
  <c r="K210" i="8" s="1"/>
  <c r="H188" i="4"/>
  <c r="J210" i="8" s="1"/>
  <c r="I174" i="4"/>
  <c r="K196" i="8" s="1"/>
  <c r="H174" i="4"/>
  <c r="J196" i="8" s="1"/>
  <c r="H187" i="4"/>
  <c r="J209" i="8" s="1"/>
  <c r="I187" i="4"/>
  <c r="K209" i="8" s="1"/>
  <c r="I173" i="4"/>
  <c r="K195" i="8" s="1"/>
  <c r="H173" i="4"/>
  <c r="J195" i="8" s="1"/>
  <c r="H194" i="8"/>
  <c r="I186" i="4"/>
  <c r="K208" i="8" s="1"/>
  <c r="H186" i="4"/>
  <c r="J208" i="8" s="1"/>
  <c r="I60" i="4"/>
  <c r="K72" i="8" s="1"/>
  <c r="H60" i="4"/>
  <c r="J72" i="8" s="1"/>
  <c r="H64" i="4"/>
  <c r="J76" i="8" s="1"/>
  <c r="I64" i="4"/>
  <c r="K76" i="8" s="1"/>
  <c r="I63" i="4"/>
  <c r="K75" i="8" s="1"/>
  <c r="H63" i="4"/>
  <c r="J75" i="8" s="1"/>
  <c r="H14" i="4"/>
  <c r="J20" i="8" s="1"/>
  <c r="I14" i="4"/>
  <c r="K20" i="8" s="1"/>
  <c r="I44" i="4"/>
  <c r="K55" i="8" s="1"/>
  <c r="H44" i="4"/>
  <c r="J55" i="8" s="1"/>
  <c r="H56" i="4"/>
  <c r="J67" i="8" s="1"/>
  <c r="I56" i="4"/>
  <c r="K67" i="8" s="1"/>
  <c r="I52" i="4"/>
  <c r="K63" i="8" s="1"/>
  <c r="H52" i="4"/>
  <c r="J63" i="8" s="1"/>
  <c r="H48" i="4"/>
  <c r="J59" i="8" s="1"/>
  <c r="I48" i="4"/>
  <c r="K59" i="8" s="1"/>
  <c r="I265" i="4"/>
  <c r="H265" i="4"/>
  <c r="H299" i="8"/>
  <c r="I266" i="4"/>
  <c r="K301" i="8" s="1"/>
  <c r="H266" i="4"/>
  <c r="J301" i="8" s="1"/>
  <c r="I214" i="4"/>
  <c r="K243" i="8" s="1"/>
  <c r="H214" i="4"/>
  <c r="J243" i="8" s="1"/>
  <c r="I205" i="4"/>
  <c r="H205" i="4"/>
  <c r="H233" i="8"/>
  <c r="H215" i="4"/>
  <c r="J244" i="8" s="1"/>
  <c r="I215" i="4"/>
  <c r="K244" i="8" s="1"/>
  <c r="I252" i="4"/>
  <c r="K284" i="8" s="1"/>
  <c r="H252" i="4"/>
  <c r="J284" i="8" s="1"/>
  <c r="I194" i="4"/>
  <c r="H217" i="8"/>
  <c r="H194" i="4"/>
  <c r="I75" i="4"/>
  <c r="K89" i="8" s="1"/>
  <c r="H75" i="4"/>
  <c r="J89" i="8" s="1"/>
  <c r="I93" i="4"/>
  <c r="K107" i="8" s="1"/>
  <c r="H93" i="4"/>
  <c r="J107" i="8" s="1"/>
  <c r="H95" i="4"/>
  <c r="J109" i="8" s="1"/>
  <c r="I95" i="4"/>
  <c r="K109" i="8" s="1"/>
  <c r="H144" i="4"/>
  <c r="J160" i="8" s="1"/>
  <c r="I144" i="4"/>
  <c r="K160" i="8" s="1"/>
  <c r="I255" i="4"/>
  <c r="K287" i="8" s="1"/>
  <c r="H255" i="4"/>
  <c r="J287" i="8" s="1"/>
  <c r="I196" i="4"/>
  <c r="K220" i="8" s="1"/>
  <c r="H196" i="4"/>
  <c r="J220" i="8" s="1"/>
  <c r="I203" i="4"/>
  <c r="K227" i="8" s="1"/>
  <c r="H203" i="4"/>
  <c r="J227" i="8" s="1"/>
  <c r="I202" i="4"/>
  <c r="K226" i="8" s="1"/>
  <c r="H202" i="4"/>
  <c r="J226" i="8" s="1"/>
  <c r="I70" i="4"/>
  <c r="K84" i="8" s="1"/>
  <c r="H70" i="4"/>
  <c r="J84" i="8" s="1"/>
  <c r="I102" i="4"/>
  <c r="K116" i="8" s="1"/>
  <c r="H102" i="4"/>
  <c r="J116" i="8" s="1"/>
  <c r="H83" i="4"/>
  <c r="J97" i="8" s="1"/>
  <c r="I83" i="4"/>
  <c r="K97" i="8" s="1"/>
  <c r="I115" i="4"/>
  <c r="K129" i="8" s="1"/>
  <c r="H115" i="4"/>
  <c r="J129" i="8" s="1"/>
  <c r="I69" i="4"/>
  <c r="H69" i="4"/>
  <c r="H82" i="8"/>
  <c r="I101" i="4"/>
  <c r="K115" i="8" s="1"/>
  <c r="H101" i="4"/>
  <c r="J115" i="8" s="1"/>
  <c r="I88" i="4"/>
  <c r="K102" i="8" s="1"/>
  <c r="H88" i="4"/>
  <c r="J102" i="8" s="1"/>
  <c r="I90" i="4"/>
  <c r="K104" i="8" s="1"/>
  <c r="H90" i="4"/>
  <c r="J104" i="8" s="1"/>
  <c r="I71" i="4"/>
  <c r="K85" i="8" s="1"/>
  <c r="H71" i="4"/>
  <c r="J85" i="8" s="1"/>
  <c r="I103" i="4"/>
  <c r="K117" i="8" s="1"/>
  <c r="H103" i="4"/>
  <c r="J117" i="8" s="1"/>
  <c r="I108" i="4"/>
  <c r="K122" i="8" s="1"/>
  <c r="H108" i="4"/>
  <c r="J122" i="8" s="1"/>
  <c r="I89" i="4"/>
  <c r="K103" i="8" s="1"/>
  <c r="H89" i="4"/>
  <c r="J103" i="8" s="1"/>
  <c r="H20" i="4"/>
  <c r="J27" i="8" s="1"/>
  <c r="I20" i="4"/>
  <c r="K27" i="8" s="1"/>
  <c r="H15" i="4"/>
  <c r="I15" i="4"/>
  <c r="H21" i="8"/>
  <c r="I126" i="4"/>
  <c r="K142" i="8" s="1"/>
  <c r="H126" i="4"/>
  <c r="J142" i="8" s="1"/>
  <c r="I139" i="4"/>
  <c r="K155" i="8" s="1"/>
  <c r="H139" i="4"/>
  <c r="J155" i="8" s="1"/>
  <c r="I125" i="4"/>
  <c r="K141" i="8" s="1"/>
  <c r="H125" i="4"/>
  <c r="J141" i="8" s="1"/>
  <c r="H138" i="4"/>
  <c r="J154" i="8" s="1"/>
  <c r="I138" i="4"/>
  <c r="K154" i="8" s="1"/>
  <c r="H124" i="4"/>
  <c r="I124" i="4"/>
  <c r="K140" i="8" s="1"/>
  <c r="H139" i="8"/>
  <c r="H137" i="4"/>
  <c r="J153" i="8" s="1"/>
  <c r="I137" i="4"/>
  <c r="K153" i="8" s="1"/>
  <c r="I35" i="4"/>
  <c r="K45" i="8" s="1"/>
  <c r="H35" i="4"/>
  <c r="J45" i="8" s="1"/>
  <c r="H40" i="4"/>
  <c r="J50" i="8" s="1"/>
  <c r="I40" i="4"/>
  <c r="K50" i="8" s="1"/>
  <c r="H28" i="4"/>
  <c r="I28" i="4"/>
  <c r="H37" i="8"/>
  <c r="I243" i="4"/>
  <c r="K274" i="8" s="1"/>
  <c r="H243" i="4"/>
  <c r="J274" i="8" s="1"/>
  <c r="H245" i="4"/>
  <c r="J276" i="8" s="1"/>
  <c r="I245" i="4"/>
  <c r="K276" i="8" s="1"/>
  <c r="I247" i="4"/>
  <c r="K278" i="8" s="1"/>
  <c r="H247" i="4"/>
  <c r="J278" i="8" s="1"/>
  <c r="I248" i="4"/>
  <c r="K279" i="8" s="1"/>
  <c r="H248" i="4"/>
  <c r="J279" i="8" s="1"/>
  <c r="H177" i="4"/>
  <c r="J199" i="8" s="1"/>
  <c r="I177" i="4"/>
  <c r="K199" i="8" s="1"/>
  <c r="I182" i="4"/>
  <c r="K204" i="8" s="1"/>
  <c r="H182" i="4"/>
  <c r="J204" i="8" s="1"/>
  <c r="H176" i="4"/>
  <c r="J198" i="8" s="1"/>
  <c r="I176" i="4"/>
  <c r="K198" i="8" s="1"/>
  <c r="H181" i="4"/>
  <c r="J203" i="8" s="1"/>
  <c r="I181" i="4"/>
  <c r="K203" i="8" s="1"/>
  <c r="H175" i="4"/>
  <c r="J197" i="8" s="1"/>
  <c r="I175" i="4"/>
  <c r="K197" i="8" s="1"/>
  <c r="I62" i="4"/>
  <c r="K74" i="8" s="1"/>
  <c r="H62" i="4"/>
  <c r="J74" i="8" s="1"/>
  <c r="I61" i="4"/>
  <c r="K73" i="8" s="1"/>
  <c r="H61" i="4"/>
  <c r="J73" i="8" s="1"/>
  <c r="I68" i="4"/>
  <c r="K80" i="8" s="1"/>
  <c r="H68" i="4"/>
  <c r="J80" i="8" s="1"/>
  <c r="I13" i="4"/>
  <c r="K19" i="8" s="1"/>
  <c r="H13" i="4"/>
  <c r="J19" i="8" s="1"/>
  <c r="I46" i="4"/>
  <c r="K57" i="8" s="1"/>
  <c r="H46" i="4"/>
  <c r="J57" i="8" s="1"/>
  <c r="I42" i="4"/>
  <c r="H42" i="4"/>
  <c r="H52" i="8"/>
  <c r="I54" i="4"/>
  <c r="K65" i="8" s="1"/>
  <c r="H54" i="4"/>
  <c r="J65" i="8" s="1"/>
  <c r="H50" i="4"/>
  <c r="J61" i="8" s="1"/>
  <c r="I50" i="4"/>
  <c r="K61" i="8" s="1"/>
  <c r="I268" i="4"/>
  <c r="K303" i="8" s="1"/>
  <c r="H268" i="4"/>
  <c r="J303" i="8" s="1"/>
  <c r="I272" i="4"/>
  <c r="K307" i="8" s="1"/>
  <c r="H272" i="4"/>
  <c r="J307" i="8" s="1"/>
  <c r="I212" i="4"/>
  <c r="K241" i="8" s="1"/>
  <c r="H212" i="4"/>
  <c r="J241" i="8" s="1"/>
  <c r="I211" i="4"/>
  <c r="K240" i="8" s="1"/>
  <c r="H211" i="4"/>
  <c r="J240" i="8" s="1"/>
  <c r="I213" i="4"/>
  <c r="K242" i="8" s="1"/>
  <c r="H213" i="4"/>
  <c r="J242" i="8" s="1"/>
  <c r="I253" i="4"/>
  <c r="K285" i="8" s="1"/>
  <c r="H253" i="4"/>
  <c r="J285" i="8" s="1"/>
  <c r="I92" i="4"/>
  <c r="K106" i="8" s="1"/>
  <c r="H92" i="4"/>
  <c r="J106" i="8" s="1"/>
  <c r="I107" i="4"/>
  <c r="K121" i="8" s="1"/>
  <c r="H107" i="4"/>
  <c r="J121" i="8" s="1"/>
  <c r="I72" i="4"/>
  <c r="K86" i="8" s="1"/>
  <c r="H72" i="4"/>
  <c r="J86" i="8" s="1"/>
  <c r="I114" i="4"/>
  <c r="K128" i="8" s="1"/>
  <c r="H114" i="4"/>
  <c r="J128" i="8" s="1"/>
  <c r="I81" i="4"/>
  <c r="K95" i="8" s="1"/>
  <c r="H81" i="4"/>
  <c r="J95" i="8" s="1"/>
  <c r="I18" i="4"/>
  <c r="K25" i="8" s="1"/>
  <c r="H18" i="4"/>
  <c r="J25" i="8" s="1"/>
  <c r="H131" i="4"/>
  <c r="J147" i="8" s="1"/>
  <c r="I131" i="4"/>
  <c r="K147" i="8" s="1"/>
  <c r="H143" i="4"/>
  <c r="J159" i="8" s="1"/>
  <c r="I143" i="4"/>
  <c r="K159" i="8" s="1"/>
  <c r="H129" i="4"/>
  <c r="J145" i="8" s="1"/>
  <c r="I129" i="4"/>
  <c r="K145" i="8" s="1"/>
  <c r="I38" i="4"/>
  <c r="K48" i="8" s="1"/>
  <c r="H38" i="4"/>
  <c r="J48" i="8" s="1"/>
  <c r="I37" i="4"/>
  <c r="K47" i="8" s="1"/>
  <c r="H37" i="4"/>
  <c r="J47" i="8" s="1"/>
  <c r="I39" i="4"/>
  <c r="K49" i="8" s="1"/>
  <c r="H39" i="4"/>
  <c r="J49" i="8" s="1"/>
  <c r="H254" i="4"/>
  <c r="J286" i="8" s="1"/>
  <c r="I254" i="4"/>
  <c r="K286" i="8" s="1"/>
  <c r="I201" i="4"/>
  <c r="K225" i="8" s="1"/>
  <c r="H201" i="4"/>
  <c r="J225" i="8" s="1"/>
  <c r="I200" i="4"/>
  <c r="K224" i="8" s="1"/>
  <c r="H200" i="4"/>
  <c r="J224" i="8" s="1"/>
  <c r="I199" i="4"/>
  <c r="K223" i="8" s="1"/>
  <c r="H199" i="4"/>
  <c r="J223" i="8" s="1"/>
  <c r="I78" i="4"/>
  <c r="K92" i="8" s="1"/>
  <c r="H78" i="4"/>
  <c r="J92" i="8" s="1"/>
  <c r="H110" i="4"/>
  <c r="J124" i="8" s="1"/>
  <c r="I110" i="4"/>
  <c r="K124" i="8" s="1"/>
  <c r="I91" i="4"/>
  <c r="K105" i="8" s="1"/>
  <c r="H91" i="4"/>
  <c r="J105" i="8" s="1"/>
  <c r="I80" i="4"/>
  <c r="K94" i="8" s="1"/>
  <c r="H80" i="4"/>
  <c r="J94" i="8" s="1"/>
  <c r="I77" i="4"/>
  <c r="K91" i="8" s="1"/>
  <c r="H77" i="4"/>
  <c r="J91" i="8" s="1"/>
  <c r="I109" i="4"/>
  <c r="K123" i="8" s="1"/>
  <c r="H109" i="4"/>
  <c r="J123" i="8" s="1"/>
  <c r="I104" i="4"/>
  <c r="K118" i="8" s="1"/>
  <c r="H104" i="4"/>
  <c r="J118" i="8" s="1"/>
  <c r="I98" i="4"/>
  <c r="K112" i="8" s="1"/>
  <c r="H98" i="4"/>
  <c r="J112" i="8" s="1"/>
  <c r="I79" i="4"/>
  <c r="K93" i="8" s="1"/>
  <c r="H79" i="4"/>
  <c r="J93" i="8" s="1"/>
  <c r="I111" i="4"/>
  <c r="K125" i="8" s="1"/>
  <c r="H111" i="4"/>
  <c r="J125" i="8" s="1"/>
  <c r="I116" i="4"/>
  <c r="K130" i="8" s="1"/>
  <c r="H116" i="4"/>
  <c r="J130" i="8" s="1"/>
  <c r="I97" i="4"/>
  <c r="K111" i="8" s="1"/>
  <c r="H97" i="4"/>
  <c r="J111" i="8" s="1"/>
  <c r="I19" i="4"/>
  <c r="K26" i="8" s="1"/>
  <c r="H19" i="4"/>
  <c r="J26" i="8" s="1"/>
  <c r="I17" i="4"/>
  <c r="K24" i="8" s="1"/>
  <c r="H17" i="4"/>
  <c r="J24" i="8" s="1"/>
  <c r="I134" i="4"/>
  <c r="K150" i="8" s="1"/>
  <c r="H134" i="4"/>
  <c r="J150" i="8" s="1"/>
  <c r="H128" i="4"/>
  <c r="J144" i="8" s="1"/>
  <c r="I128" i="4"/>
  <c r="K144" i="8" s="1"/>
  <c r="H133" i="4"/>
  <c r="J149" i="8" s="1"/>
  <c r="I133" i="4"/>
  <c r="K149" i="8" s="1"/>
  <c r="H127" i="4"/>
  <c r="J143" i="8" s="1"/>
  <c r="I127" i="4"/>
  <c r="K143" i="8" s="1"/>
  <c r="I132" i="4"/>
  <c r="K148" i="8" s="1"/>
  <c r="H132" i="4"/>
  <c r="J148" i="8" s="1"/>
  <c r="H145" i="4"/>
  <c r="J161" i="8" s="1"/>
  <c r="I145" i="4"/>
  <c r="K161" i="8" s="1"/>
  <c r="H32" i="4"/>
  <c r="J42" i="8" s="1"/>
  <c r="I32" i="4"/>
  <c r="K42" i="8" s="1"/>
  <c r="H34" i="4"/>
  <c r="J44" i="8" s="1"/>
  <c r="I34" i="4"/>
  <c r="K44" i="8" s="1"/>
  <c r="I36" i="4"/>
  <c r="K46" i="8" s="1"/>
  <c r="H36" i="4"/>
  <c r="J46" i="8" s="1"/>
  <c r="I236" i="4"/>
  <c r="K267" i="8" s="1"/>
  <c r="H236" i="4"/>
  <c r="J267" i="8" s="1"/>
  <c r="I250" i="4"/>
  <c r="K281" i="8" s="1"/>
  <c r="H250" i="4"/>
  <c r="J281" i="8" s="1"/>
  <c r="I239" i="4"/>
  <c r="K270" i="8" s="1"/>
  <c r="H239" i="4"/>
  <c r="J270" i="8" s="1"/>
  <c r="I241" i="4"/>
  <c r="K272" i="8" s="1"/>
  <c r="H241" i="4"/>
  <c r="J272" i="8" s="1"/>
  <c r="H185" i="4"/>
  <c r="J207" i="8" s="1"/>
  <c r="I185" i="4"/>
  <c r="K207" i="8" s="1"/>
  <c r="I190" i="4"/>
  <c r="K212" i="8" s="1"/>
  <c r="H190" i="4"/>
  <c r="J212" i="8" s="1"/>
  <c r="I184" i="4"/>
  <c r="K206" i="8" s="1"/>
  <c r="H184" i="4"/>
  <c r="J206" i="8" s="1"/>
  <c r="H189" i="4"/>
  <c r="J211" i="8" s="1"/>
  <c r="I189" i="4"/>
  <c r="K211" i="8" s="1"/>
  <c r="I183" i="4"/>
  <c r="K205" i="8" s="1"/>
  <c r="H183" i="4"/>
  <c r="J205" i="8" s="1"/>
  <c r="I59" i="4"/>
  <c r="K71" i="8" s="1"/>
  <c r="H59" i="4"/>
  <c r="J71" i="8" s="1"/>
  <c r="I58" i="4"/>
  <c r="K70" i="8" s="1"/>
  <c r="H58" i="4"/>
  <c r="J70" i="8" s="1"/>
  <c r="H69" i="8"/>
  <c r="I65" i="4"/>
  <c r="K77" i="8" s="1"/>
  <c r="H65" i="4"/>
  <c r="J77" i="8" s="1"/>
  <c r="H149" i="4"/>
  <c r="J168" i="8" s="1"/>
  <c r="I149" i="4"/>
  <c r="K168" i="8" s="1"/>
  <c r="I53" i="4"/>
  <c r="K64" i="8" s="1"/>
  <c r="H53" i="4"/>
  <c r="J64" i="8" s="1"/>
  <c r="I47" i="4"/>
  <c r="K58" i="8" s="1"/>
  <c r="H47" i="4"/>
  <c r="J58" i="8" s="1"/>
  <c r="I43" i="4"/>
  <c r="K54" i="8" s="1"/>
  <c r="H43" i="4"/>
  <c r="J54" i="8" s="1"/>
  <c r="I57" i="4"/>
  <c r="K68" i="8" s="1"/>
  <c r="H57" i="4"/>
  <c r="J68" i="8" s="1"/>
  <c r="I269" i="4"/>
  <c r="K304" i="8" s="1"/>
  <c r="H269" i="4"/>
  <c r="J304" i="8" s="1"/>
  <c r="I271" i="4"/>
  <c r="K306" i="8" s="1"/>
  <c r="H271" i="4"/>
  <c r="J306" i="8" s="1"/>
  <c r="I209" i="4"/>
  <c r="K238" i="8" s="1"/>
  <c r="H209" i="4"/>
  <c r="J238" i="8" s="1"/>
  <c r="H208" i="4"/>
  <c r="J237" i="8" s="1"/>
  <c r="I208" i="4"/>
  <c r="K237" i="8" s="1"/>
  <c r="I210" i="4"/>
  <c r="K239" i="8" s="1"/>
  <c r="H210" i="4"/>
  <c r="J239" i="8" s="1"/>
  <c r="I195" i="4"/>
  <c r="K219" i="8" s="1"/>
  <c r="H195" i="4"/>
  <c r="J219" i="8" s="1"/>
  <c r="I94" i="4"/>
  <c r="K108" i="8" s="1"/>
  <c r="H94" i="4"/>
  <c r="J108" i="8" s="1"/>
  <c r="I112" i="4"/>
  <c r="K126" i="8" s="1"/>
  <c r="H112" i="4"/>
  <c r="J126" i="8" s="1"/>
  <c r="I82" i="4"/>
  <c r="K96" i="8" s="1"/>
  <c r="H82" i="4"/>
  <c r="J96" i="8" s="1"/>
  <c r="I100" i="4"/>
  <c r="K114" i="8" s="1"/>
  <c r="H100" i="4"/>
  <c r="J114" i="8" s="1"/>
  <c r="H113" i="4"/>
  <c r="J127" i="8" s="1"/>
  <c r="I113" i="4"/>
  <c r="K127" i="8" s="1"/>
  <c r="H130" i="4"/>
  <c r="J146" i="8" s="1"/>
  <c r="I130" i="4"/>
  <c r="K146" i="8" s="1"/>
  <c r="H251" i="4"/>
  <c r="I251" i="4"/>
  <c r="H282" i="8"/>
  <c r="I198" i="4"/>
  <c r="K222" i="8" s="1"/>
  <c r="H198" i="4"/>
  <c r="J222" i="8" s="1"/>
  <c r="H197" i="4"/>
  <c r="J221" i="8" s="1"/>
  <c r="I197" i="4"/>
  <c r="K221" i="8" s="1"/>
  <c r="I76" i="4"/>
  <c r="K90" i="8" s="1"/>
  <c r="H76" i="4"/>
  <c r="J90" i="8" s="1"/>
  <c r="I86" i="4"/>
  <c r="K100" i="8" s="1"/>
  <c r="H86" i="4"/>
  <c r="J100" i="8" s="1"/>
  <c r="H118" i="4"/>
  <c r="J132" i="8" s="1"/>
  <c r="I118" i="4"/>
  <c r="K132" i="8" s="1"/>
  <c r="I99" i="4"/>
  <c r="K113" i="8" s="1"/>
  <c r="H99" i="4"/>
  <c r="J113" i="8" s="1"/>
  <c r="I96" i="4"/>
  <c r="K110" i="8" s="1"/>
  <c r="H96" i="4"/>
  <c r="J110" i="8" s="1"/>
  <c r="I85" i="4"/>
  <c r="K99" i="8" s="1"/>
  <c r="H85" i="4"/>
  <c r="J99" i="8" s="1"/>
  <c r="I117" i="4"/>
  <c r="K131" i="8" s="1"/>
  <c r="H117" i="4"/>
  <c r="J131" i="8" s="1"/>
  <c r="I74" i="4"/>
  <c r="K88" i="8" s="1"/>
  <c r="H74" i="4"/>
  <c r="J88" i="8" s="1"/>
  <c r="I106" i="4"/>
  <c r="K120" i="8" s="1"/>
  <c r="H106" i="4"/>
  <c r="J120" i="8" s="1"/>
  <c r="I87" i="4"/>
  <c r="K101" i="8" s="1"/>
  <c r="H87" i="4"/>
  <c r="J101" i="8" s="1"/>
  <c r="H84" i="4"/>
  <c r="J98" i="8" s="1"/>
  <c r="I84" i="4"/>
  <c r="K98" i="8" s="1"/>
  <c r="I73" i="4"/>
  <c r="K87" i="8" s="1"/>
  <c r="H73" i="4"/>
  <c r="J87" i="8" s="1"/>
  <c r="H105" i="4"/>
  <c r="J119" i="8" s="1"/>
  <c r="I105" i="4"/>
  <c r="K119" i="8" s="1"/>
  <c r="I16" i="4"/>
  <c r="K23" i="8" s="1"/>
  <c r="H16" i="4"/>
  <c r="J23" i="8" s="1"/>
  <c r="I142" i="4"/>
  <c r="K158" i="8" s="1"/>
  <c r="H142" i="4"/>
  <c r="J158" i="8" s="1"/>
  <c r="H136" i="4"/>
  <c r="J152" i="8" s="1"/>
  <c r="I136" i="4"/>
  <c r="K152" i="8" s="1"/>
  <c r="I141" i="4"/>
  <c r="K157" i="8" s="1"/>
  <c r="H141" i="4"/>
  <c r="J157" i="8" s="1"/>
  <c r="I135" i="4"/>
  <c r="K151" i="8" s="1"/>
  <c r="H135" i="4"/>
  <c r="J151" i="8" s="1"/>
  <c r="I140" i="4"/>
  <c r="K156" i="8" s="1"/>
  <c r="H140" i="4"/>
  <c r="J156" i="8" s="1"/>
  <c r="I30" i="4"/>
  <c r="K40" i="8" s="1"/>
  <c r="H30" i="4"/>
  <c r="J40" i="8" s="1"/>
  <c r="H29" i="4"/>
  <c r="J39" i="8" s="1"/>
  <c r="I29" i="4"/>
  <c r="K39" i="8" s="1"/>
  <c r="I31" i="4"/>
  <c r="K41" i="8" s="1"/>
  <c r="H31" i="4"/>
  <c r="J41" i="8" s="1"/>
  <c r="H33" i="4"/>
  <c r="J43" i="8" s="1"/>
  <c r="I33" i="4"/>
  <c r="K43" i="8" s="1"/>
  <c r="I242" i="4"/>
  <c r="K273" i="8" s="1"/>
  <c r="H242" i="4"/>
  <c r="J273" i="8" s="1"/>
  <c r="I244" i="4"/>
  <c r="K275" i="8" s="1"/>
  <c r="H244" i="4"/>
  <c r="J275" i="8" s="1"/>
  <c r="H238" i="4"/>
  <c r="J269" i="8" s="1"/>
  <c r="I238" i="4"/>
  <c r="K269" i="8" s="1"/>
  <c r="I249" i="4"/>
  <c r="K280" i="8" s="1"/>
  <c r="H249" i="4"/>
  <c r="J280" i="8" s="1"/>
  <c r="H180" i="4"/>
  <c r="J202" i="8" s="1"/>
  <c r="I180" i="4"/>
  <c r="K202" i="8" s="1"/>
  <c r="H193" i="4"/>
  <c r="J215" i="8" s="1"/>
  <c r="I193" i="4"/>
  <c r="K215" i="8" s="1"/>
  <c r="I179" i="4"/>
  <c r="K201" i="8" s="1"/>
  <c r="H179" i="4"/>
  <c r="J201" i="8" s="1"/>
  <c r="I192" i="4"/>
  <c r="K214" i="8" s="1"/>
  <c r="H192" i="4"/>
  <c r="J214" i="8" s="1"/>
  <c r="I178" i="4"/>
  <c r="K200" i="8" s="1"/>
  <c r="H178" i="4"/>
  <c r="J200" i="8" s="1"/>
  <c r="I191" i="4"/>
  <c r="K213" i="8" s="1"/>
  <c r="H191" i="4"/>
  <c r="J213" i="8" s="1"/>
  <c r="H67" i="4"/>
  <c r="J79" i="8" s="1"/>
  <c r="I67" i="4"/>
  <c r="K79" i="8" s="1"/>
  <c r="H66" i="4"/>
  <c r="J78" i="8" s="1"/>
  <c r="I66" i="4"/>
  <c r="K78" i="8" s="1"/>
  <c r="H12" i="4"/>
  <c r="J18" i="8" s="1"/>
  <c r="I12" i="4"/>
  <c r="K18" i="8" s="1"/>
  <c r="H166" i="8"/>
  <c r="I148" i="4"/>
  <c r="K167" i="8" s="1"/>
  <c r="H148" i="4"/>
  <c r="J167" i="8" s="1"/>
  <c r="I55" i="4"/>
  <c r="K66" i="8" s="1"/>
  <c r="H55" i="4"/>
  <c r="J66" i="8" s="1"/>
  <c r="H51" i="4"/>
  <c r="J62" i="8" s="1"/>
  <c r="I51" i="4"/>
  <c r="K62" i="8" s="1"/>
  <c r="H49" i="4"/>
  <c r="J60" i="8" s="1"/>
  <c r="I49" i="4"/>
  <c r="K60" i="8" s="1"/>
  <c r="I45" i="4"/>
  <c r="K56" i="8" s="1"/>
  <c r="H45" i="4"/>
  <c r="J56" i="8" s="1"/>
  <c r="I267" i="4"/>
  <c r="K302" i="8" s="1"/>
  <c r="H267" i="4"/>
  <c r="J302" i="8" s="1"/>
  <c r="I270" i="4"/>
  <c r="K305" i="8" s="1"/>
  <c r="H270" i="4"/>
  <c r="J305" i="8" s="1"/>
  <c r="H206" i="4"/>
  <c r="J235" i="8" s="1"/>
  <c r="I206" i="4"/>
  <c r="K235" i="8" s="1"/>
  <c r="H216" i="4"/>
  <c r="J245" i="8" s="1"/>
  <c r="I216" i="4"/>
  <c r="K245" i="8" s="1"/>
  <c r="I207" i="4"/>
  <c r="K236" i="8" s="1"/>
  <c r="H207" i="4"/>
  <c r="J236" i="8" s="1"/>
  <c r="I229" i="8"/>
  <c r="J9" i="12" l="1"/>
  <c r="X6" i="4" s="1"/>
  <c r="Y6" i="4" s="1"/>
  <c r="H29" i="8"/>
  <c r="J21" i="4"/>
  <c r="I29" i="8" s="1"/>
  <c r="H21" i="4"/>
  <c r="J29" i="8" s="1"/>
  <c r="J140" i="8"/>
  <c r="K17" i="12"/>
  <c r="L17" i="12" s="1"/>
  <c r="L9" i="12"/>
  <c r="K28" i="8" s="1"/>
  <c r="L35" i="12"/>
  <c r="K282" i="8" s="1"/>
  <c r="K35" i="12"/>
  <c r="J282" i="8" s="1"/>
  <c r="L12" i="12"/>
  <c r="K52" i="8" s="1"/>
  <c r="L32" i="12"/>
  <c r="K233" i="8" s="1"/>
  <c r="K15" i="12"/>
  <c r="J82" i="8" s="1"/>
  <c r="L26" i="12"/>
  <c r="K217" i="8" s="1"/>
  <c r="L11" i="12"/>
  <c r="K37" i="8" s="1"/>
  <c r="L8" i="12"/>
  <c r="L15" i="12"/>
  <c r="K82" i="8" s="1"/>
  <c r="K38" i="12"/>
  <c r="J299" i="8" s="1"/>
  <c r="L34" i="12"/>
  <c r="K265" i="8" s="1"/>
  <c r="K12" i="12"/>
  <c r="J52" i="8" s="1"/>
  <c r="K11" i="12"/>
  <c r="J37" i="8" s="1"/>
  <c r="K8" i="12"/>
  <c r="K26" i="12"/>
  <c r="J217" i="8" s="1"/>
  <c r="K32" i="12"/>
  <c r="J233" i="8" s="1"/>
  <c r="L38" i="12"/>
  <c r="K299" i="8" s="1"/>
  <c r="K34" i="12"/>
  <c r="J265" i="8" s="1"/>
  <c r="K283" i="8"/>
  <c r="K38" i="8"/>
  <c r="K22" i="8"/>
  <c r="K83" i="8"/>
  <c r="J300" i="8"/>
  <c r="K266" i="8"/>
  <c r="J283" i="8"/>
  <c r="J53" i="8"/>
  <c r="J38" i="8"/>
  <c r="J22" i="8"/>
  <c r="J218" i="8"/>
  <c r="J234" i="8"/>
  <c r="K300" i="8"/>
  <c r="J266" i="8"/>
  <c r="K53" i="8"/>
  <c r="K234" i="8"/>
  <c r="J83" i="8"/>
  <c r="K218" i="8"/>
  <c r="H17" i="8"/>
  <c r="X8" i="4"/>
  <c r="Y8" i="4" s="1"/>
  <c r="X20" i="4"/>
  <c r="Y20" i="4" s="1"/>
  <c r="X22" i="4"/>
  <c r="Y22" i="4" s="1"/>
  <c r="X10" i="4"/>
  <c r="Y10" i="4" s="1"/>
  <c r="X18" i="4"/>
  <c r="Y18" i="4" s="1"/>
  <c r="X23" i="4"/>
  <c r="Y23" i="4" s="1"/>
  <c r="X7" i="4"/>
  <c r="Y7" i="4" s="1"/>
  <c r="X5" i="4"/>
  <c r="Y5" i="4" s="1"/>
  <c r="X26" i="4"/>
  <c r="Y26" i="4" s="1"/>
  <c r="X17" i="4"/>
  <c r="Y17" i="4" s="1"/>
  <c r="J194" i="8"/>
  <c r="X13" i="4"/>
  <c r="Y13" i="4" s="1"/>
  <c r="J166" i="8"/>
  <c r="X9" i="4"/>
  <c r="Y9" i="4" s="1"/>
  <c r="J69" i="8"/>
  <c r="X12" i="4"/>
  <c r="Y12" i="4" s="1"/>
  <c r="X4" i="4"/>
  <c r="I166" i="8"/>
  <c r="I69" i="8"/>
  <c r="I37" i="8"/>
  <c r="I217" i="8"/>
  <c r="I311" i="8"/>
  <c r="I21" i="8"/>
  <c r="I282" i="8"/>
  <c r="I265" i="8"/>
  <c r="M9" i="12" l="1"/>
  <c r="I28" i="8" s="1"/>
  <c r="H28" i="8"/>
  <c r="K9" i="12"/>
  <c r="J28" i="8" s="1"/>
  <c r="J139" i="8"/>
  <c r="J17" i="8"/>
  <c r="K21" i="8"/>
  <c r="J21" i="8"/>
  <c r="K139" i="8"/>
  <c r="K166" i="8"/>
  <c r="K194" i="8"/>
  <c r="K69" i="8"/>
  <c r="X29" i="4"/>
  <c r="Y29" i="4" s="1"/>
  <c r="Y4" i="4"/>
  <c r="K147" i="22"/>
  <c r="H147" i="22" s="1"/>
  <c r="M147" i="4" s="1"/>
  <c r="O147" i="4" s="1"/>
  <c r="I299" i="8"/>
  <c r="I233" i="8"/>
  <c r="K17" i="8" l="1"/>
  <c r="S147" i="4"/>
  <c r="M283" i="4"/>
  <c r="Q147" i="4"/>
  <c r="G147" i="4" l="1"/>
  <c r="I147" i="4" s="1"/>
  <c r="K165" i="8" s="1"/>
  <c r="Q283" i="4"/>
  <c r="J285" i="4" s="1"/>
  <c r="J288" i="4"/>
  <c r="S283" i="4"/>
  <c r="J286" i="4" s="1"/>
  <c r="J287" i="4"/>
  <c r="J147" i="4" l="1"/>
  <c r="I165" i="8" s="1"/>
  <c r="J19" i="12"/>
  <c r="H147" i="4"/>
  <c r="J165" i="8" s="1"/>
  <c r="H165" i="8"/>
  <c r="K19" i="12" l="1"/>
  <c r="L19" i="12" s="1"/>
  <c r="M19" i="12"/>
  <c r="H163" i="8"/>
  <c r="J41" i="12"/>
  <c r="J42" i="12" s="1"/>
  <c r="J163" i="8" l="1"/>
  <c r="K41" i="12"/>
  <c r="K42" i="12" s="1"/>
  <c r="M41" i="12"/>
  <c r="K163" i="8"/>
  <c r="L41" i="12"/>
  <c r="L42" i="12" s="1"/>
  <c r="I308" i="8"/>
  <c r="I169" i="8"/>
  <c r="I82" i="8"/>
  <c r="I194" i="8"/>
  <c r="I133" i="8" l="1"/>
  <c r="I293" i="8"/>
  <c r="I17" i="8" l="1"/>
  <c r="I163" i="8" l="1"/>
  <c r="I139" i="8" l="1"/>
  <c r="G283" i="4" l="1"/>
  <c r="J289" i="4" s="1"/>
  <c r="I52" i="8"/>
  <c r="I6"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Valerio</author>
  </authors>
  <commentList>
    <comment ref="A8" authorId="0" shapeId="0" xr:uid="{D8185C9D-7EC5-483C-83E8-95E9C31E2794}">
      <text>
        <r>
          <rPr>
            <b/>
            <sz val="9"/>
            <color indexed="81"/>
            <rFont val="Tahoma"/>
            <charset val="1"/>
          </rPr>
          <t>Valerio:</t>
        </r>
        <r>
          <rPr>
            <sz val="9"/>
            <color indexed="81"/>
            <rFont val="Tahoma"/>
            <charset val="1"/>
          </rPr>
          <t xml:space="preserve">
Data derived from Forest Management Plans, using a limited number of reference values, which introduces a larger uncertainty compared to NFI values based on large number of field plots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Valerio</author>
  </authors>
  <commentList>
    <comment ref="C1" authorId="0" shapeId="0" xr:uid="{2C4A1140-C89E-4D52-97FB-CDC6D8925B12}">
      <text>
        <r>
          <rPr>
            <b/>
            <sz val="9"/>
            <color indexed="81"/>
            <rFont val="Tahoma"/>
            <family val="2"/>
          </rPr>
          <t>Valerio:</t>
        </r>
        <r>
          <rPr>
            <sz val="9"/>
            <color indexed="81"/>
            <rFont val="Tahoma"/>
            <family val="2"/>
          </rPr>
          <t xml:space="preserve">
See Legend below the table</t>
        </r>
      </text>
    </comment>
    <comment ref="K2" authorId="0" shapeId="0" xr:uid="{112D2162-35B4-4A97-8DB2-6BCD5CC884FB}">
      <text>
        <r>
          <rPr>
            <b/>
            <sz val="9"/>
            <color indexed="81"/>
            <rFont val="Tahoma"/>
            <family val="2"/>
          </rPr>
          <t>Valerio:</t>
        </r>
        <r>
          <rPr>
            <sz val="9"/>
            <color indexed="81"/>
            <rFont val="Tahoma"/>
            <family val="2"/>
          </rPr>
          <t xml:space="preserve">
When the data source is SoEF, the BAWS is derived by multiplying the total biomass stock (AGB) with the ratio between the GSV available for wood supply and the total GSV</t>
        </r>
      </text>
    </comment>
    <comment ref="H3" authorId="0" shapeId="0" xr:uid="{398BE421-51F8-4858-88CA-B917FAEBA2F7}">
      <text>
        <r>
          <rPr>
            <b/>
            <sz val="9"/>
            <color indexed="81"/>
            <rFont val="Tahoma"/>
            <family val="2"/>
          </rPr>
          <t>Valerio:</t>
        </r>
        <r>
          <rPr>
            <sz val="9"/>
            <color indexed="81"/>
            <rFont val="Tahoma"/>
            <family val="2"/>
          </rPr>
          <t xml:space="preserve">
No value is reported in the SoEF and it is estimated from the neighboring NUTS ES513</t>
        </r>
      </text>
    </comment>
    <comment ref="K3" authorId="0" shapeId="0" xr:uid="{6535C741-CA3B-44EA-A41B-9B1B8C19A0A9}">
      <text>
        <r>
          <rPr>
            <b/>
            <sz val="9"/>
            <color indexed="81"/>
            <rFont val="Tahoma"/>
            <family val="2"/>
          </rPr>
          <t>Valerio:</t>
        </r>
        <r>
          <rPr>
            <sz val="9"/>
            <color indexed="81"/>
            <rFont val="Tahoma"/>
            <family val="2"/>
          </rPr>
          <t xml:space="preserve">
No value is reported in the SoEF and it is estimated from the neighboring NUTS ES513</t>
        </r>
      </text>
    </comment>
    <comment ref="M3" authorId="0" shapeId="0" xr:uid="{FD2E7EC1-A310-49B9-A1DD-67C7EC8E630F}">
      <text>
        <r>
          <rPr>
            <b/>
            <sz val="9"/>
            <color indexed="81"/>
            <rFont val="Tahoma"/>
            <family val="2"/>
          </rPr>
          <t>Valerio:</t>
        </r>
        <r>
          <rPr>
            <sz val="9"/>
            <color indexed="81"/>
            <rFont val="Tahoma"/>
            <family val="2"/>
          </rPr>
          <t xml:space="preserve">
No value is reported in the SoEF and it is estimated from the neighboring NUTS ES513</t>
        </r>
      </text>
    </comment>
    <comment ref="G5" authorId="0" shapeId="0" xr:uid="{21AFF3DF-54A4-4933-8E55-58D00DAC9052}">
      <text>
        <r>
          <rPr>
            <b/>
            <sz val="9"/>
            <color indexed="81"/>
            <rFont val="Tahoma"/>
            <charset val="1"/>
          </rPr>
          <t>Valerio:</t>
        </r>
        <r>
          <rPr>
            <sz val="9"/>
            <color indexed="81"/>
            <rFont val="Tahoma"/>
            <charset val="1"/>
          </rPr>
          <t xml:space="preserve">
Forest = FAWS + FNAWs + Permanently Unstocked forest areas</t>
        </r>
      </text>
    </comment>
    <comment ref="H6" authorId="0" shapeId="0" xr:uid="{A6E2312B-0AA1-43E0-89DD-69713D648210}">
      <text>
        <r>
          <rPr>
            <b/>
            <sz val="9"/>
            <color indexed="81"/>
            <rFont val="Tahoma"/>
            <family val="2"/>
          </rPr>
          <t>Valerio:</t>
        </r>
        <r>
          <rPr>
            <sz val="9"/>
            <color indexed="81"/>
            <rFont val="Tahoma"/>
            <family val="2"/>
          </rPr>
          <t xml:space="preserve">
No value is reported in the SoEF and it is estimated as average of the neighboring countries (HR, ME, RS)</t>
        </r>
      </text>
    </comment>
    <comment ref="K6" authorId="0" shapeId="0" xr:uid="{31534B4F-EC08-4B68-A36F-6680DDDE8210}">
      <text>
        <r>
          <rPr>
            <b/>
            <sz val="9"/>
            <color indexed="81"/>
            <rFont val="Tahoma"/>
            <family val="2"/>
          </rPr>
          <t>Valerio:</t>
        </r>
        <r>
          <rPr>
            <sz val="9"/>
            <color indexed="81"/>
            <rFont val="Tahoma"/>
            <family val="2"/>
          </rPr>
          <t xml:space="preserve">
No value is reported in the SoEF and it is estimated as average of the neighboring countries (HR, ME, RS)</t>
        </r>
      </text>
    </comment>
    <comment ref="M6" authorId="0" shapeId="0" xr:uid="{35DF89C1-2C28-4064-9285-BD8C5E52DE80}">
      <text>
        <r>
          <rPr>
            <b/>
            <sz val="9"/>
            <color indexed="81"/>
            <rFont val="Tahoma"/>
            <family val="2"/>
          </rPr>
          <t>Valerio:</t>
        </r>
        <r>
          <rPr>
            <sz val="9"/>
            <color indexed="81"/>
            <rFont val="Tahoma"/>
            <family val="2"/>
          </rPr>
          <t xml:space="preserve">
Average of the SoEF and FAO FRA estimates</t>
        </r>
      </text>
    </comment>
    <comment ref="K27" authorId="0" shapeId="0" xr:uid="{151808D1-57EF-4F73-992A-E7343AAFAAF0}">
      <text>
        <r>
          <rPr>
            <b/>
            <sz val="9"/>
            <color indexed="81"/>
            <rFont val="Tahoma"/>
            <family val="2"/>
          </rPr>
          <t>Valerio:</t>
        </r>
        <r>
          <rPr>
            <sz val="9"/>
            <color indexed="81"/>
            <rFont val="Tahoma"/>
            <family val="2"/>
          </rPr>
          <t xml:space="preserve">
No value is reported in the SoEF and it is estimated as average of the neighboring countries (HR, ME, RS)</t>
        </r>
      </text>
    </comment>
    <comment ref="H31" authorId="0" shapeId="0" xr:uid="{8697E19B-A1EE-42AA-8682-38469667D538}">
      <text>
        <r>
          <rPr>
            <b/>
            <sz val="9"/>
            <color indexed="81"/>
            <rFont val="Tahoma"/>
            <family val="2"/>
          </rPr>
          <t>Valerio:</t>
        </r>
        <r>
          <rPr>
            <sz val="9"/>
            <color indexed="81"/>
            <rFont val="Tahoma"/>
            <family val="2"/>
          </rPr>
          <t xml:space="preserve">
No value is reported in the SoEF and it is estimated from a similar country (GR)</t>
        </r>
      </text>
    </comment>
    <comment ref="K31" authorId="0" shapeId="0" xr:uid="{A1A0DBA6-7D15-4049-B2D1-9756D97BE1B5}">
      <text>
        <r>
          <rPr>
            <b/>
            <sz val="9"/>
            <color indexed="81"/>
            <rFont val="Tahoma"/>
            <family val="2"/>
          </rPr>
          <t>Valerio:</t>
        </r>
        <r>
          <rPr>
            <sz val="9"/>
            <color indexed="81"/>
            <rFont val="Tahoma"/>
            <family val="2"/>
          </rPr>
          <t xml:space="preserve">
No value is reported in the SoEF and it is estimated from a similar country (GR)</t>
        </r>
      </text>
    </comment>
    <comment ref="M31" authorId="0" shapeId="0" xr:uid="{03D805A3-87D2-4F79-8974-61CF66AC42E3}">
      <text>
        <r>
          <rPr>
            <b/>
            <sz val="9"/>
            <color indexed="81"/>
            <rFont val="Tahoma"/>
            <family val="2"/>
          </rPr>
          <t>Valerio:</t>
        </r>
        <r>
          <rPr>
            <sz val="9"/>
            <color indexed="81"/>
            <rFont val="Tahoma"/>
            <family val="2"/>
          </rPr>
          <t xml:space="preserve">
The value reported in the SoEF is incorrect and it is estimated from similar NUTS (GR3,GR4,GR6)</t>
        </r>
      </text>
    </comment>
    <comment ref="H37" authorId="0" shapeId="0" xr:uid="{40C61BF1-9212-4203-AA0A-B50DA97E8A3B}">
      <text>
        <r>
          <rPr>
            <b/>
            <sz val="9"/>
            <color indexed="81"/>
            <rFont val="Tahoma"/>
            <family val="2"/>
          </rPr>
          <t>Valerio:</t>
        </r>
        <r>
          <rPr>
            <sz val="9"/>
            <color indexed="81"/>
            <rFont val="Tahoma"/>
            <family val="2"/>
          </rPr>
          <t xml:space="preserve">
Source: Vauhkonen et al. 2019; Vidal et al., 2016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Valerio</author>
  </authors>
  <commentList>
    <comment ref="D1" authorId="0" shapeId="0" xr:uid="{4B072A19-FE2D-4B29-A1A5-DC410D13D97A}">
      <text>
        <r>
          <rPr>
            <b/>
            <sz val="9"/>
            <color indexed="81"/>
            <rFont val="Tahoma"/>
            <family val="2"/>
          </rPr>
          <t>Valerio:</t>
        </r>
        <r>
          <rPr>
            <sz val="9"/>
            <color indexed="81"/>
            <rFont val="Tahoma"/>
            <family val="2"/>
          </rPr>
          <t xml:space="preserve">
Estimates for 2020 for the 26 countries with harmonized NFI data at sub-national scale</t>
        </r>
      </text>
    </comment>
    <comment ref="N2" authorId="0" shapeId="0" xr:uid="{46B70F1E-B873-4BAF-A522-7EAE3886FD43}">
      <text>
        <r>
          <rPr>
            <b/>
            <sz val="9"/>
            <color indexed="81"/>
            <rFont val="Tahoma"/>
            <family val="2"/>
          </rPr>
          <t>Valerio:</t>
        </r>
        <r>
          <rPr>
            <sz val="9"/>
            <color indexed="81"/>
            <rFont val="Tahoma"/>
            <family val="2"/>
          </rPr>
          <t xml:space="preserve">
Correction factor to account for forest area change between the NFI year and 2020. 
If positive: Forest expansion.
If negative: Forest loss </t>
        </r>
      </text>
    </comment>
    <comment ref="O2" authorId="0" shapeId="0" xr:uid="{3EBD05D3-9382-491B-9191-5AF1BDEF0F21}">
      <text>
        <r>
          <rPr>
            <b/>
            <sz val="9"/>
            <color indexed="81"/>
            <rFont val="Tahoma"/>
            <family val="2"/>
          </rPr>
          <t>Valerio:</t>
        </r>
        <r>
          <rPr>
            <sz val="9"/>
            <color indexed="81"/>
            <rFont val="Tahoma"/>
            <family val="2"/>
          </rPr>
          <t xml:space="preserve">
Biomass density of forest change areas. 
If forest expansion: Biomass density of young stands (average of 0-19 years old stands) derived from CBM.
If forest loss: Average biomass density of existing forests</t>
        </r>
      </text>
    </comment>
    <comment ref="P2" authorId="0" shapeId="0" xr:uid="{1759C888-AA0C-41E4-AB5B-A4C3A9430476}">
      <text>
        <r>
          <rPr>
            <b/>
            <sz val="9"/>
            <color indexed="81"/>
            <rFont val="Tahoma"/>
            <family val="2"/>
          </rPr>
          <t>Valerio:</t>
        </r>
        <r>
          <rPr>
            <sz val="9"/>
            <color indexed="81"/>
            <rFont val="Tahoma"/>
            <family val="2"/>
          </rPr>
          <t xml:space="preserve">
Correction factor accounting for the biomass growth in forest remaining forest between the NFI year and 2020, derived from CBM</t>
        </r>
      </text>
    </comment>
    <comment ref="Q2" authorId="0" shapeId="0" xr:uid="{4533B810-B89F-4548-BF43-376DF1A194FA}">
      <text>
        <r>
          <rPr>
            <b/>
            <sz val="9"/>
            <color indexed="81"/>
            <rFont val="Tahoma"/>
            <family val="2"/>
          </rPr>
          <t>Valerio:</t>
        </r>
        <r>
          <rPr>
            <sz val="9"/>
            <color indexed="81"/>
            <rFont val="Tahoma"/>
            <family val="2"/>
          </rPr>
          <t xml:space="preserve">
Estimated biomass growth (in Tons) in forests remaining forests between the NFI year and 2020 </t>
        </r>
      </text>
    </comment>
    <comment ref="R2" authorId="0" shapeId="0" xr:uid="{2047A899-673D-4762-8B93-E0B2501CD9A1}">
      <text>
        <r>
          <rPr>
            <b/>
            <sz val="9"/>
            <color indexed="81"/>
            <rFont val="Tahoma"/>
            <family val="2"/>
          </rPr>
          <t>Valerio:</t>
        </r>
        <r>
          <rPr>
            <sz val="9"/>
            <color indexed="81"/>
            <rFont val="Tahoma"/>
            <family val="2"/>
          </rPr>
          <t xml:space="preserve">
Estimated forest area change (in ha) between the NFI year and 2020. 
If positive: Forest expansion.
If negative: Forest lossF</t>
        </r>
      </text>
    </comment>
    <comment ref="S2" authorId="0" shapeId="0" xr:uid="{F5484F2C-951B-4536-8EBB-055CB403EF21}">
      <text>
        <r>
          <rPr>
            <b/>
            <sz val="9"/>
            <color indexed="81"/>
            <rFont val="Tahoma"/>
            <family val="2"/>
          </rPr>
          <t>Valerio:</t>
        </r>
        <r>
          <rPr>
            <sz val="9"/>
            <color indexed="81"/>
            <rFont val="Tahoma"/>
            <family val="2"/>
          </rPr>
          <t xml:space="preserve">
Estimated biomass change (in Tons) due to the forest area change between the NFI year and 2020.</t>
        </r>
      </text>
    </comment>
    <comment ref="Y29" authorId="0" shapeId="0" xr:uid="{34208572-9817-4D70-86A7-EBEDFD54F2E0}">
      <text>
        <r>
          <rPr>
            <b/>
            <sz val="9"/>
            <color indexed="81"/>
            <rFont val="Tahoma"/>
            <family val="2"/>
          </rPr>
          <t>Valerio:</t>
        </r>
        <r>
          <rPr>
            <sz val="9"/>
            <color indexed="81"/>
            <rFont val="Tahoma"/>
            <family val="2"/>
          </rPr>
          <t xml:space="preserve">
Total % change between the NFI year (variable by country) and the reference year 2020</t>
        </r>
      </text>
    </comment>
    <comment ref="P69" authorId="0" shapeId="0" xr:uid="{54EE1DBA-B252-4E5E-A6B5-0B9B7A44FE99}">
      <text>
        <r>
          <rPr>
            <b/>
            <sz val="9"/>
            <color indexed="81"/>
            <rFont val="Tahoma"/>
            <family val="2"/>
          </rPr>
          <t>Valerio:</t>
        </r>
        <r>
          <rPr>
            <sz val="9"/>
            <color indexed="81"/>
            <rFont val="Tahoma"/>
            <family val="2"/>
          </rPr>
          <t xml:space="preserve">
For ES, the NFI year changes by NUTS3 Province, and the Biomass growth is estimated accordingly, multiplying the average annual biomass change rate provided by CBM for the number of years between the NFI year and 2020</t>
        </r>
      </text>
    </comment>
    <comment ref="C170" authorId="0" shapeId="0" xr:uid="{66EC5628-E8B3-49AC-BA09-21D0A14524A0}">
      <text>
        <r>
          <rPr>
            <b/>
            <sz val="9"/>
            <color indexed="81"/>
            <rFont val="Tahoma"/>
            <family val="2"/>
          </rPr>
          <t>Valerio:</t>
        </r>
        <r>
          <rPr>
            <sz val="9"/>
            <color indexed="81"/>
            <rFont val="Tahoma"/>
            <family val="2"/>
          </rPr>
          <t xml:space="preserve">
Different procedure for FAWS and BAWS because in IE their change is not proportional to the change in Forest area and Biomass
</t>
        </r>
      </text>
    </comment>
    <comment ref="E170" authorId="0" shapeId="0" xr:uid="{7C27ADB8-9B0D-403E-9E9A-0A954D93831C}">
      <text>
        <r>
          <rPr>
            <b/>
            <sz val="9"/>
            <color indexed="81"/>
            <rFont val="Tahoma"/>
            <family val="2"/>
          </rPr>
          <t>Valerio:</t>
        </r>
        <r>
          <rPr>
            <sz val="9"/>
            <color indexed="81"/>
            <rFont val="Tahoma"/>
            <family val="2"/>
          </rPr>
          <t xml:space="preserve">
Obtained using the change rate of the SoEF FAWS area between 2006 and 2020</t>
        </r>
      </text>
    </comment>
    <comment ref="H170" authorId="0" shapeId="0" xr:uid="{3B1DA817-4577-4FC8-AF1C-5B6E0B0A3365}">
      <text>
        <r>
          <rPr>
            <b/>
            <sz val="9"/>
            <color indexed="81"/>
            <rFont val="Tahoma"/>
            <family val="2"/>
          </rPr>
          <t>Valerio:</t>
        </r>
        <r>
          <rPr>
            <sz val="9"/>
            <color indexed="81"/>
            <rFont val="Tahoma"/>
            <family val="2"/>
          </rPr>
          <t xml:space="preserve">
Obtained using the change rate of the NFI BAWS between 2006 and 2020</t>
        </r>
      </text>
    </comment>
    <comment ref="C171" authorId="0" shapeId="0" xr:uid="{5C0F0EFB-397A-4181-863F-AA0F9632E9AC}">
      <text>
        <r>
          <rPr>
            <b/>
            <sz val="9"/>
            <color indexed="81"/>
            <rFont val="Tahoma"/>
            <family val="2"/>
          </rPr>
          <t>Valerio:</t>
        </r>
        <r>
          <rPr>
            <sz val="9"/>
            <color indexed="81"/>
            <rFont val="Tahoma"/>
            <family val="2"/>
          </rPr>
          <t xml:space="preserve">
Different procedure for FAWS and BAWS because in IE their change is not proportional to the change in Forest area and Biomass</t>
        </r>
      </text>
    </comment>
    <comment ref="E171" authorId="0" shapeId="0" xr:uid="{EF4AA619-7F55-4E31-B2F3-CC4BBFE30CEA}">
      <text>
        <r>
          <rPr>
            <b/>
            <sz val="9"/>
            <color indexed="81"/>
            <rFont val="Tahoma"/>
            <family val="2"/>
          </rPr>
          <t>Valerio:</t>
        </r>
        <r>
          <rPr>
            <sz val="9"/>
            <color indexed="81"/>
            <rFont val="Tahoma"/>
            <family val="2"/>
          </rPr>
          <t xml:space="preserve">
Obtained using the change rate of the SoEF FAWS area between 2006 and 2020</t>
        </r>
      </text>
    </comment>
    <comment ref="H171" authorId="0" shapeId="0" xr:uid="{D5CE642A-BF71-4964-810D-1C6FA120581C}">
      <text>
        <r>
          <rPr>
            <b/>
            <sz val="9"/>
            <color indexed="81"/>
            <rFont val="Tahoma"/>
            <family val="2"/>
          </rPr>
          <t>Valerio:</t>
        </r>
        <r>
          <rPr>
            <sz val="9"/>
            <color indexed="81"/>
            <rFont val="Tahoma"/>
            <family val="2"/>
          </rPr>
          <t xml:space="preserve">
Obtained using the change rate of the NFI BAWS between 2006 and 2020</t>
        </r>
      </text>
    </comment>
    <comment ref="G283" authorId="0" shapeId="0" xr:uid="{2D7E436A-C0AE-4377-893F-B9A411C80FD0}">
      <text>
        <r>
          <rPr>
            <b/>
            <sz val="9"/>
            <color indexed="81"/>
            <rFont val="Tahoma"/>
            <family val="2"/>
          </rPr>
          <t>Valerio:</t>
        </r>
        <r>
          <rPr>
            <sz val="9"/>
            <color indexed="81"/>
            <rFont val="Tahoma"/>
            <family val="2"/>
          </rPr>
          <t xml:space="preserve">
GR is excluded because it was not temporally updated</t>
        </r>
      </text>
    </comment>
    <comment ref="M283" authorId="0" shapeId="0" xr:uid="{59C81194-917A-4856-9613-87DF5035DD81}">
      <text>
        <r>
          <rPr>
            <b/>
            <sz val="9"/>
            <color indexed="81"/>
            <rFont val="Tahoma"/>
            <family val="2"/>
          </rPr>
          <t>Valerio:</t>
        </r>
        <r>
          <rPr>
            <sz val="9"/>
            <color indexed="81"/>
            <rFont val="Tahoma"/>
            <family val="2"/>
          </rPr>
          <t xml:space="preserve">
GR is excluded because it was not temporally updated</t>
        </r>
      </text>
    </comment>
    <comment ref="Q283" authorId="0" shapeId="0" xr:uid="{BAF36E61-3EB5-479D-9B02-12A4D6B50BF7}">
      <text>
        <r>
          <rPr>
            <b/>
            <sz val="9"/>
            <color indexed="81"/>
            <rFont val="Tahoma"/>
            <family val="2"/>
          </rPr>
          <t>Valerio:</t>
        </r>
        <r>
          <rPr>
            <sz val="9"/>
            <color indexed="81"/>
            <rFont val="Tahoma"/>
            <family val="2"/>
          </rPr>
          <t xml:space="preserve">
GR is excluded because it was not temporally updated</t>
        </r>
      </text>
    </comment>
    <comment ref="S283" authorId="0" shapeId="0" xr:uid="{AB0D5253-EB40-4359-B93E-B3C28B692A7D}">
      <text>
        <r>
          <rPr>
            <b/>
            <sz val="9"/>
            <color indexed="81"/>
            <rFont val="Tahoma"/>
            <family val="2"/>
          </rPr>
          <t>Valerio:</t>
        </r>
        <r>
          <rPr>
            <sz val="9"/>
            <color indexed="81"/>
            <rFont val="Tahoma"/>
            <family val="2"/>
          </rPr>
          <t xml:space="preserve">
GR is excluded because it was not temporally updated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Valerio</author>
  </authors>
  <commentList>
    <comment ref="H1" authorId="0" shapeId="0" xr:uid="{0F2CB26E-121A-4494-BE34-1B3DC5249F67}">
      <text>
        <r>
          <rPr>
            <b/>
            <sz val="9"/>
            <color indexed="81"/>
            <rFont val="Tahoma"/>
            <family val="2"/>
          </rPr>
          <t>Valerio:</t>
        </r>
        <r>
          <rPr>
            <sz val="9"/>
            <color indexed="81"/>
            <rFont val="Tahoma"/>
            <family val="2"/>
          </rPr>
          <t xml:space="preserve">
Difference in % between the NFI forest area and the (closest in time) SoEF forest area</t>
        </r>
      </text>
    </comment>
    <comment ref="I1" authorId="0" shapeId="0" xr:uid="{1998B94F-DC26-4546-AAC5-A21A831B7945}">
      <text>
        <r>
          <rPr>
            <b/>
            <sz val="9"/>
            <color indexed="81"/>
            <rFont val="Tahoma"/>
            <family val="2"/>
          </rPr>
          <t>Valerio:</t>
        </r>
        <r>
          <rPr>
            <sz val="9"/>
            <color indexed="81"/>
            <rFont val="Tahoma"/>
            <family val="2"/>
          </rPr>
          <t xml:space="preserve">
Forest area for 2020, computed as indicated in the box below the table</t>
        </r>
      </text>
    </comment>
    <comment ref="J1" authorId="0" shapeId="0" xr:uid="{EA9F946B-AD2D-45F9-9A27-141E6BDB60DE}">
      <text>
        <r>
          <rPr>
            <b/>
            <sz val="9"/>
            <color indexed="81"/>
            <rFont val="Tahoma"/>
            <family val="2"/>
          </rPr>
          <t>Valerio:</t>
        </r>
        <r>
          <rPr>
            <sz val="9"/>
            <color indexed="81"/>
            <rFont val="Tahoma"/>
            <family val="2"/>
          </rPr>
          <t xml:space="preserve">
Correction factor to account for the forest area change between the NFI year and 2020. 
If positive: Forest expansion.
If negative: Forest loss</t>
        </r>
      </text>
    </comment>
    <comment ref="G2" authorId="0" shapeId="0" xr:uid="{EF56678B-6BF3-4563-8CB5-88677D832A00}">
      <text>
        <r>
          <rPr>
            <b/>
            <sz val="9"/>
            <color indexed="81"/>
            <rFont val="Tahoma"/>
            <family val="2"/>
          </rPr>
          <t>Valerio:</t>
        </r>
        <r>
          <rPr>
            <sz val="9"/>
            <color indexed="81"/>
            <rFont val="Tahoma"/>
            <family val="2"/>
          </rPr>
          <t xml:space="preserve">
Change in forest area per year accordign to SoEF between the year closest to the NFI year and 2020</t>
        </r>
      </text>
    </comment>
    <comment ref="E15" authorId="0" shapeId="0" xr:uid="{BF9CCEC5-5E99-4125-BC86-2ADB23B12517}">
      <text>
        <r>
          <rPr>
            <b/>
            <sz val="9"/>
            <color indexed="81"/>
            <rFont val="Tahoma"/>
            <family val="2"/>
          </rPr>
          <t>Valerio:</t>
        </r>
        <r>
          <rPr>
            <sz val="9"/>
            <color indexed="81"/>
            <rFont val="Tahoma"/>
            <family val="2"/>
          </rPr>
          <t xml:space="preserve">
The NFI area (2002) is compared to SoEF value for 2010 because, as reported in the SoEF Country Report, the data "from 2005 has been calculated according to the most updated cartography available", while the "1990 and 2000 values are the same than in the previous questionnaire". The large change in forest area between 2000 and 2005 is considered due to the change in data and methodology.</t>
        </r>
      </text>
    </comment>
    <comment ref="F35" authorId="0" shapeId="0" xr:uid="{DA850F93-181C-4B46-AD81-12518844D399}">
      <text>
        <r>
          <rPr>
            <b/>
            <sz val="9"/>
            <color indexed="81"/>
            <rFont val="Tahoma"/>
            <family val="2"/>
          </rPr>
          <t>Valerio:</t>
        </r>
        <r>
          <rPr>
            <sz val="9"/>
            <color indexed="81"/>
            <rFont val="Tahoma"/>
            <family val="2"/>
          </rPr>
          <t xml:space="preserve">
Forest area without the islands (Madeira and Azores)</t>
        </r>
      </text>
    </comment>
    <comment ref="I35" authorId="0" shapeId="0" xr:uid="{335C95B6-3B41-4AC4-A8CB-1C6ED31BA349}">
      <text>
        <r>
          <rPr>
            <b/>
            <sz val="9"/>
            <color indexed="81"/>
            <rFont val="Tahoma"/>
            <family val="2"/>
          </rPr>
          <t>Valerio:</t>
        </r>
        <r>
          <rPr>
            <sz val="9"/>
            <color indexed="81"/>
            <rFont val="Tahoma"/>
            <family val="2"/>
          </rPr>
          <t xml:space="preserve">
Forest area withouth the islands (Madeira and Azores)</t>
        </r>
      </text>
    </comment>
    <comment ref="I39" authorId="0" shapeId="0" xr:uid="{CF07D58A-2C25-437F-8985-14A5002C86FF}">
      <text>
        <r>
          <rPr>
            <b/>
            <sz val="9"/>
            <color indexed="81"/>
            <rFont val="Tahoma"/>
            <family val="2"/>
          </rPr>
          <t>Valerio:</t>
        </r>
        <r>
          <rPr>
            <sz val="9"/>
            <color indexed="81"/>
            <rFont val="Tahoma"/>
            <family val="2"/>
          </rPr>
          <t xml:space="preserve">
Adjusted to the SoEF value due to the small difference (in terms of total area, rather than %) compared to the SoEF area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Valerio</author>
  </authors>
  <commentList>
    <comment ref="C1" authorId="0" shapeId="0" xr:uid="{53DDD194-AC8C-48CE-B2C1-CA10F3CD2F98}">
      <text>
        <r>
          <rPr>
            <b/>
            <sz val="9"/>
            <color indexed="81"/>
            <rFont val="Tahoma"/>
            <family val="2"/>
          </rPr>
          <t>Valerio:</t>
        </r>
        <r>
          <rPr>
            <sz val="9"/>
            <color indexed="81"/>
            <rFont val="Tahoma"/>
            <family val="2"/>
          </rPr>
          <t xml:space="preserve">
Input data as published in the SoEF 2020 database</t>
        </r>
      </text>
    </comment>
    <comment ref="P3" authorId="0" shapeId="0" xr:uid="{46DE5B8F-9AB9-48F3-B9A9-9AF7115AEDC3}">
      <text>
        <r>
          <rPr>
            <b/>
            <sz val="9"/>
            <color indexed="81"/>
            <rFont val="Tahoma"/>
            <family val="2"/>
          </rPr>
          <t>Valerio:</t>
        </r>
        <r>
          <rPr>
            <sz val="9"/>
            <color indexed="81"/>
            <rFont val="Tahoma"/>
            <family val="2"/>
          </rPr>
          <t xml:space="preserve">
The default Carbon fraction of 0.5 was used when it is not reported in the SoEF Country Report, or it is provided by species or forest types</t>
        </r>
      </text>
    </comment>
    <comment ref="N7" authorId="0" shapeId="0" xr:uid="{5A2288E7-F773-4787-B708-74C0B97CF1DA}">
      <text>
        <r>
          <rPr>
            <b/>
            <sz val="9"/>
            <color indexed="81"/>
            <rFont val="Tahoma"/>
            <family val="2"/>
          </rPr>
          <t>Valerio:</t>
        </r>
        <r>
          <rPr>
            <sz val="9"/>
            <color indexed="81"/>
            <rFont val="Tahoma"/>
            <family val="2"/>
          </rPr>
          <t xml:space="preserve">
The FAO FRA reports a much higher value</t>
        </r>
      </text>
    </comment>
    <comment ref="S7" authorId="0" shapeId="0" xr:uid="{D4CFC43D-B6DB-4207-82BD-B0025B6987E3}">
      <text>
        <r>
          <rPr>
            <b/>
            <sz val="9"/>
            <color indexed="81"/>
            <rFont val="Tahoma"/>
            <family val="2"/>
          </rPr>
          <t>Valerio:</t>
        </r>
        <r>
          <rPr>
            <sz val="9"/>
            <color indexed="81"/>
            <rFont val="Tahoma"/>
            <family val="2"/>
          </rPr>
          <t xml:space="preserve">
The SoEF reports that all GSV is available for wood supply but this is likely referring to FAWS rather than all forest land</t>
        </r>
      </text>
    </comment>
    <comment ref="C21" authorId="0" shapeId="0" xr:uid="{0EEA73C9-A581-4DF6-81CA-0DE5BFA0E218}">
      <text>
        <r>
          <rPr>
            <b/>
            <sz val="9"/>
            <color indexed="81"/>
            <rFont val="Tahoma"/>
            <family val="2"/>
          </rPr>
          <t>Valerio:</t>
        </r>
        <r>
          <rPr>
            <sz val="9"/>
            <color indexed="81"/>
            <rFont val="Tahoma"/>
            <family val="2"/>
          </rPr>
          <t xml:space="preserve">
The SoEF area refers to Forest + OWL to match the NFI forest definition</t>
        </r>
      </text>
    </comment>
    <comment ref="D21" authorId="0" shapeId="0" xr:uid="{D28CD2C0-E010-4715-A98E-BB1865BD6002}">
      <text>
        <r>
          <rPr>
            <b/>
            <sz val="9"/>
            <color indexed="81"/>
            <rFont val="Tahoma"/>
            <family val="2"/>
          </rPr>
          <t>Valerio:</t>
        </r>
        <r>
          <rPr>
            <sz val="9"/>
            <color indexed="81"/>
            <rFont val="Tahoma"/>
            <family val="2"/>
          </rPr>
          <t xml:space="preserve">
The SoEF area refers to Forest + OWL to match the NFI forest definition</t>
        </r>
      </text>
    </comment>
    <comment ref="E21" authorId="0" shapeId="0" xr:uid="{34A1AB9D-D649-4DF3-94C8-B0872E37A648}">
      <text>
        <r>
          <rPr>
            <b/>
            <sz val="9"/>
            <color indexed="81"/>
            <rFont val="Tahoma"/>
            <family val="2"/>
          </rPr>
          <t>Valerio:</t>
        </r>
        <r>
          <rPr>
            <sz val="9"/>
            <color indexed="81"/>
            <rFont val="Tahoma"/>
            <family val="2"/>
          </rPr>
          <t xml:space="preserve">
The SoEF area refers to Forest + OWL to match the NFI forest definition</t>
        </r>
      </text>
    </comment>
    <comment ref="F21" authorId="0" shapeId="0" xr:uid="{79AEF7AF-BF8E-4A19-81DB-68A97CB59096}">
      <text>
        <r>
          <rPr>
            <b/>
            <sz val="9"/>
            <color indexed="81"/>
            <rFont val="Tahoma"/>
            <family val="2"/>
          </rPr>
          <t>Valerio:</t>
        </r>
        <r>
          <rPr>
            <sz val="9"/>
            <color indexed="81"/>
            <rFont val="Tahoma"/>
            <family val="2"/>
          </rPr>
          <t xml:space="preserve">
The SoEF area refers to Forest + OWL to match the NFI forest definition</t>
        </r>
      </text>
    </comment>
    <comment ref="G21" authorId="0" shapeId="0" xr:uid="{BD0A60FF-3248-4C1F-A36A-A0F9BACD9ACC}">
      <text>
        <r>
          <rPr>
            <b/>
            <sz val="9"/>
            <color indexed="81"/>
            <rFont val="Tahoma"/>
            <family val="2"/>
          </rPr>
          <t>Valerio:</t>
        </r>
        <r>
          <rPr>
            <sz val="9"/>
            <color indexed="81"/>
            <rFont val="Tahoma"/>
            <family val="2"/>
          </rPr>
          <t xml:space="preserve">
The SoEF area refers to Forest + OWL to match the NFI forest definition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Valerio</author>
  </authors>
  <commentList>
    <comment ref="D1" authorId="0" shapeId="0" xr:uid="{F51A9CE3-4C54-43C6-8090-C7043C246012}">
      <text>
        <r>
          <rPr>
            <b/>
            <sz val="9"/>
            <color indexed="81"/>
            <rFont val="Tahoma"/>
            <family val="2"/>
          </rPr>
          <t>Valerio:</t>
        </r>
        <r>
          <rPr>
            <sz val="9"/>
            <color indexed="81"/>
            <rFont val="Tahoma"/>
            <family val="2"/>
          </rPr>
          <t xml:space="preserve">
Input data provided by the NFIs after harmonization of definitions, referring to the NFI year</t>
        </r>
      </text>
    </comment>
    <comment ref="F3" authorId="0" shapeId="0" xr:uid="{A4203039-E4A1-49F6-9734-787B834F75F3}">
      <text>
        <r>
          <rPr>
            <b/>
            <sz val="9"/>
            <color indexed="81"/>
            <rFont val="Tahoma"/>
            <charset val="1"/>
          </rPr>
          <t>Valerio:</t>
        </r>
        <r>
          <rPr>
            <sz val="9"/>
            <color indexed="81"/>
            <rFont val="Tahoma"/>
            <charset val="1"/>
          </rPr>
          <t xml:space="preserve">
For AT: 
FAWS = Forest - FNAWS - Unstocked</t>
        </r>
      </text>
    </comment>
    <comment ref="Q23" authorId="0" shapeId="0" xr:uid="{C4153386-AD07-402A-BDA4-9A591450660E}">
      <text>
        <r>
          <rPr>
            <b/>
            <sz val="9"/>
            <color indexed="81"/>
            <rFont val="Tahoma"/>
            <charset val="1"/>
          </rPr>
          <t>Valerio:</t>
        </r>
        <r>
          <rPr>
            <sz val="9"/>
            <color indexed="81"/>
            <rFont val="Tahoma"/>
            <charset val="1"/>
          </rPr>
          <t xml:space="preserve">
refer to the 2006 NFI</t>
        </r>
      </text>
    </comment>
    <comment ref="Y23" authorId="0" shapeId="0" xr:uid="{CD3C5768-F067-4CD2-8F80-568D5E379839}">
      <text>
        <r>
          <rPr>
            <b/>
            <sz val="9"/>
            <color indexed="81"/>
            <rFont val="Tahoma"/>
            <charset val="1"/>
          </rPr>
          <t>Valerio:</t>
        </r>
        <r>
          <rPr>
            <sz val="9"/>
            <color indexed="81"/>
            <rFont val="Tahoma"/>
            <charset val="1"/>
          </rPr>
          <t xml:space="preserve">
refer to the 2006 NFI</t>
        </r>
      </text>
    </comment>
    <comment ref="K146" authorId="0" shapeId="0" xr:uid="{E915ED22-3D53-4C2F-9366-D8A6DD551547}">
      <text>
        <r>
          <rPr>
            <b/>
            <sz val="9"/>
            <color indexed="81"/>
            <rFont val="Tahoma"/>
            <family val="2"/>
          </rPr>
          <t>Valerio:</t>
        </r>
        <r>
          <rPr>
            <sz val="9"/>
            <color indexed="81"/>
            <rFont val="Tahoma"/>
            <family val="2"/>
          </rPr>
          <t xml:space="preserve">
SoEF value for Greece</t>
        </r>
      </text>
    </comment>
    <comment ref="K147" authorId="0" shapeId="0" xr:uid="{52F274A3-7885-4DB0-8BC4-281A7864535D}">
      <text>
        <r>
          <rPr>
            <b/>
            <sz val="9"/>
            <color indexed="81"/>
            <rFont val="Tahoma"/>
            <family val="2"/>
          </rPr>
          <t>Valerio:</t>
        </r>
        <r>
          <rPr>
            <sz val="9"/>
            <color indexed="81"/>
            <rFont val="Tahoma"/>
            <family val="2"/>
          </rPr>
          <t xml:space="preserve">
Average of Southern Greece, AL, BG, MK, TR</t>
        </r>
      </text>
    </comment>
    <comment ref="C264" authorId="0" shapeId="0" xr:uid="{F0406A70-6145-4C42-A143-37F7B8CA851F}">
      <text>
        <r>
          <rPr>
            <b/>
            <sz val="9"/>
            <color indexed="81"/>
            <rFont val="Tahoma"/>
            <family val="2"/>
          </rPr>
          <t>Valerio:</t>
        </r>
        <r>
          <rPr>
            <sz val="9"/>
            <color indexed="81"/>
            <rFont val="Tahoma"/>
            <family val="2"/>
          </rPr>
          <t xml:space="preserve">
Source: Tomter et al., 2013</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Valerio</author>
  </authors>
  <commentList>
    <comment ref="K1" authorId="0" shapeId="0" xr:uid="{E70E4A4A-2DE0-42E1-B5F2-BECF51E053DF}">
      <text>
        <r>
          <rPr>
            <b/>
            <sz val="9"/>
            <color indexed="81"/>
            <rFont val="Tahoma"/>
            <family val="2"/>
          </rPr>
          <t>Valerio:</t>
        </r>
        <r>
          <rPr>
            <sz val="9"/>
            <color indexed="81"/>
            <rFont val="Tahoma"/>
            <family val="2"/>
          </rPr>
          <t xml:space="preserve">
Correction factors quantifying the biomass growth in forests remaining forests between the NFI year and 2020 according to CBM</t>
        </r>
      </text>
    </comment>
    <comment ref="M1" authorId="0" shapeId="0" xr:uid="{D0A51FA0-ABBD-4275-AACB-1E92FAEE69DE}">
      <text>
        <r>
          <rPr>
            <b/>
            <sz val="9"/>
            <color indexed="81"/>
            <rFont val="Tahoma"/>
            <family val="2"/>
          </rPr>
          <t>Valerio:</t>
        </r>
        <r>
          <rPr>
            <sz val="9"/>
            <color indexed="81"/>
            <rFont val="Tahoma"/>
            <family val="2"/>
          </rPr>
          <t xml:space="preserve">
Biomass density of young forests, from CBM (0-19 years old) or as average of neighbouring NUTS for the countries not included in CBM</t>
        </r>
      </text>
    </comment>
    <comment ref="M2" authorId="0" shapeId="0" xr:uid="{0320E060-4960-47A3-BA90-E6C1507D5B4B}">
      <text>
        <r>
          <rPr>
            <b/>
            <sz val="9"/>
            <color indexed="81"/>
            <rFont val="Tahoma"/>
            <family val="2"/>
          </rPr>
          <t>Valerio:</t>
        </r>
        <r>
          <rPr>
            <sz val="9"/>
            <color indexed="81"/>
            <rFont val="Tahoma"/>
            <family val="2"/>
          </rPr>
          <t xml:space="preserve">
CBM v1: first CBM run
CBM v2: 2023 CBM run
GF: Gap-filled with values from neighbouring units</t>
        </r>
      </text>
    </comment>
    <comment ref="O2" authorId="0" shapeId="0" xr:uid="{8ED0BF57-CEA4-4A35-B34A-C07B0423C285}">
      <text>
        <r>
          <rPr>
            <b/>
            <sz val="9"/>
            <color indexed="81"/>
            <rFont val="Tahoma"/>
            <family val="2"/>
          </rPr>
          <t>Valerio:</t>
        </r>
        <r>
          <rPr>
            <sz val="9"/>
            <color indexed="81"/>
            <rFont val="Tahoma"/>
            <family val="2"/>
          </rPr>
          <t xml:space="preserve">
NUTS code used in CBM or NUTS units to estimate the missing values in CBM</t>
        </r>
      </text>
    </comment>
    <comment ref="C14" authorId="0" shapeId="0" xr:uid="{3346CC33-3778-4B0C-A5C1-47BF1730F59B}">
      <text>
        <r>
          <rPr>
            <b/>
            <sz val="9"/>
            <color indexed="81"/>
            <rFont val="Tahoma"/>
            <charset val="1"/>
          </rPr>
          <t>Valerio:</t>
        </r>
        <r>
          <rPr>
            <sz val="9"/>
            <color indexed="81"/>
            <rFont val="Tahoma"/>
            <charset val="1"/>
          </rPr>
          <t xml:space="preserve">
Biomass values derived from the revised NFI calculations.</t>
        </r>
      </text>
    </comment>
    <comment ref="C25" authorId="0" shapeId="0" xr:uid="{98A6FDD2-FDE4-4DA9-A2EA-B048000037D1}">
      <text>
        <r>
          <rPr>
            <b/>
            <sz val="9"/>
            <color indexed="81"/>
            <rFont val="Tahoma"/>
            <family val="2"/>
          </rPr>
          <t>Valerio:</t>
        </r>
        <r>
          <rPr>
            <sz val="9"/>
            <color indexed="81"/>
            <rFont val="Tahoma"/>
            <family val="2"/>
          </rPr>
          <t xml:space="preserve">
FOR ALL COUNTRIES USING SOEF VALUES: The forest area between the NFI year and 2020 is not constant, but the Correction Factor is computed on the mean AGB density to account for the small changes in the forest area between the periods</t>
        </r>
      </text>
    </comment>
    <comment ref="D27" authorId="0" shapeId="0" xr:uid="{E51CAAA6-2682-4F7A-ABA7-D9B4FA96F3F3}">
      <text>
        <r>
          <rPr>
            <b/>
            <sz val="9"/>
            <color indexed="81"/>
            <rFont val="Tahoma"/>
            <family val="2"/>
          </rPr>
          <t>Valerio:</t>
        </r>
        <r>
          <rPr>
            <sz val="9"/>
            <color indexed="81"/>
            <rFont val="Tahoma"/>
            <family val="2"/>
          </rPr>
          <t xml:space="preserve">
Computed using the 2010-2020 SoEF data. The NFI ref. year is 2005 but the change based on 2005-2010 SoEF is not consistent, as it reports an increase of 10% of forest area, 47% of AGB density and 61% of AGB stock</t>
        </r>
      </text>
    </comment>
    <comment ref="K29" authorId="0" shapeId="0" xr:uid="{E51474A1-4521-4B6C-953D-F54777B66631}">
      <text>
        <r>
          <rPr>
            <b/>
            <sz val="9"/>
            <color indexed="81"/>
            <rFont val="Tahoma"/>
            <family val="2"/>
          </rPr>
          <t>Valerio:</t>
        </r>
        <r>
          <rPr>
            <sz val="9"/>
            <color indexed="81"/>
            <rFont val="Tahoma"/>
            <family val="2"/>
          </rPr>
          <t xml:space="preserve">
CF = 0 because the data for GR refer to 2020</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C17_data_results_for_nuts" description="Connection to the 'SC17_data_results_for_nuts' query in the workbook." type="5" refreshedVersion="0" background="1">
    <dbPr connection="Provider=Microsoft.Mashup.OleDb.1;Data Source=$Workbook$;Location=SC17_data_results_for_nuts;Extended Properties=&quot;&quot;" command="SELECT * FROM [SC17_data_results_for_nuts]"/>
  </connection>
</connections>
</file>

<file path=xl/sharedStrings.xml><?xml version="1.0" encoding="utf-8"?>
<sst xmlns="http://schemas.openxmlformats.org/spreadsheetml/2006/main" count="3991" uniqueCount="654">
  <si>
    <t>AD</t>
  </si>
  <si>
    <t>AL</t>
  </si>
  <si>
    <t>AT</t>
  </si>
  <si>
    <t>BA</t>
  </si>
  <si>
    <t>BE</t>
  </si>
  <si>
    <t>BG</t>
  </si>
  <si>
    <t>CH</t>
  </si>
  <si>
    <t>CY</t>
  </si>
  <si>
    <t>CZ</t>
  </si>
  <si>
    <t>DE</t>
  </si>
  <si>
    <t>DK</t>
  </si>
  <si>
    <t>EE</t>
  </si>
  <si>
    <t>ES</t>
  </si>
  <si>
    <t>FI</t>
  </si>
  <si>
    <t>FR</t>
  </si>
  <si>
    <t>GB</t>
  </si>
  <si>
    <t>GR</t>
  </si>
  <si>
    <t>HR</t>
  </si>
  <si>
    <t>HU</t>
  </si>
  <si>
    <t>IE</t>
  </si>
  <si>
    <t>IS</t>
  </si>
  <si>
    <t>IT</t>
  </si>
  <si>
    <t>LI</t>
  </si>
  <si>
    <t>LT</t>
  </si>
  <si>
    <t>LU</t>
  </si>
  <si>
    <t>LV</t>
  </si>
  <si>
    <t>ME</t>
  </si>
  <si>
    <t>MK</t>
  </si>
  <si>
    <t>MT</t>
  </si>
  <si>
    <t>NL</t>
  </si>
  <si>
    <t>NO</t>
  </si>
  <si>
    <t>PL</t>
  </si>
  <si>
    <t>PT</t>
  </si>
  <si>
    <t>RO</t>
  </si>
  <si>
    <t>SE</t>
  </si>
  <si>
    <t>SI</t>
  </si>
  <si>
    <t>SK</t>
  </si>
  <si>
    <t>RS</t>
  </si>
  <si>
    <t>NUTS</t>
  </si>
  <si>
    <t>Austria</t>
  </si>
  <si>
    <t>AT11</t>
  </si>
  <si>
    <t>AT12</t>
  </si>
  <si>
    <t>AT13</t>
  </si>
  <si>
    <t>AT21</t>
  </si>
  <si>
    <t>AT22</t>
  </si>
  <si>
    <t>AT31</t>
  </si>
  <si>
    <t>AT32</t>
  </si>
  <si>
    <t>AT33</t>
  </si>
  <si>
    <t>AT34</t>
  </si>
  <si>
    <t>Switzerland</t>
  </si>
  <si>
    <t>CH01</t>
  </si>
  <si>
    <t>CH02</t>
  </si>
  <si>
    <t>CH03</t>
  </si>
  <si>
    <t>CH04</t>
  </si>
  <si>
    <t>CH05</t>
  </si>
  <si>
    <t>CH06</t>
  </si>
  <si>
    <t>CH07</t>
  </si>
  <si>
    <t>Czech Republic</t>
  </si>
  <si>
    <t>CZ010</t>
  </si>
  <si>
    <t>CZ020</t>
  </si>
  <si>
    <t>CZ031</t>
  </si>
  <si>
    <t>CZ032</t>
  </si>
  <si>
    <t>CZ041</t>
  </si>
  <si>
    <t>CZ042</t>
  </si>
  <si>
    <t>CZ051</t>
  </si>
  <si>
    <t>CZ052</t>
  </si>
  <si>
    <t>CZ053</t>
  </si>
  <si>
    <t>CZ063</t>
  </si>
  <si>
    <t>CZ064</t>
  </si>
  <si>
    <t>CZ071</t>
  </si>
  <si>
    <t>CZ072</t>
  </si>
  <si>
    <t>CZ080</t>
  </si>
  <si>
    <t>Germany</t>
  </si>
  <si>
    <t>DE1</t>
  </si>
  <si>
    <t>DE2</t>
  </si>
  <si>
    <t>DE3</t>
  </si>
  <si>
    <t>DE4</t>
  </si>
  <si>
    <t>DE5</t>
  </si>
  <si>
    <t>DE6</t>
  </si>
  <si>
    <t>DE7</t>
  </si>
  <si>
    <t>DE8</t>
  </si>
  <si>
    <t>DE9</t>
  </si>
  <si>
    <t>DEA</t>
  </si>
  <si>
    <t>DEB</t>
  </si>
  <si>
    <t>DEC</t>
  </si>
  <si>
    <t>DED</t>
  </si>
  <si>
    <t>DEE</t>
  </si>
  <si>
    <t>DEF</t>
  </si>
  <si>
    <t>DEG</t>
  </si>
  <si>
    <t>Spain</t>
  </si>
  <si>
    <t>ES111</t>
  </si>
  <si>
    <t>ES112</t>
  </si>
  <si>
    <t>ES113</t>
  </si>
  <si>
    <t>ES114</t>
  </si>
  <si>
    <t>ES120</t>
  </si>
  <si>
    <t>ES130</t>
  </si>
  <si>
    <t>ES211</t>
  </si>
  <si>
    <t>ES212</t>
  </si>
  <si>
    <t>ES213</t>
  </si>
  <si>
    <t>ES220</t>
  </si>
  <si>
    <t>ES230</t>
  </si>
  <si>
    <t>ES241</t>
  </si>
  <si>
    <t>ES242</t>
  </si>
  <si>
    <t>ES243</t>
  </si>
  <si>
    <t>ES300</t>
  </si>
  <si>
    <t>ES411</t>
  </si>
  <si>
    <t>ES412</t>
  </si>
  <si>
    <t>ES413</t>
  </si>
  <si>
    <t>ES414</t>
  </si>
  <si>
    <t>ES415</t>
  </si>
  <si>
    <t>ES416</t>
  </si>
  <si>
    <t>ES417</t>
  </si>
  <si>
    <t>ES418</t>
  </si>
  <si>
    <t>ES419</t>
  </si>
  <si>
    <t>ES421</t>
  </si>
  <si>
    <t>ES422</t>
  </si>
  <si>
    <t>ES423</t>
  </si>
  <si>
    <t>ES424</t>
  </si>
  <si>
    <t>ES425</t>
  </si>
  <si>
    <t>ES431</t>
  </si>
  <si>
    <t>ES432</t>
  </si>
  <si>
    <t>ES511</t>
  </si>
  <si>
    <t>ES512</t>
  </si>
  <si>
    <t>ES513</t>
  </si>
  <si>
    <t>ES514</t>
  </si>
  <si>
    <t>ES521</t>
  </si>
  <si>
    <t>ES522</t>
  </si>
  <si>
    <t>ES523</t>
  </si>
  <si>
    <t>ES611</t>
  </si>
  <si>
    <t>ES612</t>
  </si>
  <si>
    <t>ES613</t>
  </si>
  <si>
    <t>ES614</t>
  </si>
  <si>
    <t>ES615</t>
  </si>
  <si>
    <t>ES616</t>
  </si>
  <si>
    <t>ES617</t>
  </si>
  <si>
    <t>ES618</t>
  </si>
  <si>
    <t>ES620</t>
  </si>
  <si>
    <t>ES701</t>
  </si>
  <si>
    <t>ES702</t>
  </si>
  <si>
    <t>Ireland</t>
  </si>
  <si>
    <t>Iceland</t>
  </si>
  <si>
    <t>Italy</t>
  </si>
  <si>
    <t>LT001</t>
  </si>
  <si>
    <t>LT002</t>
  </si>
  <si>
    <t>LT003</t>
  </si>
  <si>
    <t>LT004</t>
  </si>
  <si>
    <t>LT005</t>
  </si>
  <si>
    <t>LT006</t>
  </si>
  <si>
    <t>LT007</t>
  </si>
  <si>
    <t>LT008</t>
  </si>
  <si>
    <t>LT009</t>
  </si>
  <si>
    <t>LT00A</t>
  </si>
  <si>
    <t>Netherlands</t>
  </si>
  <si>
    <t>NL11</t>
  </si>
  <si>
    <t>NL12</t>
  </si>
  <si>
    <t>NL13</t>
  </si>
  <si>
    <t>NL21</t>
  </si>
  <si>
    <t>NL22</t>
  </si>
  <si>
    <t>NL23</t>
  </si>
  <si>
    <t>NL31</t>
  </si>
  <si>
    <t>NL32</t>
  </si>
  <si>
    <t>NL33</t>
  </si>
  <si>
    <t>NL34</t>
  </si>
  <si>
    <t>NL41</t>
  </si>
  <si>
    <t>NL42</t>
  </si>
  <si>
    <t>Norway</t>
  </si>
  <si>
    <t>NO011</t>
  </si>
  <si>
    <t>NO012</t>
  </si>
  <si>
    <t>NO021</t>
  </si>
  <si>
    <t>NO022</t>
  </si>
  <si>
    <t>NO031</t>
  </si>
  <si>
    <t>NO032</t>
  </si>
  <si>
    <t>NO033</t>
  </si>
  <si>
    <t>NO034</t>
  </si>
  <si>
    <t>NO041</t>
  </si>
  <si>
    <t>NO042</t>
  </si>
  <si>
    <t>NO043</t>
  </si>
  <si>
    <t>NO051</t>
  </si>
  <si>
    <t>NO052</t>
  </si>
  <si>
    <t>NO053</t>
  </si>
  <si>
    <t>NO071</t>
  </si>
  <si>
    <t>NO072</t>
  </si>
  <si>
    <t>NO073</t>
  </si>
  <si>
    <t>PL11</t>
  </si>
  <si>
    <t>PL12</t>
  </si>
  <si>
    <t>PL21</t>
  </si>
  <si>
    <t>PL22</t>
  </si>
  <si>
    <t>PL31</t>
  </si>
  <si>
    <t>PL32</t>
  </si>
  <si>
    <t>PL33</t>
  </si>
  <si>
    <t>PL34</t>
  </si>
  <si>
    <t>PL41</t>
  </si>
  <si>
    <t>PL42</t>
  </si>
  <si>
    <t>PL43</t>
  </si>
  <si>
    <t>PL51</t>
  </si>
  <si>
    <t>PL52</t>
  </si>
  <si>
    <t>PL61</t>
  </si>
  <si>
    <t>PL62</t>
  </si>
  <si>
    <t>PL63</t>
  </si>
  <si>
    <t>Portugal</t>
  </si>
  <si>
    <t>PT11</t>
  </si>
  <si>
    <t>PT15</t>
  </si>
  <si>
    <t>PT16</t>
  </si>
  <si>
    <t>PT17</t>
  </si>
  <si>
    <t>PT18</t>
  </si>
  <si>
    <t>Romania</t>
  </si>
  <si>
    <t>RO1</t>
  </si>
  <si>
    <t>RO2</t>
  </si>
  <si>
    <t>RO3</t>
  </si>
  <si>
    <t>RO4</t>
  </si>
  <si>
    <t>Sweden</t>
  </si>
  <si>
    <t>SE11</t>
  </si>
  <si>
    <t>SE12</t>
  </si>
  <si>
    <t>SE21</t>
  </si>
  <si>
    <t>SE22</t>
  </si>
  <si>
    <t>SE23</t>
  </si>
  <si>
    <t>SE31</t>
  </si>
  <si>
    <t>SE32</t>
  </si>
  <si>
    <t>SE33</t>
  </si>
  <si>
    <t>Slovak Republic</t>
  </si>
  <si>
    <t>Forest</t>
  </si>
  <si>
    <t>FAWS</t>
  </si>
  <si>
    <t>FNAWS</t>
  </si>
  <si>
    <t>FR10</t>
  </si>
  <si>
    <t>ITC1</t>
  </si>
  <si>
    <t>ITC2</t>
  </si>
  <si>
    <t>ITC3</t>
  </si>
  <si>
    <t>ITC4</t>
  </si>
  <si>
    <t>ITF1</t>
  </si>
  <si>
    <t>ITF2</t>
  </si>
  <si>
    <t>ITF3</t>
  </si>
  <si>
    <t>ITF4</t>
  </si>
  <si>
    <t>ITF5</t>
  </si>
  <si>
    <t>ITF6</t>
  </si>
  <si>
    <t>ITG1</t>
  </si>
  <si>
    <t>ITG2</t>
  </si>
  <si>
    <t>ITH3</t>
  </si>
  <si>
    <t>ITH4</t>
  </si>
  <si>
    <t>ITH5</t>
  </si>
  <si>
    <t>ITI1</t>
  </si>
  <si>
    <t>ITI2</t>
  </si>
  <si>
    <t>ITI3</t>
  </si>
  <si>
    <t>ITI4</t>
  </si>
  <si>
    <t>Country</t>
  </si>
  <si>
    <t>ISO</t>
  </si>
  <si>
    <t>Bulgaria</t>
  </si>
  <si>
    <t>Hungary</t>
  </si>
  <si>
    <t>Latvia</t>
  </si>
  <si>
    <t>Lithuania</t>
  </si>
  <si>
    <t>Poland</t>
  </si>
  <si>
    <t>Slovakia</t>
  </si>
  <si>
    <t>Slovenia</t>
  </si>
  <si>
    <t>France</t>
  </si>
  <si>
    <t>ITH10</t>
  </si>
  <si>
    <t>ITH20</t>
  </si>
  <si>
    <t>NFI</t>
  </si>
  <si>
    <t>NO060</t>
  </si>
  <si>
    <t>FRH0</t>
  </si>
  <si>
    <t>FRG0</t>
  </si>
  <si>
    <t>FRD1</t>
  </si>
  <si>
    <t>FRD2</t>
  </si>
  <si>
    <t>FRE2</t>
  </si>
  <si>
    <t>FRE1</t>
  </si>
  <si>
    <t>FRB0</t>
  </si>
  <si>
    <t>FRI3</t>
  </si>
  <si>
    <t>FRF2</t>
  </si>
  <si>
    <t>FRC1</t>
  </si>
  <si>
    <t>FRF1</t>
  </si>
  <si>
    <t>FRF3</t>
  </si>
  <si>
    <t>FRC2</t>
  </si>
  <si>
    <t>FRK1</t>
  </si>
  <si>
    <t>FRI2</t>
  </si>
  <si>
    <t>FRK2</t>
  </si>
  <si>
    <t>FRI1</t>
  </si>
  <si>
    <t>FRJ2</t>
  </si>
  <si>
    <t>FRJ1</t>
  </si>
  <si>
    <t>FRL0</t>
  </si>
  <si>
    <t>FRM0</t>
  </si>
  <si>
    <t>IE01</t>
  </si>
  <si>
    <t>IE02</t>
  </si>
  <si>
    <t>HU211</t>
  </si>
  <si>
    <t>HU212</t>
  </si>
  <si>
    <t>HU213</t>
  </si>
  <si>
    <t>HU221</t>
  </si>
  <si>
    <t>HU222</t>
  </si>
  <si>
    <t>HU223</t>
  </si>
  <si>
    <t>HU231</t>
  </si>
  <si>
    <t>HU232</t>
  </si>
  <si>
    <t>HU233</t>
  </si>
  <si>
    <t>HU311</t>
  </si>
  <si>
    <t>HU312</t>
  </si>
  <si>
    <t>HU313</t>
  </si>
  <si>
    <t>HU321</t>
  </si>
  <si>
    <t>HU322</t>
  </si>
  <si>
    <t>HU323</t>
  </si>
  <si>
    <t>HU331</t>
  </si>
  <si>
    <t>HU332</t>
  </si>
  <si>
    <t>HU333</t>
  </si>
  <si>
    <t>SI04</t>
  </si>
  <si>
    <t>SI03</t>
  </si>
  <si>
    <t>ES530</t>
  </si>
  <si>
    <t>HU110</t>
  </si>
  <si>
    <t>HU120</t>
  </si>
  <si>
    <t>SK010</t>
  </si>
  <si>
    <t>SK021</t>
  </si>
  <si>
    <t>SK022</t>
  </si>
  <si>
    <t>SK023</t>
  </si>
  <si>
    <t>SK031</t>
  </si>
  <si>
    <t>SK032</t>
  </si>
  <si>
    <t>SK041</t>
  </si>
  <si>
    <t>SK042</t>
  </si>
  <si>
    <t>AGB</t>
  </si>
  <si>
    <t>BAWS</t>
  </si>
  <si>
    <t>Belgium</t>
  </si>
  <si>
    <t>FI19</t>
  </si>
  <si>
    <t>FI1B</t>
  </si>
  <si>
    <t>FI1C</t>
  </si>
  <si>
    <t>FI1D</t>
  </si>
  <si>
    <t>FI20</t>
  </si>
  <si>
    <t>2004-2006</t>
  </si>
  <si>
    <t>2001-2004</t>
  </si>
  <si>
    <t>2006-2009</t>
  </si>
  <si>
    <t>2008-2015</t>
  </si>
  <si>
    <t>Croatia</t>
  </si>
  <si>
    <t>Denmark</t>
  </si>
  <si>
    <t>2010-2014</t>
  </si>
  <si>
    <t>2005-2006</t>
  </si>
  <si>
    <t>Serbia</t>
  </si>
  <si>
    <t>2007-2009</t>
  </si>
  <si>
    <t>Cyprus</t>
  </si>
  <si>
    <t>Finland</t>
  </si>
  <si>
    <t>2004-2008</t>
  </si>
  <si>
    <t>2008-2012</t>
  </si>
  <si>
    <t>2003-2006</t>
  </si>
  <si>
    <t>2009-2013</t>
  </si>
  <si>
    <t>2012-2013</t>
  </si>
  <si>
    <t>1997-2007</t>
  </si>
  <si>
    <t>2008-2013</t>
  </si>
  <si>
    <t>BE2</t>
  </si>
  <si>
    <t>BE20</t>
  </si>
  <si>
    <t>BE3</t>
  </si>
  <si>
    <t>BE30</t>
  </si>
  <si>
    <t>CZ01</t>
  </si>
  <si>
    <t>CZ02</t>
  </si>
  <si>
    <t>CZ03</t>
  </si>
  <si>
    <t>CZ04</t>
  </si>
  <si>
    <t>CZ05</t>
  </si>
  <si>
    <t>CZ06</t>
  </si>
  <si>
    <t>CZ07</t>
  </si>
  <si>
    <t>CZ08</t>
  </si>
  <si>
    <t>DE_B-W</t>
  </si>
  <si>
    <t>DE_Bay</t>
  </si>
  <si>
    <t>DE_B-B</t>
  </si>
  <si>
    <t>DE_Hes</t>
  </si>
  <si>
    <t>DE_M-V</t>
  </si>
  <si>
    <t>DE_NHB</t>
  </si>
  <si>
    <t>DE_N-W</t>
  </si>
  <si>
    <t>DE_R-P</t>
  </si>
  <si>
    <t>DE_Sar</t>
  </si>
  <si>
    <t>DE_Sac</t>
  </si>
  <si>
    <t>DE_S-A</t>
  </si>
  <si>
    <t>DE_S-H</t>
  </si>
  <si>
    <t>DE_Thu</t>
  </si>
  <si>
    <t>ES11</t>
  </si>
  <si>
    <t>ES12</t>
  </si>
  <si>
    <t>ES13</t>
  </si>
  <si>
    <t>ES21</t>
  </si>
  <si>
    <t>ES22</t>
  </si>
  <si>
    <t>ES23</t>
  </si>
  <si>
    <t>ES24</t>
  </si>
  <si>
    <t>ES30</t>
  </si>
  <si>
    <t>ES41</t>
  </si>
  <si>
    <t>ES42</t>
  </si>
  <si>
    <t>ES43</t>
  </si>
  <si>
    <t>ES51</t>
  </si>
  <si>
    <t>ES52</t>
  </si>
  <si>
    <t>ES53</t>
  </si>
  <si>
    <t>ES61</t>
  </si>
  <si>
    <t>ES62</t>
  </si>
  <si>
    <t>FR21</t>
  </si>
  <si>
    <t>FR22</t>
  </si>
  <si>
    <t>FR23</t>
  </si>
  <si>
    <t>FR24</t>
  </si>
  <si>
    <t>FR25</t>
  </si>
  <si>
    <t>FR26</t>
  </si>
  <si>
    <t>FR30</t>
  </si>
  <si>
    <t>FR41</t>
  </si>
  <si>
    <t>FR42</t>
  </si>
  <si>
    <t>FR43</t>
  </si>
  <si>
    <t>FR51</t>
  </si>
  <si>
    <t>FR52</t>
  </si>
  <si>
    <t>FR53</t>
  </si>
  <si>
    <t>FR61</t>
  </si>
  <si>
    <t>FR62</t>
  </si>
  <si>
    <t>FR63</t>
  </si>
  <si>
    <t>FR71</t>
  </si>
  <si>
    <t>FR72</t>
  </si>
  <si>
    <t>FR81</t>
  </si>
  <si>
    <t>FR82</t>
  </si>
  <si>
    <t>FR83</t>
  </si>
  <si>
    <t>IT_Pi</t>
  </si>
  <si>
    <t>IT_Va</t>
  </si>
  <si>
    <t>IT_Li</t>
  </si>
  <si>
    <t>IT_Lo</t>
  </si>
  <si>
    <t>IT_Ab</t>
  </si>
  <si>
    <t>IT_Mo</t>
  </si>
  <si>
    <t>IT_Cam</t>
  </si>
  <si>
    <t>IT_Pu</t>
  </si>
  <si>
    <t>IT_Ba</t>
  </si>
  <si>
    <t>IT_Cal</t>
  </si>
  <si>
    <t>IT_Si</t>
  </si>
  <si>
    <t>IT_Sa</t>
  </si>
  <si>
    <t>IT_AA</t>
  </si>
  <si>
    <t>IT_Tn</t>
  </si>
  <si>
    <t>IT_Ve</t>
  </si>
  <si>
    <t>IT_FVG</t>
  </si>
  <si>
    <t>IT_ER</t>
  </si>
  <si>
    <t>IT_To</t>
  </si>
  <si>
    <t>IT_Um</t>
  </si>
  <si>
    <t>IT_Ma</t>
  </si>
  <si>
    <t>IT_La</t>
  </si>
  <si>
    <t>YEAR</t>
  </si>
  <si>
    <t>COUNTRY</t>
  </si>
  <si>
    <t>BE1</t>
  </si>
  <si>
    <t>RS12</t>
  </si>
  <si>
    <t>RS11</t>
  </si>
  <si>
    <t>RS21</t>
  </si>
  <si>
    <t>RS22</t>
  </si>
  <si>
    <t>RKS</t>
  </si>
  <si>
    <t>BG31</t>
  </si>
  <si>
    <t>BG32</t>
  </si>
  <si>
    <t>BG33</t>
  </si>
  <si>
    <t>BG34</t>
  </si>
  <si>
    <t>BG41</t>
  </si>
  <si>
    <t>BG42</t>
  </si>
  <si>
    <t>GR5</t>
  </si>
  <si>
    <t>AGB (t/ha)</t>
  </si>
  <si>
    <t>AGB Stock</t>
  </si>
  <si>
    <t>AGB density</t>
  </si>
  <si>
    <t>SoEF 2020</t>
  </si>
  <si>
    <t>2015-2020</t>
  </si>
  <si>
    <t>2010-2020</t>
  </si>
  <si>
    <t>2005-2020</t>
  </si>
  <si>
    <t>2000-2020</t>
  </si>
  <si>
    <t>NFI REFERENCE YEAR</t>
  </si>
  <si>
    <t>CBM Code</t>
  </si>
  <si>
    <t>DK01</t>
  </si>
  <si>
    <t>DK02</t>
  </si>
  <si>
    <t>DK03</t>
  </si>
  <si>
    <t>DK04</t>
  </si>
  <si>
    <t>DK05</t>
  </si>
  <si>
    <t>ES70</t>
  </si>
  <si>
    <t>LV00</t>
  </si>
  <si>
    <t>NL00</t>
  </si>
  <si>
    <t>Greece</t>
  </si>
  <si>
    <t>NUTS level</t>
  </si>
  <si>
    <t>2005-2014</t>
  </si>
  <si>
    <t>N. plots</t>
  </si>
  <si>
    <t>Area (ha)</t>
  </si>
  <si>
    <t>Data source</t>
  </si>
  <si>
    <t>FAWS (ha)</t>
  </si>
  <si>
    <t>FNAWS (ha)</t>
  </si>
  <si>
    <t>AGB (tons)</t>
  </si>
  <si>
    <t>BAWS (tons)</t>
  </si>
  <si>
    <t>BNAWS (tons)</t>
  </si>
  <si>
    <t>Forest growth</t>
  </si>
  <si>
    <t>Forest change</t>
  </si>
  <si>
    <t>Afforestation</t>
  </si>
  <si>
    <t>Deforestation</t>
  </si>
  <si>
    <t>Total AGB change</t>
  </si>
  <si>
    <t>DK011</t>
  </si>
  <si>
    <t>DK012</t>
  </si>
  <si>
    <t>DK013</t>
  </si>
  <si>
    <t>DK014</t>
  </si>
  <si>
    <t>DK021</t>
  </si>
  <si>
    <t>DK022</t>
  </si>
  <si>
    <t>DK031</t>
  </si>
  <si>
    <t>DK032</t>
  </si>
  <si>
    <t>DK041</t>
  </si>
  <si>
    <t>DK042</t>
  </si>
  <si>
    <t>DK050</t>
  </si>
  <si>
    <t>Year</t>
  </si>
  <si>
    <t>IS00</t>
  </si>
  <si>
    <t>CBM</t>
  </si>
  <si>
    <t>SoEF</t>
  </si>
  <si>
    <t>NFI Ref. Year</t>
  </si>
  <si>
    <t>GR3,GR4,GR6</t>
  </si>
  <si>
    <t>HR03</t>
  </si>
  <si>
    <t>HR04</t>
  </si>
  <si>
    <t>FAWS %</t>
  </si>
  <si>
    <t>Total</t>
  </si>
  <si>
    <t>YEAR (range)</t>
  </si>
  <si>
    <t>ISO Code</t>
  </si>
  <si>
    <t>AGB S.E. (t/ha)</t>
  </si>
  <si>
    <t>AGB S.E. (%)</t>
  </si>
  <si>
    <t>FAWS: Area of Forest Available for Wood Supply</t>
  </si>
  <si>
    <t>FNAWS: Area of Forest Not Available for Wood Supply</t>
  </si>
  <si>
    <t>BAWS: Biomass Available for Wood Supply</t>
  </si>
  <si>
    <t>BNAWS: Biomass Not Available for Wood Supply</t>
  </si>
  <si>
    <t>AGB S.E.: Sampling Error of Aboveground biomass</t>
  </si>
  <si>
    <t>YEAR (Ref.)</t>
  </si>
  <si>
    <t>Forest area (ha)</t>
  </si>
  <si>
    <t>NFI / SOEF</t>
  </si>
  <si>
    <t>LEGEND</t>
  </si>
  <si>
    <t>2001-2014</t>
  </si>
  <si>
    <t>SOEF</t>
  </si>
  <si>
    <t>Andorra</t>
  </si>
  <si>
    <t>Estonia</t>
  </si>
  <si>
    <t>Liechtenstein</t>
  </si>
  <si>
    <t>Luxembourg</t>
  </si>
  <si>
    <t>Malta</t>
  </si>
  <si>
    <t>Montenegro</t>
  </si>
  <si>
    <t>© FRA 2023</t>
  </si>
  <si>
    <t>Albania</t>
  </si>
  <si>
    <t>Bosnia and Herzegovina</t>
  </si>
  <si>
    <t>United Kingdom</t>
  </si>
  <si>
    <t>North Macedonia</t>
  </si>
  <si>
    <t>Forest area change (ha/year)</t>
  </si>
  <si>
    <t>Name</t>
  </si>
  <si>
    <t>Area change (ha/yr)</t>
  </si>
  <si>
    <t>AREA (ha)</t>
  </si>
  <si>
    <t>(%)</t>
  </si>
  <si>
    <t>Area change (ha)</t>
  </si>
  <si>
    <t>AGB (Tons)</t>
  </si>
  <si>
    <t>BNAWS (Tons)</t>
  </si>
  <si>
    <t>GSV (m³ over bark)</t>
  </si>
  <si>
    <t>NFI 2020 ESTIMATES</t>
  </si>
  <si>
    <t>AGB change (Tons)</t>
  </si>
  <si>
    <t>Carbon in biomass</t>
  </si>
  <si>
    <t>0.48 - 0.51</t>
  </si>
  <si>
    <t>By species</t>
  </si>
  <si>
    <t>0.49 - 0.50</t>
  </si>
  <si>
    <t>Reported</t>
  </si>
  <si>
    <t>Gap-filled</t>
  </si>
  <si>
    <t>BAWS (Tons)</t>
  </si>
  <si>
    <t>DATA SOURCE</t>
  </si>
  <si>
    <t>NATIONAL 2020 ESTIMATES</t>
  </si>
  <si>
    <t>(Tons)</t>
  </si>
  <si>
    <t>AGB Carbon</t>
  </si>
  <si>
    <t>Available for wood supply</t>
  </si>
  <si>
    <t>Fraction available</t>
  </si>
  <si>
    <t>NFI year</t>
  </si>
  <si>
    <t>AGB growth (Tons)</t>
  </si>
  <si>
    <t>AGB (Tons/ha)</t>
  </si>
  <si>
    <t xml:space="preserve">AGB growth </t>
  </si>
  <si>
    <t>Area change</t>
  </si>
  <si>
    <t>Corr. Factors (NFI Year - 2020)</t>
  </si>
  <si>
    <t>Area Corr. Factor</t>
  </si>
  <si>
    <t>AGB change (t/ha)</t>
  </si>
  <si>
    <t>(ha)</t>
  </si>
  <si>
    <t>Forest Area</t>
  </si>
  <si>
    <t>(Tons/ha)</t>
  </si>
  <si>
    <t>BNAWS</t>
  </si>
  <si>
    <t>Forest area</t>
  </si>
  <si>
    <t>NFI year-2020</t>
  </si>
  <si>
    <t>AGB growth rate of young forest</t>
  </si>
  <si>
    <t>FOREST AREA (ha)</t>
  </si>
  <si>
    <t>AGB: AboveGround Biomass</t>
  </si>
  <si>
    <t>Content</t>
  </si>
  <si>
    <t>OUTPUT 2020</t>
  </si>
  <si>
    <t>NATIONAL 2020</t>
  </si>
  <si>
    <t>NFI 2020</t>
  </si>
  <si>
    <t>AREA CorrFactor</t>
  </si>
  <si>
    <t>INPUT SoEF</t>
  </si>
  <si>
    <t>INPUT NFI</t>
  </si>
  <si>
    <t>INPUT CBM</t>
  </si>
  <si>
    <t>Summary table with estimates for 2020 for all countries at national level, with the data source of each forest variable</t>
  </si>
  <si>
    <t>Net Stock change (% per yr)</t>
  </si>
  <si>
    <t>Input data as provided by the NFIs after harmonization of definitions, referring to the NFI year</t>
  </si>
  <si>
    <t>Input data as published in the SoEF 2020 database (https://fra-data.fao.org/assessments/panEuropean/2020/FE/home/overview)</t>
  </si>
  <si>
    <t>Correction factors to account for the forest area change between the NFI year and 2020</t>
  </si>
  <si>
    <t>Summary table with estimates for 2020 for all countries for all (national and sub-national) administrative units (NUTS)</t>
  </si>
  <si>
    <t>Table with estimates for 2020 for the 26 countries with harmonized NFI data at sub-national scale; Correction factors and calculations to update the NFI data from the NFI year to 2020; Net biomass stock change between the NFI year and 2020 at national level</t>
  </si>
  <si>
    <t>YEAR (Ref.): Reference year of the NFI</t>
  </si>
  <si>
    <t>YEAR (range): Start and end year of the NFI cycle</t>
  </si>
  <si>
    <t>N. plots: Number of field plots used to produce the estimates</t>
  </si>
  <si>
    <t>NFI Reference Year - SUBNATIONAL</t>
  </si>
  <si>
    <t>NFI Reference Year - NATIONAL</t>
  </si>
  <si>
    <t>Sheet</t>
  </si>
  <si>
    <t>Harmonized data (%)</t>
  </si>
  <si>
    <t>Harmonized data (% of forest area)</t>
  </si>
  <si>
    <t>NUTS: Nomenclature of territorial units for statistics</t>
  </si>
  <si>
    <t>ISO: Country code according to ISO 3166-1 alpha-2</t>
  </si>
  <si>
    <t>LEGEND Data Source</t>
  </si>
  <si>
    <r>
      <rPr>
        <b/>
        <sz val="11"/>
        <rFont val="Calibri"/>
        <family val="2"/>
        <scheme val="minor"/>
      </rPr>
      <t>SoEF</t>
    </r>
    <r>
      <rPr>
        <sz val="11"/>
        <rFont val="Calibri"/>
        <family val="2"/>
        <scheme val="minor"/>
      </rPr>
      <t>: Data derived from SoEF 2020 database, available only at national level</t>
    </r>
  </si>
  <si>
    <r>
      <rPr>
        <b/>
        <sz val="11"/>
        <rFont val="Calibri"/>
        <family val="2"/>
        <scheme val="minor"/>
      </rPr>
      <t>NFI</t>
    </r>
    <r>
      <rPr>
        <sz val="11"/>
        <rFont val="Calibri"/>
        <family val="2"/>
        <scheme val="minor"/>
      </rPr>
      <t>: Data derived from the NFI, available at sub-national level and not matching the SoEF values</t>
    </r>
  </si>
  <si>
    <t>Use, reporting, presentation or publication of results based on this dataset requires the following citation:</t>
  </si>
  <si>
    <t>The comments included in some excel cells in this file provide additional explanations for specific fields</t>
  </si>
  <si>
    <t>(Tons C)</t>
  </si>
  <si>
    <t xml:space="preserve">This file provides the statistics on forest area, biomass, FAWS and BAWS for Europe, harmonized for defintions and reference year, as described in: </t>
  </si>
  <si>
    <t>The presence of #N/A or empty cells indicates missing data, not reported by the country in the NFI or SoEF reports or database</t>
  </si>
  <si>
    <t>AGB: AboveGround Biomass in forest area</t>
  </si>
  <si>
    <t>ESTIMATES FOR 2020</t>
  </si>
  <si>
    <t>Gap-filled data (% of forest area)</t>
  </si>
  <si>
    <t>UNCERTAINTY</t>
  </si>
  <si>
    <t>LEGEND Uncertainty</t>
  </si>
  <si>
    <r>
      <rPr>
        <b/>
        <sz val="11"/>
        <rFont val="Calibri"/>
        <family val="2"/>
        <scheme val="minor"/>
      </rPr>
      <t>1</t>
    </r>
    <r>
      <rPr>
        <sz val="11"/>
        <rFont val="Calibri"/>
        <family val="2"/>
        <scheme val="minor"/>
      </rPr>
      <t>: Value derived from SoEF 2020 database or the CBM modelling outputs</t>
    </r>
  </si>
  <si>
    <r>
      <rPr>
        <b/>
        <sz val="11"/>
        <rFont val="Calibri"/>
        <family val="2"/>
        <scheme val="minor"/>
      </rPr>
      <t>0</t>
    </r>
    <r>
      <rPr>
        <sz val="11"/>
        <rFont val="Calibri"/>
        <family val="2"/>
        <scheme val="minor"/>
      </rPr>
      <t>: Value derived from harmonized NFI data</t>
    </r>
  </si>
  <si>
    <r>
      <rPr>
        <b/>
        <sz val="11"/>
        <color theme="1"/>
        <rFont val="Calibri"/>
        <family val="2"/>
        <scheme val="minor"/>
      </rPr>
      <t>2</t>
    </r>
    <r>
      <rPr>
        <sz val="11"/>
        <color theme="1"/>
        <rFont val="Calibri"/>
        <family val="2"/>
        <scheme val="minor"/>
      </rPr>
      <t>: Value obtained with gap-filling procedure, using data from the same country</t>
    </r>
  </si>
  <si>
    <r>
      <rPr>
        <b/>
        <sz val="11"/>
        <color theme="1"/>
        <rFont val="Calibri"/>
        <family val="2"/>
        <scheme val="minor"/>
      </rPr>
      <t>3</t>
    </r>
    <r>
      <rPr>
        <sz val="11"/>
        <color theme="1"/>
        <rFont val="Calibri"/>
        <family val="2"/>
        <scheme val="minor"/>
      </rPr>
      <t>: Value obtained with gap-filling procedure, using data from different countries</t>
    </r>
  </si>
  <si>
    <t>NFI &amp; SoEF</t>
  </si>
  <si>
    <r>
      <rPr>
        <b/>
        <sz val="11"/>
        <rFont val="Calibri"/>
        <family val="2"/>
        <scheme val="minor"/>
      </rPr>
      <t>NFI &amp; SoEF</t>
    </r>
    <r>
      <rPr>
        <sz val="11"/>
        <rFont val="Calibri"/>
        <family val="2"/>
        <scheme val="minor"/>
      </rPr>
      <t>: Data derived from the NFI at sub-national level, matching the SoEF values at national level for 2020</t>
    </r>
  </si>
  <si>
    <t>GF</t>
  </si>
  <si>
    <r>
      <rPr>
        <b/>
        <sz val="11"/>
        <color theme="1"/>
        <rFont val="Calibri"/>
        <family val="2"/>
        <scheme val="minor"/>
      </rPr>
      <t>GF</t>
    </r>
    <r>
      <rPr>
        <sz val="11"/>
        <color theme="1"/>
        <rFont val="Calibri"/>
        <family val="2"/>
        <scheme val="minor"/>
      </rPr>
      <t>: Data derived using gap-filling procedures</t>
    </r>
  </si>
  <si>
    <t>Table with the uncertainty value of the 2020 estimates</t>
  </si>
  <si>
    <t>OUTPUT 2020 Uncertainty</t>
  </si>
  <si>
    <t>HU11</t>
  </si>
  <si>
    <t>HU12</t>
  </si>
  <si>
    <t>HU21</t>
  </si>
  <si>
    <t>HU22</t>
  </si>
  <si>
    <t>HU23</t>
  </si>
  <si>
    <t>HU31</t>
  </si>
  <si>
    <t>HU32</t>
  </si>
  <si>
    <t>HU33</t>
  </si>
  <si>
    <t>LT01</t>
  </si>
  <si>
    <t>LT02</t>
  </si>
  <si>
    <t>BT</t>
  </si>
  <si>
    <t>CP</t>
  </si>
  <si>
    <t>MP</t>
  </si>
  <si>
    <t>MS</t>
  </si>
  <si>
    <t>MZ</t>
  </si>
  <si>
    <t>SL</t>
  </si>
  <si>
    <t>WP</t>
  </si>
  <si>
    <t>SK01</t>
  </si>
  <si>
    <t>SK02</t>
  </si>
  <si>
    <t>SK03</t>
  </si>
  <si>
    <t>SK04</t>
  </si>
  <si>
    <t>Source</t>
  </si>
  <si>
    <t>GR1</t>
  </si>
  <si>
    <t>HR02, HR05, HR06</t>
  </si>
  <si>
    <t>RO11, RO12</t>
  </si>
  <si>
    <t>RO21, RO22</t>
  </si>
  <si>
    <t>RO31, RO32</t>
  </si>
  <si>
    <t>RO41, RO42</t>
  </si>
  <si>
    <t>FI1A, FI13</t>
  </si>
  <si>
    <t>FR71, IT_Pi, IT_Va</t>
  </si>
  <si>
    <t>FR42, FR43</t>
  </si>
  <si>
    <t>FR42, DE_B-W</t>
  </si>
  <si>
    <t>AT33, AT34, DE_B-W, IT_Lo, IT_AA</t>
  </si>
  <si>
    <t>CH01, CH02, CH03, CH04, CH05, CH07</t>
  </si>
  <si>
    <t>IT_Pi, IT_Lo</t>
  </si>
  <si>
    <t>GR2, GR3, GR4</t>
  </si>
  <si>
    <t>SE11, SE12, SE21, SE22, SE23, SE31</t>
  </si>
  <si>
    <t>SE33, FI19</t>
  </si>
  <si>
    <t>BG31, BG41, RO4, HU33</t>
  </si>
  <si>
    <t>Input data as produced by the CBM on the forest biomass density for the NFI year and the year 2020, and the correction factors quantifying the biomass growth in forests remaining forests between the NFI year and 2020 according to CBM; Biomass density of young forests for all NUTS units, derived from the CBM estimates of the average biomass density of young stands (0-19 years)</t>
  </si>
  <si>
    <t>CRITERIA: if the difference between the NFI forest area and the (closest in time) SoEF forest area is &lt; 2%, the difference is considered negligible and due to approximations (e.g., the NFI year is an average of a larger period), and the NFI forest area in 2020 is equal to SoEF in 2020. If the difference is &gt; 2% (12 countries, in red), the NFI forest area is updated using the SoEF annual change rate.</t>
  </si>
  <si>
    <t>Change (NFI Year - 2020)</t>
  </si>
  <si>
    <t>Corr. Factor AGB forest growth</t>
  </si>
  <si>
    <t xml:space="preserve"> (NFI year - 2020)</t>
  </si>
  <si>
    <t>IE04</t>
  </si>
  <si>
    <t>IE05</t>
  </si>
  <si>
    <t>Avitabile et al. (2023) "Harmonized statistics and maps of forest biomass and increment in Europe". For a proper use and description of this dataset, please refer to the mentioned article.</t>
  </si>
  <si>
    <t>Avitabile V., Pilli R., Migliavacca M., Duveiller G., Camia A., Blujdea V., … &amp; Mubareka S. (2023), Harmonized statistics and maps of forest biomass and increment in Europe. Nature Scientific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</si>
</sst>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_(* \(#,##0.00\);_(* &quot;-&quot;??_);_(@_)"/>
    <numFmt numFmtId="164" formatCode="_(* #,##0_);_(* \(#,##0\);_(* &quot;-&quot;??_);_(@_)"/>
    <numFmt numFmtId="165" formatCode="_-* #,##0.00_-;\-* #,##0.00_-;_-* &quot;-&quot;??_-;_-@_-"/>
    <numFmt numFmtId="166" formatCode="0.0%"/>
    <numFmt numFmtId="167" formatCode="0.0"/>
    <numFmt numFmtId="168" formatCode="0.000"/>
    <numFmt numFmtId="169" formatCode="#,##0.0"/>
    <numFmt numFmtId="170" formatCode="_(* #,##0.000_);_(* \(#,##0.000\);_(* &quot;-&quot;??_);_(@_)"/>
    <numFmt numFmtId="171" formatCode="0.000000"/>
    <numFmt numFmtId="172" formatCode="_(* #,##0.0000_);_(* \(#,##0.0000\);_(* &quot;-&quot;??_);_(@_)"/>
    <numFmt numFmtId="173" formatCode="_(* #,##0.00000_);_(* \(#,##0.00000\);_(* &quot;-&quot;??_);_(@_)"/>
    <numFmt numFmtId="174" formatCode="0.00000000000000000"/>
    <numFmt numFmtId="175" formatCode="#,##0.000"/>
    <numFmt numFmtId="176" formatCode="#,##0.0000000_);\(#,##0.0000000\)"/>
    <numFmt numFmtId="177" formatCode="_(* #,##0.0_);_(* \(#,##0.0\);_(* &quot;-&quot;??_);_(@_)"/>
    <numFmt numFmtId="178" formatCode="_ * #,##0.00_ ;_ * \-#,##0.00_ ;_ * &quot;-&quot;??_ ;_ @_ "/>
    <numFmt numFmtId="179" formatCode="_-* #,##0_-;\-* #,##0_-;_-* &quot;-&quot;??_-;_-@_-"/>
  </numFmts>
  <fonts count="44"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0"/>
      <name val="Arial"/>
      <family val="2"/>
      <charset val="204"/>
    </font>
    <font>
      <sz val="11"/>
      <color theme="1"/>
      <name val="Calibri"/>
      <family val="2"/>
    </font>
    <fon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10"/>
      <color indexed="8"/>
      <name val="Arial"/>
      <family val="2"/>
    </font>
    <font>
      <b/>
      <sz val="10"/>
      <name val="Arial"/>
      <family val="2"/>
      <charset val="204"/>
    </font>
    <font>
      <u/>
      <sz val="10"/>
      <color indexed="12"/>
      <name val="Arial"/>
      <family val="2"/>
      <charset val="204"/>
    </font>
    <font>
      <sz val="11"/>
      <name val="Arial"/>
      <family val="2"/>
      <charset val="204"/>
    </font>
    <font>
      <sz val="10"/>
      <name val="Arial"/>
      <family val="2"/>
      <charset val="238"/>
    </font>
    <font>
      <sz val="11"/>
      <color theme="1"/>
      <name val="Calibri"/>
      <family val="2"/>
      <charset val="204"/>
      <scheme val="minor"/>
    </font>
    <font>
      <sz val="10"/>
      <name val="Arial"/>
      <family val="2"/>
    </font>
    <font>
      <sz val="11"/>
      <color theme="1"/>
      <name val="Calibri"/>
      <family val="2"/>
      <charset val="238"/>
      <scheme val="minor"/>
    </font>
    <font>
      <sz val="8"/>
      <name val="Calibri"/>
      <family val="2"/>
      <scheme val="minor"/>
    </font>
    <font>
      <b/>
      <sz val="12"/>
      <color theme="9"/>
      <name val="Calibri"/>
      <family val="2"/>
      <scheme val="minor"/>
    </font>
    <font>
      <b/>
      <sz val="18"/>
      <color theme="3"/>
      <name val="Calibri Light"/>
      <family val="2"/>
      <scheme val="major"/>
    </font>
    <font>
      <sz val="10"/>
      <color theme="1"/>
      <name val="Tahoma"/>
      <family val="2"/>
    </font>
    <font>
      <sz val="9"/>
      <color indexed="81"/>
      <name val="Tahoma"/>
      <family val="2"/>
    </font>
    <font>
      <b/>
      <sz val="9"/>
      <color indexed="81"/>
      <name val="Tahoma"/>
      <family val="2"/>
    </font>
    <font>
      <b/>
      <sz val="11"/>
      <name val="Calibri"/>
      <family val="2"/>
      <scheme val="minor"/>
    </font>
    <font>
      <sz val="10"/>
      <name val="Arial"/>
      <family val="2"/>
    </font>
    <font>
      <sz val="9"/>
      <color indexed="81"/>
      <name val="Tahoma"/>
      <charset val="1"/>
    </font>
    <font>
      <b/>
      <sz val="9"/>
      <color indexed="81"/>
      <name val="Tahoma"/>
      <charset val="1"/>
    </font>
    <font>
      <sz val="11"/>
      <name val="Calibri"/>
      <family val="2"/>
    </font>
    <font>
      <b/>
      <sz val="11"/>
      <name val="Calibri"/>
      <family val="2"/>
    </font>
    <font>
      <sz val="11"/>
      <color rgb="FF000000"/>
      <name val="Calibri"/>
      <family val="2"/>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38">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0" fontId="6"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1" fillId="8" borderId="8" applyNumberFormat="0" applyFont="0" applyAlignment="0" applyProtection="0"/>
    <xf numFmtId="0" fontId="19" fillId="0" borderId="0" applyNumberFormat="0" applyFill="0" applyBorder="0" applyAlignment="0" applyProtection="0"/>
    <xf numFmtId="0" fontId="2" fillId="0" borderId="9" applyNumberFormat="0" applyFill="0" applyAlignment="0" applyProtection="0"/>
    <xf numFmtId="0" fontId="20"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20"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1" fillId="4" borderId="0" applyNumberFormat="0" applyBorder="0" applyAlignment="0" applyProtection="0"/>
    <xf numFmtId="0" fontId="20" fillId="12" borderId="0" applyNumberFormat="0" applyBorder="0" applyAlignment="0" applyProtection="0"/>
    <xf numFmtId="0" fontId="20" fillId="16" borderId="0" applyNumberFormat="0" applyBorder="0" applyAlignment="0" applyProtection="0"/>
    <xf numFmtId="0" fontId="20" fillId="20" borderId="0" applyNumberFormat="0" applyBorder="0" applyAlignment="0" applyProtection="0"/>
    <xf numFmtId="0" fontId="20" fillId="24" borderId="0" applyNumberFormat="0" applyBorder="0" applyAlignment="0" applyProtection="0"/>
    <xf numFmtId="0" fontId="20" fillId="28" borderId="0" applyNumberFormat="0" applyBorder="0" applyAlignment="0" applyProtection="0"/>
    <xf numFmtId="0" fontId="20" fillId="32" borderId="0" applyNumberFormat="0" applyBorder="0" applyAlignment="0" applyProtection="0"/>
    <xf numFmtId="0" fontId="22" fillId="0" borderId="0"/>
    <xf numFmtId="0" fontId="6" fillId="0" borderId="0"/>
    <xf numFmtId="0" fontId="6" fillId="0" borderId="0"/>
    <xf numFmtId="165" fontId="4" fillId="0" borderId="0" applyFont="0" applyFill="0" applyBorder="0" applyAlignment="0" applyProtection="0"/>
    <xf numFmtId="165" fontId="26" fillId="0" borderId="0" applyFon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26" fillId="0" borderId="0"/>
    <xf numFmtId="0" fontId="4" fillId="0" borderId="0"/>
    <xf numFmtId="0" fontId="1" fillId="0" borderId="0"/>
    <xf numFmtId="0" fontId="25" fillId="0" borderId="0"/>
    <xf numFmtId="0" fontId="27" fillId="0" borderId="0"/>
    <xf numFmtId="0" fontId="27" fillId="0" borderId="0"/>
    <xf numFmtId="0" fontId="6" fillId="0" borderId="0"/>
    <xf numFmtId="0" fontId="4" fillId="0" borderId="0"/>
    <xf numFmtId="0" fontId="26"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0" fontId="28" fillId="0" borderId="0"/>
    <xf numFmtId="165" fontId="26"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26" fillId="0" borderId="0"/>
    <xf numFmtId="0" fontId="29" fillId="0" borderId="0"/>
    <xf numFmtId="9" fontId="4" fillId="0" borderId="0" applyFont="0" applyFill="0" applyBorder="0" applyAlignment="0" applyProtection="0"/>
    <xf numFmtId="9" fontId="4" fillId="0" borderId="0" applyFont="0" applyFill="0" applyBorder="0" applyAlignment="0" applyProtection="0"/>
    <xf numFmtId="0" fontId="1" fillId="0" borderId="0"/>
    <xf numFmtId="165" fontId="28" fillId="0" borderId="0" applyFont="0" applyFill="0" applyBorder="0" applyAlignment="0" applyProtection="0"/>
    <xf numFmtId="0" fontId="28"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20" fillId="9" borderId="0" applyNumberFormat="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12" fillId="3" borderId="0" applyNumberFormat="0" applyBorder="0" applyAlignment="0" applyProtection="0"/>
    <xf numFmtId="0" fontId="15" fillId="6" borderId="4" applyNumberFormat="0" applyAlignment="0" applyProtection="0"/>
    <xf numFmtId="0" fontId="17" fillId="7" borderId="7" applyNumberFormat="0" applyAlignment="0" applyProtection="0"/>
    <xf numFmtId="165" fontId="6" fillId="0" borderId="0" applyFont="0" applyFill="0" applyBorder="0" applyAlignment="0" applyProtection="0"/>
    <xf numFmtId="0" fontId="19" fillId="0" borderId="0" applyNumberFormat="0" applyFill="0" applyBorder="0" applyAlignment="0" applyProtection="0"/>
    <xf numFmtId="0" fontId="11" fillId="2" borderId="0" applyNumberFormat="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24" fillId="0" borderId="0" applyNumberFormat="0" applyFill="0" applyBorder="0" applyAlignment="0" applyProtection="0">
      <alignment vertical="top"/>
      <protection locked="0"/>
    </xf>
    <xf numFmtId="0" fontId="13" fillId="5" borderId="4" applyNumberFormat="0" applyAlignment="0" applyProtection="0"/>
    <xf numFmtId="0" fontId="16" fillId="0" borderId="6" applyNumberFormat="0" applyFill="0" applyAlignment="0" applyProtection="0"/>
    <xf numFmtId="0" fontId="4" fillId="0" borderId="0"/>
    <xf numFmtId="0" fontId="6" fillId="0" borderId="0"/>
    <xf numFmtId="0" fontId="4" fillId="0" borderId="0"/>
    <xf numFmtId="0" fontId="1" fillId="0" borderId="0"/>
    <xf numFmtId="0" fontId="1" fillId="0" borderId="0"/>
    <xf numFmtId="0" fontId="27" fillId="0" borderId="0"/>
    <xf numFmtId="0" fontId="1" fillId="0" borderId="0"/>
    <xf numFmtId="0" fontId="1" fillId="8" borderId="8" applyNumberFormat="0" applyFont="0" applyAlignment="0" applyProtection="0"/>
    <xf numFmtId="0" fontId="14" fillId="6" borderId="5" applyNumberFormat="0" applyAlignment="0" applyProtection="0"/>
    <xf numFmtId="9" fontId="4" fillId="0" borderId="0" applyFont="0" applyFill="0" applyBorder="0" applyAlignment="0" applyProtection="0"/>
    <xf numFmtId="9" fontId="6" fillId="0" borderId="0" applyFont="0" applyFill="0" applyBorder="0" applyAlignment="0" applyProtection="0"/>
    <xf numFmtId="0" fontId="32" fillId="0" borderId="0" applyNumberFormat="0" applyFill="0" applyBorder="0" applyAlignment="0" applyProtection="0"/>
    <xf numFmtId="0" fontId="2" fillId="0" borderId="9" applyNumberFormat="0" applyFill="0" applyAlignment="0" applyProtection="0"/>
    <xf numFmtId="0" fontId="18" fillId="0" borderId="0" applyNumberFormat="0" applyFill="0" applyBorder="0" applyAlignment="0" applyProtection="0"/>
    <xf numFmtId="0" fontId="6" fillId="0" borderId="0"/>
    <xf numFmtId="0" fontId="33" fillId="0" borderId="0"/>
    <xf numFmtId="0" fontId="1" fillId="0" borderId="0"/>
    <xf numFmtId="178" fontId="6" fillId="0" borderId="0" applyFill="0" applyBorder="0" applyAlignment="0" applyProtection="0"/>
    <xf numFmtId="0" fontId="37" fillId="0" borderId="0"/>
  </cellStyleXfs>
  <cellXfs count="376">
    <xf numFmtId="0" fontId="0" fillId="0" borderId="0" xfId="0"/>
    <xf numFmtId="0" fontId="3" fillId="0" borderId="0" xfId="0" applyFont="1"/>
    <xf numFmtId="1" fontId="0" fillId="0" borderId="0" xfId="0" applyNumberFormat="1"/>
    <xf numFmtId="164" fontId="0" fillId="0" borderId="0" xfId="1" applyNumberFormat="1" applyFont="1" applyBorder="1"/>
    <xf numFmtId="164" fontId="0" fillId="0" borderId="0" xfId="1" applyNumberFormat="1" applyFont="1"/>
    <xf numFmtId="9" fontId="0" fillId="0" borderId="0" xfId="2" applyFont="1"/>
    <xf numFmtId="164" fontId="0" fillId="0" borderId="0" xfId="0" applyNumberFormat="1"/>
    <xf numFmtId="164" fontId="0" fillId="0" borderId="0" xfId="1" applyNumberFormat="1" applyFont="1" applyFill="1"/>
    <xf numFmtId="3" fontId="0" fillId="0" borderId="0" xfId="0" applyNumberFormat="1"/>
    <xf numFmtId="0" fontId="2" fillId="0" borderId="0" xfId="0" applyFont="1"/>
    <xf numFmtId="0" fontId="5" fillId="0" borderId="0" xfId="0" applyFont="1"/>
    <xf numFmtId="2" fontId="3" fillId="0" borderId="0" xfId="0" applyNumberFormat="1" applyFont="1"/>
    <xf numFmtId="2" fontId="0" fillId="0" borderId="0" xfId="0" applyNumberFormat="1"/>
    <xf numFmtId="164" fontId="18" fillId="0" borderId="0" xfId="1" applyNumberFormat="1" applyFont="1"/>
    <xf numFmtId="43" fontId="0" fillId="0" borderId="0" xfId="0" applyNumberFormat="1"/>
    <xf numFmtId="164" fontId="0" fillId="0" borderId="0" xfId="1" applyNumberFormat="1" applyFont="1" applyFill="1" applyBorder="1"/>
    <xf numFmtId="2" fontId="23" fillId="0" borderId="0" xfId="0" applyNumberFormat="1" applyFont="1" applyAlignment="1" applyProtection="1">
      <alignment horizontal="right" vertical="center"/>
      <protection locked="0"/>
    </xf>
    <xf numFmtId="166" fontId="0" fillId="0" borderId="0" xfId="2" applyNumberFormat="1" applyFont="1"/>
    <xf numFmtId="167" fontId="6" fillId="0" borderId="0" xfId="0" applyNumberFormat="1" applyFont="1" applyAlignment="1">
      <alignment horizontal="left"/>
    </xf>
    <xf numFmtId="0" fontId="0" fillId="0" borderId="0" xfId="0" applyAlignment="1">
      <alignment horizontal="center" vertical="center"/>
    </xf>
    <xf numFmtId="0" fontId="0" fillId="0" borderId="0" xfId="0" applyAlignment="1">
      <alignment horizontal="center"/>
    </xf>
    <xf numFmtId="164" fontId="6" fillId="0" borderId="0" xfId="1" applyNumberFormat="1" applyFont="1" applyBorder="1" applyAlignment="1">
      <alignment horizontal="left"/>
    </xf>
    <xf numFmtId="49" fontId="3" fillId="0" borderId="0" xfId="0" applyNumberFormat="1" applyFont="1"/>
    <xf numFmtId="0" fontId="0" fillId="0" borderId="10" xfId="0" applyBorder="1"/>
    <xf numFmtId="164" fontId="0" fillId="0" borderId="10" xfId="1" applyNumberFormat="1" applyFont="1" applyBorder="1"/>
    <xf numFmtId="0" fontId="0" fillId="0" borderId="11" xfId="0" applyBorder="1"/>
    <xf numFmtId="0" fontId="0" fillId="0" borderId="14" xfId="0" applyBorder="1"/>
    <xf numFmtId="0" fontId="0" fillId="0" borderId="15" xfId="0" applyBorder="1"/>
    <xf numFmtId="0" fontId="0" fillId="0" borderId="16" xfId="0" applyBorder="1"/>
    <xf numFmtId="9" fontId="0" fillId="0" borderId="0" xfId="2" applyFont="1" applyFill="1" applyBorder="1"/>
    <xf numFmtId="0" fontId="0" fillId="0" borderId="0" xfId="0" applyAlignment="1">
      <alignment horizontal="right"/>
    </xf>
    <xf numFmtId="164" fontId="0" fillId="0" borderId="0" xfId="1" applyNumberFormat="1" applyFont="1" applyFill="1" applyBorder="1" applyAlignment="1">
      <alignment horizontal="center"/>
    </xf>
    <xf numFmtId="164" fontId="3" fillId="0" borderId="0" xfId="1" applyNumberFormat="1" applyFont="1" applyBorder="1"/>
    <xf numFmtId="164" fontId="3" fillId="0" borderId="0" xfId="1" applyNumberFormat="1" applyFont="1" applyFill="1" applyBorder="1"/>
    <xf numFmtId="168" fontId="0" fillId="0" borderId="0" xfId="0" applyNumberFormat="1"/>
    <xf numFmtId="43" fontId="0" fillId="0" borderId="0" xfId="1" applyFont="1" applyFill="1"/>
    <xf numFmtId="171" fontId="0" fillId="0" borderId="0" xfId="0" applyNumberFormat="1"/>
    <xf numFmtId="174" fontId="0" fillId="0" borderId="0" xfId="0" applyNumberFormat="1"/>
    <xf numFmtId="2" fontId="23" fillId="0" borderId="0" xfId="87" applyNumberFormat="1" applyFont="1" applyAlignment="1" applyProtection="1">
      <alignment horizontal="right" vertical="top" wrapText="1"/>
      <protection locked="0"/>
    </xf>
    <xf numFmtId="172" fontId="0" fillId="0" borderId="0" xfId="1" applyNumberFormat="1" applyFont="1" applyFill="1" applyBorder="1" applyAlignment="1">
      <alignment horizontal="center"/>
    </xf>
    <xf numFmtId="0" fontId="0" fillId="0" borderId="12" xfId="0" applyBorder="1"/>
    <xf numFmtId="0" fontId="0" fillId="0" borderId="13" xfId="0" applyBorder="1"/>
    <xf numFmtId="0" fontId="31" fillId="0" borderId="0" xfId="0" applyFont="1" applyAlignment="1">
      <alignment horizontal="center" wrapText="1"/>
    </xf>
    <xf numFmtId="0" fontId="1" fillId="0" borderId="14" xfId="85" applyBorder="1"/>
    <xf numFmtId="0" fontId="1" fillId="0" borderId="0" xfId="85"/>
    <xf numFmtId="0" fontId="3" fillId="0" borderId="14" xfId="85" applyFont="1" applyBorder="1"/>
    <xf numFmtId="0" fontId="1" fillId="0" borderId="0" xfId="0" applyFont="1"/>
    <xf numFmtId="173" fontId="0" fillId="0" borderId="0" xfId="0" applyNumberFormat="1"/>
    <xf numFmtId="43" fontId="0" fillId="0" borderId="0" xfId="1" applyFont="1" applyFill="1" applyBorder="1"/>
    <xf numFmtId="43" fontId="1" fillId="0" borderId="17" xfId="1" applyBorder="1" applyAlignment="1">
      <alignment horizontal="center"/>
    </xf>
    <xf numFmtId="164" fontId="1" fillId="0" borderId="0" xfId="1" applyNumberFormat="1" applyBorder="1" applyAlignment="1">
      <alignment horizontal="center"/>
    </xf>
    <xf numFmtId="164" fontId="1" fillId="0" borderId="10" xfId="1" applyNumberFormat="1" applyBorder="1" applyAlignment="1">
      <alignment horizontal="center"/>
    </xf>
    <xf numFmtId="164" fontId="1" fillId="0" borderId="0" xfId="1" applyNumberFormat="1" applyFont="1" applyBorder="1"/>
    <xf numFmtId="164" fontId="1" fillId="0" borderId="10" xfId="1" applyNumberFormat="1" applyFont="1" applyBorder="1"/>
    <xf numFmtId="170" fontId="0" fillId="0" borderId="0" xfId="1" applyNumberFormat="1" applyFont="1" applyBorder="1"/>
    <xf numFmtId="14" fontId="0" fillId="0" borderId="0" xfId="0" applyNumberFormat="1"/>
    <xf numFmtId="176" fontId="0" fillId="0" borderId="0" xfId="0" applyNumberFormat="1"/>
    <xf numFmtId="1" fontId="0" fillId="0" borderId="10" xfId="0" applyNumberFormat="1" applyBorder="1"/>
    <xf numFmtId="0" fontId="3" fillId="0" borderId="0" xfId="0" applyFont="1" applyAlignment="1">
      <alignment horizontal="center"/>
    </xf>
    <xf numFmtId="0" fontId="0" fillId="0" borderId="16" xfId="85" applyFont="1" applyBorder="1"/>
    <xf numFmtId="0" fontId="5" fillId="0" borderId="14" xfId="0" applyFont="1" applyBorder="1"/>
    <xf numFmtId="0" fontId="0" fillId="0" borderId="17" xfId="0" applyBorder="1"/>
    <xf numFmtId="43" fontId="0" fillId="0" borderId="0" xfId="1" applyFont="1"/>
    <xf numFmtId="0" fontId="2" fillId="0" borderId="0" xfId="0" applyFont="1" applyAlignment="1">
      <alignment horizontal="center"/>
    </xf>
    <xf numFmtId="164" fontId="2" fillId="0" borderId="0" xfId="1" applyNumberFormat="1" applyFont="1" applyFill="1"/>
    <xf numFmtId="177" fontId="0" fillId="0" borderId="0" xfId="0" applyNumberFormat="1"/>
    <xf numFmtId="43" fontId="0" fillId="0" borderId="10" xfId="1" applyFont="1" applyFill="1" applyBorder="1"/>
    <xf numFmtId="0" fontId="0" fillId="0" borderId="10" xfId="0" applyBorder="1" applyAlignment="1">
      <alignment horizontal="center"/>
    </xf>
    <xf numFmtId="2" fontId="0" fillId="0" borderId="15" xfId="0" applyNumberFormat="1" applyBorder="1"/>
    <xf numFmtId="0" fontId="1" fillId="0" borderId="11" xfId="85" applyBorder="1"/>
    <xf numFmtId="37" fontId="0" fillId="0" borderId="0" xfId="1" applyNumberFormat="1" applyFont="1"/>
    <xf numFmtId="0" fontId="2" fillId="0" borderId="11" xfId="0" applyFont="1" applyBorder="1"/>
    <xf numFmtId="0" fontId="0" fillId="0" borderId="0" xfId="0" applyAlignment="1">
      <alignment vertical="center"/>
    </xf>
    <xf numFmtId="0" fontId="3" fillId="0" borderId="0" xfId="0" applyFont="1" applyAlignment="1">
      <alignment vertical="center"/>
    </xf>
    <xf numFmtId="9" fontId="0" fillId="0" borderId="0" xfId="0" applyNumberFormat="1"/>
    <xf numFmtId="0" fontId="2" fillId="0" borderId="14" xfId="0" applyFont="1" applyBorder="1"/>
    <xf numFmtId="0" fontId="3" fillId="0" borderId="14" xfId="0" applyFont="1" applyBorder="1"/>
    <xf numFmtId="164" fontId="0" fillId="0" borderId="12" xfId="1" applyNumberFormat="1" applyFont="1" applyBorder="1"/>
    <xf numFmtId="1" fontId="0" fillId="0" borderId="0" xfId="1" applyNumberFormat="1" applyFont="1" applyBorder="1"/>
    <xf numFmtId="1" fontId="0" fillId="0" borderId="10" xfId="1" applyNumberFormat="1" applyFont="1" applyBorder="1"/>
    <xf numFmtId="0" fontId="2" fillId="0" borderId="0" xfId="0" applyFont="1" applyAlignment="1">
      <alignment vertical="center"/>
    </xf>
    <xf numFmtId="1" fontId="0" fillId="0" borderId="0" xfId="2" applyNumberFormat="1" applyFont="1"/>
    <xf numFmtId="0" fontId="1" fillId="0" borderId="12" xfId="85" applyBorder="1"/>
    <xf numFmtId="164" fontId="23" fillId="0" borderId="0" xfId="1" applyNumberFormat="1" applyFont="1" applyFill="1" applyBorder="1" applyAlignment="1" applyProtection="1">
      <alignment horizontal="right" vertical="center"/>
      <protection locked="0"/>
    </xf>
    <xf numFmtId="166" fontId="0" fillId="0" borderId="19" xfId="2" applyNumberFormat="1" applyFont="1" applyBorder="1" applyAlignment="1">
      <alignment horizontal="center"/>
    </xf>
    <xf numFmtId="166" fontId="0" fillId="0" borderId="20" xfId="2" applyNumberFormat="1" applyFont="1" applyBorder="1" applyAlignment="1">
      <alignment horizontal="center"/>
    </xf>
    <xf numFmtId="0" fontId="2" fillId="0" borderId="10" xfId="0" applyFont="1" applyBorder="1"/>
    <xf numFmtId="0" fontId="2" fillId="0" borderId="17" xfId="0" applyFont="1" applyBorder="1"/>
    <xf numFmtId="0" fontId="2" fillId="0" borderId="21" xfId="0" applyFont="1" applyBorder="1"/>
    <xf numFmtId="170" fontId="1" fillId="0" borderId="0" xfId="85" applyNumberFormat="1"/>
    <xf numFmtId="0" fontId="1" fillId="0" borderId="0" xfId="0" applyFont="1" applyAlignment="1">
      <alignment horizontal="center"/>
    </xf>
    <xf numFmtId="1" fontId="3" fillId="0" borderId="0" xfId="4" applyNumberFormat="1" applyFont="1" applyAlignment="1">
      <alignment horizontal="left"/>
    </xf>
    <xf numFmtId="1" fontId="3" fillId="0" borderId="0" xfId="47" applyNumberFormat="1" applyFont="1" applyAlignment="1">
      <alignment horizontal="left"/>
    </xf>
    <xf numFmtId="1" fontId="3" fillId="0" borderId="0" xfId="0" applyNumberFormat="1" applyFont="1" applyAlignment="1">
      <alignment horizontal="left"/>
    </xf>
    <xf numFmtId="0" fontId="0" fillId="0" borderId="0" xfId="1" applyNumberFormat="1" applyFont="1"/>
    <xf numFmtId="167" fontId="3" fillId="0" borderId="0" xfId="0" applyNumberFormat="1" applyFont="1" applyAlignment="1">
      <alignment horizontal="left"/>
    </xf>
    <xf numFmtId="0" fontId="3" fillId="0" borderId="14" xfId="4" applyFont="1" applyBorder="1" applyAlignment="1">
      <alignment horizontal="left"/>
    </xf>
    <xf numFmtId="9" fontId="1" fillId="0" borderId="15" xfId="2" applyFont="1" applyFill="1" applyBorder="1"/>
    <xf numFmtId="0" fontId="3" fillId="0" borderId="14" xfId="47" applyFont="1" applyBorder="1" applyAlignment="1">
      <alignment horizontal="left"/>
    </xf>
    <xf numFmtId="0" fontId="3" fillId="0" borderId="14" xfId="0" applyFont="1" applyBorder="1" applyAlignment="1">
      <alignment horizontal="left"/>
    </xf>
    <xf numFmtId="0" fontId="1" fillId="0" borderId="15" xfId="0" applyFont="1" applyBorder="1"/>
    <xf numFmtId="0" fontId="3" fillId="0" borderId="16" xfId="47" applyFont="1" applyBorder="1" applyAlignment="1">
      <alignment horizontal="left"/>
    </xf>
    <xf numFmtId="0" fontId="1" fillId="0" borderId="10" xfId="0" applyFont="1" applyBorder="1" applyAlignment="1">
      <alignment horizontal="center"/>
    </xf>
    <xf numFmtId="1" fontId="3" fillId="0" borderId="10" xfId="47" applyNumberFormat="1" applyFont="1" applyBorder="1" applyAlignment="1">
      <alignment horizontal="left"/>
    </xf>
    <xf numFmtId="167" fontId="3" fillId="0" borderId="10" xfId="0" applyNumberFormat="1" applyFont="1" applyBorder="1" applyAlignment="1">
      <alignment horizontal="left"/>
    </xf>
    <xf numFmtId="9" fontId="1" fillId="0" borderId="17" xfId="2" applyFont="1" applyFill="1" applyBorder="1"/>
    <xf numFmtId="0" fontId="1" fillId="0" borderId="0" xfId="0" applyFont="1" applyAlignment="1">
      <alignment horizontal="left"/>
    </xf>
    <xf numFmtId="49" fontId="0" fillId="0" borderId="14" xfId="1" applyNumberFormat="1" applyFont="1" applyBorder="1"/>
    <xf numFmtId="49" fontId="0" fillId="0" borderId="0" xfId="1" applyNumberFormat="1" applyFont="1" applyBorder="1"/>
    <xf numFmtId="177" fontId="0" fillId="0" borderId="15" xfId="0" applyNumberFormat="1" applyBorder="1"/>
    <xf numFmtId="177" fontId="3" fillId="0" borderId="15" xfId="0" applyNumberFormat="1" applyFont="1" applyBorder="1"/>
    <xf numFmtId="3" fontId="0" fillId="0" borderId="0" xfId="1" applyNumberFormat="1" applyFont="1" applyBorder="1"/>
    <xf numFmtId="49" fontId="0" fillId="0" borderId="16" xfId="1" applyNumberFormat="1" applyFont="1" applyBorder="1"/>
    <xf numFmtId="49" fontId="0" fillId="0" borderId="10" xfId="1" applyNumberFormat="1" applyFont="1" applyBorder="1"/>
    <xf numFmtId="164" fontId="0" fillId="0" borderId="10" xfId="1" applyNumberFormat="1" applyFont="1" applyFill="1" applyBorder="1"/>
    <xf numFmtId="0" fontId="36" fillId="0" borderId="11" xfId="47" applyFont="1" applyBorder="1" applyAlignment="1">
      <alignment horizontal="left"/>
    </xf>
    <xf numFmtId="1" fontId="0" fillId="0" borderId="14" xfId="0" applyNumberFormat="1" applyBorder="1"/>
    <xf numFmtId="1" fontId="0" fillId="0" borderId="15" xfId="0" applyNumberFormat="1" applyBorder="1"/>
    <xf numFmtId="1" fontId="0" fillId="0" borderId="16" xfId="0" applyNumberFormat="1" applyBorder="1"/>
    <xf numFmtId="1" fontId="0" fillId="0" borderId="17" xfId="0" applyNumberFormat="1" applyBorder="1"/>
    <xf numFmtId="0" fontId="2" fillId="0" borderId="16" xfId="0" applyFont="1" applyBorder="1"/>
    <xf numFmtId="0" fontId="2" fillId="0" borderId="18" xfId="0" applyFont="1" applyBorder="1" applyAlignment="1">
      <alignment horizontal="center"/>
    </xf>
    <xf numFmtId="0" fontId="2" fillId="0" borderId="20" xfId="0" applyFont="1" applyBorder="1" applyAlignment="1">
      <alignment horizontal="center"/>
    </xf>
    <xf numFmtId="3" fontId="5" fillId="0" borderId="0" xfId="0" applyNumberFormat="1" applyFont="1"/>
    <xf numFmtId="0" fontId="0" fillId="0" borderId="14" xfId="0" applyBorder="1" applyAlignment="1">
      <alignment horizontal="center"/>
    </xf>
    <xf numFmtId="164" fontId="0" fillId="0" borderId="0" xfId="1" applyNumberFormat="1" applyFont="1" applyBorder="1" applyAlignment="1">
      <alignment horizontal="center"/>
    </xf>
    <xf numFmtId="166" fontId="0" fillId="0" borderId="0" xfId="2" applyNumberFormat="1" applyFont="1" applyBorder="1" applyAlignment="1">
      <alignment horizontal="center"/>
    </xf>
    <xf numFmtId="164" fontId="0" fillId="0" borderId="19" xfId="1" applyNumberFormat="1" applyFont="1" applyBorder="1" applyAlignment="1">
      <alignment horizontal="center"/>
    </xf>
    <xf numFmtId="175" fontId="0" fillId="0" borderId="15" xfId="1" applyNumberFormat="1" applyFont="1" applyBorder="1" applyAlignment="1">
      <alignment horizontal="center"/>
    </xf>
    <xf numFmtId="3" fontId="0" fillId="0" borderId="15" xfId="2" applyNumberFormat="1" applyFont="1" applyBorder="1" applyAlignment="1">
      <alignment horizontal="center"/>
    </xf>
    <xf numFmtId="166" fontId="18" fillId="0" borderId="0" xfId="2" applyNumberFormat="1" applyFont="1" applyBorder="1" applyAlignment="1">
      <alignment horizontal="center"/>
    </xf>
    <xf numFmtId="0" fontId="0" fillId="0" borderId="16" xfId="0" applyBorder="1" applyAlignment="1">
      <alignment horizontal="center"/>
    </xf>
    <xf numFmtId="164" fontId="0" fillId="0" borderId="10" xfId="1" applyNumberFormat="1" applyFont="1" applyBorder="1" applyAlignment="1">
      <alignment horizontal="center"/>
    </xf>
    <xf numFmtId="166" fontId="18" fillId="0" borderId="10" xfId="2" applyNumberFormat="1" applyFont="1" applyBorder="1" applyAlignment="1">
      <alignment horizontal="center"/>
    </xf>
    <xf numFmtId="164" fontId="0" fillId="0" borderId="20" xfId="1" applyNumberFormat="1" applyFont="1" applyBorder="1" applyAlignment="1">
      <alignment horizontal="center"/>
    </xf>
    <xf numFmtId="175" fontId="0" fillId="0" borderId="17" xfId="1" applyNumberFormat="1" applyFont="1" applyBorder="1" applyAlignment="1">
      <alignment horizontal="center"/>
    </xf>
    <xf numFmtId="0" fontId="0" fillId="0" borderId="0" xfId="1" applyNumberFormat="1" applyFont="1" applyFill="1" applyBorder="1"/>
    <xf numFmtId="164" fontId="0" fillId="0" borderId="0" xfId="2" applyNumberFormat="1" applyFont="1" applyFill="1"/>
    <xf numFmtId="1" fontId="0" fillId="0" borderId="19" xfId="2" applyNumberFormat="1" applyFont="1" applyBorder="1"/>
    <xf numFmtId="1" fontId="0" fillId="0" borderId="20" xfId="2" applyNumberFormat="1" applyFont="1" applyBorder="1"/>
    <xf numFmtId="0" fontId="2" fillId="0" borderId="0" xfId="0" applyFont="1" applyAlignment="1">
      <alignment wrapText="1"/>
    </xf>
    <xf numFmtId="0" fontId="2" fillId="0" borderId="0" xfId="0" applyFont="1" applyAlignment="1">
      <alignment horizontal="center" wrapText="1"/>
    </xf>
    <xf numFmtId="0" fontId="3" fillId="0" borderId="15" xfId="0" applyFont="1" applyBorder="1"/>
    <xf numFmtId="1" fontId="0" fillId="0" borderId="14" xfId="2" applyNumberFormat="1" applyFont="1" applyBorder="1"/>
    <xf numFmtId="1" fontId="0" fillId="0" borderId="16" xfId="2" applyNumberFormat="1" applyFont="1" applyBorder="1"/>
    <xf numFmtId="1" fontId="0" fillId="0" borderId="11" xfId="2" applyNumberFormat="1" applyFont="1" applyBorder="1"/>
    <xf numFmtId="1" fontId="0" fillId="0" borderId="0" xfId="2" applyNumberFormat="1" applyFont="1" applyBorder="1"/>
    <xf numFmtId="0" fontId="2" fillId="0" borderId="15" xfId="0" applyFont="1" applyBorder="1"/>
    <xf numFmtId="168" fontId="0" fillId="0" borderId="15" xfId="0" applyNumberFormat="1" applyBorder="1"/>
    <xf numFmtId="168" fontId="0" fillId="0" borderId="17" xfId="0" applyNumberFormat="1" applyBorder="1"/>
    <xf numFmtId="164" fontId="0" fillId="0" borderId="14" xfId="1" applyNumberFormat="1" applyFont="1" applyFill="1" applyBorder="1"/>
    <xf numFmtId="9" fontId="0" fillId="0" borderId="15" xfId="2" applyFont="1" applyFill="1" applyBorder="1"/>
    <xf numFmtId="164" fontId="0" fillId="0" borderId="16" xfId="1" applyNumberFormat="1" applyFont="1" applyFill="1" applyBorder="1"/>
    <xf numFmtId="9" fontId="0" fillId="0" borderId="17" xfId="2" applyFont="1" applyFill="1" applyBorder="1"/>
    <xf numFmtId="164" fontId="2" fillId="0" borderId="16" xfId="1" applyNumberFormat="1" applyFont="1" applyFill="1" applyBorder="1"/>
    <xf numFmtId="164" fontId="2" fillId="0" borderId="10" xfId="1" applyNumberFormat="1" applyFont="1" applyFill="1" applyBorder="1"/>
    <xf numFmtId="164" fontId="2" fillId="0" borderId="17" xfId="1" applyNumberFormat="1" applyFont="1" applyFill="1" applyBorder="1"/>
    <xf numFmtId="0" fontId="2" fillId="0" borderId="17" xfId="0" applyFont="1" applyBorder="1" applyAlignment="1">
      <alignment horizontal="center"/>
    </xf>
    <xf numFmtId="1" fontId="0" fillId="0" borderId="12" xfId="2" applyNumberFormat="1" applyFont="1" applyBorder="1"/>
    <xf numFmtId="167" fontId="0" fillId="0" borderId="14" xfId="2" applyNumberFormat="1" applyFont="1" applyFill="1" applyBorder="1" applyAlignment="1">
      <alignment horizontal="center"/>
    </xf>
    <xf numFmtId="1" fontId="0" fillId="0" borderId="13" xfId="2" applyNumberFormat="1" applyFont="1" applyBorder="1"/>
    <xf numFmtId="168" fontId="0" fillId="0" borderId="13" xfId="0" applyNumberFormat="1" applyBorder="1"/>
    <xf numFmtId="0" fontId="0" fillId="0" borderId="12" xfId="0" applyBorder="1" applyAlignment="1">
      <alignment horizontal="center"/>
    </xf>
    <xf numFmtId="0" fontId="1" fillId="0" borderId="14" xfId="85" applyBorder="1" applyAlignment="1">
      <alignment horizontal="center"/>
    </xf>
    <xf numFmtId="0" fontId="0" fillId="0" borderId="14" xfId="85" applyFont="1" applyBorder="1" applyAlignment="1">
      <alignment horizontal="center"/>
    </xf>
    <xf numFmtId="0" fontId="3" fillId="0" borderId="14" xfId="85" applyFont="1" applyBorder="1" applyAlignment="1">
      <alignment horizontal="center"/>
    </xf>
    <xf numFmtId="0" fontId="1" fillId="0" borderId="11" xfId="85" applyBorder="1" applyAlignment="1">
      <alignment horizontal="center"/>
    </xf>
    <xf numFmtId="0" fontId="0" fillId="0" borderId="11" xfId="0" applyBorder="1" applyAlignment="1">
      <alignment horizontal="center"/>
    </xf>
    <xf numFmtId="2" fontId="0" fillId="0" borderId="13" xfId="0" applyNumberFormat="1" applyBorder="1"/>
    <xf numFmtId="0" fontId="2" fillId="0" borderId="0" xfId="85" applyFont="1" applyAlignment="1">
      <alignment wrapText="1"/>
    </xf>
    <xf numFmtId="0" fontId="2" fillId="0" borderId="21" xfId="85" applyFont="1" applyBorder="1" applyAlignment="1">
      <alignment wrapText="1"/>
    </xf>
    <xf numFmtId="164" fontId="2" fillId="0" borderId="16" xfId="1" applyNumberFormat="1" applyFont="1" applyBorder="1"/>
    <xf numFmtId="164" fontId="2" fillId="0" borderId="10" xfId="1" applyNumberFormat="1" applyFont="1" applyBorder="1"/>
    <xf numFmtId="164" fontId="2" fillId="0" borderId="17" xfId="1" applyNumberFormat="1" applyFont="1" applyBorder="1"/>
    <xf numFmtId="0" fontId="36" fillId="0" borderId="10" xfId="4" applyFont="1" applyBorder="1" applyAlignment="1">
      <alignment horizontal="left"/>
    </xf>
    <xf numFmtId="9" fontId="2" fillId="0" borderId="17" xfId="2" applyFont="1" applyFill="1" applyBorder="1"/>
    <xf numFmtId="164" fontId="3" fillId="0" borderId="0" xfId="1" applyNumberFormat="1" applyFont="1" applyFill="1" applyBorder="1" applyAlignment="1">
      <alignment horizontal="left"/>
    </xf>
    <xf numFmtId="164" fontId="3" fillId="0" borderId="10" xfId="1" applyNumberFormat="1" applyFont="1" applyFill="1" applyBorder="1" applyAlignment="1">
      <alignment horizontal="left"/>
    </xf>
    <xf numFmtId="1" fontId="1" fillId="0" borderId="14" xfId="0" applyNumberFormat="1" applyFont="1" applyBorder="1"/>
    <xf numFmtId="164" fontId="2" fillId="0" borderId="16" xfId="1" applyNumberFormat="1" applyFont="1" applyBorder="1" applyAlignment="1">
      <alignment horizontal="center"/>
    </xf>
    <xf numFmtId="2" fontId="0" fillId="0" borderId="17" xfId="0" applyNumberFormat="1" applyBorder="1"/>
    <xf numFmtId="3" fontId="0" fillId="0" borderId="14" xfId="1" applyNumberFormat="1" applyFont="1" applyBorder="1"/>
    <xf numFmtId="3" fontId="0" fillId="0" borderId="16" xfId="1" applyNumberFormat="1" applyFont="1" applyBorder="1"/>
    <xf numFmtId="1" fontId="0" fillId="0" borderId="14" xfId="1" applyNumberFormat="1" applyFont="1" applyBorder="1"/>
    <xf numFmtId="1" fontId="0" fillId="0" borderId="15" xfId="1" applyNumberFormat="1" applyFont="1" applyBorder="1"/>
    <xf numFmtId="1" fontId="0" fillId="0" borderId="16" xfId="1" applyNumberFormat="1" applyFont="1" applyBorder="1"/>
    <xf numFmtId="1" fontId="0" fillId="0" borderId="17" xfId="1" applyNumberFormat="1" applyFont="1" applyBorder="1"/>
    <xf numFmtId="49" fontId="0" fillId="0" borderId="15" xfId="1" applyNumberFormat="1" applyFont="1" applyBorder="1"/>
    <xf numFmtId="49" fontId="3" fillId="0" borderId="14" xfId="0" applyNumberFormat="1" applyFont="1" applyBorder="1"/>
    <xf numFmtId="49" fontId="3" fillId="0" borderId="15" xfId="0" applyNumberFormat="1" applyFont="1" applyBorder="1"/>
    <xf numFmtId="49" fontId="0" fillId="0" borderId="14" xfId="0" applyNumberFormat="1" applyBorder="1"/>
    <xf numFmtId="49" fontId="0" fillId="0" borderId="15" xfId="0" applyNumberFormat="1" applyBorder="1"/>
    <xf numFmtId="49" fontId="5" fillId="0" borderId="15" xfId="0" applyNumberFormat="1" applyFont="1" applyBorder="1"/>
    <xf numFmtId="49" fontId="0" fillId="0" borderId="17" xfId="1" applyNumberFormat="1" applyFont="1" applyBorder="1"/>
    <xf numFmtId="164" fontId="36" fillId="0" borderId="16" xfId="1" applyNumberFormat="1" applyFont="1" applyBorder="1"/>
    <xf numFmtId="164" fontId="36" fillId="0" borderId="10" xfId="1" applyNumberFormat="1" applyFont="1" applyBorder="1"/>
    <xf numFmtId="3" fontId="0" fillId="0" borderId="15" xfId="1" applyNumberFormat="1" applyFont="1" applyBorder="1"/>
    <xf numFmtId="3" fontId="0" fillId="0" borderId="10" xfId="1" applyNumberFormat="1" applyFont="1" applyBorder="1"/>
    <xf numFmtId="3" fontId="0" fillId="0" borderId="17" xfId="1" applyNumberFormat="1" applyFont="1" applyBorder="1"/>
    <xf numFmtId="0" fontId="0" fillId="0" borderId="16" xfId="0" applyBorder="1" applyAlignment="1">
      <alignment horizontal="left"/>
    </xf>
    <xf numFmtId="168" fontId="0" fillId="0" borderId="15" xfId="1" applyNumberFormat="1" applyFont="1" applyBorder="1"/>
    <xf numFmtId="168" fontId="0" fillId="0" borderId="14" xfId="1" applyNumberFormat="1" applyFont="1" applyBorder="1"/>
    <xf numFmtId="168" fontId="0" fillId="0" borderId="0" xfId="1" applyNumberFormat="1" applyFont="1" applyBorder="1"/>
    <xf numFmtId="168" fontId="0" fillId="0" borderId="16" xfId="1" applyNumberFormat="1" applyFont="1" applyBorder="1"/>
    <xf numFmtId="168" fontId="0" fillId="0" borderId="17" xfId="1" applyNumberFormat="1" applyFont="1" applyBorder="1"/>
    <xf numFmtId="164" fontId="0" fillId="0" borderId="21" xfId="0" applyNumberFormat="1" applyBorder="1"/>
    <xf numFmtId="166" fontId="0" fillId="0" borderId="23" xfId="2" applyNumberFormat="1" applyFont="1" applyBorder="1" applyAlignment="1">
      <alignment horizontal="center"/>
    </xf>
    <xf numFmtId="164" fontId="0" fillId="0" borderId="23" xfId="0" applyNumberFormat="1" applyBorder="1"/>
    <xf numFmtId="1" fontId="0" fillId="0" borderId="21" xfId="0" applyNumberFormat="1" applyBorder="1"/>
    <xf numFmtId="1" fontId="0" fillId="0" borderId="23" xfId="0" applyNumberFormat="1" applyBorder="1"/>
    <xf numFmtId="3" fontId="0" fillId="0" borderId="11" xfId="1" applyNumberFormat="1" applyFont="1" applyBorder="1"/>
    <xf numFmtId="3" fontId="0" fillId="0" borderId="12" xfId="1" applyNumberFormat="1" applyFont="1" applyBorder="1"/>
    <xf numFmtId="169" fontId="0" fillId="0" borderId="13" xfId="1" applyNumberFormat="1" applyFont="1" applyBorder="1"/>
    <xf numFmtId="169" fontId="0" fillId="0" borderId="15" xfId="1" applyNumberFormat="1" applyFont="1" applyBorder="1"/>
    <xf numFmtId="169" fontId="0" fillId="0" borderId="17" xfId="1" applyNumberFormat="1" applyFont="1" applyBorder="1"/>
    <xf numFmtId="49" fontId="0" fillId="0" borderId="0" xfId="0" applyNumberFormat="1"/>
    <xf numFmtId="49" fontId="5" fillId="0" borderId="0" xfId="0" applyNumberFormat="1" applyFont="1"/>
    <xf numFmtId="49" fontId="2" fillId="0" borderId="10" xfId="0" applyNumberFormat="1" applyFont="1" applyBorder="1"/>
    <xf numFmtId="49" fontId="2" fillId="0" borderId="10" xfId="1" applyNumberFormat="1" applyFont="1" applyBorder="1"/>
    <xf numFmtId="49" fontId="2" fillId="0" borderId="11" xfId="1" applyNumberFormat="1" applyFont="1" applyBorder="1" applyAlignment="1">
      <alignment horizontal="center"/>
    </xf>
    <xf numFmtId="49" fontId="2" fillId="0" borderId="12" xfId="1" applyNumberFormat="1" applyFont="1" applyBorder="1" applyAlignment="1">
      <alignment horizontal="center"/>
    </xf>
    <xf numFmtId="49" fontId="2" fillId="0" borderId="13" xfId="1" applyNumberFormat="1" applyFont="1" applyBorder="1" applyAlignment="1">
      <alignment horizontal="center"/>
    </xf>
    <xf numFmtId="49" fontId="2" fillId="0" borderId="16" xfId="1" applyNumberFormat="1" applyFont="1" applyBorder="1" applyAlignment="1">
      <alignment horizontal="center"/>
    </xf>
    <xf numFmtId="49" fontId="2" fillId="0" borderId="10" xfId="1" applyNumberFormat="1" applyFont="1" applyBorder="1" applyAlignment="1">
      <alignment horizontal="center"/>
    </xf>
    <xf numFmtId="49" fontId="2" fillId="0" borderId="17" xfId="1" applyNumberFormat="1" applyFont="1" applyBorder="1" applyAlignment="1">
      <alignment horizontal="center"/>
    </xf>
    <xf numFmtId="49" fontId="2" fillId="0" borderId="17" xfId="1" applyNumberFormat="1" applyFont="1" applyFill="1" applyBorder="1" applyAlignment="1">
      <alignment horizontal="center"/>
    </xf>
    <xf numFmtId="164" fontId="3" fillId="0" borderId="10" xfId="0" applyNumberFormat="1" applyFont="1" applyBorder="1"/>
    <xf numFmtId="164" fontId="3" fillId="0" borderId="10" xfId="1" applyNumberFormat="1" applyFont="1" applyBorder="1"/>
    <xf numFmtId="0" fontId="1" fillId="0" borderId="0" xfId="85" applyAlignment="1">
      <alignment vertical="center" wrapText="1"/>
    </xf>
    <xf numFmtId="49" fontId="0" fillId="0" borderId="15" xfId="0" applyNumberFormat="1" applyBorder="1" applyAlignment="1">
      <alignment horizontal="left"/>
    </xf>
    <xf numFmtId="49" fontId="0" fillId="0" borderId="17" xfId="0" applyNumberFormat="1" applyBorder="1" applyAlignment="1">
      <alignment horizontal="left"/>
    </xf>
    <xf numFmtId="1" fontId="0" fillId="0" borderId="14" xfId="0" applyNumberFormat="1" applyBorder="1" applyAlignment="1">
      <alignment horizontal="center"/>
    </xf>
    <xf numFmtId="1" fontId="0" fillId="0" borderId="16" xfId="0" applyNumberFormat="1" applyBorder="1" applyAlignment="1">
      <alignment horizontal="center"/>
    </xf>
    <xf numFmtId="3" fontId="0" fillId="0" borderId="0" xfId="1" applyNumberFormat="1" applyFont="1" applyBorder="1" applyAlignment="1">
      <alignment horizontal="right"/>
    </xf>
    <xf numFmtId="3" fontId="0" fillId="0" borderId="10" xfId="1" applyNumberFormat="1" applyFont="1" applyBorder="1" applyAlignment="1">
      <alignment horizontal="right"/>
    </xf>
    <xf numFmtId="3" fontId="0" fillId="0" borderId="12" xfId="1" applyNumberFormat="1" applyFont="1" applyBorder="1" applyAlignment="1">
      <alignment horizontal="right"/>
    </xf>
    <xf numFmtId="3" fontId="0" fillId="0" borderId="13" xfId="1" applyNumberFormat="1" applyFont="1" applyBorder="1" applyAlignment="1">
      <alignment horizontal="center"/>
    </xf>
    <xf numFmtId="3" fontId="0" fillId="0" borderId="15" xfId="1" applyNumberFormat="1" applyFont="1" applyBorder="1" applyAlignment="1">
      <alignment horizontal="right"/>
    </xf>
    <xf numFmtId="3" fontId="0" fillId="0" borderId="17" xfId="1" applyNumberFormat="1" applyFont="1" applyBorder="1" applyAlignment="1">
      <alignment horizontal="right"/>
    </xf>
    <xf numFmtId="0" fontId="36" fillId="0" borderId="0" xfId="85" applyFont="1" applyAlignment="1">
      <alignment horizontal="left" vertical="center" wrapText="1"/>
    </xf>
    <xf numFmtId="49" fontId="2" fillId="0" borderId="0" xfId="1" applyNumberFormat="1" applyFont="1" applyFill="1" applyBorder="1" applyAlignment="1">
      <alignment horizontal="left"/>
    </xf>
    <xf numFmtId="49" fontId="0" fillId="0" borderId="11" xfId="1" applyNumberFormat="1" applyFont="1" applyBorder="1"/>
    <xf numFmtId="49" fontId="0" fillId="0" borderId="12" xfId="1" applyNumberFormat="1" applyFont="1" applyBorder="1"/>
    <xf numFmtId="164" fontId="3" fillId="0" borderId="12" xfId="1" applyNumberFormat="1" applyFont="1" applyBorder="1"/>
    <xf numFmtId="177" fontId="0" fillId="0" borderId="13" xfId="0" applyNumberFormat="1" applyBorder="1"/>
    <xf numFmtId="49" fontId="0" fillId="0" borderId="0" xfId="1" applyNumberFormat="1" applyFont="1" applyFill="1" applyBorder="1"/>
    <xf numFmtId="49" fontId="0" fillId="0" borderId="13" xfId="1" applyNumberFormat="1" applyFont="1" applyBorder="1"/>
    <xf numFmtId="0" fontId="3" fillId="0" borderId="15" xfId="4" applyFont="1" applyBorder="1" applyAlignment="1">
      <alignment horizontal="left"/>
    </xf>
    <xf numFmtId="0" fontId="3" fillId="0" borderId="15" xfId="47" applyFont="1" applyBorder="1" applyAlignment="1">
      <alignment horizontal="left"/>
    </xf>
    <xf numFmtId="1" fontId="1" fillId="0" borderId="15" xfId="0" applyNumberFormat="1" applyFont="1" applyBorder="1"/>
    <xf numFmtId="0" fontId="3" fillId="0" borderId="15" xfId="0" applyFont="1" applyBorder="1" applyAlignment="1">
      <alignment horizontal="left"/>
    </xf>
    <xf numFmtId="0" fontId="3" fillId="0" borderId="17" xfId="47" applyFont="1" applyBorder="1" applyAlignment="1">
      <alignment horizontal="left"/>
    </xf>
    <xf numFmtId="0" fontId="36" fillId="0" borderId="17" xfId="4" applyFont="1" applyBorder="1" applyAlignment="1">
      <alignment horizontal="left"/>
    </xf>
    <xf numFmtId="0" fontId="2" fillId="0" borderId="18" xfId="0" applyFont="1" applyBorder="1" applyAlignment="1">
      <alignment horizontal="left"/>
    </xf>
    <xf numFmtId="0" fontId="36" fillId="0" borderId="13" xfId="0" applyFont="1" applyBorder="1" applyAlignment="1">
      <alignment horizontal="center"/>
    </xf>
    <xf numFmtId="1" fontId="0" fillId="0" borderId="0" xfId="1" applyNumberFormat="1" applyFont="1"/>
    <xf numFmtId="168" fontId="0" fillId="0" borderId="10" xfId="1" applyNumberFormat="1" applyFont="1" applyBorder="1"/>
    <xf numFmtId="10" fontId="0" fillId="0" borderId="15" xfId="2" applyNumberFormat="1" applyFont="1" applyBorder="1"/>
    <xf numFmtId="10" fontId="0" fillId="0" borderId="13" xfId="2" applyNumberFormat="1" applyFont="1" applyBorder="1"/>
    <xf numFmtId="10" fontId="0" fillId="0" borderId="17" xfId="2" applyNumberFormat="1" applyFont="1" applyBorder="1"/>
    <xf numFmtId="43" fontId="2" fillId="0" borderId="0" xfId="1" applyFont="1" applyFill="1"/>
    <xf numFmtId="9" fontId="0" fillId="0" borderId="0" xfId="2" applyFont="1" applyFill="1"/>
    <xf numFmtId="164" fontId="0" fillId="0" borderId="12" xfId="1" applyNumberFormat="1" applyFont="1" applyFill="1" applyBorder="1"/>
    <xf numFmtId="9" fontId="0" fillId="0" borderId="12" xfId="2" applyFont="1" applyFill="1" applyBorder="1"/>
    <xf numFmtId="9" fontId="0" fillId="0" borderId="13" xfId="2" applyFont="1" applyFill="1" applyBorder="1"/>
    <xf numFmtId="0" fontId="3" fillId="0" borderId="16" xfId="0" applyFont="1" applyBorder="1"/>
    <xf numFmtId="0" fontId="2" fillId="0" borderId="10" xfId="0" applyFont="1" applyBorder="1" applyAlignment="1">
      <alignment vertical="center"/>
    </xf>
    <xf numFmtId="0" fontId="3" fillId="0" borderId="10" xfId="0" applyFont="1" applyBorder="1"/>
    <xf numFmtId="0" fontId="3" fillId="0" borderId="17" xfId="0" applyFont="1" applyBorder="1"/>
    <xf numFmtId="0" fontId="36" fillId="0" borderId="0" xfId="0" applyFont="1"/>
    <xf numFmtId="164" fontId="0" fillId="0" borderId="0" xfId="0" applyNumberFormat="1" applyAlignment="1">
      <alignment horizontal="center"/>
    </xf>
    <xf numFmtId="0" fontId="1" fillId="0" borderId="13" xfId="85" applyBorder="1"/>
    <xf numFmtId="0" fontId="1" fillId="0" borderId="15" xfId="85" applyBorder="1"/>
    <xf numFmtId="164" fontId="0" fillId="0" borderId="11" xfId="1" applyNumberFormat="1" applyFont="1" applyBorder="1"/>
    <xf numFmtId="164" fontId="0" fillId="0" borderId="14" xfId="1" applyNumberFormat="1" applyFont="1" applyBorder="1"/>
    <xf numFmtId="164" fontId="1" fillId="0" borderId="14" xfId="1" applyNumberFormat="1" applyFont="1" applyBorder="1"/>
    <xf numFmtId="164" fontId="1" fillId="0" borderId="16" xfId="1" applyNumberFormat="1" applyFont="1" applyBorder="1"/>
    <xf numFmtId="43" fontId="1" fillId="0" borderId="17" xfId="1" applyFont="1" applyBorder="1"/>
    <xf numFmtId="0" fontId="2" fillId="0" borderId="14" xfId="85" applyFont="1" applyBorder="1" applyAlignment="1">
      <alignment wrapText="1"/>
    </xf>
    <xf numFmtId="164" fontId="3" fillId="0" borderId="12" xfId="0" applyNumberFormat="1" applyFont="1" applyBorder="1"/>
    <xf numFmtId="164" fontId="2" fillId="0" borderId="0" xfId="1" applyNumberFormat="1" applyFont="1" applyBorder="1"/>
    <xf numFmtId="164" fontId="2" fillId="0" borderId="0" xfId="1" applyNumberFormat="1" applyFont="1" applyFill="1" applyBorder="1"/>
    <xf numFmtId="164" fontId="3" fillId="0" borderId="0" xfId="0" applyNumberFormat="1" applyFont="1"/>
    <xf numFmtId="0" fontId="0" fillId="0" borderId="11" xfId="1" applyNumberFormat="1" applyFont="1" applyBorder="1"/>
    <xf numFmtId="164" fontId="0" fillId="0" borderId="12" xfId="0" applyNumberFormat="1" applyBorder="1"/>
    <xf numFmtId="0" fontId="0" fillId="0" borderId="14" xfId="1" applyNumberFormat="1" applyFont="1" applyBorder="1"/>
    <xf numFmtId="0" fontId="0" fillId="0" borderId="14" xfId="1" applyNumberFormat="1" applyFont="1" applyFill="1" applyBorder="1"/>
    <xf numFmtId="177" fontId="3" fillId="0" borderId="15" xfId="1" applyNumberFormat="1" applyFont="1" applyBorder="1"/>
    <xf numFmtId="3" fontId="3" fillId="0" borderId="0" xfId="0" applyNumberFormat="1" applyFont="1"/>
    <xf numFmtId="177" fontId="3" fillId="0" borderId="15" xfId="1" applyNumberFormat="1" applyFont="1" applyFill="1" applyBorder="1"/>
    <xf numFmtId="0" fontId="0" fillId="0" borderId="16" xfId="1" applyNumberFormat="1" applyFont="1" applyBorder="1"/>
    <xf numFmtId="177" fontId="3" fillId="0" borderId="17" xfId="0" applyNumberFormat="1" applyFont="1" applyBorder="1"/>
    <xf numFmtId="0" fontId="2" fillId="0" borderId="17" xfId="0" applyFont="1" applyBorder="1" applyAlignment="1">
      <alignment vertical="center"/>
    </xf>
    <xf numFmtId="0" fontId="0" fillId="0" borderId="0" xfId="0" applyAlignment="1">
      <alignment horizontal="left"/>
    </xf>
    <xf numFmtId="9" fontId="0" fillId="0" borderId="10" xfId="2" applyFont="1" applyFill="1" applyBorder="1"/>
    <xf numFmtId="0" fontId="0" fillId="0" borderId="11" xfId="0" quotePrefix="1" applyBorder="1" applyAlignment="1">
      <alignment horizontal="center"/>
    </xf>
    <xf numFmtId="0" fontId="0" fillId="0" borderId="12" xfId="0" quotePrefix="1" applyBorder="1" applyAlignment="1">
      <alignment horizontal="center"/>
    </xf>
    <xf numFmtId="0" fontId="0" fillId="0" borderId="13" xfId="0" quotePrefix="1" applyBorder="1" applyAlignment="1">
      <alignment horizontal="center"/>
    </xf>
    <xf numFmtId="0" fontId="0" fillId="0" borderId="14" xfId="0" quotePrefix="1" applyBorder="1" applyAlignment="1">
      <alignment horizontal="center"/>
    </xf>
    <xf numFmtId="0" fontId="0" fillId="0" borderId="0" xfId="0" quotePrefix="1" applyAlignment="1">
      <alignment horizontal="center"/>
    </xf>
    <xf numFmtId="0" fontId="0" fillId="0" borderId="15" xfId="0" quotePrefix="1" applyBorder="1" applyAlignment="1">
      <alignment horizontal="center"/>
    </xf>
    <xf numFmtId="0" fontId="0" fillId="0" borderId="16" xfId="0" quotePrefix="1" applyBorder="1" applyAlignment="1">
      <alignment horizontal="center"/>
    </xf>
    <xf numFmtId="0" fontId="0" fillId="0" borderId="10" xfId="0" quotePrefix="1" applyBorder="1" applyAlignment="1">
      <alignment horizontal="center"/>
    </xf>
    <xf numFmtId="0" fontId="0" fillId="0" borderId="17" xfId="0" quotePrefix="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0" fillId="0" borderId="14" xfId="85" applyFont="1" applyBorder="1"/>
    <xf numFmtId="2" fontId="0" fillId="0" borderId="0" xfId="0" applyNumberFormat="1" applyAlignment="1">
      <alignment horizontal="right"/>
    </xf>
    <xf numFmtId="164" fontId="0" fillId="0" borderId="16" xfId="1" applyNumberFormat="1" applyFont="1" applyBorder="1"/>
    <xf numFmtId="164" fontId="1" fillId="0" borderId="14" xfId="1" applyNumberFormat="1" applyBorder="1" applyAlignment="1">
      <alignment horizontal="center"/>
    </xf>
    <xf numFmtId="0" fontId="2" fillId="0" borderId="13" xfId="0" applyFont="1" applyBorder="1"/>
    <xf numFmtId="0" fontId="2" fillId="0" borderId="12" xfId="0" applyFont="1" applyBorder="1"/>
    <xf numFmtId="164" fontId="1" fillId="0" borderId="16" xfId="1" applyNumberFormat="1" applyBorder="1" applyAlignment="1">
      <alignment horizontal="center"/>
    </xf>
    <xf numFmtId="9" fontId="3" fillId="0" borderId="0" xfId="2" applyFont="1" applyFill="1" applyBorder="1"/>
    <xf numFmtId="0" fontId="41" fillId="0" borderId="0" xfId="0" applyFont="1" applyAlignment="1">
      <alignment horizontal="center"/>
    </xf>
    <xf numFmtId="9" fontId="3" fillId="0" borderId="0" xfId="2" applyFont="1" applyFill="1"/>
    <xf numFmtId="1" fontId="40" fillId="0" borderId="0" xfId="0" applyNumberFormat="1" applyFont="1"/>
    <xf numFmtId="49" fontId="0" fillId="0" borderId="0" xfId="0" applyNumberFormat="1" applyAlignment="1">
      <alignment horizontal="left"/>
    </xf>
    <xf numFmtId="1" fontId="0" fillId="0" borderId="0" xfId="0" applyNumberFormat="1" applyAlignment="1">
      <alignment horizontal="center"/>
    </xf>
    <xf numFmtId="175" fontId="0" fillId="0" borderId="0" xfId="1" applyNumberFormat="1" applyFont="1" applyBorder="1" applyAlignment="1">
      <alignment horizontal="center"/>
    </xf>
    <xf numFmtId="164" fontId="3" fillId="0" borderId="0" xfId="1" applyNumberFormat="1" applyFont="1" applyBorder="1" applyAlignment="1">
      <alignment horizontal="center"/>
    </xf>
    <xf numFmtId="3" fontId="0" fillId="0" borderId="14" xfId="1" applyNumberFormat="1" applyFont="1" applyFill="1" applyBorder="1"/>
    <xf numFmtId="3" fontId="0" fillId="0" borderId="0" xfId="1" applyNumberFormat="1" applyFont="1" applyFill="1" applyBorder="1"/>
    <xf numFmtId="3" fontId="0" fillId="0" borderId="15" xfId="1" applyNumberFormat="1" applyFont="1" applyFill="1" applyBorder="1"/>
    <xf numFmtId="169" fontId="0" fillId="0" borderId="15" xfId="1" applyNumberFormat="1" applyFont="1" applyFill="1" applyBorder="1"/>
    <xf numFmtId="166" fontId="3" fillId="0" borderId="0" xfId="2" applyNumberFormat="1" applyFont="1" applyBorder="1" applyAlignment="1">
      <alignment horizontal="center"/>
    </xf>
    <xf numFmtId="10" fontId="0" fillId="0" borderId="0" xfId="2" applyNumberFormat="1" applyFont="1"/>
    <xf numFmtId="172" fontId="0" fillId="0" borderId="0" xfId="0" applyNumberFormat="1"/>
    <xf numFmtId="0" fontId="36" fillId="0" borderId="20" xfId="0" applyFont="1" applyBorder="1" applyAlignment="1">
      <alignment wrapText="1"/>
    </xf>
    <xf numFmtId="0" fontId="36" fillId="0" borderId="18" xfId="0" applyFont="1" applyBorder="1" applyAlignment="1">
      <alignment horizontal="left"/>
    </xf>
    <xf numFmtId="0" fontId="2" fillId="0" borderId="13" xfId="0" applyFont="1" applyBorder="1" applyAlignment="1">
      <alignment horizontal="center"/>
    </xf>
    <xf numFmtId="177" fontId="0" fillId="0" borderId="15" xfId="1" applyNumberFormat="1" applyFont="1" applyBorder="1"/>
    <xf numFmtId="177" fontId="0" fillId="0" borderId="13" xfId="1" applyNumberFormat="1" applyFont="1" applyBorder="1"/>
    <xf numFmtId="177" fontId="0" fillId="0" borderId="17" xfId="1" applyNumberFormat="1" applyFont="1" applyBorder="1"/>
    <xf numFmtId="2" fontId="1" fillId="0" borderId="15" xfId="85" applyNumberFormat="1" applyBorder="1"/>
    <xf numFmtId="179" fontId="0" fillId="0" borderId="0" xfId="1" applyNumberFormat="1" applyFont="1" applyBorder="1"/>
    <xf numFmtId="4" fontId="0" fillId="0" borderId="13" xfId="0" applyNumberFormat="1" applyBorder="1" applyAlignment="1">
      <alignment horizontal="right"/>
    </xf>
    <xf numFmtId="4" fontId="0" fillId="0" borderId="15" xfId="0" applyNumberFormat="1" applyBorder="1" applyAlignment="1">
      <alignment horizontal="right"/>
    </xf>
    <xf numFmtId="4" fontId="0" fillId="0" borderId="17" xfId="0" applyNumberFormat="1" applyBorder="1" applyAlignment="1">
      <alignment horizontal="right"/>
    </xf>
    <xf numFmtId="175" fontId="0" fillId="0" borderId="13" xfId="0" applyNumberFormat="1" applyBorder="1" applyAlignment="1">
      <alignment horizontal="right"/>
    </xf>
    <xf numFmtId="175" fontId="0" fillId="0" borderId="15" xfId="0" applyNumberFormat="1" applyBorder="1" applyAlignment="1">
      <alignment horizontal="right"/>
    </xf>
    <xf numFmtId="175" fontId="0" fillId="0" borderId="17" xfId="0" applyNumberFormat="1" applyBorder="1" applyAlignment="1">
      <alignment horizontal="right"/>
    </xf>
    <xf numFmtId="164" fontId="0" fillId="0" borderId="12" xfId="1" applyNumberFormat="1" applyFont="1" applyFill="1" applyBorder="1" applyAlignment="1">
      <alignment horizontal="center"/>
    </xf>
    <xf numFmtId="0" fontId="42" fillId="0" borderId="0" xfId="0" applyFont="1" applyAlignment="1">
      <alignment horizontal="right" vertical="center"/>
    </xf>
    <xf numFmtId="0" fontId="42" fillId="0" borderId="0" xfId="0" applyFont="1" applyAlignment="1">
      <alignment vertical="center"/>
    </xf>
    <xf numFmtId="167" fontId="0" fillId="0" borderId="0" xfId="0" applyNumberFormat="1"/>
    <xf numFmtId="164" fontId="42" fillId="0" borderId="0" xfId="1" applyNumberFormat="1" applyFont="1" applyAlignment="1">
      <alignment horizontal="right" vertical="center"/>
    </xf>
    <xf numFmtId="164" fontId="43" fillId="0" borderId="0" xfId="1" applyNumberFormat="1" applyFont="1"/>
    <xf numFmtId="0" fontId="0" fillId="0" borderId="0" xfId="0" applyAlignment="1">
      <alignment wrapText="1"/>
    </xf>
    <xf numFmtId="49" fontId="2" fillId="0" borderId="11" xfId="0" applyNumberFormat="1" applyFont="1" applyBorder="1" applyAlignment="1">
      <alignment horizontal="center"/>
    </xf>
    <xf numFmtId="49" fontId="2" fillId="0" borderId="12" xfId="0" applyNumberFormat="1" applyFont="1" applyBorder="1" applyAlignment="1">
      <alignment horizontal="center"/>
    </xf>
    <xf numFmtId="49" fontId="2" fillId="0" borderId="11" xfId="1" applyNumberFormat="1" applyFont="1" applyBorder="1" applyAlignment="1">
      <alignment horizontal="center"/>
    </xf>
    <xf numFmtId="49" fontId="2" fillId="0" borderId="13" xfId="1" applyNumberFormat="1"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xf numFmtId="0" fontId="2" fillId="0" borderId="23"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36" fillId="0" borderId="18" xfId="0" applyFont="1" applyBorder="1" applyAlignment="1">
      <alignment horizontal="center" vertical="center" wrapText="1"/>
    </xf>
    <xf numFmtId="0" fontId="36" fillId="0" borderId="20" xfId="0" applyFont="1" applyBorder="1" applyAlignment="1">
      <alignment horizontal="center" vertical="center" wrapText="1"/>
    </xf>
    <xf numFmtId="164" fontId="2" fillId="0" borderId="11" xfId="1" applyNumberFormat="1" applyFont="1" applyBorder="1" applyAlignment="1">
      <alignment horizontal="center"/>
    </xf>
    <xf numFmtId="164" fontId="2" fillId="0" borderId="12" xfId="1" applyNumberFormat="1" applyFont="1" applyBorder="1" applyAlignment="1">
      <alignment horizontal="center"/>
    </xf>
    <xf numFmtId="0" fontId="1" fillId="0" borderId="11" xfId="85" applyBorder="1" applyAlignment="1">
      <alignment horizontal="left" vertical="center" wrapText="1"/>
    </xf>
    <xf numFmtId="0" fontId="1" fillId="0" borderId="12" xfId="85" applyBorder="1" applyAlignment="1">
      <alignment horizontal="left" vertical="center" wrapText="1"/>
    </xf>
    <xf numFmtId="0" fontId="1" fillId="0" borderId="13" xfId="85" applyBorder="1" applyAlignment="1">
      <alignment horizontal="left" vertical="center" wrapText="1"/>
    </xf>
    <xf numFmtId="0" fontId="1" fillId="0" borderId="14" xfId="85" applyBorder="1" applyAlignment="1">
      <alignment horizontal="left" vertical="center" wrapText="1"/>
    </xf>
    <xf numFmtId="0" fontId="1" fillId="0" borderId="0" xfId="85" applyAlignment="1">
      <alignment horizontal="left" vertical="center" wrapText="1"/>
    </xf>
    <xf numFmtId="0" fontId="1" fillId="0" borderId="15" xfId="85" applyBorder="1" applyAlignment="1">
      <alignment horizontal="left" vertical="center" wrapText="1"/>
    </xf>
    <xf numFmtId="0" fontId="1" fillId="0" borderId="16" xfId="85" applyBorder="1" applyAlignment="1">
      <alignment horizontal="left" vertical="center" wrapText="1"/>
    </xf>
    <xf numFmtId="0" fontId="1" fillId="0" borderId="10" xfId="85" applyBorder="1" applyAlignment="1">
      <alignment horizontal="left" vertical="center" wrapText="1"/>
    </xf>
    <xf numFmtId="0" fontId="1" fillId="0" borderId="17" xfId="85" applyBorder="1" applyAlignment="1">
      <alignment horizontal="left" vertical="center" wrapText="1"/>
    </xf>
    <xf numFmtId="0" fontId="2" fillId="0" borderId="12" xfId="0" applyFont="1" applyBorder="1" applyAlignment="1">
      <alignment horizontal="center" wrapText="1"/>
    </xf>
    <xf numFmtId="164" fontId="2" fillId="0" borderId="13" xfId="1" applyNumberFormat="1" applyFont="1" applyBorder="1" applyAlignment="1">
      <alignment horizontal="center"/>
    </xf>
    <xf numFmtId="0" fontId="36" fillId="0" borderId="11" xfId="4" applyFont="1" applyBorder="1" applyAlignment="1">
      <alignment horizontal="center"/>
    </xf>
    <xf numFmtId="0" fontId="36" fillId="0" borderId="13" xfId="4" applyFont="1" applyBorder="1" applyAlignment="1">
      <alignment horizontal="center"/>
    </xf>
  </cellXfs>
  <cellStyles count="138">
    <cellStyle name="20% - Accent1" xfId="22" builtinId="30" customBuiltin="1"/>
    <cellStyle name="20% - Accent1 2" xfId="88" xr:uid="{00000000-0005-0000-0000-000001000000}"/>
    <cellStyle name="20% - Accent2" xfId="25" builtinId="34" customBuiltin="1"/>
    <cellStyle name="20% - Accent2 2" xfId="89" xr:uid="{00000000-0005-0000-0000-000003000000}"/>
    <cellStyle name="20% - Accent3" xfId="28" builtinId="38" customBuiltin="1"/>
    <cellStyle name="20% - Accent3 2" xfId="90" xr:uid="{00000000-0005-0000-0000-000005000000}"/>
    <cellStyle name="20% - Accent4" xfId="31" builtinId="42" customBuiltin="1"/>
    <cellStyle name="20% - Accent4 2" xfId="91" xr:uid="{00000000-0005-0000-0000-000007000000}"/>
    <cellStyle name="20% - Accent5" xfId="34" builtinId="46" customBuiltin="1"/>
    <cellStyle name="20% - Accent5 2" xfId="92" xr:uid="{00000000-0005-0000-0000-000009000000}"/>
    <cellStyle name="20% - Accent6" xfId="37" builtinId="50" customBuiltin="1"/>
    <cellStyle name="20% - Accent6 2" xfId="93" xr:uid="{00000000-0005-0000-0000-00000B000000}"/>
    <cellStyle name="40% - Accent1" xfId="23" builtinId="31" customBuiltin="1"/>
    <cellStyle name="40% - Accent1 2" xfId="94" xr:uid="{00000000-0005-0000-0000-00000D000000}"/>
    <cellStyle name="40% - Accent2" xfId="26" builtinId="35" customBuiltin="1"/>
    <cellStyle name="40% - Accent2 2" xfId="95" xr:uid="{00000000-0005-0000-0000-00000F000000}"/>
    <cellStyle name="40% - Accent3" xfId="29" builtinId="39" customBuiltin="1"/>
    <cellStyle name="40% - Accent3 2" xfId="96" xr:uid="{00000000-0005-0000-0000-000011000000}"/>
    <cellStyle name="40% - Accent4" xfId="32" builtinId="43" customBuiltin="1"/>
    <cellStyle name="40% - Accent4 2" xfId="97" xr:uid="{00000000-0005-0000-0000-000013000000}"/>
    <cellStyle name="40% - Accent5" xfId="35" builtinId="47" customBuiltin="1"/>
    <cellStyle name="40% - Accent5 2" xfId="98" xr:uid="{00000000-0005-0000-0000-000015000000}"/>
    <cellStyle name="40% - Accent6" xfId="38" builtinId="51" customBuiltin="1"/>
    <cellStyle name="40% - Accent6 2" xfId="99" xr:uid="{00000000-0005-0000-0000-000017000000}"/>
    <cellStyle name="60% - Accent1 2" xfId="40" xr:uid="{00000000-0005-0000-0000-000018000000}"/>
    <cellStyle name="60% - Accent2 2" xfId="41" xr:uid="{00000000-0005-0000-0000-000019000000}"/>
    <cellStyle name="60% - Accent3 2" xfId="42" xr:uid="{00000000-0005-0000-0000-00001A000000}"/>
    <cellStyle name="60% - Accent4 2" xfId="43" xr:uid="{00000000-0005-0000-0000-00001B000000}"/>
    <cellStyle name="60% - Accent5 2" xfId="44" xr:uid="{00000000-0005-0000-0000-00001C000000}"/>
    <cellStyle name="60% - Accent6 2" xfId="45" xr:uid="{00000000-0005-0000-0000-00001D000000}"/>
    <cellStyle name="Accent1" xfId="21" builtinId="29" customBuiltin="1"/>
    <cellStyle name="Accent1 2" xfId="100" xr:uid="{00000000-0005-0000-0000-00001F000000}"/>
    <cellStyle name="Accent2" xfId="24" builtinId="33" customBuiltin="1"/>
    <cellStyle name="Accent2 2" xfId="101" xr:uid="{00000000-0005-0000-0000-000021000000}"/>
    <cellStyle name="Accent3" xfId="27" builtinId="37" customBuiltin="1"/>
    <cellStyle name="Accent3 2" xfId="102" xr:uid="{00000000-0005-0000-0000-000023000000}"/>
    <cellStyle name="Accent4" xfId="30" builtinId="41" customBuiltin="1"/>
    <cellStyle name="Accent4 2" xfId="103" xr:uid="{00000000-0005-0000-0000-000025000000}"/>
    <cellStyle name="Accent5" xfId="33" builtinId="45" customBuiltin="1"/>
    <cellStyle name="Accent5 2" xfId="104" xr:uid="{00000000-0005-0000-0000-000027000000}"/>
    <cellStyle name="Accent6" xfId="36" builtinId="49" customBuiltin="1"/>
    <cellStyle name="Accent6 2" xfId="105" xr:uid="{00000000-0005-0000-0000-000029000000}"/>
    <cellStyle name="Bad" xfId="11" builtinId="27" customBuiltin="1"/>
    <cellStyle name="Bad 2" xfId="106" xr:uid="{00000000-0005-0000-0000-00002B000000}"/>
    <cellStyle name="Calculation" xfId="14" builtinId="22" customBuiltin="1"/>
    <cellStyle name="Calculation 2" xfId="107" xr:uid="{00000000-0005-0000-0000-00002D000000}"/>
    <cellStyle name="Check Cell" xfId="16" builtinId="23" customBuiltin="1"/>
    <cellStyle name="Check Cell 2" xfId="108" xr:uid="{00000000-0005-0000-0000-00002F000000}"/>
    <cellStyle name="Čiarka 2" xfId="50" xr:uid="{00000000-0005-0000-0000-000030000000}"/>
    <cellStyle name="Čiarka 2 2" xfId="76" xr:uid="{00000000-0005-0000-0000-000031000000}"/>
    <cellStyle name="Čiarka 3" xfId="77" xr:uid="{00000000-0005-0000-0000-000032000000}"/>
    <cellStyle name="Comma" xfId="1" builtinId="3"/>
    <cellStyle name="Comma 2" xfId="49" xr:uid="{00000000-0005-0000-0000-000034000000}"/>
    <cellStyle name="Comma 2 2" xfId="109" xr:uid="{00000000-0005-0000-0000-000035000000}"/>
    <cellStyle name="Comma 3" xfId="86" xr:uid="{00000000-0005-0000-0000-000036000000}"/>
    <cellStyle name="Comma 4" xfId="136" xr:uid="{BE7FF73A-CD67-47B1-BB23-7CD16DF3031E}"/>
    <cellStyle name="Explanatory Text" xfId="19" builtinId="53" customBuiltin="1"/>
    <cellStyle name="Explanatory Text 2" xfId="110" xr:uid="{00000000-0005-0000-0000-000038000000}"/>
    <cellStyle name="Good" xfId="10" builtinId="26" customBuiltin="1"/>
    <cellStyle name="Good 2" xfId="111" xr:uid="{00000000-0005-0000-0000-00003A000000}"/>
    <cellStyle name="Heading 1" xfId="6" builtinId="16" customBuiltin="1"/>
    <cellStyle name="Heading 1 2" xfId="112" xr:uid="{00000000-0005-0000-0000-00003C000000}"/>
    <cellStyle name="Heading 2" xfId="7" builtinId="17" customBuiltin="1"/>
    <cellStyle name="Heading 2 2" xfId="113" xr:uid="{00000000-0005-0000-0000-00003E000000}"/>
    <cellStyle name="Heading 3" xfId="8" builtinId="18" customBuiltin="1"/>
    <cellStyle name="Heading 3 2" xfId="114" xr:uid="{00000000-0005-0000-0000-000040000000}"/>
    <cellStyle name="Heading 4" xfId="9" builtinId="19" customBuiltin="1"/>
    <cellStyle name="Heading 4 2" xfId="115" xr:uid="{00000000-0005-0000-0000-000042000000}"/>
    <cellStyle name="Hyperlink 2" xfId="51" xr:uid="{00000000-0005-0000-0000-000043000000}"/>
    <cellStyle name="Hyperlink 3" xfId="52" xr:uid="{00000000-0005-0000-0000-000044000000}"/>
    <cellStyle name="Hyperlink 3 2" xfId="53" xr:uid="{00000000-0005-0000-0000-000045000000}"/>
    <cellStyle name="Hyperlink 4" xfId="116" xr:uid="{00000000-0005-0000-0000-000046000000}"/>
    <cellStyle name="Input" xfId="12" builtinId="20" customBuiltin="1"/>
    <cellStyle name="Input 2" xfId="117" xr:uid="{00000000-0005-0000-0000-000048000000}"/>
    <cellStyle name="Linked Cell" xfId="15" builtinId="24" customBuiltin="1"/>
    <cellStyle name="Linked Cell 2" xfId="118" xr:uid="{00000000-0005-0000-0000-00004A000000}"/>
    <cellStyle name="Neutral 2" xfId="39" xr:uid="{00000000-0005-0000-0000-00004B000000}"/>
    <cellStyle name="Normaali 2" xfId="133" xr:uid="{00000000-0005-0000-0000-00004C000000}"/>
    <cellStyle name="Normal" xfId="0" builtinId="0"/>
    <cellStyle name="Normal 10" xfId="134" xr:uid="{00000000-0005-0000-0000-00004E000000}"/>
    <cellStyle name="Normal 11" xfId="137" xr:uid="{4C81B972-00F8-4B38-891B-3F2FB02F51F1}"/>
    <cellStyle name="Normal 2" xfId="4" xr:uid="{00000000-0005-0000-0000-00004F000000}"/>
    <cellStyle name="Normal 2 2" xfId="55" xr:uid="{00000000-0005-0000-0000-000050000000}"/>
    <cellStyle name="Normal 2 2 2" xfId="56" xr:uid="{00000000-0005-0000-0000-000051000000}"/>
    <cellStyle name="Normal 2 2 2 2" xfId="57" xr:uid="{00000000-0005-0000-0000-000052000000}"/>
    <cellStyle name="Normal 2 3" xfId="58" xr:uid="{00000000-0005-0000-0000-000053000000}"/>
    <cellStyle name="Normal 2 3 2" xfId="59" xr:uid="{00000000-0005-0000-0000-000054000000}"/>
    <cellStyle name="Normal 2 3 2 2" xfId="78" xr:uid="{00000000-0005-0000-0000-000055000000}"/>
    <cellStyle name="Normal 2 3 3" xfId="79" xr:uid="{00000000-0005-0000-0000-000056000000}"/>
    <cellStyle name="Normal 2 3 4" xfId="119" xr:uid="{00000000-0005-0000-0000-000057000000}"/>
    <cellStyle name="Normal 2 4" xfId="60" xr:uid="{00000000-0005-0000-0000-000058000000}"/>
    <cellStyle name="Normal 2 5" xfId="54" xr:uid="{00000000-0005-0000-0000-000059000000}"/>
    <cellStyle name="Normal 2 5 2" xfId="120" xr:uid="{00000000-0005-0000-0000-00005A000000}"/>
    <cellStyle name="Normal 2 6" xfId="85" xr:uid="{00000000-0005-0000-0000-00005B000000}"/>
    <cellStyle name="Normal 2 7" xfId="87" xr:uid="{00000000-0005-0000-0000-00005C000000}"/>
    <cellStyle name="Normal 3" xfId="61" xr:uid="{00000000-0005-0000-0000-00005D000000}"/>
    <cellStyle name="Normal 3 2" xfId="80" xr:uid="{00000000-0005-0000-0000-00005E000000}"/>
    <cellStyle name="Normal 3 3" xfId="121" xr:uid="{00000000-0005-0000-0000-00005F000000}"/>
    <cellStyle name="Normal 4" xfId="62" xr:uid="{00000000-0005-0000-0000-000060000000}"/>
    <cellStyle name="Normal 4 2" xfId="122" xr:uid="{00000000-0005-0000-0000-000061000000}"/>
    <cellStyle name="Normal 4 2 3" xfId="135" xr:uid="{00000000-0005-0000-0000-000062000000}"/>
    <cellStyle name="Normal 4 3" xfId="123" xr:uid="{00000000-0005-0000-0000-000063000000}"/>
    <cellStyle name="Normal 5" xfId="63" xr:uid="{00000000-0005-0000-0000-000064000000}"/>
    <cellStyle name="Normal 6" xfId="64" xr:uid="{00000000-0005-0000-0000-000065000000}"/>
    <cellStyle name="Normal 6 2" xfId="65" xr:uid="{00000000-0005-0000-0000-000066000000}"/>
    <cellStyle name="Normal 6 3" xfId="124" xr:uid="{00000000-0005-0000-0000-000067000000}"/>
    <cellStyle name="Normal 7" xfId="66" xr:uid="{00000000-0005-0000-0000-000068000000}"/>
    <cellStyle name="Normal 8" xfId="3" xr:uid="{00000000-0005-0000-0000-000069000000}"/>
    <cellStyle name="Normal 8 2" xfId="67" xr:uid="{00000000-0005-0000-0000-00006A000000}"/>
    <cellStyle name="Normal 8 3" xfId="125" xr:uid="{00000000-0005-0000-0000-00006B000000}"/>
    <cellStyle name="Normal 9" xfId="75" xr:uid="{00000000-0005-0000-0000-00006C000000}"/>
    <cellStyle name="Normale 5" xfId="48" xr:uid="{00000000-0005-0000-0000-00006D000000}"/>
    <cellStyle name="Normálna 2" xfId="68" xr:uid="{00000000-0005-0000-0000-00006E000000}"/>
    <cellStyle name="Normálna 3" xfId="81" xr:uid="{00000000-0005-0000-0000-00006F000000}"/>
    <cellStyle name="Normálna 4" xfId="82" xr:uid="{00000000-0005-0000-0000-000070000000}"/>
    <cellStyle name="Note" xfId="18" builtinId="10" customBuiltin="1"/>
    <cellStyle name="Note 2" xfId="126" xr:uid="{00000000-0005-0000-0000-000072000000}"/>
    <cellStyle name="Output" xfId="13" builtinId="21" customBuiltin="1"/>
    <cellStyle name="Output 2" xfId="127" xr:uid="{00000000-0005-0000-0000-000074000000}"/>
    <cellStyle name="Percent" xfId="2" builtinId="5"/>
    <cellStyle name="Percent 2" xfId="69" xr:uid="{00000000-0005-0000-0000-000076000000}"/>
    <cellStyle name="Percent 2 2" xfId="70" xr:uid="{00000000-0005-0000-0000-000077000000}"/>
    <cellStyle name="Percent 2 2 2" xfId="71" xr:uid="{00000000-0005-0000-0000-000078000000}"/>
    <cellStyle name="Percent 3" xfId="72" xr:uid="{00000000-0005-0000-0000-000079000000}"/>
    <cellStyle name="Percent 3 2" xfId="73" xr:uid="{00000000-0005-0000-0000-00007A000000}"/>
    <cellStyle name="Percent 3 2 2" xfId="83" xr:uid="{00000000-0005-0000-0000-00007B000000}"/>
    <cellStyle name="Percent 3 3" xfId="84" xr:uid="{00000000-0005-0000-0000-00007C000000}"/>
    <cellStyle name="Percent 3 4" xfId="128" xr:uid="{00000000-0005-0000-0000-00007D000000}"/>
    <cellStyle name="Percent 4" xfId="129" xr:uid="{00000000-0005-0000-0000-00007E000000}"/>
    <cellStyle name="Percentá 2" xfId="74" xr:uid="{00000000-0005-0000-0000-00007F000000}"/>
    <cellStyle name="Standaard_results_1" xfId="46" xr:uid="{00000000-0005-0000-0000-000080000000}"/>
    <cellStyle name="Standard 2" xfId="47" xr:uid="{00000000-0005-0000-0000-000081000000}"/>
    <cellStyle name="Title" xfId="5" builtinId="15" customBuiltin="1"/>
    <cellStyle name="Title 2" xfId="130" xr:uid="{00000000-0005-0000-0000-000083000000}"/>
    <cellStyle name="Total" xfId="20" builtinId="25" customBuiltin="1"/>
    <cellStyle name="Total 2" xfId="131" xr:uid="{00000000-0005-0000-0000-000085000000}"/>
    <cellStyle name="Warning Text" xfId="17" builtinId="11" customBuiltin="1"/>
    <cellStyle name="Warning Text 2" xfId="132" xr:uid="{00000000-0005-0000-0000-000087000000}"/>
  </cellStyles>
  <dxfs count="6">
    <dxf>
      <font>
        <b val="0"/>
        <i/>
      </font>
    </dxf>
    <dxf>
      <font>
        <b val="0"/>
        <i/>
      </font>
    </dxf>
    <dxf>
      <font>
        <b val="0"/>
        <i/>
      </font>
    </dxf>
    <dxf>
      <font>
        <b val="0"/>
        <i/>
      </font>
    </dxf>
    <dxf>
      <font>
        <b val="0"/>
        <i/>
      </font>
    </dxf>
    <dxf>
      <font>
        <b val="0"/>
        <i/>
      </font>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grassgc\Documents\GIACOMO\8.%20LULUCF%20&amp;%20REDD+\LULUCF%20-%20EU\EUCLIMIT%20project\LULUCF_emissions_EUCLIMIT_REF_07102013_final_Annex-TO%20BE%20USED%20in%20A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ex"/>
      <sheetName val="EU27"/>
      <sheetName val="EU28"/>
      <sheetName val="summary for comparison"/>
      <sheetName val="AT"/>
      <sheetName val="BE"/>
      <sheetName val="BG"/>
      <sheetName val="HR"/>
      <sheetName val="CY"/>
      <sheetName val="CZ"/>
      <sheetName val="DK"/>
      <sheetName val="EE"/>
      <sheetName val="FI"/>
      <sheetName val="FR"/>
      <sheetName val="DE"/>
      <sheetName val="GR"/>
      <sheetName val="HU"/>
      <sheetName val="IE"/>
      <sheetName val="IT"/>
      <sheetName val="LV"/>
      <sheetName val="LT"/>
      <sheetName val="LU"/>
      <sheetName val="MT"/>
      <sheetName val="NL"/>
      <sheetName val="PL"/>
      <sheetName val="PT"/>
      <sheetName val="RO"/>
      <sheetName val="SK"/>
      <sheetName val="SL"/>
      <sheetName val="ES"/>
      <sheetName val="SE"/>
      <sheetName val="UK"/>
    </sheetNames>
    <sheetDataSet>
      <sheetData sheetId="0">
        <row r="4">
          <cell r="S4" t="str">
            <v>EU27</v>
          </cell>
        </row>
        <row r="5">
          <cell r="S5" t="str">
            <v>EU28</v>
          </cell>
        </row>
        <row r="6">
          <cell r="S6" t="str">
            <v>AT</v>
          </cell>
        </row>
        <row r="7">
          <cell r="S7" t="str">
            <v>BE</v>
          </cell>
        </row>
        <row r="8">
          <cell r="S8" t="str">
            <v>BG</v>
          </cell>
        </row>
        <row r="9">
          <cell r="S9" t="str">
            <v>HR</v>
          </cell>
        </row>
        <row r="10">
          <cell r="S10" t="str">
            <v>CY</v>
          </cell>
        </row>
        <row r="11">
          <cell r="S11" t="str">
            <v>CZ</v>
          </cell>
        </row>
        <row r="12">
          <cell r="S12" t="str">
            <v>DK</v>
          </cell>
        </row>
        <row r="13">
          <cell r="S13" t="str">
            <v>EE</v>
          </cell>
        </row>
        <row r="14">
          <cell r="S14" t="str">
            <v>FI</v>
          </cell>
        </row>
        <row r="15">
          <cell r="S15" t="str">
            <v>FR</v>
          </cell>
        </row>
        <row r="16">
          <cell r="S16" t="str">
            <v>DE</v>
          </cell>
        </row>
        <row r="17">
          <cell r="S17" t="str">
            <v>GR</v>
          </cell>
        </row>
        <row r="18">
          <cell r="S18" t="str">
            <v>HU</v>
          </cell>
        </row>
        <row r="19">
          <cell r="S19" t="str">
            <v>IE</v>
          </cell>
        </row>
        <row r="20">
          <cell r="S20" t="str">
            <v>IT</v>
          </cell>
        </row>
        <row r="21">
          <cell r="S21" t="str">
            <v>LV</v>
          </cell>
        </row>
        <row r="22">
          <cell r="S22" t="str">
            <v>LT</v>
          </cell>
        </row>
        <row r="23">
          <cell r="S23" t="str">
            <v>LU</v>
          </cell>
        </row>
        <row r="24">
          <cell r="S24" t="str">
            <v>MT</v>
          </cell>
        </row>
        <row r="25">
          <cell r="S25" t="str">
            <v>NL</v>
          </cell>
        </row>
        <row r="26">
          <cell r="S26" t="str">
            <v>PL</v>
          </cell>
        </row>
        <row r="27">
          <cell r="S27" t="str">
            <v>PT</v>
          </cell>
        </row>
        <row r="28">
          <cell r="S28" t="str">
            <v>RO</v>
          </cell>
        </row>
        <row r="29">
          <cell r="S29" t="str">
            <v>SK</v>
          </cell>
        </row>
        <row r="30">
          <cell r="S30" t="str">
            <v>SL</v>
          </cell>
        </row>
        <row r="31">
          <cell r="S31" t="str">
            <v>ES</v>
          </cell>
        </row>
        <row r="32">
          <cell r="S32" t="str">
            <v>SE</v>
          </cell>
        </row>
        <row r="33">
          <cell r="S33" t="str">
            <v>UK</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BA181-D176-4D7C-8C8F-D7D9BDEC41DB}">
  <sheetPr>
    <tabColor theme="8" tint="0.39997558519241921"/>
  </sheetPr>
  <dimension ref="A1:B59"/>
  <sheetViews>
    <sheetView tabSelected="1" zoomScale="115" zoomScaleNormal="115" workbookViewId="0"/>
  </sheetViews>
  <sheetFormatPr defaultRowHeight="15" x14ac:dyDescent="0.25"/>
  <cols>
    <col min="1" max="1" width="24.140625" customWidth="1"/>
  </cols>
  <sheetData>
    <row r="1" spans="1:2" x14ac:dyDescent="0.25">
      <c r="A1" s="269" t="s">
        <v>589</v>
      </c>
    </row>
    <row r="2" spans="1:2" x14ac:dyDescent="0.25">
      <c r="A2" s="9" t="s">
        <v>652</v>
      </c>
    </row>
    <row r="3" spans="1:2" x14ac:dyDescent="0.25">
      <c r="A3" s="9"/>
    </row>
    <row r="5" spans="1:2" x14ac:dyDescent="0.25">
      <c r="A5" s="9" t="s">
        <v>578</v>
      </c>
      <c r="B5" s="9" t="s">
        <v>558</v>
      </c>
    </row>
    <row r="6" spans="1:2" x14ac:dyDescent="0.25">
      <c r="A6" t="s">
        <v>559</v>
      </c>
      <c r="B6" t="s">
        <v>571</v>
      </c>
    </row>
    <row r="7" spans="1:2" x14ac:dyDescent="0.25">
      <c r="A7" t="s">
        <v>605</v>
      </c>
      <c r="B7" t="s">
        <v>604</v>
      </c>
    </row>
    <row r="8" spans="1:2" x14ac:dyDescent="0.25">
      <c r="A8" t="s">
        <v>560</v>
      </c>
      <c r="B8" t="s">
        <v>566</v>
      </c>
    </row>
    <row r="9" spans="1:2" x14ac:dyDescent="0.25">
      <c r="A9" t="s">
        <v>561</v>
      </c>
      <c r="B9" t="s">
        <v>572</v>
      </c>
    </row>
    <row r="10" spans="1:2" x14ac:dyDescent="0.25">
      <c r="A10" t="s">
        <v>562</v>
      </c>
      <c r="B10" t="s">
        <v>570</v>
      </c>
    </row>
    <row r="11" spans="1:2" x14ac:dyDescent="0.25">
      <c r="A11" t="s">
        <v>563</v>
      </c>
      <c r="B11" t="s">
        <v>569</v>
      </c>
    </row>
    <row r="12" spans="1:2" x14ac:dyDescent="0.25">
      <c r="A12" t="s">
        <v>564</v>
      </c>
      <c r="B12" t="s">
        <v>568</v>
      </c>
    </row>
    <row r="13" spans="1:2" x14ac:dyDescent="0.25">
      <c r="A13" t="s">
        <v>565</v>
      </c>
      <c r="B13" t="s">
        <v>645</v>
      </c>
    </row>
    <row r="15" spans="1:2" x14ac:dyDescent="0.25">
      <c r="A15" t="s">
        <v>590</v>
      </c>
    </row>
    <row r="16" spans="1:2" x14ac:dyDescent="0.25">
      <c r="A16" t="s">
        <v>587</v>
      </c>
    </row>
    <row r="18" spans="1:1" x14ac:dyDescent="0.25">
      <c r="A18" s="9" t="s">
        <v>586</v>
      </c>
    </row>
    <row r="19" spans="1:1" x14ac:dyDescent="0.25">
      <c r="A19" s="72" t="s">
        <v>653</v>
      </c>
    </row>
    <row r="22" spans="1:1" x14ac:dyDescent="0.25">
      <c r="A22" s="26"/>
    </row>
    <row r="23" spans="1:1" x14ac:dyDescent="0.25">
      <c r="A23" s="26"/>
    </row>
    <row r="24" spans="1:1" x14ac:dyDescent="0.25">
      <c r="A24" s="26"/>
    </row>
    <row r="25" spans="1:1" x14ac:dyDescent="0.25">
      <c r="A25" s="26"/>
    </row>
    <row r="26" spans="1:1" x14ac:dyDescent="0.25">
      <c r="A26" s="26"/>
    </row>
    <row r="27" spans="1:1" x14ac:dyDescent="0.25">
      <c r="A27" s="26"/>
    </row>
    <row r="28" spans="1:1" x14ac:dyDescent="0.25">
      <c r="A28" s="26"/>
    </row>
    <row r="29" spans="1:1" x14ac:dyDescent="0.25">
      <c r="A29" s="26"/>
    </row>
    <row r="30" spans="1:1" x14ac:dyDescent="0.25">
      <c r="A30" s="26"/>
    </row>
    <row r="31" spans="1:1" x14ac:dyDescent="0.25">
      <c r="A31" s="26"/>
    </row>
    <row r="32" spans="1:1" x14ac:dyDescent="0.25">
      <c r="A32" s="26"/>
    </row>
    <row r="33" spans="1:1" x14ac:dyDescent="0.25">
      <c r="A33" s="26"/>
    </row>
    <row r="34" spans="1:1" x14ac:dyDescent="0.25">
      <c r="A34" s="26"/>
    </row>
    <row r="35" spans="1:1" x14ac:dyDescent="0.25">
      <c r="A35" s="26"/>
    </row>
    <row r="36" spans="1:1" x14ac:dyDescent="0.25">
      <c r="A36" s="26"/>
    </row>
    <row r="37" spans="1:1" x14ac:dyDescent="0.25">
      <c r="A37" s="26"/>
    </row>
    <row r="38" spans="1:1" x14ac:dyDescent="0.25">
      <c r="A38" s="26"/>
    </row>
    <row r="39" spans="1:1" x14ac:dyDescent="0.25">
      <c r="A39" s="26"/>
    </row>
    <row r="40" spans="1:1" x14ac:dyDescent="0.25">
      <c r="A40" s="26"/>
    </row>
    <row r="41" spans="1:1" x14ac:dyDescent="0.25">
      <c r="A41" s="26"/>
    </row>
    <row r="42" spans="1:1" x14ac:dyDescent="0.25">
      <c r="A42" s="26"/>
    </row>
    <row r="43" spans="1:1" x14ac:dyDescent="0.25">
      <c r="A43" s="26"/>
    </row>
    <row r="44" spans="1:1" x14ac:dyDescent="0.25">
      <c r="A44" s="26"/>
    </row>
    <row r="45" spans="1:1" x14ac:dyDescent="0.25">
      <c r="A45" s="26"/>
    </row>
    <row r="46" spans="1:1" x14ac:dyDescent="0.25">
      <c r="A46" s="26"/>
    </row>
    <row r="47" spans="1:1" x14ac:dyDescent="0.25">
      <c r="A47" s="26"/>
    </row>
    <row r="48" spans="1:1" x14ac:dyDescent="0.25">
      <c r="A48" s="26"/>
    </row>
    <row r="49" spans="1:1" x14ac:dyDescent="0.25">
      <c r="A49" s="26"/>
    </row>
    <row r="50" spans="1:1" x14ac:dyDescent="0.25">
      <c r="A50" s="26"/>
    </row>
    <row r="51" spans="1:1" x14ac:dyDescent="0.25">
      <c r="A51" s="26"/>
    </row>
    <row r="52" spans="1:1" x14ac:dyDescent="0.25">
      <c r="A52" s="26"/>
    </row>
    <row r="53" spans="1:1" x14ac:dyDescent="0.25">
      <c r="A53" s="26"/>
    </row>
    <row r="54" spans="1:1" x14ac:dyDescent="0.25">
      <c r="A54" s="26"/>
    </row>
    <row r="55" spans="1:1" x14ac:dyDescent="0.25">
      <c r="A55" s="26"/>
    </row>
    <row r="56" spans="1:1" x14ac:dyDescent="0.25">
      <c r="A56" s="26"/>
    </row>
    <row r="57" spans="1:1" x14ac:dyDescent="0.25">
      <c r="A57" s="26"/>
    </row>
    <row r="58" spans="1:1" x14ac:dyDescent="0.25">
      <c r="A58" s="26"/>
    </row>
    <row r="59" spans="1:1" x14ac:dyDescent="0.25">
      <c r="A59" s="28"/>
    </row>
  </sheetData>
  <sortState xmlns:xlrd2="http://schemas.microsoft.com/office/spreadsheetml/2017/richdata2" ref="A22:A59">
    <sortCondition ref="A22:A5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S320"/>
  <sheetViews>
    <sheetView workbookViewId="0">
      <pane ySplit="2" topLeftCell="A3" activePane="bottomLeft" state="frozen"/>
      <selection activeCell="E8" sqref="E8"/>
      <selection pane="bottomLeft" activeCell="A2" sqref="A2:D2"/>
    </sheetView>
  </sheetViews>
  <sheetFormatPr defaultRowHeight="15" x14ac:dyDescent="0.25"/>
  <cols>
    <col min="1" max="1" width="11.42578125" customWidth="1"/>
    <col min="4" max="4" width="10.42578125" customWidth="1"/>
    <col min="5" max="7" width="13.7109375" customWidth="1"/>
    <col min="8" max="8" width="15.28515625" bestFit="1" customWidth="1"/>
    <col min="9" max="9" width="12.7109375" customWidth="1"/>
    <col min="10" max="10" width="15.28515625" bestFit="1" customWidth="1"/>
    <col min="11" max="11" width="14.28515625" bestFit="1" customWidth="1"/>
    <col min="12" max="12" width="9.5703125" customWidth="1"/>
    <col min="13" max="13" width="14.28515625" bestFit="1" customWidth="1"/>
    <col min="14" max="14" width="15.28515625" bestFit="1" customWidth="1"/>
    <col min="15" max="15" width="10.5703125" bestFit="1" customWidth="1"/>
    <col min="16" max="16" width="9.5703125" customWidth="1"/>
  </cols>
  <sheetData>
    <row r="1" spans="1:19" x14ac:dyDescent="0.25">
      <c r="E1" s="353" t="s">
        <v>592</v>
      </c>
      <c r="F1" s="354"/>
      <c r="G1" s="354"/>
      <c r="H1" s="354"/>
      <c r="I1" s="354"/>
      <c r="J1" s="354"/>
      <c r="K1" s="355"/>
    </row>
    <row r="2" spans="1:19" x14ac:dyDescent="0.25">
      <c r="A2" s="349" t="s">
        <v>422</v>
      </c>
      <c r="B2" s="350"/>
      <c r="C2" s="350"/>
      <c r="D2" s="350"/>
      <c r="E2" s="219" t="s">
        <v>550</v>
      </c>
      <c r="F2" s="220" t="s">
        <v>221</v>
      </c>
      <c r="G2" s="221" t="s">
        <v>222</v>
      </c>
      <c r="H2" s="351" t="s">
        <v>311</v>
      </c>
      <c r="I2" s="352"/>
      <c r="J2" s="220" t="s">
        <v>312</v>
      </c>
      <c r="K2" s="221" t="s">
        <v>552</v>
      </c>
      <c r="L2" s="14"/>
      <c r="M2" s="240"/>
    </row>
    <row r="3" spans="1:19" x14ac:dyDescent="0.25">
      <c r="A3" s="120" t="s">
        <v>518</v>
      </c>
      <c r="B3" s="217" t="s">
        <v>244</v>
      </c>
      <c r="C3" s="218" t="s">
        <v>38</v>
      </c>
      <c r="D3" s="218" t="s">
        <v>455</v>
      </c>
      <c r="E3" s="222" t="s">
        <v>549</v>
      </c>
      <c r="F3" s="223" t="s">
        <v>549</v>
      </c>
      <c r="G3" s="224" t="s">
        <v>549</v>
      </c>
      <c r="H3" s="222" t="s">
        <v>537</v>
      </c>
      <c r="I3" s="225" t="s">
        <v>551</v>
      </c>
      <c r="J3" s="223" t="s">
        <v>537</v>
      </c>
      <c r="K3" s="224" t="s">
        <v>537</v>
      </c>
      <c r="L3" s="14"/>
      <c r="M3" s="115" t="s">
        <v>503</v>
      </c>
      <c r="N3" s="40"/>
      <c r="O3" s="40"/>
      <c r="P3" s="41"/>
    </row>
    <row r="4" spans="1:19" x14ac:dyDescent="0.25">
      <c r="A4" s="26" t="s">
        <v>506</v>
      </c>
      <c r="B4" t="s">
        <v>0</v>
      </c>
      <c r="C4" t="s">
        <v>0</v>
      </c>
      <c r="D4" s="20">
        <f>+VLOOKUP(B4, 'NATIONAL 2020'!$A$3:$B$41, 2, FALSE)</f>
        <v>0</v>
      </c>
      <c r="E4" s="181">
        <f>+IFERROR(IF($D4=0, VLOOKUP($C4, 'NATIONAL 2020'!$A$3:$M$40, 7, FALSE), VLOOKUP($C4, 'NFI 2020'!$C$3:$J$282, 2, FALSE)), "")</f>
        <v>16000</v>
      </c>
      <c r="F4" s="111">
        <f>+IFERROR(IF($D4=0, VLOOKUP($C4, 'NATIONAL 2020'!$A$3:$M$40, 8, FALSE), VLOOKUP($C4, 'NFI 2020'!$C$3:$J$282, 3, FALSE)), "")</f>
        <v>13252.914233798567</v>
      </c>
      <c r="G4" s="196">
        <f>+IFERROR(IF($D4=0, VLOOKUP($C4, 'NATIONAL 2020'!$A$3:$M$40, 9, FALSE), VLOOKUP($C4, 'NFI 2020'!$C$3:$J$282, 4, FALSE)), "")</f>
        <v>2747.0857662014332</v>
      </c>
      <c r="H4" s="181">
        <f>+IFERROR(IF($D4=0, VLOOKUP($C4, 'NATIONAL 2020'!$A$3:$M$40, 10, FALSE), VLOOKUP($C4, 'NFI 2020'!$C$3:$J$282, 5, FALSE)), "")</f>
        <v>1282677.0260481325</v>
      </c>
      <c r="I4" s="213">
        <f>+IFERROR(IF($D4=0, VLOOKUP($C4, 'NATIONAL 2020'!$A$3:$M$40, 13, FALSE), VLOOKUP($C4, 'NFI 2020'!$C$3:$J$282, 8, FALSE)), "")</f>
        <v>80.167314128008272</v>
      </c>
      <c r="J4" s="111">
        <f>+IFERROR(IF($D4=0, VLOOKUP($C4, 'NATIONAL 2020'!$A$3:$M$40, 11, FALSE), VLOOKUP($C4, 'NFI 2020'!$C$3:$J$282, 6, FALSE)), "")</f>
        <v>1062450.5384924819</v>
      </c>
      <c r="K4" s="196">
        <f>+IFERROR(IF($D4=0, VLOOKUP($C4, 'NATIONAL 2020'!$A$3:$M$40, 12, FALSE), VLOOKUP($C4, 'NFI 2020'!$C$3:$J$282, 7, FALSE)), "")</f>
        <v>220226.48755565053</v>
      </c>
      <c r="M4" s="26" t="s">
        <v>582</v>
      </c>
      <c r="P4" s="27"/>
      <c r="R4" s="8"/>
      <c r="S4" s="8"/>
    </row>
    <row r="5" spans="1:19" x14ac:dyDescent="0.25">
      <c r="A5" s="26" t="s">
        <v>513</v>
      </c>
      <c r="B5" t="s">
        <v>1</v>
      </c>
      <c r="C5" t="s">
        <v>1</v>
      </c>
      <c r="D5" s="20">
        <f>+VLOOKUP(B5, 'NATIONAL 2020'!$A$3:$B$41, 2, FALSE)</f>
        <v>0</v>
      </c>
      <c r="E5" s="181">
        <f>+IFERROR(IF($D5=0, VLOOKUP($C5, 'NATIONAL 2020'!$A$3:$M$40, 7, FALSE), VLOOKUP($C5, 'NFI 2020'!$C$3:$J$282, 2, FALSE)), "")</f>
        <v>785000</v>
      </c>
      <c r="F5" s="111">
        <f>+IFERROR(IF($D5=0, VLOOKUP($C5, 'NATIONAL 2020'!$A$3:$M$40, 8, FALSE), VLOOKUP($C5, 'NFI 2020'!$C$3:$J$282, 3, FALSE)), "")</f>
        <v>565000</v>
      </c>
      <c r="G5" s="196">
        <f>+IFERROR(IF($D5=0, VLOOKUP($C5, 'NATIONAL 2020'!$A$3:$M$40, 9, FALSE), VLOOKUP($C5, 'NFI 2020'!$C$3:$J$282, 4, FALSE)), "")</f>
        <v>220000</v>
      </c>
      <c r="H5" s="181">
        <f>+IFERROR(IF($D5=0, VLOOKUP($C5, 'NATIONAL 2020'!$A$3:$M$40, 10, FALSE), VLOOKUP($C5, 'NFI 2020'!$C$3:$J$282, 5, FALSE)), "")</f>
        <v>74000000</v>
      </c>
      <c r="I5" s="213">
        <f>+IFERROR(IF($D5=0, VLOOKUP($C5, 'NATIONAL 2020'!$A$3:$M$40, 13, FALSE), VLOOKUP($C5, 'NFI 2020'!$C$3:$J$282, 8, FALSE)), "")</f>
        <v>94.267515923566876</v>
      </c>
      <c r="J5" s="111">
        <f>+IFERROR(IF($D5=0, VLOOKUP($C5, 'NATIONAL 2020'!$A$3:$M$40, 11, FALSE), VLOOKUP($C5, 'NFI 2020'!$C$3:$J$282, 6, FALSE)), "")</f>
        <v>71153846.15384616</v>
      </c>
      <c r="K5" s="196">
        <f>+IFERROR(IF($D5=0, VLOOKUP($C5, 'NATIONAL 2020'!$A$3:$M$40, 12, FALSE), VLOOKUP($C5, 'NFI 2020'!$C$3:$J$282, 7, FALSE)), "")</f>
        <v>2846153.8461538404</v>
      </c>
      <c r="L5" s="14"/>
      <c r="M5" s="26" t="s">
        <v>581</v>
      </c>
      <c r="P5" s="27"/>
      <c r="R5" s="8"/>
      <c r="S5" s="8"/>
    </row>
    <row r="6" spans="1:19" x14ac:dyDescent="0.25">
      <c r="A6" s="26" t="s">
        <v>39</v>
      </c>
      <c r="B6" s="22" t="s">
        <v>2</v>
      </c>
      <c r="C6" s="22" t="s">
        <v>2</v>
      </c>
      <c r="D6" s="20">
        <v>0</v>
      </c>
      <c r="E6" s="181">
        <f>+IFERROR(IF($D6=0, VLOOKUP($C6, 'NATIONAL 2020'!$A$3:$M$40, 7, FALSE), VLOOKUP($C6, 'NFI 2020'!$C$3:$J$282, 2, FALSE)), "")</f>
        <v>3899000</v>
      </c>
      <c r="F6" s="111">
        <f>+IFERROR(IF($D6=0, VLOOKUP($C6, 'NATIONAL 2020'!$A$3:$M$40, 8, FALSE), VLOOKUP($C6, 'NFI 2020'!$C$3:$J$282, 3, FALSE)), "")</f>
        <v>3358516.5370658371</v>
      </c>
      <c r="G6" s="196">
        <f>+IFERROR(IF($D6=0, VLOOKUP($C6, 'NATIONAL 2020'!$A$3:$M$40, 9, FALSE), VLOOKUP($C6, 'NFI 2020'!$C$3:$J$282, 4, FALSE)), "")</f>
        <v>415165.68170036294</v>
      </c>
      <c r="H6" s="181">
        <f>+IFERROR(IF($D6=0, VLOOKUP($C6, 'NATIONAL 2020'!$A$3:$M$40, 10, FALSE), VLOOKUP($C6, 'NFI 2020'!$C$3:$J$282, 5, FALSE)), "")</f>
        <v>728037309.17430329</v>
      </c>
      <c r="I6" s="213">
        <f>+IFERROR(IF($D6=0, VLOOKUP($C6, 'NATIONAL 2020'!$A$3:$M$40, 13, FALSE), VLOOKUP($C6, 'NFI 2020'!$C$3:$J$282, 8, FALSE)), "")</f>
        <v>186.72411109882106</v>
      </c>
      <c r="J6" s="111">
        <f>+IFERROR(IF($D6=0, VLOOKUP($C6, 'NATIONAL 2020'!$A$3:$M$40, 11, FALSE), VLOOKUP($C6, 'NFI 2020'!$C$3:$J$282, 6, FALSE)), "")</f>
        <v>676924977.10379148</v>
      </c>
      <c r="K6" s="196">
        <f>+IFERROR(IF($D6=0, VLOOKUP($C6, 'NATIONAL 2020'!$A$3:$M$40, 12, FALSE), VLOOKUP($C6, 'NFI 2020'!$C$3:$J$282, 7, FALSE)), "")</f>
        <v>51112332.070511609</v>
      </c>
      <c r="L6" s="14"/>
      <c r="M6" s="98" t="s">
        <v>495</v>
      </c>
      <c r="P6" s="27"/>
      <c r="R6" s="8"/>
      <c r="S6" s="8"/>
    </row>
    <row r="7" spans="1:19" x14ac:dyDescent="0.25">
      <c r="A7" s="26" t="s">
        <v>39</v>
      </c>
      <c r="B7" s="108" t="str">
        <f t="shared" ref="B7:B15" si="0">+LEFT(C7, 2)</f>
        <v>AT</v>
      </c>
      <c r="C7" s="108" t="s">
        <v>40</v>
      </c>
      <c r="D7" s="20">
        <f>+VLOOKUP(B7, 'NATIONAL 2020'!$A$3:$B$41, 2, FALSE)</f>
        <v>2</v>
      </c>
      <c r="E7" s="181">
        <f>+IFERROR(IF($D7=0, VLOOKUP($C7, 'NATIONAL 2020'!$A$3:$M$40, 7, FALSE), VLOOKUP($C7, 'NFI 2020'!$C$3:$J$282, 2, FALSE)), "")</f>
        <v>132392.1721099015</v>
      </c>
      <c r="F7" s="111">
        <f>+IFERROR(IF($D7=0, VLOOKUP($C7, 'NATIONAL 2020'!$A$3:$M$40, 8, FALSE), VLOOKUP($C7, 'NFI 2020'!$C$3:$J$282, 3, FALSE)), "")</f>
        <v>128956.03939865214</v>
      </c>
      <c r="G7" s="196">
        <f>+IFERROR(IF($D7=0, VLOOKUP($C7, 'NATIONAL 2020'!$A$3:$M$40, 9, FALSE), VLOOKUP($C7, 'NFI 2020'!$C$3:$J$282, 4, FALSE)), "")</f>
        <v>404.25090720580607</v>
      </c>
      <c r="H7" s="181">
        <f>+IFERROR(IF($D7=0, VLOOKUP($C7, 'NATIONAL 2020'!$A$3:$M$40, 10, FALSE), VLOOKUP($C7, 'NFI 2020'!$C$3:$J$282, 5, FALSE)), "")</f>
        <v>23037827.250917844</v>
      </c>
      <c r="I7" s="213">
        <f>+IFERROR(IF($D7=0, VLOOKUP($C7, 'NATIONAL 2020'!$A$3:$M$40, 13, FALSE), VLOOKUP($C7, 'NFI 2020'!$C$3:$J$282, 8, FALSE)), "")</f>
        <v>174.01200451484144</v>
      </c>
      <c r="J7" s="111">
        <f>+IFERROR(IF($D7=0, VLOOKUP($C7, 'NATIONAL 2020'!$A$3:$M$40, 11, FALSE), VLOOKUP($C7, 'NFI 2020'!$C$3:$J$282, 6, FALSE)), "")</f>
        <v>23015608.785408299</v>
      </c>
      <c r="K7" s="196">
        <f>+IFERROR(IF($D7=0, VLOOKUP($C7, 'NATIONAL 2020'!$A$3:$M$40, 12, FALSE), VLOOKUP($C7, 'NFI 2020'!$C$3:$J$282, 7, FALSE)), "")</f>
        <v>22218.465509545465</v>
      </c>
      <c r="L7" s="14"/>
      <c r="M7" s="98" t="s">
        <v>496</v>
      </c>
      <c r="P7" s="27"/>
      <c r="R7" s="8"/>
      <c r="S7" s="8"/>
    </row>
    <row r="8" spans="1:19" x14ac:dyDescent="0.25">
      <c r="A8" s="26" t="s">
        <v>39</v>
      </c>
      <c r="B8" s="108" t="str">
        <f t="shared" si="0"/>
        <v>AT</v>
      </c>
      <c r="C8" s="108" t="s">
        <v>41</v>
      </c>
      <c r="D8" s="20">
        <f>+VLOOKUP(B8, 'NATIONAL 2020'!$A$3:$B$41, 2, FALSE)</f>
        <v>2</v>
      </c>
      <c r="E8" s="181">
        <f>+IFERROR(IF($D8=0, VLOOKUP($C8, 'NATIONAL 2020'!$A$3:$M$40, 7, FALSE), VLOOKUP($C8, 'NFI 2020'!$C$3:$J$282, 2, FALSE)), "")</f>
        <v>766055.46915500262</v>
      </c>
      <c r="F8" s="111">
        <f>+IFERROR(IF($D8=0, VLOOKUP($C8, 'NATIONAL 2020'!$A$3:$M$40, 8, FALSE), VLOOKUP($C8, 'NFI 2020'!$C$3:$J$282, 3, FALSE)), "")</f>
        <v>727550.57024364965</v>
      </c>
      <c r="G8" s="196">
        <f>+IFERROR(IF($D8=0, VLOOKUP($C8, 'NATIONAL 2020'!$A$3:$M$40, 9, FALSE), VLOOKUP($C8, 'NFI 2020'!$C$3:$J$282, 4, FALSE)), "")</f>
        <v>21324.235355106273</v>
      </c>
      <c r="H8" s="181">
        <f>+IFERROR(IF($D8=0, VLOOKUP($C8, 'NATIONAL 2020'!$A$3:$M$40, 10, FALSE), VLOOKUP($C8, 'NFI 2020'!$C$3:$J$282, 5, FALSE)), "")</f>
        <v>144635284.18235946</v>
      </c>
      <c r="I8" s="213">
        <f>+IFERROR(IF($D8=0, VLOOKUP($C8, 'NATIONAL 2020'!$A$3:$M$40, 13, FALSE), VLOOKUP($C8, 'NFI 2020'!$C$3:$J$282, 8, FALSE)), "")</f>
        <v>188.80523670420288</v>
      </c>
      <c r="J8" s="111">
        <f>+IFERROR(IF($D8=0, VLOOKUP($C8, 'NATIONAL 2020'!$A$3:$M$40, 11, FALSE), VLOOKUP($C8, 'NFI 2020'!$C$3:$J$282, 6, FALSE)), "")</f>
        <v>141792078.13996026</v>
      </c>
      <c r="K8" s="196">
        <f>+IFERROR(IF($D8=0, VLOOKUP($C8, 'NATIONAL 2020'!$A$3:$M$40, 12, FALSE), VLOOKUP($C8, 'NFI 2020'!$C$3:$J$282, 7, FALSE)), "")</f>
        <v>2843206.0423991927</v>
      </c>
      <c r="L8" s="14"/>
      <c r="M8" s="98" t="s">
        <v>591</v>
      </c>
      <c r="P8" s="27"/>
      <c r="R8" s="8"/>
      <c r="S8" s="8"/>
    </row>
    <row r="9" spans="1:19" x14ac:dyDescent="0.25">
      <c r="A9" s="26" t="s">
        <v>39</v>
      </c>
      <c r="B9" s="108" t="str">
        <f t="shared" si="0"/>
        <v>AT</v>
      </c>
      <c r="C9" s="108" t="s">
        <v>42</v>
      </c>
      <c r="D9" s="20">
        <f>+VLOOKUP(B9, 'NATIONAL 2020'!$A$3:$B$41, 2, FALSE)</f>
        <v>2</v>
      </c>
      <c r="E9" s="181">
        <f>+IFERROR(IF($D9=0, VLOOKUP($C9, 'NATIONAL 2020'!$A$3:$M$40, 7, FALSE), VLOOKUP($C9, 'NFI 2020'!$C$3:$J$282, 2, FALSE)), "")</f>
        <v>8085.0181441161221</v>
      </c>
      <c r="F9" s="111">
        <f>+IFERROR(IF($D9=0, VLOOKUP($C9, 'NATIONAL 2020'!$A$3:$M$40, 8, FALSE), VLOOKUP($C9, 'NFI 2020'!$C$3:$J$282, 3, FALSE)), "")</f>
        <v>6973.328149300155</v>
      </c>
      <c r="G9" s="196">
        <f>+IFERROR(IF($D9=0, VLOOKUP($C9, 'NATIONAL 2020'!$A$3:$M$40, 9, FALSE), VLOOKUP($C9, 'NFI 2020'!$C$3:$J$282, 4, FALSE)), "")</f>
        <v>1111.6899948159669</v>
      </c>
      <c r="H9" s="181">
        <f>+IFERROR(IF($D9=0, VLOOKUP($C9, 'NATIONAL 2020'!$A$3:$M$40, 10, FALSE), VLOOKUP($C9, 'NFI 2020'!$C$3:$J$282, 5, FALSE)), "")</f>
        <v>2425476.7257353999</v>
      </c>
      <c r="I9" s="213">
        <f>+IFERROR(IF($D9=0, VLOOKUP($C9, 'NATIONAL 2020'!$A$3:$M$40, 13, FALSE), VLOOKUP($C9, 'NFI 2020'!$C$3:$J$282, 8, FALSE)), "")</f>
        <v>299.99644805998889</v>
      </c>
      <c r="J9" s="111">
        <f>+IFERROR(IF($D9=0, VLOOKUP($C9, 'NATIONAL 2020'!$A$3:$M$40, 11, FALSE), VLOOKUP($C9, 'NFI 2020'!$C$3:$J$282, 6, FALSE)), "")</f>
        <v>2162362.0126621807</v>
      </c>
      <c r="K9" s="196">
        <f>+IFERROR(IF($D9=0, VLOOKUP($C9, 'NATIONAL 2020'!$A$3:$M$40, 12, FALSE), VLOOKUP($C9, 'NFI 2020'!$C$3:$J$282, 7, FALSE)), "")</f>
        <v>263114.71307321917</v>
      </c>
      <c r="L9" s="14"/>
      <c r="M9" s="98" t="s">
        <v>497</v>
      </c>
      <c r="P9" s="27"/>
      <c r="R9" s="8"/>
      <c r="S9" s="8"/>
    </row>
    <row r="10" spans="1:19" x14ac:dyDescent="0.25">
      <c r="A10" s="26" t="s">
        <v>39</v>
      </c>
      <c r="B10" s="108" t="str">
        <f t="shared" si="0"/>
        <v>AT</v>
      </c>
      <c r="C10" s="108" t="s">
        <v>43</v>
      </c>
      <c r="D10" s="20">
        <f>+VLOOKUP(B10, 'NATIONAL 2020'!$A$3:$B$41, 2, FALSE)</f>
        <v>2</v>
      </c>
      <c r="E10" s="181">
        <f>+IFERROR(IF($D10=0, VLOOKUP($C10, 'NATIONAL 2020'!$A$3:$M$40, 7, FALSE), VLOOKUP($C10, 'NFI 2020'!$C$3:$J$282, 2, FALSE)), "")</f>
        <v>577068.17003628821</v>
      </c>
      <c r="F10" s="111">
        <f>+IFERROR(IF($D10=0, VLOOKUP($C10, 'NATIONAL 2020'!$A$3:$M$40, 8, FALSE), VLOOKUP($C10, 'NFI 2020'!$C$3:$J$282, 3, FALSE)), "")</f>
        <v>506526.38672887499</v>
      </c>
      <c r="G10" s="196">
        <f>+IFERROR(IF($D10=0, VLOOKUP($C10, 'NATIONAL 2020'!$A$3:$M$40, 9, FALSE), VLOOKUP($C10, 'NFI 2020'!$C$3:$J$282, 4, FALSE)), "")</f>
        <v>47297.356143079312</v>
      </c>
      <c r="H10" s="181">
        <f>+IFERROR(IF($D10=0, VLOOKUP($C10, 'NATIONAL 2020'!$A$3:$M$40, 10, FALSE), VLOOKUP($C10, 'NFI 2020'!$C$3:$J$282, 5, FALSE)), "")</f>
        <v>108674148.36597838</v>
      </c>
      <c r="I10" s="213">
        <f>+IFERROR(IF($D10=0, VLOOKUP($C10, 'NATIONAL 2020'!$A$3:$M$40, 13, FALSE), VLOOKUP($C10, 'NFI 2020'!$C$3:$J$282, 8, FALSE)), "")</f>
        <v>188.32116205463998</v>
      </c>
      <c r="J10" s="111">
        <f>+IFERROR(IF($D10=0, VLOOKUP($C10, 'NATIONAL 2020'!$A$3:$M$40, 11, FALSE), VLOOKUP($C10, 'NFI 2020'!$C$3:$J$282, 6, FALSE)), "")</f>
        <v>102751662.74565347</v>
      </c>
      <c r="K10" s="196">
        <f>+IFERROR(IF($D10=0, VLOOKUP($C10, 'NATIONAL 2020'!$A$3:$M$40, 12, FALSE), VLOOKUP($C10, 'NFI 2020'!$C$3:$J$282, 7, FALSE)), "")</f>
        <v>5922485.6203249041</v>
      </c>
      <c r="L10" s="14"/>
      <c r="M10" s="101" t="s">
        <v>498</v>
      </c>
      <c r="N10" s="23"/>
      <c r="O10" s="23"/>
      <c r="P10" s="61"/>
      <c r="R10" s="8"/>
      <c r="S10" s="8"/>
    </row>
    <row r="11" spans="1:19" x14ac:dyDescent="0.25">
      <c r="A11" s="26" t="s">
        <v>39</v>
      </c>
      <c r="B11" s="108" t="str">
        <f t="shared" si="0"/>
        <v>AT</v>
      </c>
      <c r="C11" s="108" t="s">
        <v>44</v>
      </c>
      <c r="D11" s="20">
        <f>+VLOOKUP(B11, 'NATIONAL 2020'!$A$3:$B$41, 2, FALSE)</f>
        <v>2</v>
      </c>
      <c r="E11" s="181">
        <f>+IFERROR(IF($D11=0, VLOOKUP($C11, 'NATIONAL 2020'!$A$3:$M$40, 7, FALSE), VLOOKUP($C11, 'NFI 2020'!$C$3:$J$282, 2, FALSE)), "")</f>
        <v>989404.09538621048</v>
      </c>
      <c r="F11" s="111">
        <f>+IFERROR(IF($D11=0, VLOOKUP($C11, 'NATIONAL 2020'!$A$3:$M$40, 8, FALSE), VLOOKUP($C11, 'NFI 2020'!$C$3:$J$282, 3, FALSE)), "")</f>
        <v>863682.06324520474</v>
      </c>
      <c r="G11" s="196">
        <f>+IFERROR(IF($D11=0, VLOOKUP($C11, 'NATIONAL 2020'!$A$3:$M$40, 9, FALSE), VLOOKUP($C11, 'NFI 2020'!$C$3:$J$282, 4, FALSE)), "")</f>
        <v>84286.314152410589</v>
      </c>
      <c r="H11" s="181">
        <f>+IFERROR(IF($D11=0, VLOOKUP($C11, 'NATIONAL 2020'!$A$3:$M$40, 10, FALSE), VLOOKUP($C11, 'NFI 2020'!$C$3:$J$282, 5, FALSE)), "")</f>
        <v>186547223.76906553</v>
      </c>
      <c r="I11" s="213">
        <f>+IFERROR(IF($D11=0, VLOOKUP($C11, 'NATIONAL 2020'!$A$3:$M$40, 13, FALSE), VLOOKUP($C11, 'NFI 2020'!$C$3:$J$282, 8, FALSE)), "")</f>
        <v>188.54502891080864</v>
      </c>
      <c r="J11" s="111">
        <f>+IFERROR(IF($D11=0, VLOOKUP($C11, 'NATIONAL 2020'!$A$3:$M$40, 11, FALSE), VLOOKUP($C11, 'NFI 2020'!$C$3:$J$282, 6, FALSE)), "")</f>
        <v>175644566.20217177</v>
      </c>
      <c r="K11" s="196">
        <f>+IFERROR(IF($D11=0, VLOOKUP($C11, 'NATIONAL 2020'!$A$3:$M$40, 12, FALSE), VLOOKUP($C11, 'NFI 2020'!$C$3:$J$282, 7, FALSE)), "")</f>
        <v>10902657.566893751</v>
      </c>
      <c r="L11" s="14"/>
      <c r="R11" s="8"/>
      <c r="S11" s="8"/>
    </row>
    <row r="12" spans="1:19" x14ac:dyDescent="0.25">
      <c r="A12" s="26" t="s">
        <v>39</v>
      </c>
      <c r="B12" s="108" t="str">
        <f t="shared" si="0"/>
        <v>AT</v>
      </c>
      <c r="C12" s="108" t="s">
        <v>45</v>
      </c>
      <c r="D12" s="20">
        <f>+VLOOKUP(B12, 'NATIONAL 2020'!$A$3:$B$41, 2, FALSE)</f>
        <v>2</v>
      </c>
      <c r="E12" s="181">
        <f>+IFERROR(IF($D12=0, VLOOKUP($C12, 'NATIONAL 2020'!$A$3:$M$40, 7, FALSE), VLOOKUP($C12, 'NFI 2020'!$C$3:$J$282, 2, FALSE)), "")</f>
        <v>496217.98859512701</v>
      </c>
      <c r="F12" s="111">
        <f>+IFERROR(IF($D12=0, VLOOKUP($C12, 'NATIONAL 2020'!$A$3:$M$40, 8, FALSE), VLOOKUP($C12, 'NFI 2020'!$C$3:$J$282, 3, FALSE)), "")</f>
        <v>437702.66977708653</v>
      </c>
      <c r="G12" s="196">
        <f>+IFERROR(IF($D12=0, VLOOKUP($C12, 'NATIONAL 2020'!$A$3:$M$40, 9, FALSE), VLOOKUP($C12, 'NFI 2020'!$C$3:$J$282, 4, FALSE)), "")</f>
        <v>45377.164333851739</v>
      </c>
      <c r="H12" s="181">
        <f>+IFERROR(IF($D12=0, VLOOKUP($C12, 'NATIONAL 2020'!$A$3:$M$40, 10, FALSE), VLOOKUP($C12, 'NFI 2020'!$C$3:$J$282, 5, FALSE)), "")</f>
        <v>103918736.08390461</v>
      </c>
      <c r="I12" s="213">
        <f>+IFERROR(IF($D12=0, VLOOKUP($C12, 'NATIONAL 2020'!$A$3:$M$40, 13, FALSE), VLOOKUP($C12, 'NFI 2020'!$C$3:$J$282, 8, FALSE)), "")</f>
        <v>209.42154148444976</v>
      </c>
      <c r="J12" s="111">
        <f>+IFERROR(IF($D12=0, VLOOKUP($C12, 'NATIONAL 2020'!$A$3:$M$40, 11, FALSE), VLOOKUP($C12, 'NFI 2020'!$C$3:$J$282, 6, FALSE)), "")</f>
        <v>95513087.678525209</v>
      </c>
      <c r="K12" s="196">
        <f>+IFERROR(IF($D12=0, VLOOKUP($C12, 'NATIONAL 2020'!$A$3:$M$40, 12, FALSE), VLOOKUP($C12, 'NFI 2020'!$C$3:$J$282, 7, FALSE)), "")</f>
        <v>8405648.4053794052</v>
      </c>
      <c r="L12" s="14"/>
      <c r="M12" s="70"/>
      <c r="O12" s="5"/>
      <c r="P12" s="70"/>
      <c r="R12" s="8"/>
      <c r="S12" s="8"/>
    </row>
    <row r="13" spans="1:19" x14ac:dyDescent="0.25">
      <c r="A13" s="26" t="s">
        <v>39</v>
      </c>
      <c r="B13" s="108" t="str">
        <f t="shared" si="0"/>
        <v>AT</v>
      </c>
      <c r="C13" s="108" t="s">
        <v>46</v>
      </c>
      <c r="D13" s="20">
        <f>+VLOOKUP(B13, 'NATIONAL 2020'!$A$3:$B$41, 2, FALSE)</f>
        <v>2</v>
      </c>
      <c r="E13" s="181">
        <f>+IFERROR(IF($D13=0, VLOOKUP($C13, 'NATIONAL 2020'!$A$3:$M$40, 7, FALSE), VLOOKUP($C13, 'NFI 2020'!$C$3:$J$282, 2, FALSE)), "")</f>
        <v>358772.6801451529</v>
      </c>
      <c r="F13" s="111">
        <f>+IFERROR(IF($D13=0, VLOOKUP($C13, 'NATIONAL 2020'!$A$3:$M$40, 8, FALSE), VLOOKUP($C13, 'NFI 2020'!$C$3:$J$282, 3, FALSE)), "")</f>
        <v>277922.4987039917</v>
      </c>
      <c r="G13" s="196">
        <f>+IFERROR(IF($D13=0, VLOOKUP($C13, 'NATIONAL 2020'!$A$3:$M$40, 9, FALSE), VLOOKUP($C13, 'NFI 2020'!$C$3:$J$282, 4, FALSE)), "")</f>
        <v>69733.281493001545</v>
      </c>
      <c r="H13" s="181">
        <f>+IFERROR(IF($D13=0, VLOOKUP($C13, 'NATIONAL 2020'!$A$3:$M$40, 10, FALSE), VLOOKUP($C13, 'NFI 2020'!$C$3:$J$282, 5, FALSE)), "")</f>
        <v>62495508.341038726</v>
      </c>
      <c r="I13" s="213">
        <f>+IFERROR(IF($D13=0, VLOOKUP($C13, 'NATIONAL 2020'!$A$3:$M$40, 13, FALSE), VLOOKUP($C13, 'NFI 2020'!$C$3:$J$282, 8, FALSE)), "")</f>
        <v>174.19249513578956</v>
      </c>
      <c r="J13" s="111">
        <f>+IFERROR(IF($D13=0, VLOOKUP($C13, 'NATIONAL 2020'!$A$3:$M$40, 11, FALSE), VLOOKUP($C13, 'NFI 2020'!$C$3:$J$282, 6, FALSE)), "")</f>
        <v>55613049.496968001</v>
      </c>
      <c r="K13" s="196">
        <f>+IFERROR(IF($D13=0, VLOOKUP($C13, 'NATIONAL 2020'!$A$3:$M$40, 12, FALSE), VLOOKUP($C13, 'NFI 2020'!$C$3:$J$282, 7, FALSE)), "")</f>
        <v>6882458.8440707223</v>
      </c>
      <c r="L13" s="14"/>
      <c r="M13" s="70"/>
      <c r="O13" s="5"/>
      <c r="P13" s="70"/>
      <c r="R13" s="8"/>
      <c r="S13" s="8"/>
    </row>
    <row r="14" spans="1:19" x14ac:dyDescent="0.25">
      <c r="A14" s="26" t="s">
        <v>39</v>
      </c>
      <c r="B14" s="108" t="str">
        <f t="shared" si="0"/>
        <v>AT</v>
      </c>
      <c r="C14" s="108" t="s">
        <v>47</v>
      </c>
      <c r="D14" s="20">
        <f>+VLOOKUP(B14, 'NATIONAL 2020'!$A$3:$B$41, 2, FALSE)</f>
        <v>2</v>
      </c>
      <c r="E14" s="181">
        <f>+IFERROR(IF($D14=0, VLOOKUP($C14, 'NATIONAL 2020'!$A$3:$M$40, 7, FALSE), VLOOKUP($C14, 'NFI 2020'!$C$3:$J$282, 2, FALSE)), "")</f>
        <v>487122.34318299638</v>
      </c>
      <c r="F14" s="111">
        <f>+IFERROR(IF($D14=0, VLOOKUP($C14, 'NATIONAL 2020'!$A$3:$M$40, 8, FALSE), VLOOKUP($C14, 'NFI 2020'!$C$3:$J$282, 3, FALSE)), "")</f>
        <v>346645.15292897879</v>
      </c>
      <c r="G14" s="196">
        <f>+IFERROR(IF($D14=0, VLOOKUP($C14, 'NATIONAL 2020'!$A$3:$M$40, 9, FALSE), VLOOKUP($C14, 'NFI 2020'!$C$3:$J$282, 4, FALSE)), "")</f>
        <v>127339.03576982893</v>
      </c>
      <c r="H14" s="181">
        <f>+IFERROR(IF($D14=0, VLOOKUP($C14, 'NATIONAL 2020'!$A$3:$M$40, 10, FALSE), VLOOKUP($C14, 'NFI 2020'!$C$3:$J$282, 5, FALSE)), "")</f>
        <v>79486613.306852296</v>
      </c>
      <c r="I14" s="213">
        <f>+IFERROR(IF($D14=0, VLOOKUP($C14, 'NATIONAL 2020'!$A$3:$M$40, 13, FALSE), VLOOKUP($C14, 'NFI 2020'!$C$3:$J$282, 8, FALSE)), "")</f>
        <v>163.17587238446933</v>
      </c>
      <c r="J14" s="111">
        <f>+IFERROR(IF($D14=0, VLOOKUP($C14, 'NATIONAL 2020'!$A$3:$M$40, 11, FALSE), VLOOKUP($C14, 'NFI 2020'!$C$3:$J$282, 6, FALSE)), "")</f>
        <v>65924774.394506134</v>
      </c>
      <c r="K14" s="196">
        <f>+IFERROR(IF($D14=0, VLOOKUP($C14, 'NATIONAL 2020'!$A$3:$M$40, 12, FALSE), VLOOKUP($C14, 'NFI 2020'!$C$3:$J$282, 7, FALSE)), "")</f>
        <v>13561838.912346175</v>
      </c>
      <c r="L14" s="14"/>
      <c r="M14" s="70"/>
      <c r="O14" s="5"/>
      <c r="P14" s="70"/>
      <c r="R14" s="8"/>
      <c r="S14" s="8"/>
    </row>
    <row r="15" spans="1:19" x14ac:dyDescent="0.25">
      <c r="A15" s="26" t="s">
        <v>39</v>
      </c>
      <c r="B15" s="108" t="str">
        <f t="shared" si="0"/>
        <v>AT</v>
      </c>
      <c r="C15" s="108" t="s">
        <v>48</v>
      </c>
      <c r="D15" s="20">
        <f>+VLOOKUP(B15, 'NATIONAL 2020'!$A$3:$B$41, 2, FALSE)</f>
        <v>2</v>
      </c>
      <c r="E15" s="181">
        <f>+IFERROR(IF($D15=0, VLOOKUP($C15, 'NATIONAL 2020'!$A$3:$M$40, 7, FALSE), VLOOKUP($C15, 'NFI 2020'!$C$3:$J$282, 2, FALSE)), "")</f>
        <v>83882.063245204772</v>
      </c>
      <c r="F15" s="111">
        <f>+IFERROR(IF($D15=0, VLOOKUP($C15, 'NATIONAL 2020'!$A$3:$M$40, 8, FALSE), VLOOKUP($C15, 'NFI 2020'!$C$3:$J$282, 3, FALSE)), "")</f>
        <v>62557.827890098502</v>
      </c>
      <c r="G15" s="196">
        <f>+IFERROR(IF($D15=0, VLOOKUP($C15, 'NATIONAL 2020'!$A$3:$M$40, 9, FALSE), VLOOKUP($C15, 'NFI 2020'!$C$3:$J$282, 4, FALSE)), "")</f>
        <v>18292.353551062726</v>
      </c>
      <c r="H15" s="181">
        <f>+IFERROR(IF($D15=0, VLOOKUP($C15, 'NATIONAL 2020'!$A$3:$M$40, 10, FALSE), VLOOKUP($C15, 'NFI 2020'!$C$3:$J$282, 5, FALSE)), "")</f>
        <v>16816491.148450945</v>
      </c>
      <c r="I15" s="213">
        <f>+IFERROR(IF($D15=0, VLOOKUP($C15, 'NATIONAL 2020'!$A$3:$M$40, 13, FALSE), VLOOKUP($C15, 'NFI 2020'!$C$3:$J$282, 8, FALSE)), "")</f>
        <v>200.47779582260432</v>
      </c>
      <c r="J15" s="111">
        <f>+IFERROR(IF($D15=0, VLOOKUP($C15, 'NATIONAL 2020'!$A$3:$M$40, 11, FALSE), VLOOKUP($C15, 'NFI 2020'!$C$3:$J$282, 6, FALSE)), "")</f>
        <v>14507787.64793626</v>
      </c>
      <c r="K15" s="196">
        <f>+IFERROR(IF($D15=0, VLOOKUP($C15, 'NATIONAL 2020'!$A$3:$M$40, 12, FALSE), VLOOKUP($C15, 'NFI 2020'!$C$3:$J$282, 7, FALSE)), "")</f>
        <v>2308703.5005146847</v>
      </c>
      <c r="L15" s="14"/>
      <c r="M15" s="70"/>
      <c r="O15" s="5"/>
      <c r="P15" s="70"/>
      <c r="R15" s="8"/>
      <c r="S15" s="8"/>
    </row>
    <row r="16" spans="1:19" x14ac:dyDescent="0.25">
      <c r="A16" s="26" t="s">
        <v>514</v>
      </c>
      <c r="B16" t="s">
        <v>3</v>
      </c>
      <c r="C16" t="s">
        <v>3</v>
      </c>
      <c r="D16" s="20">
        <f>+VLOOKUP(B16, 'NATIONAL 2020'!$A$3:$B$41, 2, FALSE)</f>
        <v>0</v>
      </c>
      <c r="E16" s="181">
        <f>+IFERROR(IF($D16=0, VLOOKUP($C16, 'NATIONAL 2020'!$A$3:$M$40, 7, FALSE), VLOOKUP($C16, 'NFI 2020'!$C$3:$J$282, 2, FALSE)), "")</f>
        <v>2187910</v>
      </c>
      <c r="F16" s="111">
        <f>+IFERROR(IF($D16=0, VLOOKUP($C16, 'NATIONAL 2020'!$A$3:$M$40, 8, FALSE), VLOOKUP($C16, 'NFI 2020'!$C$3:$J$282, 3, FALSE)), "")</f>
        <v>1971518.2658130657</v>
      </c>
      <c r="G16" s="196">
        <f>+IFERROR(IF($D16=0, VLOOKUP($C16, 'NATIONAL 2020'!$A$3:$M$40, 9, FALSE), VLOOKUP($C16, 'NFI 2020'!$C$3:$J$282, 4, FALSE)), "")</f>
        <v>216391.73418693431</v>
      </c>
      <c r="H16" s="181">
        <f>+IFERROR(IF($D16=0, VLOOKUP($C16, 'NATIONAL 2020'!$A$3:$M$40, 10, FALSE), VLOOKUP($C16, 'NFI 2020'!$C$3:$J$282, 5, FALSE)), "")</f>
        <v>266130803.80000001</v>
      </c>
      <c r="I16" s="213">
        <f>+IFERROR(IF($D16=0, VLOOKUP($C16, 'NATIONAL 2020'!$A$3:$M$40, 13, FALSE), VLOOKUP($C16, 'NFI 2020'!$C$3:$J$282, 8, FALSE)), "")</f>
        <v>121.63699777413149</v>
      </c>
      <c r="J16" s="111">
        <f>+IFERROR(IF($D16=0, VLOOKUP($C16, 'NATIONAL 2020'!$A$3:$M$40, 11, FALSE), VLOOKUP($C16, 'NFI 2020'!$C$3:$J$282, 6, FALSE)), "")</f>
        <v>239809562.91036344</v>
      </c>
      <c r="K16" s="196">
        <f>+IFERROR(IF($D16=0, VLOOKUP($C16, 'NATIONAL 2020'!$A$3:$M$40, 12, FALSE), VLOOKUP($C16, 'NFI 2020'!$C$3:$J$282, 7, FALSE)), "")</f>
        <v>26321240.889636576</v>
      </c>
      <c r="L16" s="14"/>
      <c r="M16" s="70"/>
      <c r="O16" s="5"/>
      <c r="P16" s="70"/>
      <c r="R16" s="8"/>
      <c r="S16" s="8"/>
    </row>
    <row r="17" spans="1:19" x14ac:dyDescent="0.25">
      <c r="A17" s="26" t="s">
        <v>313</v>
      </c>
      <c r="B17" t="s">
        <v>4</v>
      </c>
      <c r="C17" t="s">
        <v>4</v>
      </c>
      <c r="D17" s="20">
        <v>0</v>
      </c>
      <c r="E17" s="181">
        <f>+IFERROR(IF($D17=0, VLOOKUP($C17, 'NATIONAL 2020'!$A$3:$M$40, 7, FALSE), VLOOKUP($C17, 'NFI 2020'!$C$3:$J$282, 2, FALSE)), "")</f>
        <v>688810</v>
      </c>
      <c r="F17" s="111">
        <f>+IFERROR(IF($D17=0, VLOOKUP($C17, 'NATIONAL 2020'!$A$3:$M$40, 8, FALSE), VLOOKUP($C17, 'NFI 2020'!$C$3:$J$282, 3, FALSE)), "")</f>
        <v>664350</v>
      </c>
      <c r="G17" s="196">
        <f>+IFERROR(IF($D17=0, VLOOKUP($C17, 'NATIONAL 2020'!$A$3:$M$40, 9, FALSE), VLOOKUP($C17, 'NFI 2020'!$C$3:$J$282, 4, FALSE)), "")</f>
        <v>24460</v>
      </c>
      <c r="H17" s="181">
        <f>+IFERROR(IF($D17=0, VLOOKUP($C17, 'NATIONAL 2020'!$A$3:$M$40, 10, FALSE), VLOOKUP($C17, 'NFI 2020'!$C$3:$J$282, 5, FALSE)), "")</f>
        <v>123089469.85960871</v>
      </c>
      <c r="I17" s="213">
        <f>+IFERROR(IF($D17=0, VLOOKUP($C17, 'NATIONAL 2020'!$A$3:$M$40, 13, FALSE), VLOOKUP($C17, 'NFI 2020'!$C$3:$J$282, 8, FALSE)), "")</f>
        <v>178.6987265858636</v>
      </c>
      <c r="J17" s="111">
        <f>+IFERROR(IF($D17=0, VLOOKUP($C17, 'NATIONAL 2020'!$A$3:$M$40, 11, FALSE), VLOOKUP($C17, 'NFI 2020'!$C$3:$J$282, 6, FALSE)), "")</f>
        <v>114381145.59308681</v>
      </c>
      <c r="K17" s="196">
        <f>+IFERROR(IF($D17=0, VLOOKUP($C17, 'NATIONAL 2020'!$A$3:$M$40, 12, FALSE), VLOOKUP($C17, 'NFI 2020'!$C$3:$J$282, 7, FALSE)), "")</f>
        <v>8708324.2665219009</v>
      </c>
      <c r="L17" s="14"/>
      <c r="M17" s="70"/>
      <c r="O17" s="5"/>
      <c r="P17" s="70"/>
      <c r="R17" s="8"/>
      <c r="S17" s="8"/>
    </row>
    <row r="18" spans="1:19" x14ac:dyDescent="0.25">
      <c r="A18" s="26" t="s">
        <v>313</v>
      </c>
      <c r="B18" s="108" t="str">
        <f>+LEFT(C18, 2)</f>
        <v>BE</v>
      </c>
      <c r="C18" s="22" t="s">
        <v>423</v>
      </c>
      <c r="D18" s="20">
        <f>+VLOOKUP(B18, 'NATIONAL 2020'!$A$3:$B$41, 2, FALSE)</f>
        <v>1</v>
      </c>
      <c r="E18" s="181">
        <f>+IFERROR(IF($D18=0, VLOOKUP($C18, 'NATIONAL 2020'!$A$3:$M$40, 7, FALSE), VLOOKUP($C18, 'NFI 2020'!$C$3:$J$282, 2, FALSE)), "")</f>
        <v>1151.6791514825929</v>
      </c>
      <c r="F18" s="111" t="str">
        <f>+IFERROR(IF($D18=0, VLOOKUP($C18, 'NATIONAL 2020'!$A$3:$M$40, 8, FALSE), VLOOKUP($C18, 'NFI 2020'!$C$3:$J$282, 3, FALSE)), "")</f>
        <v/>
      </c>
      <c r="G18" s="196" t="str">
        <f>+IFERROR(IF($D18=0, VLOOKUP($C18, 'NATIONAL 2020'!$A$3:$M$40, 9, FALSE), VLOOKUP($C18, 'NFI 2020'!$C$3:$J$282, 4, FALSE)), "")</f>
        <v/>
      </c>
      <c r="H18" s="181">
        <f>+IFERROR(IF($D18=0, VLOOKUP($C18, 'NATIONAL 2020'!$A$3:$M$40, 10, FALSE), VLOOKUP($C18, 'NFI 2020'!$C$3:$J$282, 5, FALSE)), "")</f>
        <v>322161.62228602299</v>
      </c>
      <c r="I18" s="213">
        <f>+IFERROR(IF($D18=0, VLOOKUP($C18, 'NATIONAL 2020'!$A$3:$M$40, 13, FALSE), VLOOKUP($C18, 'NFI 2020'!$C$3:$J$282, 8, FALSE)), "")</f>
        <v>279.7320954115512</v>
      </c>
      <c r="J18" s="111" t="str">
        <f>+IFERROR(IF($D18=0, VLOOKUP($C18, 'NATIONAL 2020'!$A$3:$M$40, 11, FALSE), VLOOKUP($C18, 'NFI 2020'!$C$3:$J$282, 6, FALSE)), "")</f>
        <v/>
      </c>
      <c r="K18" s="196" t="str">
        <f>+IFERROR(IF($D18=0, VLOOKUP($C18, 'NATIONAL 2020'!$A$3:$M$40, 12, FALSE), VLOOKUP($C18, 'NFI 2020'!$C$3:$J$282, 7, FALSE)), "")</f>
        <v/>
      </c>
      <c r="L18" s="14"/>
      <c r="M18" s="70"/>
      <c r="O18" s="5"/>
      <c r="P18" s="70"/>
      <c r="R18" s="8"/>
      <c r="S18" s="8"/>
    </row>
    <row r="19" spans="1:19" x14ac:dyDescent="0.25">
      <c r="A19" s="26" t="s">
        <v>313</v>
      </c>
      <c r="B19" s="108" t="str">
        <f>+LEFT(C19, 2)</f>
        <v>BE</v>
      </c>
      <c r="C19" s="22" t="s">
        <v>338</v>
      </c>
      <c r="D19" s="20">
        <f>+VLOOKUP(B19, 'NATIONAL 2020'!$A$3:$B$41, 2, FALSE)</f>
        <v>1</v>
      </c>
      <c r="E19" s="181">
        <f>+IFERROR(IF($D19=0, VLOOKUP($C19, 'NATIONAL 2020'!$A$3:$M$40, 7, FALSE), VLOOKUP($C19, 'NFI 2020'!$C$3:$J$282, 2, FALSE)), "")</f>
        <v>137345.65413492793</v>
      </c>
      <c r="F19" s="111" t="str">
        <f>+IFERROR(IF($D19=0, VLOOKUP($C19, 'NATIONAL 2020'!$A$3:$M$40, 8, FALSE), VLOOKUP($C19, 'NFI 2020'!$C$3:$J$282, 3, FALSE)), "")</f>
        <v/>
      </c>
      <c r="G19" s="196" t="str">
        <f>+IFERROR(IF($D19=0, VLOOKUP($C19, 'NATIONAL 2020'!$A$3:$M$40, 9, FALSE), VLOOKUP($C19, 'NFI 2020'!$C$3:$J$282, 4, FALSE)), "")</f>
        <v/>
      </c>
      <c r="H19" s="181">
        <f>+IFERROR(IF($D19=0, VLOOKUP($C19, 'NATIONAL 2020'!$A$3:$M$40, 10, FALSE), VLOOKUP($C19, 'NFI 2020'!$C$3:$J$282, 5, FALSE)), "")</f>
        <v>25233244.431218371</v>
      </c>
      <c r="I19" s="213">
        <f>+IFERROR(IF($D19=0, VLOOKUP($C19, 'NATIONAL 2020'!$A$3:$M$40, 13, FALSE), VLOOKUP($C19, 'NFI 2020'!$C$3:$J$282, 8, FALSE)), "")</f>
        <v>183.7207343046276</v>
      </c>
      <c r="J19" s="111" t="str">
        <f>+IFERROR(IF($D19=0, VLOOKUP($C19, 'NATIONAL 2020'!$A$3:$M$40, 11, FALSE), VLOOKUP($C19, 'NFI 2020'!$C$3:$J$282, 6, FALSE)), "")</f>
        <v/>
      </c>
      <c r="K19" s="196" t="str">
        <f>+IFERROR(IF($D19=0, VLOOKUP($C19, 'NATIONAL 2020'!$A$3:$M$40, 12, FALSE), VLOOKUP($C19, 'NFI 2020'!$C$3:$J$282, 7, FALSE)), "")</f>
        <v/>
      </c>
      <c r="L19" s="14"/>
      <c r="M19" s="70"/>
      <c r="O19" s="5"/>
      <c r="P19" s="70"/>
      <c r="R19" s="8"/>
      <c r="S19" s="8"/>
    </row>
    <row r="20" spans="1:19" x14ac:dyDescent="0.25">
      <c r="A20" s="26" t="s">
        <v>313</v>
      </c>
      <c r="B20" s="108" t="str">
        <f>+LEFT(C20, 2)</f>
        <v>BE</v>
      </c>
      <c r="C20" s="22" t="s">
        <v>340</v>
      </c>
      <c r="D20" s="20">
        <f>+VLOOKUP(B20, 'NATIONAL 2020'!$A$3:$B$41, 2, FALSE)</f>
        <v>1</v>
      </c>
      <c r="E20" s="181">
        <f>+IFERROR(IF($D20=0, VLOOKUP($C20, 'NATIONAL 2020'!$A$3:$M$40, 7, FALSE), VLOOKUP($C20, 'NFI 2020'!$C$3:$J$282, 2, FALSE)), "")</f>
        <v>550312.66671358945</v>
      </c>
      <c r="F20" s="111" t="str">
        <f>+IFERROR(IF($D20=0, VLOOKUP($C20, 'NATIONAL 2020'!$A$3:$M$40, 8, FALSE), VLOOKUP($C20, 'NFI 2020'!$C$3:$J$282, 3, FALSE)), "")</f>
        <v/>
      </c>
      <c r="G20" s="196" t="str">
        <f>+IFERROR(IF($D20=0, VLOOKUP($C20, 'NATIONAL 2020'!$A$3:$M$40, 9, FALSE), VLOOKUP($C20, 'NFI 2020'!$C$3:$J$282, 4, FALSE)), "")</f>
        <v/>
      </c>
      <c r="H20" s="181">
        <f>+IFERROR(IF($D20=0, VLOOKUP($C20, 'NATIONAL 2020'!$A$3:$M$40, 10, FALSE), VLOOKUP($C20, 'NFI 2020'!$C$3:$J$282, 5, FALSE)), "")</f>
        <v>97534063.806104317</v>
      </c>
      <c r="I20" s="213">
        <f>+IFERROR(IF($D20=0, VLOOKUP($C20, 'NATIONAL 2020'!$A$3:$M$40, 13, FALSE), VLOOKUP($C20, 'NFI 2020'!$C$3:$J$282, 8, FALSE)), "")</f>
        <v>177.2339066599497</v>
      </c>
      <c r="J20" s="111" t="str">
        <f>+IFERROR(IF($D20=0, VLOOKUP($C20, 'NATIONAL 2020'!$A$3:$M$40, 11, FALSE), VLOOKUP($C20, 'NFI 2020'!$C$3:$J$282, 6, FALSE)), "")</f>
        <v/>
      </c>
      <c r="K20" s="196" t="str">
        <f>+IFERROR(IF($D20=0, VLOOKUP($C20, 'NATIONAL 2020'!$A$3:$M$40, 12, FALSE), VLOOKUP($C20, 'NFI 2020'!$C$3:$J$282, 7, FALSE)), "")</f>
        <v/>
      </c>
      <c r="L20" s="14"/>
      <c r="M20" s="70"/>
      <c r="O20" s="5"/>
      <c r="P20" s="70"/>
      <c r="R20" s="8"/>
      <c r="S20" s="8"/>
    </row>
    <row r="21" spans="1:19" x14ac:dyDescent="0.25">
      <c r="A21" s="26" t="s">
        <v>245</v>
      </c>
      <c r="B21" t="s">
        <v>5</v>
      </c>
      <c r="C21" t="s">
        <v>5</v>
      </c>
      <c r="D21" s="20">
        <v>0</v>
      </c>
      <c r="E21" s="181">
        <f>+IFERROR(IF($D21=0, VLOOKUP($C21, 'NATIONAL 2020'!$A$3:$M$40, 7, FALSE), VLOOKUP($C21, 'NFI 2020'!$C$3:$J$282, 2, FALSE)), "")</f>
        <v>3893000</v>
      </c>
      <c r="F21" s="111">
        <f>+IFERROR(IF($D21=0, VLOOKUP($C21, 'NATIONAL 2020'!$A$3:$M$40, 8, FALSE), VLOOKUP($C21, 'NFI 2020'!$C$3:$J$282, 3, FALSE)), "")</f>
        <v>3190814.3236003099</v>
      </c>
      <c r="G21" s="196">
        <f>+IFERROR(IF($D21=0, VLOOKUP($C21, 'NATIONAL 2020'!$A$3:$M$40, 9, FALSE), VLOOKUP($C21, 'NFI 2020'!$C$3:$J$282, 4, FALSE)), "")</f>
        <v>702185.67639968952</v>
      </c>
      <c r="H21" s="181">
        <f>+IFERROR(IF($D21=0, VLOOKUP($C21, 'NATIONAL 2020'!$A$3:$M$40, 10, FALSE), VLOOKUP($C21, 'NFI 2020'!$C$3:$J$282, 5, FALSE)), "")</f>
        <v>443476812.1237452</v>
      </c>
      <c r="I21" s="213">
        <f>+IFERROR(IF($D21=0, VLOOKUP($C21, 'NATIONAL 2020'!$A$3:$M$40, 13, FALSE), VLOOKUP($C21, 'NFI 2020'!$C$3:$J$282, 8, FALSE)), "")</f>
        <v>113.91646856505143</v>
      </c>
      <c r="J21" s="111">
        <f>+IFERROR(IF($D21=0, VLOOKUP($C21, 'NATIONAL 2020'!$A$3:$M$40, 11, FALSE), VLOOKUP($C21, 'NFI 2020'!$C$3:$J$282, 6, FALSE)), "")</f>
        <v>337672884.09662795</v>
      </c>
      <c r="K21" s="196">
        <f>+IFERROR(IF($D21=0, VLOOKUP($C21, 'NATIONAL 2020'!$A$3:$M$40, 12, FALSE), VLOOKUP($C21, 'NFI 2020'!$C$3:$J$282, 7, FALSE)), "")</f>
        <v>105803928.02711724</v>
      </c>
      <c r="L21" s="14"/>
      <c r="M21" s="70"/>
      <c r="O21" s="5"/>
      <c r="P21" s="70"/>
      <c r="R21" s="8"/>
      <c r="S21" s="8"/>
    </row>
    <row r="22" spans="1:19" x14ac:dyDescent="0.25">
      <c r="A22" s="26" t="s">
        <v>245</v>
      </c>
      <c r="B22" s="108" t="str">
        <f t="shared" ref="B22:B27" si="1">+LEFT(C22, 2)</f>
        <v>BG</v>
      </c>
      <c r="C22" s="108" t="s">
        <v>429</v>
      </c>
      <c r="D22" s="20">
        <f>+VLOOKUP(B22, 'NATIONAL 2020'!$A$3:$B$41, 2, FALSE)</f>
        <v>2</v>
      </c>
      <c r="E22" s="181">
        <f>+IFERROR(IF($D22=0, VLOOKUP($C22, 'NATIONAL 2020'!$A$3:$M$40, 7, FALSE), VLOOKUP($C22, 'NFI 2020'!$C$3:$J$282, 2, FALSE)), "")</f>
        <v>485334.21750663134</v>
      </c>
      <c r="F22" s="111">
        <f>+IFERROR(IF($D22=0, VLOOKUP($C22, 'NATIONAL 2020'!$A$3:$M$40, 8, FALSE), VLOOKUP($C22, 'NFI 2020'!$C$3:$J$282, 3, FALSE)), "")</f>
        <v>392397.87798235455</v>
      </c>
      <c r="G22" s="196">
        <f>+IFERROR(IF($D22=0, VLOOKUP($C22, 'NATIONAL 2020'!$A$3:$M$40, 9, FALSE), VLOOKUP($C22, 'NFI 2020'!$C$3:$J$282, 4, FALSE)), "")</f>
        <v>92936.339524276744</v>
      </c>
      <c r="H22" s="181">
        <f>+IFERROR(IF($D22=0, VLOOKUP($C22, 'NATIONAL 2020'!$A$3:$M$40, 10, FALSE), VLOOKUP($C22, 'NFI 2020'!$C$3:$J$282, 5, FALSE)), "")</f>
        <v>48450135.934444472</v>
      </c>
      <c r="I22" s="213">
        <f>+IFERROR(IF($D22=0, VLOOKUP($C22, 'NATIONAL 2020'!$A$3:$M$40, 13, FALSE), VLOOKUP($C22, 'NFI 2020'!$C$3:$J$282, 8, FALSE)), "")</f>
        <v>99.828394922067233</v>
      </c>
      <c r="J22" s="111">
        <f>+IFERROR(IF($D22=0, VLOOKUP($C22, 'NATIONAL 2020'!$A$3:$M$40, 11, FALSE), VLOOKUP($C22, 'NFI 2020'!$C$3:$J$282, 6, FALSE)), "")</f>
        <v>33423228.553648774</v>
      </c>
      <c r="K22" s="196">
        <f>+IFERROR(IF($D22=0, VLOOKUP($C22, 'NATIONAL 2020'!$A$3:$M$40, 12, FALSE), VLOOKUP($C22, 'NFI 2020'!$C$3:$J$282, 7, FALSE)), "")</f>
        <v>15026907.380795697</v>
      </c>
      <c r="M22" s="70"/>
      <c r="P22" s="70"/>
      <c r="R22" s="8"/>
      <c r="S22" s="8"/>
    </row>
    <row r="23" spans="1:19" x14ac:dyDescent="0.25">
      <c r="A23" s="26" t="s">
        <v>245</v>
      </c>
      <c r="B23" s="108" t="str">
        <f t="shared" si="1"/>
        <v>BG</v>
      </c>
      <c r="C23" s="108" t="s">
        <v>430</v>
      </c>
      <c r="D23" s="20">
        <f>+VLOOKUP(B23, 'NATIONAL 2020'!$A$3:$B$41, 2, FALSE)</f>
        <v>2</v>
      </c>
      <c r="E23" s="181">
        <f>+IFERROR(IF($D23=0, VLOOKUP($C23, 'NATIONAL 2020'!$A$3:$M$40, 7, FALSE), VLOOKUP($C23, 'NFI 2020'!$C$3:$J$282, 2, FALSE)), "")</f>
        <v>299461.53846153861</v>
      </c>
      <c r="F23" s="111">
        <f>+IFERROR(IF($D23=0, VLOOKUP($C23, 'NATIONAL 2020'!$A$3:$M$40, 8, FALSE), VLOOKUP($C23, 'NFI 2020'!$C$3:$J$282, 3, FALSE)), "")</f>
        <v>258156.49867647522</v>
      </c>
      <c r="G23" s="196">
        <f>+IFERROR(IF($D23=0, VLOOKUP($C23, 'NATIONAL 2020'!$A$3:$M$40, 9, FALSE), VLOOKUP($C23, 'NFI 2020'!$C$3:$J$282, 4, FALSE)), "")</f>
        <v>41305.039785063396</v>
      </c>
      <c r="H23" s="181">
        <f>+IFERROR(IF($D23=0, VLOOKUP($C23, 'NATIONAL 2020'!$A$3:$M$40, 10, FALSE), VLOOKUP($C23, 'NFI 2020'!$C$3:$J$282, 5, FALSE)), "")</f>
        <v>30038104.749056604</v>
      </c>
      <c r="I23" s="213">
        <f>+IFERROR(IF($D23=0, VLOOKUP($C23, 'NATIONAL 2020'!$A$3:$M$40, 13, FALSE), VLOOKUP($C23, 'NFI 2020'!$C$3:$J$282, 8, FALSE)), "")</f>
        <v>100.30705413247769</v>
      </c>
      <c r="J23" s="111">
        <f>+IFERROR(IF($D23=0, VLOOKUP($C23, 'NATIONAL 2020'!$A$3:$M$40, 11, FALSE), VLOOKUP($C23, 'NFI 2020'!$C$3:$J$282, 6, FALSE)), "")</f>
        <v>27132063.09930782</v>
      </c>
      <c r="K23" s="196">
        <f>+IFERROR(IF($D23=0, VLOOKUP($C23, 'NATIONAL 2020'!$A$3:$M$40, 12, FALSE), VLOOKUP($C23, 'NFI 2020'!$C$3:$J$282, 7, FALSE)), "")</f>
        <v>2906041.6497487817</v>
      </c>
      <c r="M23" s="70"/>
      <c r="P23" s="70"/>
      <c r="R23" s="8"/>
      <c r="S23" s="8"/>
    </row>
    <row r="24" spans="1:19" x14ac:dyDescent="0.25">
      <c r="A24" s="26" t="s">
        <v>245</v>
      </c>
      <c r="B24" s="108" t="str">
        <f t="shared" si="1"/>
        <v>BG</v>
      </c>
      <c r="C24" s="108" t="s">
        <v>431</v>
      </c>
      <c r="D24" s="20">
        <f>+VLOOKUP(B24, 'NATIONAL 2020'!$A$3:$B$41, 2, FALSE)</f>
        <v>2</v>
      </c>
      <c r="E24" s="181">
        <f>+IFERROR(IF($D24=0, VLOOKUP($C24, 'NATIONAL 2020'!$A$3:$M$40, 7, FALSE), VLOOKUP($C24, 'NFI 2020'!$C$3:$J$282, 2, FALSE)), "")</f>
        <v>206525.19893899231</v>
      </c>
      <c r="F24" s="111">
        <f>+IFERROR(IF($D24=0, VLOOKUP($C24, 'NATIONAL 2020'!$A$3:$M$40, 8, FALSE), VLOOKUP($C24, 'NFI 2020'!$C$3:$J$282, 3, FALSE)), "")</f>
        <v>165220.15915603135</v>
      </c>
      <c r="G24" s="196">
        <f>+IFERROR(IF($D24=0, VLOOKUP($C24, 'NATIONAL 2020'!$A$3:$M$40, 9, FALSE), VLOOKUP($C24, 'NFI 2020'!$C$3:$J$282, 4, FALSE)), "")</f>
        <v>41305.039782960965</v>
      </c>
      <c r="H24" s="181">
        <f>+IFERROR(IF($D24=0, VLOOKUP($C24, 'NATIONAL 2020'!$A$3:$M$40, 10, FALSE), VLOOKUP($C24, 'NFI 2020'!$C$3:$J$282, 5, FALSE)), "")</f>
        <v>30921725.815088023</v>
      </c>
      <c r="I24" s="213">
        <f>+IFERROR(IF($D24=0, VLOOKUP($C24, 'NATIONAL 2020'!$A$3:$M$40, 13, FALSE), VLOOKUP($C24, 'NFI 2020'!$C$3:$J$282, 8, FALSE)), "")</f>
        <v>149.72374302964514</v>
      </c>
      <c r="J24" s="111">
        <f>+IFERROR(IF($D24=0, VLOOKUP($C24, 'NATIONAL 2020'!$A$3:$M$40, 11, FALSE), VLOOKUP($C24, 'NFI 2020'!$C$3:$J$282, 6, FALSE)), "")</f>
        <v>23142539.058258548</v>
      </c>
      <c r="K24" s="196">
        <f>+IFERROR(IF($D24=0, VLOOKUP($C24, 'NATIONAL 2020'!$A$3:$M$40, 12, FALSE), VLOOKUP($C24, 'NFI 2020'!$C$3:$J$282, 7, FALSE)), "")</f>
        <v>7779186.7568294741</v>
      </c>
      <c r="M24" s="70"/>
      <c r="P24" s="70"/>
      <c r="R24" s="8"/>
      <c r="S24" s="8"/>
    </row>
    <row r="25" spans="1:19" x14ac:dyDescent="0.25">
      <c r="A25" s="26" t="s">
        <v>245</v>
      </c>
      <c r="B25" s="108" t="str">
        <f t="shared" si="1"/>
        <v>BG</v>
      </c>
      <c r="C25" s="108" t="s">
        <v>432</v>
      </c>
      <c r="D25" s="20">
        <f>+VLOOKUP(B25, 'NATIONAL 2020'!$A$3:$B$41, 2, FALSE)</f>
        <v>2</v>
      </c>
      <c r="E25" s="181">
        <f>+IFERROR(IF($D25=0, VLOOKUP($C25, 'NATIONAL 2020'!$A$3:$M$40, 7, FALSE), VLOOKUP($C25, 'NFI 2020'!$C$3:$J$282, 2, FALSE)), "")</f>
        <v>629901.8567639268</v>
      </c>
      <c r="F25" s="111">
        <f>+IFERROR(IF($D25=0, VLOOKUP($C25, 'NATIONAL 2020'!$A$3:$M$40, 8, FALSE), VLOOKUP($C25, 'NFI 2020'!$C$3:$J$282, 3, FALSE)), "")</f>
        <v>475007.95754628675</v>
      </c>
      <c r="G25" s="196">
        <f>+IFERROR(IF($D25=0, VLOOKUP($C25, 'NATIONAL 2020'!$A$3:$M$40, 9, FALSE), VLOOKUP($C25, 'NFI 2020'!$C$3:$J$282, 4, FALSE)), "")</f>
        <v>154893.89921764002</v>
      </c>
      <c r="H25" s="181">
        <f>+IFERROR(IF($D25=0, VLOOKUP($C25, 'NATIONAL 2020'!$A$3:$M$40, 10, FALSE), VLOOKUP($C25, 'NFI 2020'!$C$3:$J$282, 5, FALSE)), "")</f>
        <v>74290588.485044658</v>
      </c>
      <c r="I25" s="213">
        <f>+IFERROR(IF($D25=0, VLOOKUP($C25, 'NATIONAL 2020'!$A$3:$M$40, 13, FALSE), VLOOKUP($C25, 'NFI 2020'!$C$3:$J$282, 8, FALSE)), "")</f>
        <v>117.93994205177762</v>
      </c>
      <c r="J25" s="111">
        <f>+IFERROR(IF($D25=0, VLOOKUP($C25, 'NATIONAL 2020'!$A$3:$M$40, 11, FALSE), VLOOKUP($C25, 'NFI 2020'!$C$3:$J$282, 6, FALSE)), "")</f>
        <v>48962037.064198755</v>
      </c>
      <c r="K25" s="196">
        <f>+IFERROR(IF($D25=0, VLOOKUP($C25, 'NATIONAL 2020'!$A$3:$M$40, 12, FALSE), VLOOKUP($C25, 'NFI 2020'!$C$3:$J$282, 7, FALSE)), "")</f>
        <v>25328551.420845907</v>
      </c>
      <c r="M25" s="70"/>
      <c r="P25" s="70"/>
      <c r="R25" s="8"/>
      <c r="S25" s="8"/>
    </row>
    <row r="26" spans="1:19" x14ac:dyDescent="0.25">
      <c r="A26" s="26" t="s">
        <v>245</v>
      </c>
      <c r="B26" s="108" t="str">
        <f t="shared" si="1"/>
        <v>BG</v>
      </c>
      <c r="C26" s="108" t="s">
        <v>433</v>
      </c>
      <c r="D26" s="20">
        <f>+VLOOKUP(B26, 'NATIONAL 2020'!$A$3:$B$41, 2, FALSE)</f>
        <v>2</v>
      </c>
      <c r="E26" s="181">
        <f>+IFERROR(IF($D26=0, VLOOKUP($C26, 'NATIONAL 2020'!$A$3:$M$40, 7, FALSE), VLOOKUP($C26, 'NFI 2020'!$C$3:$J$282, 2, FALSE)), "")</f>
        <v>1053278.5145888578</v>
      </c>
      <c r="F26" s="111">
        <f>+IFERROR(IF($D26=0, VLOOKUP($C26, 'NATIONAL 2020'!$A$3:$M$40, 8, FALSE), VLOOKUP($C26, 'NFI 2020'!$C$3:$J$282, 3, FALSE)), "")</f>
        <v>846753.31565302878</v>
      </c>
      <c r="G26" s="196">
        <f>+IFERROR(IF($D26=0, VLOOKUP($C26, 'NATIONAL 2020'!$A$3:$M$40, 9, FALSE), VLOOKUP($C26, 'NFI 2020'!$C$3:$J$282, 4, FALSE)), "")</f>
        <v>206525.19893582907</v>
      </c>
      <c r="H26" s="181">
        <f>+IFERROR(IF($D26=0, VLOOKUP($C26, 'NATIONAL 2020'!$A$3:$M$40, 10, FALSE), VLOOKUP($C26, 'NFI 2020'!$C$3:$J$282, 5, FALSE)), "")</f>
        <v>121360932.79241204</v>
      </c>
      <c r="I26" s="213">
        <f>+IFERROR(IF($D26=0, VLOOKUP($C26, 'NATIONAL 2020'!$A$3:$M$40, 13, FALSE), VLOOKUP($C26, 'NFI 2020'!$C$3:$J$282, 8, FALSE)), "")</f>
        <v>115.22207195101164</v>
      </c>
      <c r="J26" s="111">
        <f>+IFERROR(IF($D26=0, VLOOKUP($C26, 'NATIONAL 2020'!$A$3:$M$40, 11, FALSE), VLOOKUP($C26, 'NFI 2020'!$C$3:$J$282, 6, FALSE)), "")</f>
        <v>91012628.617586777</v>
      </c>
      <c r="K26" s="196">
        <f>+IFERROR(IF($D26=0, VLOOKUP($C26, 'NATIONAL 2020'!$A$3:$M$40, 12, FALSE), VLOOKUP($C26, 'NFI 2020'!$C$3:$J$282, 7, FALSE)), "")</f>
        <v>30348304.174825262</v>
      </c>
      <c r="M26" s="70"/>
      <c r="P26" s="70"/>
      <c r="R26" s="8"/>
      <c r="S26" s="8"/>
    </row>
    <row r="27" spans="1:19" x14ac:dyDescent="0.25">
      <c r="A27" s="26" t="s">
        <v>245</v>
      </c>
      <c r="B27" s="108" t="str">
        <f t="shared" si="1"/>
        <v>BG</v>
      </c>
      <c r="C27" s="108" t="s">
        <v>434</v>
      </c>
      <c r="D27" s="20">
        <f>+VLOOKUP(B27, 'NATIONAL 2020'!$A$3:$B$41, 2, FALSE)</f>
        <v>2</v>
      </c>
      <c r="E27" s="181">
        <f>+IFERROR(IF($D27=0, VLOOKUP($C27, 'NATIONAL 2020'!$A$3:$M$40, 7, FALSE), VLOOKUP($C27, 'NFI 2020'!$C$3:$J$282, 2, FALSE)), "")</f>
        <v>1218498.6737400531</v>
      </c>
      <c r="F27" s="111">
        <f>+IFERROR(IF($D27=0, VLOOKUP($C27, 'NATIONAL 2020'!$A$3:$M$40, 8, FALSE), VLOOKUP($C27, 'NFI 2020'!$C$3:$J$282, 3, FALSE)), "")</f>
        <v>1053278.5145861336</v>
      </c>
      <c r="G27" s="196">
        <f>+IFERROR(IF($D27=0, VLOOKUP($C27, 'NATIONAL 2020'!$A$3:$M$40, 9, FALSE), VLOOKUP($C27, 'NFI 2020'!$C$3:$J$282, 4, FALSE)), "")</f>
        <v>165220.15915391935</v>
      </c>
      <c r="H27" s="181">
        <f>+IFERROR(IF($D27=0, VLOOKUP($C27, 'NATIONAL 2020'!$A$3:$M$40, 10, FALSE), VLOOKUP($C27, 'NFI 2020'!$C$3:$J$282, 5, FALSE)), "")</f>
        <v>138415324.3476994</v>
      </c>
      <c r="I27" s="213">
        <f>+IFERROR(IF($D27=0, VLOOKUP($C27, 'NATIONAL 2020'!$A$3:$M$40, 13, FALSE), VLOOKUP($C27, 'NFI 2020'!$C$3:$J$282, 8, FALSE)), "")</f>
        <v>113.59497333127838</v>
      </c>
      <c r="J27" s="111">
        <f>+IFERROR(IF($D27=0, VLOOKUP($C27, 'NATIONAL 2020'!$A$3:$M$40, 11, FALSE), VLOOKUP($C27, 'NFI 2020'!$C$3:$J$282, 6, FALSE)), "")</f>
        <v>114000387.70362729</v>
      </c>
      <c r="K27" s="196">
        <f>+IFERROR(IF($D27=0, VLOOKUP($C27, 'NATIONAL 2020'!$A$3:$M$40, 12, FALSE), VLOOKUP($C27, 'NFI 2020'!$C$3:$J$282, 7, FALSE)), "")</f>
        <v>24414936.644072115</v>
      </c>
      <c r="M27" s="70"/>
      <c r="P27" s="70"/>
      <c r="R27" s="8"/>
      <c r="S27" s="8"/>
    </row>
    <row r="28" spans="1:19" x14ac:dyDescent="0.25">
      <c r="A28" s="26" t="s">
        <v>49</v>
      </c>
      <c r="B28" t="s">
        <v>6</v>
      </c>
      <c r="C28" t="s">
        <v>6</v>
      </c>
      <c r="D28" s="20">
        <v>0</v>
      </c>
      <c r="E28" s="181">
        <f>+IFERROR(IF($D28=0, VLOOKUP($C28, 'NATIONAL 2020'!$A$3:$M$40, 7, FALSE), VLOOKUP($C28, 'NFI 2020'!$C$3:$J$282, 2, FALSE)), "")</f>
        <v>1229011.3960000002</v>
      </c>
      <c r="F28" s="111">
        <f>+IFERROR(IF($D28=0, VLOOKUP($C28, 'NATIONAL 2020'!$A$3:$M$40, 8, FALSE), VLOOKUP($C28, 'NFI 2020'!$C$3:$J$282, 3, FALSE)), "")</f>
        <v>1165534.6830213387</v>
      </c>
      <c r="G28" s="196">
        <f>+IFERROR(IF($D28=0, VLOOKUP($C28, 'NATIONAL 2020'!$A$3:$M$40, 9, FALSE), VLOOKUP($C28, 'NFI 2020'!$C$3:$J$282, 4, FALSE)), "")</f>
        <v>63476.712978661235</v>
      </c>
      <c r="H28" s="181">
        <f>+IFERROR(IF($D28=0, VLOOKUP($C28, 'NATIONAL 2020'!$A$3:$M$40, 10, FALSE), VLOOKUP($C28, 'NFI 2020'!$C$3:$J$282, 5, FALSE)), "")</f>
        <v>241905341.8916184</v>
      </c>
      <c r="I28" s="213">
        <f>+IFERROR(IF($D28=0, VLOOKUP($C28, 'NATIONAL 2020'!$A$3:$M$40, 13, FALSE), VLOOKUP($C28, 'NFI 2020'!$C$3:$J$282, 8, FALSE)), "")</f>
        <v>196.82920978514537</v>
      </c>
      <c r="J28" s="111">
        <f>+IFERROR(IF($D28=0, VLOOKUP($C28, 'NATIONAL 2020'!$A$3:$M$40, 11, FALSE), VLOOKUP($C28, 'NFI 2020'!$C$3:$J$282, 6, FALSE)), "")</f>
        <v>234181531.30033049</v>
      </c>
      <c r="K28" s="196">
        <f>+IFERROR(IF($D28=0, VLOOKUP($C28, 'NATIONAL 2020'!$A$3:$M$40, 12, FALSE), VLOOKUP($C28, 'NFI 2020'!$C$3:$J$282, 7, FALSE)), "")</f>
        <v>7723810.5912879007</v>
      </c>
      <c r="L28" s="14"/>
      <c r="M28" s="70"/>
      <c r="O28" s="5"/>
      <c r="P28" s="70"/>
      <c r="R28" s="8"/>
      <c r="S28" s="8"/>
    </row>
    <row r="29" spans="1:19" x14ac:dyDescent="0.25">
      <c r="A29" s="26" t="s">
        <v>49</v>
      </c>
      <c r="B29" s="108" t="str">
        <f t="shared" ref="B29:B35" si="2">+LEFT(C29, 2)</f>
        <v>CH</v>
      </c>
      <c r="C29" s="108" t="s">
        <v>50</v>
      </c>
      <c r="D29" s="20">
        <f>+VLOOKUP(B29, 'NATIONAL 2020'!$A$3:$B$41, 2, FALSE)</f>
        <v>2</v>
      </c>
      <c r="E29" s="181">
        <f>+IFERROR(IF($D29=0, VLOOKUP($C29, 'NATIONAL 2020'!$A$3:$M$40, 7, FALSE), VLOOKUP($C29, 'NFI 2020'!$C$3:$J$282, 2, FALSE)), "")</f>
        <v>223572.65488318549</v>
      </c>
      <c r="F29" s="111">
        <f>+IFERROR(IF($D29=0, VLOOKUP($C29, 'NATIONAL 2020'!$A$3:$M$40, 8, FALSE), VLOOKUP($C29, 'NFI 2020'!$C$3:$J$282, 3, FALSE)), "")</f>
        <v>220440.58022963308</v>
      </c>
      <c r="G29" s="196">
        <f>+IFERROR(IF($D29=0, VLOOKUP($C29, 'NATIONAL 2020'!$A$3:$M$40, 9, FALSE), VLOOKUP($C29, 'NFI 2020'!$C$3:$J$282, 4, FALSE)), "")</f>
        <v>3132.0746535523699</v>
      </c>
      <c r="H29" s="181">
        <f>+IFERROR(IF($D29=0, VLOOKUP($C29, 'NATIONAL 2020'!$A$3:$M$40, 10, FALSE), VLOOKUP($C29, 'NFI 2020'!$C$3:$J$282, 5, FALSE)), "")</f>
        <v>39427798.449243568</v>
      </c>
      <c r="I29" s="213">
        <f>+IFERROR(IF($D29=0, VLOOKUP($C29, 'NATIONAL 2020'!$A$3:$M$40, 13, FALSE), VLOOKUP($C29, 'NFI 2020'!$C$3:$J$282, 8, FALSE)), "")</f>
        <v>176.35340274437499</v>
      </c>
      <c r="J29" s="111">
        <f>+IFERROR(IF($D29=0, VLOOKUP($C29, 'NATIONAL 2020'!$A$3:$M$40, 11, FALSE), VLOOKUP($C29, 'NFI 2020'!$C$3:$J$282, 6, FALSE)), "")</f>
        <v>39109088.868247375</v>
      </c>
      <c r="K29" s="196">
        <f>+IFERROR(IF($D29=0, VLOOKUP($C29, 'NATIONAL 2020'!$A$3:$M$40, 12, FALSE), VLOOKUP($C29, 'NFI 2020'!$C$3:$J$282, 7, FALSE)), "")</f>
        <v>318709.58099619119</v>
      </c>
      <c r="L29" s="14"/>
      <c r="M29" s="70"/>
      <c r="P29" s="70"/>
      <c r="R29" s="8"/>
      <c r="S29" s="8"/>
    </row>
    <row r="30" spans="1:19" x14ac:dyDescent="0.25">
      <c r="A30" s="26" t="s">
        <v>49</v>
      </c>
      <c r="B30" s="108" t="str">
        <f t="shared" si="2"/>
        <v>CH</v>
      </c>
      <c r="C30" s="108" t="s">
        <v>51</v>
      </c>
      <c r="D30" s="20">
        <f>+VLOOKUP(B30, 'NATIONAL 2020'!$A$3:$B$41, 2, FALSE)</f>
        <v>2</v>
      </c>
      <c r="E30" s="181">
        <f>+IFERROR(IF($D30=0, VLOOKUP($C30, 'NATIONAL 2020'!$A$3:$M$40, 7, FALSE), VLOOKUP($C30, 'NFI 2020'!$C$3:$J$282, 2, FALSE)), "")</f>
        <v>324793.22536188451</v>
      </c>
      <c r="F30" s="111">
        <f>+IFERROR(IF($D30=0, VLOOKUP($C30, 'NATIONAL 2020'!$A$3:$M$40, 8, FALSE), VLOOKUP($C30, 'NFI 2020'!$C$3:$J$282, 3, FALSE)), "")</f>
        <v>323331.59052356007</v>
      </c>
      <c r="G30" s="196">
        <f>+IFERROR(IF($D30=0, VLOOKUP($C30, 'NATIONAL 2020'!$A$3:$M$40, 9, FALSE), VLOOKUP($C30, 'NFI 2020'!$C$3:$J$282, 4, FALSE)), "")</f>
        <v>1461.6348383244394</v>
      </c>
      <c r="H30" s="181">
        <f>+IFERROR(IF($D30=0, VLOOKUP($C30, 'NATIONAL 2020'!$A$3:$M$40, 10, FALSE), VLOOKUP($C30, 'NFI 2020'!$C$3:$J$282, 5, FALSE)), "")</f>
        <v>72658798.866924703</v>
      </c>
      <c r="I30" s="213">
        <f>+IFERROR(IF($D30=0, VLOOKUP($C30, 'NATIONAL 2020'!$A$3:$M$40, 13, FALSE), VLOOKUP($C30, 'NFI 2020'!$C$3:$J$282, 8, FALSE)), "")</f>
        <v>223.70786455280367</v>
      </c>
      <c r="J30" s="111">
        <f>+IFERROR(IF($D30=0, VLOOKUP($C30, 'NATIONAL 2020'!$A$3:$M$40, 11, FALSE), VLOOKUP($C30, 'NFI 2020'!$C$3:$J$282, 6, FALSE)), "")</f>
        <v>72470600.808990374</v>
      </c>
      <c r="K30" s="196">
        <f>+IFERROR(IF($D30=0, VLOOKUP($C30, 'NATIONAL 2020'!$A$3:$M$40, 12, FALSE), VLOOKUP($C30, 'NFI 2020'!$C$3:$J$282, 7, FALSE)), "")</f>
        <v>188198.05793433014</v>
      </c>
      <c r="L30" s="14"/>
      <c r="M30" s="70"/>
      <c r="P30" s="70"/>
      <c r="R30" s="8"/>
      <c r="S30" s="8"/>
    </row>
    <row r="31" spans="1:19" x14ac:dyDescent="0.25">
      <c r="A31" s="26" t="s">
        <v>49</v>
      </c>
      <c r="B31" s="108" t="str">
        <f t="shared" si="2"/>
        <v>CH</v>
      </c>
      <c r="C31" s="108" t="s">
        <v>52</v>
      </c>
      <c r="D31" s="20">
        <f>+VLOOKUP(B31, 'NATIONAL 2020'!$A$3:$B$41, 2, FALSE)</f>
        <v>2</v>
      </c>
      <c r="E31" s="181">
        <f>+IFERROR(IF($D31=0, VLOOKUP($C31, 'NATIONAL 2020'!$A$3:$M$40, 7, FALSE), VLOOKUP($C31, 'NFI 2020'!$C$3:$J$282, 2, FALSE)), "")</f>
        <v>72869.760399897568</v>
      </c>
      <c r="F31" s="111">
        <f>+IFERROR(IF($D31=0, VLOOKUP($C31, 'NATIONAL 2020'!$A$3:$M$40, 8, FALSE), VLOOKUP($C31, 'NFI 2020'!$C$3:$J$282, 3, FALSE)), "")</f>
        <v>72869.760399897568</v>
      </c>
      <c r="G31" s="196">
        <f>+IFERROR(IF($D31=0, VLOOKUP($C31, 'NATIONAL 2020'!$A$3:$M$40, 9, FALSE), VLOOKUP($C31, 'NFI 2020'!$C$3:$J$282, 4, FALSE)), "")</f>
        <v>0</v>
      </c>
      <c r="H31" s="181">
        <f>+IFERROR(IF($D31=0, VLOOKUP($C31, 'NATIONAL 2020'!$A$3:$M$40, 10, FALSE), VLOOKUP($C31, 'NFI 2020'!$C$3:$J$282, 5, FALSE)), "")</f>
        <v>15789312.867877003</v>
      </c>
      <c r="I31" s="213">
        <f>+IFERROR(IF($D31=0, VLOOKUP($C31, 'NATIONAL 2020'!$A$3:$M$40, 13, FALSE), VLOOKUP($C31, 'NFI 2020'!$C$3:$J$282, 8, FALSE)), "")</f>
        <v>216.67853415776014</v>
      </c>
      <c r="J31" s="111">
        <f>+IFERROR(IF($D31=0, VLOOKUP($C31, 'NATIONAL 2020'!$A$3:$M$40, 11, FALSE), VLOOKUP($C31, 'NFI 2020'!$C$3:$J$282, 6, FALSE)), "")</f>
        <v>15789312.867877003</v>
      </c>
      <c r="K31" s="196">
        <f>+IFERROR(IF($D31=0, VLOOKUP($C31, 'NATIONAL 2020'!$A$3:$M$40, 12, FALSE), VLOOKUP($C31, 'NFI 2020'!$C$3:$J$282, 7, FALSE)), "")</f>
        <v>0</v>
      </c>
      <c r="L31" s="14"/>
      <c r="M31" s="70"/>
      <c r="P31" s="70"/>
      <c r="R31" s="8"/>
      <c r="S31" s="8"/>
    </row>
    <row r="32" spans="1:19" x14ac:dyDescent="0.25">
      <c r="A32" s="26" t="s">
        <v>49</v>
      </c>
      <c r="B32" s="108" t="str">
        <f t="shared" si="2"/>
        <v>CH</v>
      </c>
      <c r="C32" s="108" t="s">
        <v>53</v>
      </c>
      <c r="D32" s="20">
        <f>+VLOOKUP(B32, 'NATIONAL 2020'!$A$3:$B$41, 2, FALSE)</f>
        <v>2</v>
      </c>
      <c r="E32" s="181">
        <f>+IFERROR(IF($D32=0, VLOOKUP($C32, 'NATIONAL 2020'!$A$3:$M$40, 7, FALSE), VLOOKUP($C32, 'NFI 2020'!$C$3:$J$282, 2, FALSE)), "")</f>
        <v>52035.230939956498</v>
      </c>
      <c r="F32" s="111">
        <f>+IFERROR(IF($D32=0, VLOOKUP($C32, 'NATIONAL 2020'!$A$3:$M$40, 8, FALSE), VLOOKUP($C32, 'NFI 2020'!$C$3:$J$282, 3, FALSE)), "")</f>
        <v>52035.230939956498</v>
      </c>
      <c r="G32" s="196">
        <f>+IFERROR(IF($D32=0, VLOOKUP($C32, 'NATIONAL 2020'!$A$3:$M$40, 9, FALSE), VLOOKUP($C32, 'NFI 2020'!$C$3:$J$282, 4, FALSE)), "")</f>
        <v>0</v>
      </c>
      <c r="H32" s="181">
        <f>+IFERROR(IF($D32=0, VLOOKUP($C32, 'NATIONAL 2020'!$A$3:$M$40, 10, FALSE), VLOOKUP($C32, 'NFI 2020'!$C$3:$J$282, 5, FALSE)), "")</f>
        <v>11760421.899597574</v>
      </c>
      <c r="I32" s="213">
        <f>+IFERROR(IF($D32=0, VLOOKUP($C32, 'NATIONAL 2020'!$A$3:$M$40, 13, FALSE), VLOOKUP($C32, 'NFI 2020'!$C$3:$J$282, 8, FALSE)), "")</f>
        <v>226.00883453689167</v>
      </c>
      <c r="J32" s="111">
        <f>+IFERROR(IF($D32=0, VLOOKUP($C32, 'NATIONAL 2020'!$A$3:$M$40, 11, FALSE), VLOOKUP($C32, 'NFI 2020'!$C$3:$J$282, 6, FALSE)), "")</f>
        <v>11760421.899597574</v>
      </c>
      <c r="K32" s="196">
        <f>+IFERROR(IF($D32=0, VLOOKUP($C32, 'NATIONAL 2020'!$A$3:$M$40, 12, FALSE), VLOOKUP($C32, 'NFI 2020'!$C$3:$J$282, 7, FALSE)), "")</f>
        <v>0</v>
      </c>
      <c r="L32" s="14"/>
      <c r="M32" s="70"/>
      <c r="P32" s="70"/>
      <c r="R32" s="8"/>
      <c r="S32" s="8"/>
    </row>
    <row r="33" spans="1:19" x14ac:dyDescent="0.25">
      <c r="A33" s="26" t="s">
        <v>49</v>
      </c>
      <c r="B33" s="108" t="str">
        <f t="shared" si="2"/>
        <v>CH</v>
      </c>
      <c r="C33" s="108" t="s">
        <v>54</v>
      </c>
      <c r="D33" s="20">
        <f>+VLOOKUP(B33, 'NATIONAL 2020'!$A$3:$B$41, 2, FALSE)</f>
        <v>2</v>
      </c>
      <c r="E33" s="181">
        <f>+IFERROR(IF($D33=0, VLOOKUP($C33, 'NATIONAL 2020'!$A$3:$M$40, 7, FALSE), VLOOKUP($C33, 'NFI 2020'!$C$3:$J$282, 2, FALSE)), "")</f>
        <v>303946.96236529347</v>
      </c>
      <c r="F33" s="111">
        <f>+IFERROR(IF($D33=0, VLOOKUP($C33, 'NATIONAL 2020'!$A$3:$M$40, 8, FALSE), VLOOKUP($C33, 'NFI 2020'!$C$3:$J$282, 3, FALSE)), "")</f>
        <v>278055.14522926061</v>
      </c>
      <c r="G33" s="196">
        <f>+IFERROR(IF($D33=0, VLOOKUP($C33, 'NATIONAL 2020'!$A$3:$M$40, 9, FALSE), VLOOKUP($C33, 'NFI 2020'!$C$3:$J$282, 4, FALSE)), "")</f>
        <v>25891.817136032882</v>
      </c>
      <c r="H33" s="181">
        <f>+IFERROR(IF($D33=0, VLOOKUP($C33, 'NATIONAL 2020'!$A$3:$M$40, 10, FALSE), VLOOKUP($C33, 'NFI 2020'!$C$3:$J$282, 5, FALSE)), "")</f>
        <v>58888548.411274783</v>
      </c>
      <c r="I33" s="213">
        <f>+IFERROR(IF($D33=0, VLOOKUP($C33, 'NATIONAL 2020'!$A$3:$M$40, 13, FALSE), VLOOKUP($C33, 'NFI 2020'!$C$3:$J$282, 8, FALSE)), "")</f>
        <v>193.74613239431091</v>
      </c>
      <c r="J33" s="111">
        <f>+IFERROR(IF($D33=0, VLOOKUP($C33, 'NATIONAL 2020'!$A$3:$M$40, 11, FALSE), VLOOKUP($C33, 'NFI 2020'!$C$3:$J$282, 6, FALSE)), "")</f>
        <v>55499367.092331685</v>
      </c>
      <c r="K33" s="196">
        <f>+IFERROR(IF($D33=0, VLOOKUP($C33, 'NATIONAL 2020'!$A$3:$M$40, 12, FALSE), VLOOKUP($C33, 'NFI 2020'!$C$3:$J$282, 7, FALSE)), "")</f>
        <v>3389181.3189430982</v>
      </c>
      <c r="L33" s="14"/>
      <c r="M33" s="70"/>
      <c r="P33" s="70"/>
      <c r="R33" s="8"/>
      <c r="S33" s="8"/>
    </row>
    <row r="34" spans="1:19" x14ac:dyDescent="0.25">
      <c r="A34" s="26" t="s">
        <v>49</v>
      </c>
      <c r="B34" s="108" t="str">
        <f t="shared" si="2"/>
        <v>CH</v>
      </c>
      <c r="C34" s="108" t="s">
        <v>55</v>
      </c>
      <c r="D34" s="20">
        <f>+VLOOKUP(B34, 'NATIONAL 2020'!$A$3:$B$41, 2, FALSE)</f>
        <v>2</v>
      </c>
      <c r="E34" s="181">
        <f>+IFERROR(IF($D34=0, VLOOKUP($C34, 'NATIONAL 2020'!$A$3:$M$40, 7, FALSE), VLOOKUP($C34, 'NFI 2020'!$C$3:$J$282, 2, FALSE)), "")</f>
        <v>123910.3473397231</v>
      </c>
      <c r="F34" s="111">
        <f>+IFERROR(IF($D34=0, VLOOKUP($C34, 'NATIONAL 2020'!$A$3:$M$40, 8, FALSE), VLOOKUP($C34, 'NFI 2020'!$C$3:$J$282, 3, FALSE)), "")</f>
        <v>121822.2975706882</v>
      </c>
      <c r="G34" s="196">
        <f>+IFERROR(IF($D34=0, VLOOKUP($C34, 'NATIONAL 2020'!$A$3:$M$40, 9, FALSE), VLOOKUP($C34, 'NFI 2020'!$C$3:$J$282, 4, FALSE)), "")</f>
        <v>2088.0497690349134</v>
      </c>
      <c r="H34" s="181">
        <f>+IFERROR(IF($D34=0, VLOOKUP($C34, 'NATIONAL 2020'!$A$3:$M$40, 10, FALSE), VLOOKUP($C34, 'NFI 2020'!$C$3:$J$282, 5, FALSE)), "")</f>
        <v>25829445.105279535</v>
      </c>
      <c r="I34" s="213">
        <f>+IFERROR(IF($D34=0, VLOOKUP($C34, 'NATIONAL 2020'!$A$3:$M$40, 13, FALSE), VLOOKUP($C34, 'NFI 2020'!$C$3:$J$282, 8, FALSE)), "")</f>
        <v>208.45268905964198</v>
      </c>
      <c r="J34" s="111">
        <f>+IFERROR(IF($D34=0, VLOOKUP($C34, 'NATIONAL 2020'!$A$3:$M$40, 11, FALSE), VLOOKUP($C34, 'NFI 2020'!$C$3:$J$282, 6, FALSE)), "")</f>
        <v>25535940.278013606</v>
      </c>
      <c r="K34" s="196">
        <f>+IFERROR(IF($D34=0, VLOOKUP($C34, 'NATIONAL 2020'!$A$3:$M$40, 12, FALSE), VLOOKUP($C34, 'NFI 2020'!$C$3:$J$282, 7, FALSE)), "")</f>
        <v>293504.82726592838</v>
      </c>
      <c r="L34" s="14"/>
      <c r="M34" s="70"/>
      <c r="P34" s="70"/>
      <c r="R34" s="8"/>
      <c r="S34" s="8"/>
    </row>
    <row r="35" spans="1:19" x14ac:dyDescent="0.25">
      <c r="A35" s="26" t="s">
        <v>49</v>
      </c>
      <c r="B35" s="108" t="str">
        <f t="shared" si="2"/>
        <v>CH</v>
      </c>
      <c r="C35" s="108" t="s">
        <v>56</v>
      </c>
      <c r="D35" s="20">
        <f>+VLOOKUP(B35, 'NATIONAL 2020'!$A$3:$B$41, 2, FALSE)</f>
        <v>2</v>
      </c>
      <c r="E35" s="181">
        <f>+IFERROR(IF($D35=0, VLOOKUP($C35, 'NATIONAL 2020'!$A$3:$M$40, 7, FALSE), VLOOKUP($C35, 'NFI 2020'!$C$3:$J$282, 2, FALSE)), "")</f>
        <v>127883.21471005939</v>
      </c>
      <c r="F35" s="111">
        <f>+IFERROR(IF($D35=0, VLOOKUP($C35, 'NATIONAL 2020'!$A$3:$M$40, 8, FALSE), VLOOKUP($C35, 'NFI 2020'!$C$3:$J$282, 3, FALSE)), "")</f>
        <v>96980.078128342764</v>
      </c>
      <c r="G35" s="196">
        <f>+IFERROR(IF($D35=0, VLOOKUP($C35, 'NATIONAL 2020'!$A$3:$M$40, 9, FALSE), VLOOKUP($C35, 'NFI 2020'!$C$3:$J$282, 4, FALSE)), "")</f>
        <v>30903.136581716633</v>
      </c>
      <c r="H35" s="181">
        <f>+IFERROR(IF($D35=0, VLOOKUP($C35, 'NATIONAL 2020'!$A$3:$M$40, 10, FALSE), VLOOKUP($C35, 'NFI 2020'!$C$3:$J$282, 5, FALSE)), "")</f>
        <v>17551016.291421197</v>
      </c>
      <c r="I35" s="213">
        <f>+IFERROR(IF($D35=0, VLOOKUP($C35, 'NATIONAL 2020'!$A$3:$M$40, 13, FALSE), VLOOKUP($C35, 'NFI 2020'!$C$3:$J$282, 8, FALSE)), "")</f>
        <v>137.24253281568954</v>
      </c>
      <c r="J35" s="111">
        <f>+IFERROR(IF($D35=0, VLOOKUP($C35, 'NATIONAL 2020'!$A$3:$M$40, 11, FALSE), VLOOKUP($C35, 'NFI 2020'!$C$3:$J$282, 6, FALSE)), "")</f>
        <v>14016799.485272845</v>
      </c>
      <c r="K35" s="196">
        <f>+IFERROR(IF($D35=0, VLOOKUP($C35, 'NATIONAL 2020'!$A$3:$M$40, 12, FALSE), VLOOKUP($C35, 'NFI 2020'!$C$3:$J$282, 7, FALSE)), "")</f>
        <v>3534216.8061483526</v>
      </c>
      <c r="L35" s="14"/>
      <c r="M35" s="70"/>
      <c r="P35" s="70"/>
      <c r="R35" s="8"/>
      <c r="S35" s="8"/>
    </row>
    <row r="36" spans="1:19" x14ac:dyDescent="0.25">
      <c r="A36" s="26" t="s">
        <v>329</v>
      </c>
      <c r="B36" t="s">
        <v>7</v>
      </c>
      <c r="C36" t="s">
        <v>7</v>
      </c>
      <c r="D36" s="20">
        <f>+VLOOKUP(B36, 'NATIONAL 2020'!$A$3:$B$41, 2, FALSE)</f>
        <v>0</v>
      </c>
      <c r="E36" s="181">
        <f>+IFERROR(IF($D36=0, VLOOKUP($C36, 'NATIONAL 2020'!$A$3:$M$40, 7, FALSE), VLOOKUP($C36, 'NFI 2020'!$C$3:$J$282, 2, FALSE)), "")</f>
        <v>172700</v>
      </c>
      <c r="F36" s="111">
        <f>+IFERROR(IF($D36=0, VLOOKUP($C36, 'NATIONAL 2020'!$A$3:$M$40, 8, FALSE), VLOOKUP($C36, 'NFI 2020'!$C$3:$J$282, 3, FALSE)), "")</f>
        <v>41120</v>
      </c>
      <c r="G36" s="196">
        <f>+IFERROR(IF($D36=0, VLOOKUP($C36, 'NATIONAL 2020'!$A$3:$M$40, 9, FALSE), VLOOKUP($C36, 'NFI 2020'!$C$3:$J$282, 4, FALSE)), "")</f>
        <v>131580</v>
      </c>
      <c r="H36" s="181">
        <f>+IFERROR(IF($D36=0, VLOOKUP($C36, 'NATIONAL 2020'!$A$3:$M$40, 10, FALSE), VLOOKUP($C36, 'NFI 2020'!$C$3:$J$282, 5, FALSE)), "")</f>
        <v>5800000</v>
      </c>
      <c r="I36" s="213">
        <f>+IFERROR(IF($D36=0, VLOOKUP($C36, 'NATIONAL 2020'!$A$3:$M$40, 13, FALSE), VLOOKUP($C36, 'NFI 2020'!$C$3:$J$282, 8, FALSE)), "")</f>
        <v>33.5842501447597</v>
      </c>
      <c r="J36" s="111">
        <f>+IFERROR(IF($D36=0, VLOOKUP($C36, 'NATIONAL 2020'!$A$3:$M$40, 11, FALSE), VLOOKUP($C36, 'NFI 2020'!$C$3:$J$282, 6, FALSE)), "")</f>
        <v>1856834.5323741008</v>
      </c>
      <c r="K36" s="196">
        <f>+IFERROR(IF($D36=0, VLOOKUP($C36, 'NATIONAL 2020'!$A$3:$M$40, 12, FALSE), VLOOKUP($C36, 'NFI 2020'!$C$3:$J$282, 7, FALSE)), "")</f>
        <v>3943165.4676258992</v>
      </c>
      <c r="L36" s="14"/>
      <c r="M36" s="70"/>
      <c r="O36" s="5"/>
      <c r="P36" s="70"/>
      <c r="R36" s="8"/>
      <c r="S36" s="8"/>
    </row>
    <row r="37" spans="1:19" x14ac:dyDescent="0.25">
      <c r="A37" s="26" t="s">
        <v>57</v>
      </c>
      <c r="B37" t="s">
        <v>8</v>
      </c>
      <c r="C37" t="s">
        <v>8</v>
      </c>
      <c r="D37" s="20">
        <v>0</v>
      </c>
      <c r="E37" s="181">
        <f>+IFERROR(IF($D37=0, VLOOKUP($C37, 'NATIONAL 2020'!$A$3:$M$40, 7, FALSE), VLOOKUP($C37, 'NFI 2020'!$C$3:$J$282, 2, FALSE)), "")</f>
        <v>2785226</v>
      </c>
      <c r="F37" s="111">
        <f>+IFERROR(IF($D37=0, VLOOKUP($C37, 'NATIONAL 2020'!$A$3:$M$40, 8, FALSE), VLOOKUP($C37, 'NFI 2020'!$C$3:$J$282, 3, FALSE)), "")</f>
        <v>2619819.0251744343</v>
      </c>
      <c r="G37" s="196">
        <f>+IFERROR(IF($D37=0, VLOOKUP($C37, 'NATIONAL 2020'!$A$3:$M$40, 9, FALSE), VLOOKUP($C37, 'NFI 2020'!$C$3:$J$282, 4, FALSE)), "")</f>
        <v>165406.97482556591</v>
      </c>
      <c r="H37" s="181">
        <f>+IFERROR(IF($D37=0, VLOOKUP($C37, 'NATIONAL 2020'!$A$3:$M$40, 10, FALSE), VLOOKUP($C37, 'NFI 2020'!$C$3:$J$282, 5, FALSE)), "")</f>
        <v>584665899.57987416</v>
      </c>
      <c r="I37" s="213">
        <f>+IFERROR(IF($D37=0, VLOOKUP($C37, 'NATIONAL 2020'!$A$3:$M$40, 13, FALSE), VLOOKUP($C37, 'NFI 2020'!$C$3:$J$282, 8, FALSE)), "")</f>
        <v>209.91686117387752</v>
      </c>
      <c r="J37" s="111">
        <f>+IFERROR(IF($D37=0, VLOOKUP($C37, 'NATIONAL 2020'!$A$3:$M$40, 11, FALSE), VLOOKUP($C37, 'NFI 2020'!$C$3:$J$282, 6, FALSE)), "")</f>
        <v>554718188.63051212</v>
      </c>
      <c r="K37" s="196">
        <f>+IFERROR(IF($D37=0, VLOOKUP($C37, 'NATIONAL 2020'!$A$3:$M$40, 12, FALSE), VLOOKUP($C37, 'NFI 2020'!$C$3:$J$282, 7, FALSE)), "")</f>
        <v>29947710.949362025</v>
      </c>
      <c r="L37" s="14"/>
      <c r="M37" s="70"/>
      <c r="O37" s="5"/>
      <c r="P37" s="70"/>
      <c r="R37" s="8"/>
      <c r="S37" s="8"/>
    </row>
    <row r="38" spans="1:19" x14ac:dyDescent="0.25">
      <c r="A38" s="26" t="s">
        <v>57</v>
      </c>
      <c r="B38" s="108" t="str">
        <f t="shared" ref="B38:B51" si="3">+LEFT(C38, 2)</f>
        <v>CZ</v>
      </c>
      <c r="C38" s="108" t="s">
        <v>58</v>
      </c>
      <c r="D38" s="20">
        <f>+VLOOKUP(B38, 'NATIONAL 2020'!$A$3:$B$41, 2, FALSE)</f>
        <v>3</v>
      </c>
      <c r="E38" s="181">
        <f>+IFERROR(IF($D38=0, VLOOKUP($C38, 'NATIONAL 2020'!$A$3:$M$40, 7, FALSE), VLOOKUP($C38, 'NFI 2020'!$C$3:$J$282, 2, FALSE)), "")</f>
        <v>4656.2144207006831</v>
      </c>
      <c r="F38" s="111">
        <f>+IFERROR(IF($D38=0, VLOOKUP($C38, 'NATIONAL 2020'!$A$3:$M$40, 8, FALSE), VLOOKUP($C38, 'NFI 2020'!$C$3:$J$282, 3, FALSE)), "")</f>
        <v>4048.8448680976262</v>
      </c>
      <c r="G38" s="196">
        <f>+IFERROR(IF($D38=0, VLOOKUP($C38, 'NATIONAL 2020'!$A$3:$M$40, 9, FALSE), VLOOKUP($C38, 'NFI 2020'!$C$3:$J$282, 4, FALSE)), "")</f>
        <v>607.36955260305717</v>
      </c>
      <c r="H38" s="181">
        <f>+IFERROR(IF($D38=0, VLOOKUP($C38, 'NATIONAL 2020'!$A$3:$M$40, 10, FALSE), VLOOKUP($C38, 'NFI 2020'!$C$3:$J$282, 5, FALSE)), "")</f>
        <v>1098630.5109804852</v>
      </c>
      <c r="I38" s="213">
        <f>+IFERROR(IF($D38=0, VLOOKUP($C38, 'NATIONAL 2020'!$A$3:$M$40, 13, FALSE), VLOOKUP($C38, 'NFI 2020'!$C$3:$J$282, 8, FALSE)), "")</f>
        <v>235.94929522493072</v>
      </c>
      <c r="J38" s="111">
        <f>+IFERROR(IF($D38=0, VLOOKUP($C38, 'NATIONAL 2020'!$A$3:$M$40, 11, FALSE), VLOOKUP($C38, 'NFI 2020'!$C$3:$J$282, 6, FALSE)), "")</f>
        <v>1015158.2260850277</v>
      </c>
      <c r="K38" s="196">
        <f>+IFERROR(IF($D38=0, VLOOKUP($C38, 'NATIONAL 2020'!$A$3:$M$40, 12, FALSE), VLOOKUP($C38, 'NFI 2020'!$C$3:$J$282, 7, FALSE)), "")</f>
        <v>83472.284895457487</v>
      </c>
      <c r="L38" s="14"/>
      <c r="M38" s="70"/>
      <c r="P38" s="70"/>
      <c r="R38" s="8"/>
      <c r="S38" s="8"/>
    </row>
    <row r="39" spans="1:19" x14ac:dyDescent="0.25">
      <c r="A39" s="26" t="s">
        <v>57</v>
      </c>
      <c r="B39" s="108" t="str">
        <f t="shared" si="3"/>
        <v>CZ</v>
      </c>
      <c r="C39" s="108" t="s">
        <v>59</v>
      </c>
      <c r="D39" s="20">
        <f>+VLOOKUP(B39, 'NATIONAL 2020'!$A$3:$B$41, 2, FALSE)</f>
        <v>3</v>
      </c>
      <c r="E39" s="181">
        <f>+IFERROR(IF($D39=0, VLOOKUP($C39, 'NATIONAL 2020'!$A$3:$M$40, 7, FALSE), VLOOKUP($C39, 'NFI 2020'!$C$3:$J$282, 2, FALSE)), "")</f>
        <v>324113.01250181714</v>
      </c>
      <c r="F39" s="111">
        <f>+IFERROR(IF($D39=0, VLOOKUP($C39, 'NATIONAL 2020'!$A$3:$M$40, 8, FALSE), VLOOKUP($C39, 'NFI 2020'!$C$3:$J$282, 3, FALSE)), "")</f>
        <v>315609.83876537433</v>
      </c>
      <c r="G39" s="196">
        <f>+IFERROR(IF($D39=0, VLOOKUP($C39, 'NATIONAL 2020'!$A$3:$M$40, 9, FALSE), VLOOKUP($C39, 'NFI 2020'!$C$3:$J$282, 4, FALSE)), "")</f>
        <v>8503.1737364427991</v>
      </c>
      <c r="H39" s="181">
        <f>+IFERROR(IF($D39=0, VLOOKUP($C39, 'NATIONAL 2020'!$A$3:$M$40, 10, FALSE), VLOOKUP($C39, 'NFI 2020'!$C$3:$J$282, 5, FALSE)), "")</f>
        <v>61886756.708715327</v>
      </c>
      <c r="I39" s="213">
        <f>+IFERROR(IF($D39=0, VLOOKUP($C39, 'NATIONAL 2020'!$A$3:$M$40, 13, FALSE), VLOOKUP($C39, 'NFI 2020'!$C$3:$J$282, 8, FALSE)), "")</f>
        <v>190.94190705585558</v>
      </c>
      <c r="J39" s="111">
        <f>+IFERROR(IF($D39=0, VLOOKUP($C39, 'NATIONAL 2020'!$A$3:$M$40, 11, FALSE), VLOOKUP($C39, 'NFI 2020'!$C$3:$J$282, 6, FALSE)), "")</f>
        <v>59911730.055145599</v>
      </c>
      <c r="K39" s="196">
        <f>+IFERROR(IF($D39=0, VLOOKUP($C39, 'NATIONAL 2020'!$A$3:$M$40, 12, FALSE), VLOOKUP($C39, 'NFI 2020'!$C$3:$J$282, 7, FALSE)), "")</f>
        <v>1975026.6535697249</v>
      </c>
      <c r="L39" s="14"/>
      <c r="M39" s="70"/>
      <c r="P39" s="70"/>
      <c r="R39" s="8"/>
      <c r="S39" s="8"/>
    </row>
    <row r="40" spans="1:19" x14ac:dyDescent="0.25">
      <c r="A40" s="26" t="s">
        <v>57</v>
      </c>
      <c r="B40" s="108" t="str">
        <f t="shared" si="3"/>
        <v>CZ</v>
      </c>
      <c r="C40" s="108" t="s">
        <v>60</v>
      </c>
      <c r="D40" s="20">
        <f>+VLOOKUP(B40, 'NATIONAL 2020'!$A$3:$B$41, 2, FALSE)</f>
        <v>3</v>
      </c>
      <c r="E40" s="181">
        <f>+IFERROR(IF($D40=0, VLOOKUP($C40, 'NATIONAL 2020'!$A$3:$M$40, 7, FALSE), VLOOKUP($C40, 'NFI 2020'!$C$3:$J$282, 2, FALSE)), "")</f>
        <v>406305.31923244655</v>
      </c>
      <c r="F40" s="111">
        <f>+IFERROR(IF($D40=0, VLOOKUP($C40, 'NATIONAL 2020'!$A$3:$M$40, 8, FALSE), VLOOKUP($C40, 'NFI 2020'!$C$3:$J$282, 3, FALSE)), "")</f>
        <v>370470.51562886615</v>
      </c>
      <c r="G40" s="196">
        <f>+IFERROR(IF($D40=0, VLOOKUP($C40, 'NATIONAL 2020'!$A$3:$M$40, 9, FALSE), VLOOKUP($C40, 'NFI 2020'!$C$3:$J$282, 4, FALSE)), "")</f>
        <v>35834.803603580418</v>
      </c>
      <c r="H40" s="181">
        <f>+IFERROR(IF($D40=0, VLOOKUP($C40, 'NATIONAL 2020'!$A$3:$M$40, 10, FALSE), VLOOKUP($C40, 'NFI 2020'!$C$3:$J$282, 5, FALSE)), "")</f>
        <v>89813734.547093481</v>
      </c>
      <c r="I40" s="213">
        <f>+IFERROR(IF($D40=0, VLOOKUP($C40, 'NATIONAL 2020'!$A$3:$M$40, 13, FALSE), VLOOKUP($C40, 'NFI 2020'!$C$3:$J$282, 8, FALSE)), "")</f>
        <v>221.04986150996268</v>
      </c>
      <c r="J40" s="111">
        <f>+IFERROR(IF($D40=0, VLOOKUP($C40, 'NATIONAL 2020'!$A$3:$M$40, 11, FALSE), VLOOKUP($C40, 'NFI 2020'!$C$3:$J$282, 6, FALSE)), "")</f>
        <v>82695546.599332348</v>
      </c>
      <c r="K40" s="196">
        <f>+IFERROR(IF($D40=0, VLOOKUP($C40, 'NATIONAL 2020'!$A$3:$M$40, 12, FALSE), VLOOKUP($C40, 'NFI 2020'!$C$3:$J$282, 7, FALSE)), "")</f>
        <v>7118187.9477611221</v>
      </c>
      <c r="L40" s="14"/>
      <c r="M40" s="70"/>
      <c r="P40" s="70"/>
      <c r="R40" s="8"/>
      <c r="S40" s="8"/>
    </row>
    <row r="41" spans="1:19" x14ac:dyDescent="0.25">
      <c r="A41" s="26" t="s">
        <v>57</v>
      </c>
      <c r="B41" s="108" t="str">
        <f t="shared" si="3"/>
        <v>CZ</v>
      </c>
      <c r="C41" s="108" t="s">
        <v>61</v>
      </c>
      <c r="D41" s="20">
        <f>+VLOOKUP(B41, 'NATIONAL 2020'!$A$3:$B$41, 2, FALSE)</f>
        <v>3</v>
      </c>
      <c r="E41" s="181">
        <f>+IFERROR(IF($D41=0, VLOOKUP($C41, 'NATIONAL 2020'!$A$3:$M$40, 7, FALSE), VLOOKUP($C41, 'NFI 2020'!$C$3:$J$282, 2, FALSE)), "")</f>
        <v>312776.14260793722</v>
      </c>
      <c r="F41" s="111">
        <f>+IFERROR(IF($D41=0, VLOOKUP($C41, 'NATIONAL 2020'!$A$3:$M$40, 8, FALSE), VLOOKUP($C41, 'NFI 2020'!$C$3:$J$282, 3, FALSE)), "")</f>
        <v>279775.7302498378</v>
      </c>
      <c r="G41" s="196">
        <f>+IFERROR(IF($D41=0, VLOOKUP($C41, 'NATIONAL 2020'!$A$3:$M$40, 9, FALSE), VLOOKUP($C41, 'NFI 2020'!$C$3:$J$282, 4, FALSE)), "")</f>
        <v>33000.412358099449</v>
      </c>
      <c r="H41" s="181">
        <f>+IFERROR(IF($D41=0, VLOOKUP($C41, 'NATIONAL 2020'!$A$3:$M$40, 10, FALSE), VLOOKUP($C41, 'NFI 2020'!$C$3:$J$282, 5, FALSE)), "")</f>
        <v>63720236.529642515</v>
      </c>
      <c r="I41" s="213">
        <f>+IFERROR(IF($D41=0, VLOOKUP($C41, 'NATIONAL 2020'!$A$3:$M$40, 13, FALSE), VLOOKUP($C41, 'NFI 2020'!$C$3:$J$282, 8, FALSE)), "")</f>
        <v>203.72473424072948</v>
      </c>
      <c r="J41" s="111">
        <f>+IFERROR(IF($D41=0, VLOOKUP($C41, 'NATIONAL 2020'!$A$3:$M$40, 11, FALSE), VLOOKUP($C41, 'NFI 2020'!$C$3:$J$282, 6, FALSE)), "")</f>
        <v>57827023.645114809</v>
      </c>
      <c r="K41" s="196">
        <f>+IFERROR(IF($D41=0, VLOOKUP($C41, 'NATIONAL 2020'!$A$3:$M$40, 12, FALSE), VLOOKUP($C41, 'NFI 2020'!$C$3:$J$282, 7, FALSE)), "")</f>
        <v>5893212.8845277121</v>
      </c>
      <c r="L41" s="14"/>
      <c r="M41" s="70"/>
      <c r="N41" s="70"/>
      <c r="R41" s="8"/>
      <c r="S41" s="8"/>
    </row>
    <row r="42" spans="1:19" x14ac:dyDescent="0.25">
      <c r="A42" s="26" t="s">
        <v>57</v>
      </c>
      <c r="B42" s="108" t="str">
        <f t="shared" si="3"/>
        <v>CZ</v>
      </c>
      <c r="C42" s="108" t="s">
        <v>62</v>
      </c>
      <c r="D42" s="20">
        <f>+VLOOKUP(B42, 'NATIONAL 2020'!$A$3:$B$41, 2, FALSE)</f>
        <v>3</v>
      </c>
      <c r="E42" s="181">
        <f>+IFERROR(IF($D42=0, VLOOKUP($C42, 'NATIONAL 2020'!$A$3:$M$40, 7, FALSE), VLOOKUP($C42, 'NFI 2020'!$C$3:$J$282, 2, FALSE)), "")</f>
        <v>149808.63788341329</v>
      </c>
      <c r="F42" s="111">
        <f>+IFERROR(IF($D42=0, VLOOKUP($C42, 'NATIONAL 2020'!$A$3:$M$40, 8, FALSE), VLOOKUP($C42, 'NFI 2020'!$C$3:$J$282, 3, FALSE)), "")</f>
        <v>145354.59449765756</v>
      </c>
      <c r="G42" s="196">
        <f>+IFERROR(IF($D42=0, VLOOKUP($C42, 'NATIONAL 2020'!$A$3:$M$40, 9, FALSE), VLOOKUP($C42, 'NFI 2020'!$C$3:$J$282, 4, FALSE)), "")</f>
        <v>4454.0433857557509</v>
      </c>
      <c r="H42" s="181">
        <f>+IFERROR(IF($D42=0, VLOOKUP($C42, 'NATIONAL 2020'!$A$3:$M$40, 10, FALSE), VLOOKUP($C42, 'NFI 2020'!$C$3:$J$282, 5, FALSE)), "")</f>
        <v>27501319.953296423</v>
      </c>
      <c r="I42" s="213">
        <f>+IFERROR(IF($D42=0, VLOOKUP($C42, 'NATIONAL 2020'!$A$3:$M$40, 13, FALSE), VLOOKUP($C42, 'NFI 2020'!$C$3:$J$282, 8, FALSE)), "")</f>
        <v>183.57633005580749</v>
      </c>
      <c r="J42" s="111">
        <f>+IFERROR(IF($D42=0, VLOOKUP($C42, 'NATIONAL 2020'!$A$3:$M$40, 11, FALSE), VLOOKUP($C42, 'NFI 2020'!$C$3:$J$282, 6, FALSE)), "")</f>
        <v>26907020.229869604</v>
      </c>
      <c r="K42" s="196">
        <f>+IFERROR(IF($D42=0, VLOOKUP($C42, 'NATIONAL 2020'!$A$3:$M$40, 12, FALSE), VLOOKUP($C42, 'NFI 2020'!$C$3:$J$282, 7, FALSE)), "")</f>
        <v>594299.72342681733</v>
      </c>
      <c r="L42" s="14"/>
      <c r="M42" s="70"/>
      <c r="N42" s="70"/>
      <c r="R42" s="8"/>
      <c r="S42" s="8"/>
    </row>
    <row r="43" spans="1:19" x14ac:dyDescent="0.25">
      <c r="A43" s="26" t="s">
        <v>57</v>
      </c>
      <c r="B43" s="108" t="str">
        <f t="shared" si="3"/>
        <v>CZ</v>
      </c>
      <c r="C43" s="108" t="s">
        <v>63</v>
      </c>
      <c r="D43" s="20">
        <f>+VLOOKUP(B43, 'NATIONAL 2020'!$A$3:$B$41, 2, FALSE)</f>
        <v>3</v>
      </c>
      <c r="E43" s="181">
        <f>+IFERROR(IF($D43=0, VLOOKUP($C43, 'NATIONAL 2020'!$A$3:$M$40, 7, FALSE), VLOOKUP($C43, 'NFI 2020'!$C$3:$J$282, 2, FALSE)), "")</f>
        <v>172887.26588166883</v>
      </c>
      <c r="F43" s="111">
        <f>+IFERROR(IF($D43=0, VLOOKUP($C43, 'NATIONAL 2020'!$A$3:$M$40, 8, FALSE), VLOOKUP($C43, 'NFI 2020'!$C$3:$J$282, 3, FALSE)), "")</f>
        <v>167016.02687317261</v>
      </c>
      <c r="G43" s="196">
        <f>+IFERROR(IF($D43=0, VLOOKUP($C43, 'NATIONAL 2020'!$A$3:$M$40, 9, FALSE), VLOOKUP($C43, 'NFI 2020'!$C$3:$J$282, 4, FALSE)), "")</f>
        <v>5871.2390084962199</v>
      </c>
      <c r="H43" s="181">
        <f>+IFERROR(IF($D43=0, VLOOKUP($C43, 'NATIONAL 2020'!$A$3:$M$40, 10, FALSE), VLOOKUP($C43, 'NFI 2020'!$C$3:$J$282, 5, FALSE)), "")</f>
        <v>26648115.191529356</v>
      </c>
      <c r="I43" s="213">
        <f>+IFERROR(IF($D43=0, VLOOKUP($C43, 'NATIONAL 2020'!$A$3:$M$40, 13, FALSE), VLOOKUP($C43, 'NFI 2020'!$C$3:$J$282, 8, FALSE)), "")</f>
        <v>154.1357893285699</v>
      </c>
      <c r="J43" s="111">
        <f>+IFERROR(IF($D43=0, VLOOKUP($C43, 'NATIONAL 2020'!$A$3:$M$40, 11, FALSE), VLOOKUP($C43, 'NFI 2020'!$C$3:$J$282, 6, FALSE)), "")</f>
        <v>25875801.322684962</v>
      </c>
      <c r="K43" s="196">
        <f>+IFERROR(IF($D43=0, VLOOKUP($C43, 'NATIONAL 2020'!$A$3:$M$40, 12, FALSE), VLOOKUP($C43, 'NFI 2020'!$C$3:$J$282, 7, FALSE)), "")</f>
        <v>772313.86884439189</v>
      </c>
      <c r="L43" s="14"/>
      <c r="M43" s="70"/>
      <c r="N43" s="70"/>
      <c r="R43" s="8"/>
      <c r="S43" s="8"/>
    </row>
    <row r="44" spans="1:19" x14ac:dyDescent="0.25">
      <c r="A44" s="26" t="s">
        <v>57</v>
      </c>
      <c r="B44" s="108" t="str">
        <f t="shared" si="3"/>
        <v>CZ</v>
      </c>
      <c r="C44" s="108" t="s">
        <v>64</v>
      </c>
      <c r="D44" s="20">
        <f>+VLOOKUP(B44, 'NATIONAL 2020'!$A$3:$B$41, 2, FALSE)</f>
        <v>3</v>
      </c>
      <c r="E44" s="181">
        <f>+IFERROR(IF($D44=0, VLOOKUP($C44, 'NATIONAL 2020'!$A$3:$M$40, 7, FALSE), VLOOKUP($C44, 'NFI 2020'!$C$3:$J$282, 2, FALSE)), "")</f>
        <v>145962.19988370402</v>
      </c>
      <c r="F44" s="111">
        <f>+IFERROR(IF($D44=0, VLOOKUP($C44, 'NATIONAL 2020'!$A$3:$M$40, 8, FALSE), VLOOKUP($C44, 'NFI 2020'!$C$3:$J$282, 3, FALSE)), "")</f>
        <v>124704.26554259709</v>
      </c>
      <c r="G44" s="196">
        <f>+IFERROR(IF($D44=0, VLOOKUP($C44, 'NATIONAL 2020'!$A$3:$M$40, 9, FALSE), VLOOKUP($C44, 'NFI 2020'!$C$3:$J$282, 4, FALSE)), "")</f>
        <v>21257.934341106942</v>
      </c>
      <c r="H44" s="181">
        <f>+IFERROR(IF($D44=0, VLOOKUP($C44, 'NATIONAL 2020'!$A$3:$M$40, 10, FALSE), VLOOKUP($C44, 'NFI 2020'!$C$3:$J$282, 5, FALSE)), "")</f>
        <v>28003572.581938088</v>
      </c>
      <c r="I44" s="213">
        <f>+IFERROR(IF($D44=0, VLOOKUP($C44, 'NATIONAL 2020'!$A$3:$M$40, 13, FALSE), VLOOKUP($C44, 'NFI 2020'!$C$3:$J$282, 8, FALSE)), "")</f>
        <v>191.85496384851729</v>
      </c>
      <c r="J44" s="111">
        <f>+IFERROR(IF($D44=0, VLOOKUP($C44, 'NATIONAL 2020'!$A$3:$M$40, 11, FALSE), VLOOKUP($C44, 'NFI 2020'!$C$3:$J$282, 6, FALSE)), "")</f>
        <v>24385296.761231862</v>
      </c>
      <c r="K44" s="196">
        <f>+IFERROR(IF($D44=0, VLOOKUP($C44, 'NATIONAL 2020'!$A$3:$M$40, 12, FALSE), VLOOKUP($C44, 'NFI 2020'!$C$3:$J$282, 7, FALSE)), "")</f>
        <v>3618275.8207062236</v>
      </c>
      <c r="L44" s="14"/>
      <c r="M44" s="70"/>
      <c r="N44" s="70"/>
      <c r="R44" s="8"/>
      <c r="S44" s="8"/>
    </row>
    <row r="45" spans="1:19" x14ac:dyDescent="0.25">
      <c r="A45" s="26" t="s">
        <v>57</v>
      </c>
      <c r="B45" s="108" t="str">
        <f t="shared" si="3"/>
        <v>CZ</v>
      </c>
      <c r="C45" s="108" t="s">
        <v>65</v>
      </c>
      <c r="D45" s="20">
        <f>+VLOOKUP(B45, 'NATIONAL 2020'!$A$3:$B$41, 2, FALSE)</f>
        <v>3</v>
      </c>
      <c r="E45" s="181">
        <f>+IFERROR(IF($D45=0, VLOOKUP($C45, 'NATIONAL 2020'!$A$3:$M$40, 7, FALSE), VLOOKUP($C45, 'NFI 2020'!$C$3:$J$282, 2, FALSE)), "")</f>
        <v>159930.84314580608</v>
      </c>
      <c r="F45" s="111">
        <f>+IFERROR(IF($D45=0, VLOOKUP($C45, 'NATIONAL 2020'!$A$3:$M$40, 8, FALSE), VLOOKUP($C45, 'NFI 2020'!$C$3:$J$282, 3, FALSE)), "")</f>
        <v>128347.62641044713</v>
      </c>
      <c r="G45" s="196">
        <f>+IFERROR(IF($D45=0, VLOOKUP($C45, 'NATIONAL 2020'!$A$3:$M$40, 9, FALSE), VLOOKUP($C45, 'NFI 2020'!$C$3:$J$282, 4, FALSE)), "")</f>
        <v>31583.216735358958</v>
      </c>
      <c r="H45" s="181">
        <f>+IFERROR(IF($D45=0, VLOOKUP($C45, 'NATIONAL 2020'!$A$3:$M$40, 10, FALSE), VLOOKUP($C45, 'NFI 2020'!$C$3:$J$282, 5, FALSE)), "")</f>
        <v>33837663.659495361</v>
      </c>
      <c r="I45" s="213">
        <f>+IFERROR(IF($D45=0, VLOOKUP($C45, 'NATIONAL 2020'!$A$3:$M$40, 13, FALSE), VLOOKUP($C45, 'NFI 2020'!$C$3:$J$282, 8, FALSE)), "")</f>
        <v>211.57684780443614</v>
      </c>
      <c r="J45" s="111">
        <f>+IFERROR(IF($D45=0, VLOOKUP($C45, 'NATIONAL 2020'!$A$3:$M$40, 11, FALSE), VLOOKUP($C45, 'NFI 2020'!$C$3:$J$282, 6, FALSE)), "")</f>
        <v>28863935.931980915</v>
      </c>
      <c r="K45" s="196">
        <f>+IFERROR(IF($D45=0, VLOOKUP($C45, 'NATIONAL 2020'!$A$3:$M$40, 12, FALSE), VLOOKUP($C45, 'NFI 2020'!$C$3:$J$282, 7, FALSE)), "")</f>
        <v>4973727.7275144458</v>
      </c>
      <c r="L45" s="14"/>
      <c r="M45" s="70"/>
      <c r="N45" s="70"/>
      <c r="R45" s="8"/>
      <c r="S45" s="8"/>
    </row>
    <row r="46" spans="1:19" x14ac:dyDescent="0.25">
      <c r="A46" s="26" t="s">
        <v>57</v>
      </c>
      <c r="B46" s="108" t="str">
        <f t="shared" si="3"/>
        <v>CZ</v>
      </c>
      <c r="C46" s="108" t="s">
        <v>66</v>
      </c>
      <c r="D46" s="20">
        <f>+VLOOKUP(B46, 'NATIONAL 2020'!$A$3:$B$41, 2, FALSE)</f>
        <v>3</v>
      </c>
      <c r="E46" s="181">
        <f>+IFERROR(IF($D46=0, VLOOKUP($C46, 'NATIONAL 2020'!$A$3:$M$40, 7, FALSE), VLOOKUP($C46, 'NFI 2020'!$C$3:$J$282, 2, FALSE)), "")</f>
        <v>138471.76798953337</v>
      </c>
      <c r="F46" s="111">
        <f>+IFERROR(IF($D46=0, VLOOKUP($C46, 'NATIONAL 2020'!$A$3:$M$40, 8, FALSE), VLOOKUP($C46, 'NFI 2020'!$C$3:$J$282, 3, FALSE)), "")</f>
        <v>136042.28977912117</v>
      </c>
      <c r="G46" s="196">
        <f>+IFERROR(IF($D46=0, VLOOKUP($C46, 'NATIONAL 2020'!$A$3:$M$40, 9, FALSE), VLOOKUP($C46, 'NFI 2020'!$C$3:$J$282, 4, FALSE)), "")</f>
        <v>2429.4782104122264</v>
      </c>
      <c r="H46" s="181">
        <f>+IFERROR(IF($D46=0, VLOOKUP($C46, 'NATIONAL 2020'!$A$3:$M$40, 10, FALSE), VLOOKUP($C46, 'NFI 2020'!$C$3:$J$282, 5, FALSE)), "")</f>
        <v>32611254.129171647</v>
      </c>
      <c r="I46" s="213">
        <f>+IFERROR(IF($D46=0, VLOOKUP($C46, 'NATIONAL 2020'!$A$3:$M$40, 13, FALSE), VLOOKUP($C46, 'NFI 2020'!$C$3:$J$282, 8, FALSE)), "")</f>
        <v>235.50832492899653</v>
      </c>
      <c r="J46" s="111">
        <f>+IFERROR(IF($D46=0, VLOOKUP($C46, 'NATIONAL 2020'!$A$3:$M$40, 11, FALSE), VLOOKUP($C46, 'NFI 2020'!$C$3:$J$282, 6, FALSE)), "")</f>
        <v>32097750.861159664</v>
      </c>
      <c r="K46" s="196">
        <f>+IFERROR(IF($D46=0, VLOOKUP($C46, 'NATIONAL 2020'!$A$3:$M$40, 12, FALSE), VLOOKUP($C46, 'NFI 2020'!$C$3:$J$282, 7, FALSE)), "")</f>
        <v>513503.26801197889</v>
      </c>
      <c r="L46" s="14"/>
      <c r="M46" s="70"/>
      <c r="N46" s="70"/>
      <c r="R46" s="8"/>
      <c r="S46" s="8"/>
    </row>
    <row r="47" spans="1:19" x14ac:dyDescent="0.25">
      <c r="A47" s="26" t="s">
        <v>57</v>
      </c>
      <c r="B47" s="108" t="str">
        <f t="shared" si="3"/>
        <v>CZ</v>
      </c>
      <c r="C47" s="108" t="s">
        <v>67</v>
      </c>
      <c r="D47" s="20">
        <f>+VLOOKUP(B47, 'NATIONAL 2020'!$A$3:$B$41, 2, FALSE)</f>
        <v>3</v>
      </c>
      <c r="E47" s="181">
        <f>+IFERROR(IF($D47=0, VLOOKUP($C47, 'NATIONAL 2020'!$A$3:$M$40, 7, FALSE), VLOOKUP($C47, 'NFI 2020'!$C$3:$J$282, 2, FALSE)), "")</f>
        <v>209124.76072103504</v>
      </c>
      <c r="F47" s="111">
        <f>+IFERROR(IF($D47=0, VLOOKUP($C47, 'NATIONAL 2020'!$A$3:$M$40, 8, FALSE), VLOOKUP($C47, 'NFI 2020'!$C$3:$J$282, 3, FALSE)), "")</f>
        <v>206695.28251062281</v>
      </c>
      <c r="G47" s="196">
        <f>+IFERROR(IF($D47=0, VLOOKUP($C47, 'NATIONAL 2020'!$A$3:$M$40, 9, FALSE), VLOOKUP($C47, 'NFI 2020'!$C$3:$J$282, 4, FALSE)), "")</f>
        <v>2429.4782104122264</v>
      </c>
      <c r="H47" s="181">
        <f>+IFERROR(IF($D47=0, VLOOKUP($C47, 'NATIONAL 2020'!$A$3:$M$40, 10, FALSE), VLOOKUP($C47, 'NFI 2020'!$C$3:$J$282, 5, FALSE)), "")</f>
        <v>48702696.402165949</v>
      </c>
      <c r="I47" s="213">
        <f>+IFERROR(IF($D47=0, VLOOKUP($C47, 'NATIONAL 2020'!$A$3:$M$40, 13, FALSE), VLOOKUP($C47, 'NFI 2020'!$C$3:$J$282, 8, FALSE)), "")</f>
        <v>232.88823491893245</v>
      </c>
      <c r="J47" s="111">
        <f>+IFERROR(IF($D47=0, VLOOKUP($C47, 'NATIONAL 2020'!$A$3:$M$40, 11, FALSE), VLOOKUP($C47, 'NFI 2020'!$C$3:$J$282, 6, FALSE)), "")</f>
        <v>48075258.606346913</v>
      </c>
      <c r="K47" s="196">
        <f>+IFERROR(IF($D47=0, VLOOKUP($C47, 'NATIONAL 2020'!$A$3:$M$40, 12, FALSE), VLOOKUP($C47, 'NFI 2020'!$C$3:$J$282, 7, FALSE)), "")</f>
        <v>627437.79581903946</v>
      </c>
      <c r="L47" s="14"/>
      <c r="M47" s="70"/>
      <c r="N47" s="70"/>
      <c r="R47" s="8"/>
      <c r="S47" s="8"/>
    </row>
    <row r="48" spans="1:19" x14ac:dyDescent="0.25">
      <c r="A48" s="26" t="s">
        <v>57</v>
      </c>
      <c r="B48" s="108" t="str">
        <f t="shared" si="3"/>
        <v>CZ</v>
      </c>
      <c r="C48" s="108" t="s">
        <v>68</v>
      </c>
      <c r="D48" s="20">
        <f>+VLOOKUP(B48, 'NATIONAL 2020'!$A$3:$B$41, 2, FALSE)</f>
        <v>3</v>
      </c>
      <c r="E48" s="181">
        <f>+IFERROR(IF($D48=0, VLOOKUP($C48, 'NATIONAL 2020'!$A$3:$M$40, 7, FALSE), VLOOKUP($C48, 'NFI 2020'!$C$3:$J$282, 2, FALSE)), "")</f>
        <v>206492.9873528129</v>
      </c>
      <c r="F48" s="111">
        <f>+IFERROR(IF($D48=0, VLOOKUP($C48, 'NATIONAL 2020'!$A$3:$M$40, 8, FALSE), VLOOKUP($C48, 'NFI 2020'!$C$3:$J$282, 3, FALSE)), "")</f>
        <v>198192.27013390447</v>
      </c>
      <c r="G48" s="196">
        <f>+IFERROR(IF($D48=0, VLOOKUP($C48, 'NATIONAL 2020'!$A$3:$M$40, 9, FALSE), VLOOKUP($C48, 'NFI 2020'!$C$3:$J$282, 4, FALSE)), "")</f>
        <v>8300.7172189084467</v>
      </c>
      <c r="H48" s="181">
        <f>+IFERROR(IF($D48=0, VLOOKUP($C48, 'NATIONAL 2020'!$A$3:$M$40, 10, FALSE), VLOOKUP($C48, 'NFI 2020'!$C$3:$J$282, 5, FALSE)), "")</f>
        <v>39505274.888571821</v>
      </c>
      <c r="I48" s="213">
        <f>+IFERROR(IF($D48=0, VLOOKUP($C48, 'NATIONAL 2020'!$A$3:$M$40, 13, FALSE), VLOOKUP($C48, 'NFI 2020'!$C$3:$J$282, 8, FALSE)), "")</f>
        <v>191.31533421555525</v>
      </c>
      <c r="J48" s="111">
        <f>+IFERROR(IF($D48=0, VLOOKUP($C48, 'NATIONAL 2020'!$A$3:$M$40, 11, FALSE), VLOOKUP($C48, 'NFI 2020'!$C$3:$J$282, 6, FALSE)), "")</f>
        <v>37957629.357551925</v>
      </c>
      <c r="K48" s="196">
        <f>+IFERROR(IF($D48=0, VLOOKUP($C48, 'NATIONAL 2020'!$A$3:$M$40, 12, FALSE), VLOOKUP($C48, 'NFI 2020'!$C$3:$J$282, 7, FALSE)), "")</f>
        <v>1547645.5310198953</v>
      </c>
      <c r="L48" s="14"/>
      <c r="M48" s="70"/>
      <c r="N48" s="70"/>
      <c r="R48" s="8"/>
      <c r="S48" s="8"/>
    </row>
    <row r="49" spans="1:19" x14ac:dyDescent="0.25">
      <c r="A49" s="26" t="s">
        <v>57</v>
      </c>
      <c r="B49" s="108" t="str">
        <f t="shared" si="3"/>
        <v>CZ</v>
      </c>
      <c r="C49" s="108" t="s">
        <v>69</v>
      </c>
      <c r="D49" s="20">
        <f>+VLOOKUP(B49, 'NATIONAL 2020'!$A$3:$B$41, 2, FALSE)</f>
        <v>3</v>
      </c>
      <c r="E49" s="181">
        <f>+IFERROR(IF($D49=0, VLOOKUP($C49, 'NATIONAL 2020'!$A$3:$M$40, 7, FALSE), VLOOKUP($C49, 'NFI 2020'!$C$3:$J$282, 2, FALSE)), "")</f>
        <v>184629.02398604449</v>
      </c>
      <c r="F49" s="111">
        <f>+IFERROR(IF($D49=0, VLOOKUP($C49, 'NATIONAL 2020'!$A$3:$M$40, 8, FALSE), VLOOKUP($C49, 'NFI 2020'!$C$3:$J$282, 3, FALSE)), "")</f>
        <v>178555.32846001393</v>
      </c>
      <c r="G49" s="196">
        <f>+IFERROR(IF($D49=0, VLOOKUP($C49, 'NATIONAL 2020'!$A$3:$M$40, 9, FALSE), VLOOKUP($C49, 'NFI 2020'!$C$3:$J$282, 4, FALSE)), "")</f>
        <v>6073.6955260305722</v>
      </c>
      <c r="H49" s="181">
        <f>+IFERROR(IF($D49=0, VLOOKUP($C49, 'NATIONAL 2020'!$A$3:$M$40, 10, FALSE), VLOOKUP($C49, 'NFI 2020'!$C$3:$J$282, 5, FALSE)), "")</f>
        <v>41894792.239491567</v>
      </c>
      <c r="I49" s="213">
        <f>+IFERROR(IF($D49=0, VLOOKUP($C49, 'NATIONAL 2020'!$A$3:$M$40, 13, FALSE), VLOOKUP($C49, 'NFI 2020'!$C$3:$J$282, 8, FALSE)), "")</f>
        <v>226.91336028867411</v>
      </c>
      <c r="J49" s="111">
        <f>+IFERROR(IF($D49=0, VLOOKUP($C49, 'NATIONAL 2020'!$A$3:$M$40, 11, FALSE), VLOOKUP($C49, 'NFI 2020'!$C$3:$J$282, 6, FALSE)), "")</f>
        <v>40928952.755466633</v>
      </c>
      <c r="K49" s="196">
        <f>+IFERROR(IF($D49=0, VLOOKUP($C49, 'NATIONAL 2020'!$A$3:$M$40, 12, FALSE), VLOOKUP($C49, 'NFI 2020'!$C$3:$J$282, 7, FALSE)), "")</f>
        <v>965839.48402493505</v>
      </c>
      <c r="L49" s="14"/>
      <c r="M49" s="70"/>
      <c r="N49" s="70"/>
      <c r="R49" s="8"/>
      <c r="S49" s="8"/>
    </row>
    <row r="50" spans="1:19" x14ac:dyDescent="0.25">
      <c r="A50" s="26" t="s">
        <v>57</v>
      </c>
      <c r="B50" s="108" t="str">
        <f t="shared" si="3"/>
        <v>CZ</v>
      </c>
      <c r="C50" s="108" t="s">
        <v>70</v>
      </c>
      <c r="D50" s="20">
        <f>+VLOOKUP(B50, 'NATIONAL 2020'!$A$3:$B$41, 2, FALSE)</f>
        <v>3</v>
      </c>
      <c r="E50" s="181">
        <f>+IFERROR(IF($D50=0, VLOOKUP($C50, 'NATIONAL 2020'!$A$3:$M$40, 7, FALSE), VLOOKUP($C50, 'NFI 2020'!$C$3:$J$282, 2, FALSE)), "")</f>
        <v>172887.26588166883</v>
      </c>
      <c r="F50" s="111">
        <f>+IFERROR(IF($D50=0, VLOOKUP($C50, 'NATIONAL 2020'!$A$3:$M$40, 8, FALSE), VLOOKUP($C50, 'NFI 2020'!$C$3:$J$282, 3, FALSE)), "")</f>
        <v>170862.70070632533</v>
      </c>
      <c r="G50" s="196">
        <f>+IFERROR(IF($D50=0, VLOOKUP($C50, 'NATIONAL 2020'!$A$3:$M$40, 9, FALSE), VLOOKUP($C50, 'NFI 2020'!$C$3:$J$282, 4, FALSE)), "")</f>
        <v>2024.5651753435236</v>
      </c>
      <c r="H50" s="181">
        <f>+IFERROR(IF($D50=0, VLOOKUP($C50, 'NATIONAL 2020'!$A$3:$M$40, 10, FALSE), VLOOKUP($C50, 'NFI 2020'!$C$3:$J$282, 5, FALSE)), "")</f>
        <v>44026468.478141762</v>
      </c>
      <c r="I50" s="213">
        <f>+IFERROR(IF($D50=0, VLOOKUP($C50, 'NATIONAL 2020'!$A$3:$M$40, 13, FALSE), VLOOKUP($C50, 'NFI 2020'!$C$3:$J$282, 8, FALSE)), "")</f>
        <v>254.65420054867019</v>
      </c>
      <c r="J50" s="111">
        <f>+IFERROR(IF($D50=0, VLOOKUP($C50, 'NATIONAL 2020'!$A$3:$M$40, 11, FALSE), VLOOKUP($C50, 'NFI 2020'!$C$3:$J$282, 6, FALSE)), "")</f>
        <v>43508248.64108859</v>
      </c>
      <c r="K50" s="196">
        <f>+IFERROR(IF($D50=0, VLOOKUP($C50, 'NATIONAL 2020'!$A$3:$M$40, 12, FALSE), VLOOKUP($C50, 'NFI 2020'!$C$3:$J$282, 7, FALSE)), "")</f>
        <v>518219.83705317258</v>
      </c>
      <c r="L50" s="14"/>
      <c r="M50" s="70"/>
      <c r="N50" s="70"/>
      <c r="R50" s="8"/>
      <c r="S50" s="8"/>
    </row>
    <row r="51" spans="1:19" x14ac:dyDescent="0.25">
      <c r="A51" s="26" t="s">
        <v>57</v>
      </c>
      <c r="B51" s="108" t="str">
        <f t="shared" si="3"/>
        <v>CZ</v>
      </c>
      <c r="C51" s="108" t="s">
        <v>71</v>
      </c>
      <c r="D51" s="20">
        <f>+VLOOKUP(B51, 'NATIONAL 2020'!$A$3:$B$41, 2, FALSE)</f>
        <v>3</v>
      </c>
      <c r="E51" s="181">
        <f>+IFERROR(IF($D51=0, VLOOKUP($C51, 'NATIONAL 2020'!$A$3:$M$40, 7, FALSE), VLOOKUP($C51, 'NFI 2020'!$C$3:$J$282, 2, FALSE)), "")</f>
        <v>197180.55851141154</v>
      </c>
      <c r="F51" s="111">
        <f>+IFERROR(IF($D51=0, VLOOKUP($C51, 'NATIONAL 2020'!$A$3:$M$40, 8, FALSE), VLOOKUP($C51, 'NFI 2020'!$C$3:$J$282, 3, FALSE)), "")</f>
        <v>194143.71074839626</v>
      </c>
      <c r="G51" s="196">
        <f>+IFERROR(IF($D51=0, VLOOKUP($C51, 'NATIONAL 2020'!$A$3:$M$40, 9, FALSE), VLOOKUP($C51, 'NFI 2020'!$C$3:$J$282, 4, FALSE)), "")</f>
        <v>3036.8477630152906</v>
      </c>
      <c r="H51" s="181">
        <f>+IFERROR(IF($D51=0, VLOOKUP($C51, 'NATIONAL 2020'!$A$3:$M$40, 10, FALSE), VLOOKUP($C51, 'NFI 2020'!$C$3:$J$282, 5, FALSE)), "")</f>
        <v>45415383.759640388</v>
      </c>
      <c r="I51" s="213">
        <f>+IFERROR(IF($D51=0, VLOOKUP($C51, 'NATIONAL 2020'!$A$3:$M$40, 13, FALSE), VLOOKUP($C51, 'NFI 2020'!$C$3:$J$282, 8, FALSE)), "")</f>
        <v>230.32384177475609</v>
      </c>
      <c r="J51" s="111">
        <f>+IFERROR(IF($D51=0, VLOOKUP($C51, 'NATIONAL 2020'!$A$3:$M$40, 11, FALSE), VLOOKUP($C51, 'NFI 2020'!$C$3:$J$282, 6, FALSE)), "")</f>
        <v>44668835.63745328</v>
      </c>
      <c r="K51" s="196">
        <f>+IFERROR(IF($D51=0, VLOOKUP($C51, 'NATIONAL 2020'!$A$3:$M$40, 12, FALSE), VLOOKUP($C51, 'NFI 2020'!$C$3:$J$282, 7, FALSE)), "")</f>
        <v>746548.1221871064</v>
      </c>
      <c r="L51" s="14"/>
      <c r="M51" s="70"/>
      <c r="N51" s="70"/>
      <c r="R51" s="8"/>
      <c r="S51" s="8"/>
    </row>
    <row r="52" spans="1:19" x14ac:dyDescent="0.25">
      <c r="A52" s="26" t="s">
        <v>72</v>
      </c>
      <c r="B52" t="s">
        <v>9</v>
      </c>
      <c r="C52" t="s">
        <v>9</v>
      </c>
      <c r="D52" s="20">
        <v>0</v>
      </c>
      <c r="E52" s="181">
        <f>+IFERROR(IF($D52=0, VLOOKUP($C52, 'NATIONAL 2020'!$A$3:$M$40, 7, FALSE), VLOOKUP($C52, 'NFI 2020'!$C$3:$J$282, 2, FALSE)), "")</f>
        <v>10603996.323230248</v>
      </c>
      <c r="F52" s="111">
        <f>+IFERROR(IF($D52=0, VLOOKUP($C52, 'NATIONAL 2020'!$A$3:$M$40, 8, FALSE), VLOOKUP($C52, 'NFI 2020'!$C$3:$J$282, 3, FALSE)), "")</f>
        <v>9946360.8678208813</v>
      </c>
      <c r="G52" s="196">
        <f>+IFERROR(IF($D52=0, VLOOKUP($C52, 'NATIONAL 2020'!$A$3:$M$40, 9, FALSE), VLOOKUP($C52, 'NFI 2020'!$C$3:$J$282, 4, FALSE)), "")</f>
        <v>657635.45540936431</v>
      </c>
      <c r="H52" s="181">
        <f>+IFERROR(IF($D52=0, VLOOKUP($C52, 'NATIONAL 2020'!$A$3:$M$40, 10, FALSE), VLOOKUP($C52, 'NFI 2020'!$C$3:$J$282, 5, FALSE)), "")</f>
        <v>2165701589.0314331</v>
      </c>
      <c r="I52" s="213">
        <f>+IFERROR(IF($D52=0, VLOOKUP($C52, 'NATIONAL 2020'!$A$3:$M$40, 13, FALSE), VLOOKUP($C52, 'NFI 2020'!$C$3:$J$282, 8, FALSE)), "")</f>
        <v>204.23447189311219</v>
      </c>
      <c r="J52" s="111">
        <f>+IFERROR(IF($D52=0, VLOOKUP($C52, 'NATIONAL 2020'!$A$3:$M$40, 11, FALSE), VLOOKUP($C52, 'NFI 2020'!$C$3:$J$282, 6, FALSE)), "")</f>
        <v>2038877123.6226876</v>
      </c>
      <c r="K52" s="196">
        <f>+IFERROR(IF($D52=0, VLOOKUP($C52, 'NATIONAL 2020'!$A$3:$M$40, 12, FALSE), VLOOKUP($C52, 'NFI 2020'!$C$3:$J$282, 7, FALSE)), "")</f>
        <v>126824465.40874538</v>
      </c>
      <c r="L52" s="14"/>
      <c r="M52" s="70"/>
      <c r="N52" s="70"/>
      <c r="O52" s="5"/>
      <c r="R52" s="8"/>
      <c r="S52" s="8"/>
    </row>
    <row r="53" spans="1:19" x14ac:dyDescent="0.25">
      <c r="A53" s="26" t="s">
        <v>72</v>
      </c>
      <c r="B53" s="108" t="str">
        <f t="shared" ref="B53:B68" si="4">+LEFT(C53, 2)</f>
        <v>DE</v>
      </c>
      <c r="C53" s="108" t="s">
        <v>73</v>
      </c>
      <c r="D53" s="20">
        <f>+VLOOKUP(B53, 'NATIONAL 2020'!$A$3:$B$41, 2, FALSE)</f>
        <v>2</v>
      </c>
      <c r="E53" s="181">
        <f>+IFERROR(IF($D53=0, VLOOKUP($C53, 'NATIONAL 2020'!$A$3:$M$40, 7, FALSE), VLOOKUP($C53, 'NFI 2020'!$C$3:$J$282, 2, FALSE)), "")</f>
        <v>1330566.9946075906</v>
      </c>
      <c r="F53" s="111">
        <f>+IFERROR(IF($D53=0, VLOOKUP($C53, 'NATIONAL 2020'!$A$3:$M$40, 8, FALSE), VLOOKUP($C53, 'NFI 2020'!$C$3:$J$282, 3, FALSE)), "")</f>
        <v>1314570.0126489843</v>
      </c>
      <c r="G53" s="196">
        <f>+IFERROR(IF($D53=0, VLOOKUP($C53, 'NATIONAL 2020'!$A$3:$M$40, 9, FALSE), VLOOKUP($C53, 'NFI 2020'!$C$3:$J$282, 4, FALSE)), "")</f>
        <v>15996.981958606242</v>
      </c>
      <c r="H53" s="181">
        <f>+IFERROR(IF($D53=0, VLOOKUP($C53, 'NATIONAL 2020'!$A$3:$M$40, 10, FALSE), VLOOKUP($C53, 'NFI 2020'!$C$3:$J$282, 5, FALSE)), "")</f>
        <v>311515336.46726853</v>
      </c>
      <c r="I53" s="213">
        <f>+IFERROR(IF($D53=0, VLOOKUP($C53, 'NATIONAL 2020'!$A$3:$M$40, 13, FALSE), VLOOKUP($C53, 'NFI 2020'!$C$3:$J$282, 8, FALSE)), "")</f>
        <v>234.12224843224845</v>
      </c>
      <c r="J53" s="111">
        <f>+IFERROR(IF($D53=0, VLOOKUP($C53, 'NATIONAL 2020'!$A$3:$M$40, 11, FALSE), VLOOKUP($C53, 'NFI 2020'!$C$3:$J$282, 6, FALSE)), "")</f>
        <v>307297870.82444787</v>
      </c>
      <c r="K53" s="196">
        <f>+IFERROR(IF($D53=0, VLOOKUP($C53, 'NATIONAL 2020'!$A$3:$M$40, 12, FALSE), VLOOKUP($C53, 'NFI 2020'!$C$3:$J$282, 7, FALSE)), "")</f>
        <v>4217465.642820687</v>
      </c>
      <c r="L53" s="14"/>
      <c r="M53" s="70"/>
      <c r="N53" s="70"/>
      <c r="R53" s="8"/>
      <c r="S53" s="8"/>
    </row>
    <row r="54" spans="1:19" x14ac:dyDescent="0.25">
      <c r="A54" s="26" t="s">
        <v>72</v>
      </c>
      <c r="B54" s="108" t="str">
        <f t="shared" si="4"/>
        <v>DE</v>
      </c>
      <c r="C54" s="108" t="s">
        <v>74</v>
      </c>
      <c r="D54" s="20">
        <f>+VLOOKUP(B54, 'NATIONAL 2020'!$A$3:$B$41, 2, FALSE)</f>
        <v>2</v>
      </c>
      <c r="E54" s="181">
        <f>+IFERROR(IF($D54=0, VLOOKUP($C54, 'NATIONAL 2020'!$A$3:$M$40, 7, FALSE), VLOOKUP($C54, 'NFI 2020'!$C$3:$J$282, 2, FALSE)), "")</f>
        <v>2441113.2867653873</v>
      </c>
      <c r="F54" s="111">
        <f>+IFERROR(IF($D54=0, VLOOKUP($C54, 'NATIONAL 2020'!$A$3:$M$40, 8, FALSE), VLOOKUP($C54, 'NFI 2020'!$C$3:$J$282, 3, FALSE)), "")</f>
        <v>2294626.5203255475</v>
      </c>
      <c r="G54" s="196">
        <f>+IFERROR(IF($D54=0, VLOOKUP($C54, 'NATIONAL 2020'!$A$3:$M$40, 9, FALSE), VLOOKUP($C54, 'NFI 2020'!$C$3:$J$282, 4, FALSE)), "")</f>
        <v>146486.76643983991</v>
      </c>
      <c r="H54" s="181">
        <f>+IFERROR(IF($D54=0, VLOOKUP($C54, 'NATIONAL 2020'!$A$3:$M$40, 10, FALSE), VLOOKUP($C54, 'NFI 2020'!$C$3:$J$282, 5, FALSE)), "")</f>
        <v>595571492.116117</v>
      </c>
      <c r="I54" s="213">
        <f>+IFERROR(IF($D54=0, VLOOKUP($C54, 'NATIONAL 2020'!$A$3:$M$40, 13, FALSE), VLOOKUP($C54, 'NFI 2020'!$C$3:$J$282, 8, FALSE)), "")</f>
        <v>243.97535966275566</v>
      </c>
      <c r="J54" s="111">
        <f>+IFERROR(IF($D54=0, VLOOKUP($C54, 'NATIONAL 2020'!$A$3:$M$40, 11, FALSE), VLOOKUP($C54, 'NFI 2020'!$C$3:$J$282, 6, FALSE)), "")</f>
        <v>565306402.60536301</v>
      </c>
      <c r="K54" s="196">
        <f>+IFERROR(IF($D54=0, VLOOKUP($C54, 'NATIONAL 2020'!$A$3:$M$40, 12, FALSE), VLOOKUP($C54, 'NFI 2020'!$C$3:$J$282, 7, FALSE)), "")</f>
        <v>30265089.510753982</v>
      </c>
      <c r="L54" s="14"/>
      <c r="M54" s="70"/>
      <c r="N54" s="70"/>
      <c r="R54" s="8"/>
      <c r="S54" s="8"/>
    </row>
    <row r="55" spans="1:19" x14ac:dyDescent="0.25">
      <c r="A55" s="26" t="s">
        <v>72</v>
      </c>
      <c r="B55" s="108" t="str">
        <f t="shared" si="4"/>
        <v>DE</v>
      </c>
      <c r="C55" s="108" t="s">
        <v>75</v>
      </c>
      <c r="D55" s="20">
        <f>+VLOOKUP(B55, 'NATIONAL 2020'!$A$3:$B$41, 2, FALSE)</f>
        <v>2</v>
      </c>
      <c r="E55" s="181">
        <f>+IFERROR(IF($D55=0, VLOOKUP($C55, 'NATIONAL 2020'!$A$3:$M$40, 7, FALSE), VLOOKUP($C55, 'NFI 2020'!$C$3:$J$282, 2, FALSE)), "")</f>
        <v>14011.174943100217</v>
      </c>
      <c r="F55" s="111">
        <f>+IFERROR(IF($D55=0, VLOOKUP($C55, 'NATIONAL 2020'!$A$3:$M$40, 8, FALSE), VLOOKUP($C55, 'NFI 2020'!$C$3:$J$282, 3, FALSE)), "")</f>
        <v>11286.77500613548</v>
      </c>
      <c r="G55" s="196">
        <f>+IFERROR(IF($D55=0, VLOOKUP($C55, 'NATIONAL 2020'!$A$3:$M$40, 9, FALSE), VLOOKUP($C55, 'NFI 2020'!$C$3:$J$282, 4, FALSE)), "")</f>
        <v>2724.3999369647354</v>
      </c>
      <c r="H55" s="181">
        <f>+IFERROR(IF($D55=0, VLOOKUP($C55, 'NATIONAL 2020'!$A$3:$M$40, 10, FALSE), VLOOKUP($C55, 'NFI 2020'!$C$3:$J$282, 5, FALSE)), "")</f>
        <v>2733887.6312724384</v>
      </c>
      <c r="I55" s="213">
        <f>+IFERROR(IF($D55=0, VLOOKUP($C55, 'NATIONAL 2020'!$A$3:$M$40, 13, FALSE), VLOOKUP($C55, 'NFI 2020'!$C$3:$J$282, 8, FALSE)), "")</f>
        <v>195.12193962139753</v>
      </c>
      <c r="J55" s="111">
        <f>+IFERROR(IF($D55=0, VLOOKUP($C55, 'NATIONAL 2020'!$A$3:$M$40, 11, FALSE), VLOOKUP($C55, 'NFI 2020'!$C$3:$J$282, 6, FALSE)), "")</f>
        <v>2196998.2697035093</v>
      </c>
      <c r="K55" s="196">
        <f>+IFERROR(IF($D55=0, VLOOKUP($C55, 'NATIONAL 2020'!$A$3:$M$40, 12, FALSE), VLOOKUP($C55, 'NFI 2020'!$C$3:$J$282, 7, FALSE)), "")</f>
        <v>536889.36156892928</v>
      </c>
      <c r="L55" s="14"/>
      <c r="M55" s="70"/>
      <c r="N55" s="70"/>
      <c r="R55" s="8"/>
      <c r="S55" s="8"/>
    </row>
    <row r="56" spans="1:19" x14ac:dyDescent="0.25">
      <c r="A56" s="26" t="s">
        <v>72</v>
      </c>
      <c r="B56" s="108" t="str">
        <f t="shared" si="4"/>
        <v>DE</v>
      </c>
      <c r="C56" s="108" t="s">
        <v>76</v>
      </c>
      <c r="D56" s="20">
        <f>+VLOOKUP(B56, 'NATIONAL 2020'!$A$3:$B$41, 2, FALSE)</f>
        <v>2</v>
      </c>
      <c r="E56" s="181">
        <f>+IFERROR(IF($D56=0, VLOOKUP($C56, 'NATIONAL 2020'!$A$3:$M$40, 7, FALSE), VLOOKUP($C56, 'NFI 2020'!$C$3:$J$282, 2, FALSE)), "")</f>
        <v>979391.14668576221</v>
      </c>
      <c r="F56" s="111">
        <f>+IFERROR(IF($D56=0, VLOOKUP($C56, 'NATIONAL 2020'!$A$3:$M$40, 8, FALSE), VLOOKUP($C56, 'NFI 2020'!$C$3:$J$282, 3, FALSE)), "")</f>
        <v>930937.89034108224</v>
      </c>
      <c r="G56" s="196">
        <f>+IFERROR(IF($D56=0, VLOOKUP($C56, 'NATIONAL 2020'!$A$3:$M$40, 9, FALSE), VLOOKUP($C56, 'NFI 2020'!$C$3:$J$282, 4, FALSE)), "")</f>
        <v>48453.256344680085</v>
      </c>
      <c r="H56" s="181">
        <f>+IFERROR(IF($D56=0, VLOOKUP($C56, 'NATIONAL 2020'!$A$3:$M$40, 10, FALSE), VLOOKUP($C56, 'NFI 2020'!$C$3:$J$282, 5, FALSE)), "")</f>
        <v>143831765.42320916</v>
      </c>
      <c r="I56" s="213">
        <f>+IFERROR(IF($D56=0, VLOOKUP($C56, 'NATIONAL 2020'!$A$3:$M$40, 13, FALSE), VLOOKUP($C56, 'NFI 2020'!$C$3:$J$282, 8, FALSE)), "")</f>
        <v>146.85834756617174</v>
      </c>
      <c r="J56" s="111">
        <f>+IFERROR(IF($D56=0, VLOOKUP($C56, 'NATIONAL 2020'!$A$3:$M$40, 11, FALSE), VLOOKUP($C56, 'NFI 2020'!$C$3:$J$282, 6, FALSE)), "")</f>
        <v>135433431.56906059</v>
      </c>
      <c r="K56" s="196">
        <f>+IFERROR(IF($D56=0, VLOOKUP($C56, 'NATIONAL 2020'!$A$3:$M$40, 12, FALSE), VLOOKUP($C56, 'NFI 2020'!$C$3:$J$282, 7, FALSE)), "")</f>
        <v>8398333.8541485686</v>
      </c>
      <c r="L56" s="14"/>
      <c r="M56" s="70"/>
      <c r="N56" s="70"/>
      <c r="R56" s="8"/>
      <c r="S56" s="8"/>
    </row>
    <row r="57" spans="1:19" x14ac:dyDescent="0.25">
      <c r="A57" s="26" t="s">
        <v>72</v>
      </c>
      <c r="B57" s="108" t="str">
        <f t="shared" si="4"/>
        <v>DE</v>
      </c>
      <c r="C57" s="108" t="s">
        <v>77</v>
      </c>
      <c r="D57" s="20">
        <f>+VLOOKUP(B57, 'NATIONAL 2020'!$A$3:$B$41, 2, FALSE)</f>
        <v>2</v>
      </c>
      <c r="E57" s="181">
        <f>+IFERROR(IF($D57=0, VLOOKUP($C57, 'NATIONAL 2020'!$A$3:$M$40, 7, FALSE), VLOOKUP($C57, 'NFI 2020'!$C$3:$J$282, 2, FALSE)), "")</f>
        <v>3251.7793775505156</v>
      </c>
      <c r="F57" s="111">
        <f>+IFERROR(IF($D57=0, VLOOKUP($C57, 'NATIONAL 2020'!$A$3:$M$40, 8, FALSE), VLOOKUP($C57, 'NFI 2020'!$C$3:$J$282, 3, FALSE)), "")</f>
        <v>2032.3621109690723</v>
      </c>
      <c r="G57" s="196">
        <f>+IFERROR(IF($D57=0, VLOOKUP($C57, 'NATIONAL 2020'!$A$3:$M$40, 9, FALSE), VLOOKUP($C57, 'NFI 2020'!$C$3:$J$282, 4, FALSE)), "")</f>
        <v>1219.4172665814433</v>
      </c>
      <c r="H57" s="181">
        <f>+IFERROR(IF($D57=0, VLOOKUP($C57, 'NATIONAL 2020'!$A$3:$M$40, 10, FALSE), VLOOKUP($C57, 'NFI 2020'!$C$3:$J$282, 5, FALSE)), "")</f>
        <v>761215.15755618794</v>
      </c>
      <c r="I57" s="213">
        <f>+IFERROR(IF($D57=0, VLOOKUP($C57, 'NATIONAL 2020'!$A$3:$M$40, 13, FALSE), VLOOKUP($C57, 'NFI 2020'!$C$3:$J$282, 8, FALSE)), "")</f>
        <v>234.09188298918124</v>
      </c>
      <c r="J57" s="111">
        <f>+IFERROR(IF($D57=0, VLOOKUP($C57, 'NATIONAL 2020'!$A$3:$M$40, 11, FALSE), VLOOKUP($C57, 'NFI 2020'!$C$3:$J$282, 6, FALSE)), "")</f>
        <v>699536.52756604564</v>
      </c>
      <c r="K57" s="196">
        <f>+IFERROR(IF($D57=0, VLOOKUP($C57, 'NATIONAL 2020'!$A$3:$M$40, 12, FALSE), VLOOKUP($C57, 'NFI 2020'!$C$3:$J$282, 7, FALSE)), "")</f>
        <v>61678.62999014221</v>
      </c>
      <c r="L57" s="14"/>
      <c r="M57" s="70"/>
      <c r="N57" s="70"/>
      <c r="R57" s="8"/>
      <c r="S57" s="8"/>
    </row>
    <row r="58" spans="1:19" x14ac:dyDescent="0.25">
      <c r="A58" s="26" t="s">
        <v>72</v>
      </c>
      <c r="B58" s="108" t="str">
        <f t="shared" si="4"/>
        <v>DE</v>
      </c>
      <c r="C58" s="108" t="s">
        <v>78</v>
      </c>
      <c r="D58" s="20">
        <f>+VLOOKUP(B58, 'NATIONAL 2020'!$A$3:$B$41, 2, FALSE)</f>
        <v>2</v>
      </c>
      <c r="E58" s="181">
        <f>+IFERROR(IF($D58=0, VLOOKUP($C58, 'NATIONAL 2020'!$A$3:$M$40, 7, FALSE), VLOOKUP($C58, 'NFI 2020'!$C$3:$J$282, 2, FALSE)), "")</f>
        <v>1967.6686825400004</v>
      </c>
      <c r="F58" s="111">
        <f>+IFERROR(IF($D58=0, VLOOKUP($C58, 'NATIONAL 2020'!$A$3:$M$40, 8, FALSE), VLOOKUP($C58, 'NFI 2020'!$C$3:$J$282, 3, FALSE)), "")</f>
        <v>1180.5965725437995</v>
      </c>
      <c r="G58" s="196">
        <f>+IFERROR(IF($D58=0, VLOOKUP($C58, 'NATIONAL 2020'!$A$3:$M$40, 9, FALSE), VLOOKUP($C58, 'NFI 2020'!$C$3:$J$282, 4, FALSE)), "")</f>
        <v>787.07210999620111</v>
      </c>
      <c r="H58" s="181">
        <f>+IFERROR(IF($D58=0, VLOOKUP($C58, 'NATIONAL 2020'!$A$3:$M$40, 10, FALSE), VLOOKUP($C58, 'NFI 2020'!$C$3:$J$282, 5, FALSE)), "")</f>
        <v>397126.88013338036</v>
      </c>
      <c r="I58" s="213">
        <f>+IFERROR(IF($D58=0, VLOOKUP($C58, 'NATIONAL 2020'!$A$3:$M$40, 13, FALSE), VLOOKUP($C58, 'NFI 2020'!$C$3:$J$282, 8, FALSE)), "")</f>
        <v>201.8260917893667</v>
      </c>
      <c r="J58" s="111">
        <f>+IFERROR(IF($D58=0, VLOOKUP($C58, 'NATIONAL 2020'!$A$3:$M$40, 11, FALSE), VLOOKUP($C58, 'NFI 2020'!$C$3:$J$282, 6, FALSE)), "")</f>
        <v>316672.54360487818</v>
      </c>
      <c r="K58" s="196">
        <f>+IFERROR(IF($D58=0, VLOOKUP($C58, 'NATIONAL 2020'!$A$3:$M$40, 12, FALSE), VLOOKUP($C58, 'NFI 2020'!$C$3:$J$282, 7, FALSE)), "")</f>
        <v>80454.336528502157</v>
      </c>
      <c r="L58" s="14"/>
      <c r="M58" s="70"/>
      <c r="N58" s="70"/>
      <c r="R58" s="8"/>
      <c r="S58" s="8"/>
    </row>
    <row r="59" spans="1:19" x14ac:dyDescent="0.25">
      <c r="A59" s="26" t="s">
        <v>72</v>
      </c>
      <c r="B59" s="108" t="str">
        <f t="shared" si="4"/>
        <v>DE</v>
      </c>
      <c r="C59" s="108" t="s">
        <v>79</v>
      </c>
      <c r="D59" s="20">
        <f>+VLOOKUP(B59, 'NATIONAL 2020'!$A$3:$B$41, 2, FALSE)</f>
        <v>2</v>
      </c>
      <c r="E59" s="181">
        <f>+IFERROR(IF($D59=0, VLOOKUP($C59, 'NATIONAL 2020'!$A$3:$M$40, 7, FALSE), VLOOKUP($C59, 'NFI 2020'!$C$3:$J$282, 2, FALSE)), "")</f>
        <v>836008.11707434966</v>
      </c>
      <c r="F59" s="111">
        <f>+IFERROR(IF($D59=0, VLOOKUP($C59, 'NATIONAL 2020'!$A$3:$M$40, 8, FALSE), VLOOKUP($C59, 'NFI 2020'!$C$3:$J$282, 3, FALSE)), "")</f>
        <v>797002.45108305593</v>
      </c>
      <c r="G59" s="196">
        <f>+IFERROR(IF($D59=0, VLOOKUP($C59, 'NATIONAL 2020'!$A$3:$M$40, 9, FALSE), VLOOKUP($C59, 'NFI 2020'!$C$3:$J$282, 4, FALSE)), "")</f>
        <v>39005.665991293856</v>
      </c>
      <c r="H59" s="181">
        <f>+IFERROR(IF($D59=0, VLOOKUP($C59, 'NATIONAL 2020'!$A$3:$M$40, 10, FALSE), VLOOKUP($C59, 'NFI 2020'!$C$3:$J$282, 5, FALSE)), "")</f>
        <v>183961419.62149021</v>
      </c>
      <c r="I59" s="213">
        <f>+IFERROR(IF($D59=0, VLOOKUP($C59, 'NATIONAL 2020'!$A$3:$M$40, 13, FALSE), VLOOKUP($C59, 'NFI 2020'!$C$3:$J$282, 8, FALSE)), "")</f>
        <v>220.04740846927658</v>
      </c>
      <c r="J59" s="111">
        <f>+IFERROR(IF($D59=0, VLOOKUP($C59, 'NATIONAL 2020'!$A$3:$M$40, 11, FALSE), VLOOKUP($C59, 'NFI 2020'!$C$3:$J$282, 6, FALSE)), "")</f>
        <v>173792370.77246401</v>
      </c>
      <c r="K59" s="196">
        <f>+IFERROR(IF($D59=0, VLOOKUP($C59, 'NATIONAL 2020'!$A$3:$M$40, 12, FALSE), VLOOKUP($C59, 'NFI 2020'!$C$3:$J$282, 7, FALSE)), "")</f>
        <v>10169048.849026198</v>
      </c>
      <c r="L59" s="14"/>
      <c r="M59" s="70"/>
      <c r="N59" s="70"/>
      <c r="R59" s="8"/>
      <c r="S59" s="8"/>
    </row>
    <row r="60" spans="1:19" x14ac:dyDescent="0.25">
      <c r="A60" s="26" t="s">
        <v>72</v>
      </c>
      <c r="B60" s="108" t="str">
        <f t="shared" si="4"/>
        <v>DE</v>
      </c>
      <c r="C60" s="108" t="s">
        <v>80</v>
      </c>
      <c r="D60" s="20">
        <f>+VLOOKUP(B60, 'NATIONAL 2020'!$A$3:$B$41, 2, FALSE)</f>
        <v>2</v>
      </c>
      <c r="E60" s="181">
        <f>+IFERROR(IF($D60=0, VLOOKUP($C60, 'NATIONAL 2020'!$A$3:$M$40, 7, FALSE), VLOOKUP($C60, 'NFI 2020'!$C$3:$J$282, 2, FALSE)), "")</f>
        <v>503397.05155995826</v>
      </c>
      <c r="F60" s="111">
        <f>+IFERROR(IF($D60=0, VLOOKUP($C60, 'NATIONAL 2020'!$A$3:$M$40, 8, FALSE), VLOOKUP($C60, 'NFI 2020'!$C$3:$J$282, 3, FALSE)), "")</f>
        <v>435432.46534417034</v>
      </c>
      <c r="G60" s="196">
        <f>+IFERROR(IF($D60=0, VLOOKUP($C60, 'NATIONAL 2020'!$A$3:$M$40, 9, FALSE), VLOOKUP($C60, 'NFI 2020'!$C$3:$J$282, 4, FALSE)), "")</f>
        <v>67964.586215787858</v>
      </c>
      <c r="H60" s="181">
        <f>+IFERROR(IF($D60=0, VLOOKUP($C60, 'NATIONAL 2020'!$A$3:$M$40, 10, FALSE), VLOOKUP($C60, 'NFI 2020'!$C$3:$J$282, 5, FALSE)), "")</f>
        <v>93983238.098174781</v>
      </c>
      <c r="I60" s="213">
        <f>+IFERROR(IF($D60=0, VLOOKUP($C60, 'NATIONAL 2020'!$A$3:$M$40, 13, FALSE), VLOOKUP($C60, 'NFI 2020'!$C$3:$J$282, 8, FALSE)), "")</f>
        <v>186.69803052467958</v>
      </c>
      <c r="J60" s="111">
        <f>+IFERROR(IF($D60=0, VLOOKUP($C60, 'NATIONAL 2020'!$A$3:$M$40, 11, FALSE), VLOOKUP($C60, 'NFI 2020'!$C$3:$J$282, 6, FALSE)), "")</f>
        <v>80835923.509832487</v>
      </c>
      <c r="K60" s="196">
        <f>+IFERROR(IF($D60=0, VLOOKUP($C60, 'NATIONAL 2020'!$A$3:$M$40, 12, FALSE), VLOOKUP($C60, 'NFI 2020'!$C$3:$J$282, 7, FALSE)), "")</f>
        <v>13147314.588342292</v>
      </c>
      <c r="L60" s="14"/>
      <c r="M60" s="70"/>
      <c r="N60" s="70"/>
      <c r="R60" s="8"/>
      <c r="S60" s="8"/>
    </row>
    <row r="61" spans="1:19" x14ac:dyDescent="0.25">
      <c r="A61" s="26" t="s">
        <v>72</v>
      </c>
      <c r="B61" s="108" t="str">
        <f t="shared" si="4"/>
        <v>DE</v>
      </c>
      <c r="C61" s="108" t="s">
        <v>81</v>
      </c>
      <c r="D61" s="20">
        <f>+VLOOKUP(B61, 'NATIONAL 2020'!$A$3:$B$41, 2, FALSE)</f>
        <v>2</v>
      </c>
      <c r="E61" s="181">
        <f>+IFERROR(IF($D61=0, VLOOKUP($C61, 'NATIONAL 2020'!$A$3:$M$40, 7, FALSE), VLOOKUP($C61, 'NFI 2020'!$C$3:$J$282, 2, FALSE)), "")</f>
        <v>1107845.8981166906</v>
      </c>
      <c r="F61" s="111">
        <f>+IFERROR(IF($D61=0, VLOOKUP($C61, 'NATIONAL 2020'!$A$3:$M$40, 8, FALSE), VLOOKUP($C61, 'NFI 2020'!$C$3:$J$282, 3, FALSE)), "")</f>
        <v>1034377.4482517972</v>
      </c>
      <c r="G61" s="196">
        <f>+IFERROR(IF($D61=0, VLOOKUP($C61, 'NATIONAL 2020'!$A$3:$M$40, 9, FALSE), VLOOKUP($C61, 'NFI 2020'!$C$3:$J$282, 4, FALSE)), "")</f>
        <v>73468.449864893177</v>
      </c>
      <c r="H61" s="181">
        <f>+IFERROR(IF($D61=0, VLOOKUP($C61, 'NATIONAL 2020'!$A$3:$M$40, 10, FALSE), VLOOKUP($C61, 'NFI 2020'!$C$3:$J$282, 5, FALSE)), "")</f>
        <v>193469748.98217642</v>
      </c>
      <c r="I61" s="213">
        <f>+IFERROR(IF($D61=0, VLOOKUP($C61, 'NATIONAL 2020'!$A$3:$M$40, 13, FALSE), VLOOKUP($C61, 'NFI 2020'!$C$3:$J$282, 8, FALSE)), "")</f>
        <v>174.6359753744361</v>
      </c>
      <c r="J61" s="111">
        <f>+IFERROR(IF($D61=0, VLOOKUP($C61, 'NATIONAL 2020'!$A$3:$M$40, 11, FALSE), VLOOKUP($C61, 'NFI 2020'!$C$3:$J$282, 6, FALSE)), "")</f>
        <v>183661618.53911623</v>
      </c>
      <c r="K61" s="196">
        <f>+IFERROR(IF($D61=0, VLOOKUP($C61, 'NATIONAL 2020'!$A$3:$M$40, 12, FALSE), VLOOKUP($C61, 'NFI 2020'!$C$3:$J$282, 7, FALSE)), "")</f>
        <v>9808130.4430601895</v>
      </c>
      <c r="L61" s="14"/>
      <c r="M61" s="70"/>
      <c r="N61" s="70"/>
      <c r="R61" s="8"/>
      <c r="S61" s="8"/>
    </row>
    <row r="62" spans="1:19" x14ac:dyDescent="0.25">
      <c r="A62" s="26" t="s">
        <v>72</v>
      </c>
      <c r="B62" s="108" t="str">
        <f t="shared" si="4"/>
        <v>DE</v>
      </c>
      <c r="C62" s="108" t="s">
        <v>82</v>
      </c>
      <c r="D62" s="20">
        <f>+VLOOKUP(B62, 'NATIONAL 2020'!$A$3:$B$41, 2, FALSE)</f>
        <v>2</v>
      </c>
      <c r="E62" s="181">
        <f>+IFERROR(IF($D62=0, VLOOKUP($C62, 'NATIONAL 2020'!$A$3:$M$40, 7, FALSE), VLOOKUP($C62, 'NFI 2020'!$C$3:$J$282, 2, FALSE)), "")</f>
        <v>856123.33226838429</v>
      </c>
      <c r="F62" s="111">
        <f>+IFERROR(IF($D62=0, VLOOKUP($C62, 'NATIONAL 2020'!$A$3:$M$40, 8, FALSE), VLOOKUP($C62, 'NFI 2020'!$C$3:$J$282, 3, FALSE)), "")</f>
        <v>780183.35752462025</v>
      </c>
      <c r="G62" s="196">
        <f>+IFERROR(IF($D62=0, VLOOKUP($C62, 'NATIONAL 2020'!$A$3:$M$40, 9, FALSE), VLOOKUP($C62, 'NFI 2020'!$C$3:$J$282, 4, FALSE)), "")</f>
        <v>75939.974743764004</v>
      </c>
      <c r="H62" s="181">
        <f>+IFERROR(IF($D62=0, VLOOKUP($C62, 'NATIONAL 2020'!$A$3:$M$40, 10, FALSE), VLOOKUP($C62, 'NFI 2020'!$C$3:$J$282, 5, FALSE)), "")</f>
        <v>179554835.05611989</v>
      </c>
      <c r="I62" s="213">
        <f>+IFERROR(IF($D62=0, VLOOKUP($C62, 'NATIONAL 2020'!$A$3:$M$40, 13, FALSE), VLOOKUP($C62, 'NFI 2020'!$C$3:$J$282, 8, FALSE)), "")</f>
        <v>209.73010346578386</v>
      </c>
      <c r="J62" s="111">
        <f>+IFERROR(IF($D62=0, VLOOKUP($C62, 'NATIONAL 2020'!$A$3:$M$40, 11, FALSE), VLOOKUP($C62, 'NFI 2020'!$C$3:$J$282, 6, FALSE)), "")</f>
        <v>164446764.25580671</v>
      </c>
      <c r="K62" s="196">
        <f>+IFERROR(IF($D62=0, VLOOKUP($C62, 'NATIONAL 2020'!$A$3:$M$40, 12, FALSE), VLOOKUP($C62, 'NFI 2020'!$C$3:$J$282, 7, FALSE)), "")</f>
        <v>15108070.80031316</v>
      </c>
      <c r="L62" s="14"/>
      <c r="M62" s="70"/>
      <c r="N62" s="70"/>
      <c r="R62" s="8"/>
      <c r="S62" s="8"/>
    </row>
    <row r="63" spans="1:19" x14ac:dyDescent="0.25">
      <c r="A63" s="26" t="s">
        <v>72</v>
      </c>
      <c r="B63" s="108" t="str">
        <f t="shared" si="4"/>
        <v>DE</v>
      </c>
      <c r="C63" s="108" t="s">
        <v>83</v>
      </c>
      <c r="D63" s="20">
        <f>+VLOOKUP(B63, 'NATIONAL 2020'!$A$3:$B$41, 2, FALSE)</f>
        <v>2</v>
      </c>
      <c r="E63" s="181">
        <f>+IFERROR(IF($D63=0, VLOOKUP($C63, 'NATIONAL 2020'!$A$3:$M$40, 7, FALSE), VLOOKUP($C63, 'NFI 2020'!$C$3:$J$282, 2, FALSE)), "")</f>
        <v>810926.54499609</v>
      </c>
      <c r="F63" s="111">
        <f>+IFERROR(IF($D63=0, VLOOKUP($C63, 'NATIONAL 2020'!$A$3:$M$40, 8, FALSE), VLOOKUP($C63, 'NFI 2020'!$C$3:$J$282, 3, FALSE)), "")</f>
        <v>768899.25936975831</v>
      </c>
      <c r="G63" s="196">
        <f>+IFERROR(IF($D63=0, VLOOKUP($C63, 'NATIONAL 2020'!$A$3:$M$40, 9, FALSE), VLOOKUP($C63, 'NFI 2020'!$C$3:$J$282, 4, FALSE)), "")</f>
        <v>42027.285626331584</v>
      </c>
      <c r="H63" s="181">
        <f>+IFERROR(IF($D63=0, VLOOKUP($C63, 'NATIONAL 2020'!$A$3:$M$40, 10, FALSE), VLOOKUP($C63, 'NFI 2020'!$C$3:$J$282, 5, FALSE)), "")</f>
        <v>160316674.33911321</v>
      </c>
      <c r="I63" s="213">
        <f>+IFERROR(IF($D63=0, VLOOKUP($C63, 'NATIONAL 2020'!$A$3:$M$40, 13, FALSE), VLOOKUP($C63, 'NFI 2020'!$C$3:$J$282, 8, FALSE)), "")</f>
        <v>197.69567950187917</v>
      </c>
      <c r="J63" s="111">
        <f>+IFERROR(IF($D63=0, VLOOKUP($C63, 'NATIONAL 2020'!$A$3:$M$40, 11, FALSE), VLOOKUP($C63, 'NFI 2020'!$C$3:$J$282, 6, FALSE)), "")</f>
        <v>153408844.85880885</v>
      </c>
      <c r="K63" s="196">
        <f>+IFERROR(IF($D63=0, VLOOKUP($C63, 'NATIONAL 2020'!$A$3:$M$40, 12, FALSE), VLOOKUP($C63, 'NFI 2020'!$C$3:$J$282, 7, FALSE)), "")</f>
        <v>6907829.4803043306</v>
      </c>
      <c r="L63" s="14"/>
      <c r="M63" s="70"/>
      <c r="N63" s="70"/>
      <c r="R63" s="8"/>
      <c r="S63" s="8"/>
    </row>
    <row r="64" spans="1:19" x14ac:dyDescent="0.25">
      <c r="A64" s="26" t="s">
        <v>72</v>
      </c>
      <c r="B64" s="108" t="str">
        <f t="shared" si="4"/>
        <v>DE</v>
      </c>
      <c r="C64" s="108" t="s">
        <v>84</v>
      </c>
      <c r="D64" s="20">
        <f>+VLOOKUP(B64, 'NATIONAL 2020'!$A$3:$B$41, 2, FALSE)</f>
        <v>2</v>
      </c>
      <c r="E64" s="181">
        <f>+IFERROR(IF($D64=0, VLOOKUP($C64, 'NATIONAL 2020'!$A$3:$M$40, 7, FALSE), VLOOKUP($C64, 'NFI 2020'!$C$3:$J$282, 2, FALSE)), "")</f>
        <v>95734.882284472682</v>
      </c>
      <c r="F64" s="111">
        <f>+IFERROR(IF($D64=0, VLOOKUP($C64, 'NATIONAL 2020'!$A$3:$M$40, 8, FALSE), VLOOKUP($C64, 'NFI 2020'!$C$3:$J$282, 3, FALSE)), "")</f>
        <v>91401.204301645485</v>
      </c>
      <c r="G64" s="196">
        <f>+IFERROR(IF($D64=0, VLOOKUP($C64, 'NATIONAL 2020'!$A$3:$M$40, 9, FALSE), VLOOKUP($C64, 'NFI 2020'!$C$3:$J$282, 4, FALSE)), "")</f>
        <v>4333.677982827192</v>
      </c>
      <c r="H64" s="181">
        <f>+IFERROR(IF($D64=0, VLOOKUP($C64, 'NATIONAL 2020'!$A$3:$M$40, 10, FALSE), VLOOKUP($C64, 'NFI 2020'!$C$3:$J$282, 5, FALSE)), "")</f>
        <v>17197188.979288917</v>
      </c>
      <c r="I64" s="213">
        <f>+IFERROR(IF($D64=0, VLOOKUP($C64, 'NATIONAL 2020'!$A$3:$M$40, 13, FALSE), VLOOKUP($C64, 'NFI 2020'!$C$3:$J$282, 8, FALSE)), "")</f>
        <v>179.63346868895815</v>
      </c>
      <c r="J64" s="111">
        <f>+IFERROR(IF($D64=0, VLOOKUP($C64, 'NATIONAL 2020'!$A$3:$M$40, 11, FALSE), VLOOKUP($C64, 'NFI 2020'!$C$3:$J$282, 6, FALSE)), "")</f>
        <v>16668827.101980941</v>
      </c>
      <c r="K64" s="196">
        <f>+IFERROR(IF($D64=0, VLOOKUP($C64, 'NATIONAL 2020'!$A$3:$M$40, 12, FALSE), VLOOKUP($C64, 'NFI 2020'!$C$3:$J$282, 7, FALSE)), "")</f>
        <v>528361.87730797497</v>
      </c>
      <c r="L64" s="14"/>
      <c r="M64" s="70"/>
      <c r="N64" s="70"/>
      <c r="R64" s="8"/>
      <c r="S64" s="8"/>
    </row>
    <row r="65" spans="1:19" x14ac:dyDescent="0.25">
      <c r="A65" s="26" t="s">
        <v>72</v>
      </c>
      <c r="B65" s="108" t="str">
        <f t="shared" si="4"/>
        <v>DE</v>
      </c>
      <c r="C65" s="108" t="s">
        <v>85</v>
      </c>
      <c r="D65" s="20">
        <f>+VLOOKUP(B65, 'NATIONAL 2020'!$A$3:$B$41, 2, FALSE)</f>
        <v>2</v>
      </c>
      <c r="E65" s="181">
        <f>+IFERROR(IF($D65=0, VLOOKUP($C65, 'NATIONAL 2020'!$A$3:$M$40, 7, FALSE), VLOOKUP($C65, 'NFI 2020'!$C$3:$J$282, 2, FALSE)), "")</f>
        <v>483460.72963315924</v>
      </c>
      <c r="F65" s="111">
        <f>+IFERROR(IF($D65=0, VLOOKUP($C65, 'NATIONAL 2020'!$A$3:$M$40, 8, FALSE), VLOOKUP($C65, 'NFI 2020'!$C$3:$J$282, 3, FALSE)), "")</f>
        <v>415740.1596029434</v>
      </c>
      <c r="G65" s="196">
        <f>+IFERROR(IF($D65=0, VLOOKUP($C65, 'NATIONAL 2020'!$A$3:$M$40, 9, FALSE), VLOOKUP($C65, 'NFI 2020'!$C$3:$J$282, 4, FALSE)), "")</f>
        <v>67720.570030215851</v>
      </c>
      <c r="H65" s="181">
        <f>+IFERROR(IF($D65=0, VLOOKUP($C65, 'NATIONAL 2020'!$A$3:$M$40, 10, FALSE), VLOOKUP($C65, 'NFI 2020'!$C$3:$J$282, 5, FALSE)), "")</f>
        <v>77343039.613411233</v>
      </c>
      <c r="I65" s="213">
        <f>+IFERROR(IF($D65=0, VLOOKUP($C65, 'NATIONAL 2020'!$A$3:$M$40, 13, FALSE), VLOOKUP($C65, 'NFI 2020'!$C$3:$J$282, 8, FALSE)), "")</f>
        <v>159.97791521164015</v>
      </c>
      <c r="J65" s="111">
        <f>+IFERROR(IF($D65=0, VLOOKUP($C65, 'NATIONAL 2020'!$A$3:$M$40, 11, FALSE), VLOOKUP($C65, 'NFI 2020'!$C$3:$J$282, 6, FALSE)), "")</f>
        <v>63880625.277729213</v>
      </c>
      <c r="K65" s="196">
        <f>+IFERROR(IF($D65=0, VLOOKUP($C65, 'NATIONAL 2020'!$A$3:$M$40, 12, FALSE), VLOOKUP($C65, 'NFI 2020'!$C$3:$J$282, 7, FALSE)), "")</f>
        <v>13462414.335682018</v>
      </c>
      <c r="L65" s="14"/>
      <c r="M65" s="70"/>
      <c r="N65" s="70"/>
      <c r="R65" s="8"/>
      <c r="S65" s="8"/>
    </row>
    <row r="66" spans="1:19" x14ac:dyDescent="0.25">
      <c r="A66" s="26" t="s">
        <v>72</v>
      </c>
      <c r="B66" s="108" t="str">
        <f t="shared" si="4"/>
        <v>DE</v>
      </c>
      <c r="C66" s="108" t="s">
        <v>86</v>
      </c>
      <c r="D66" s="20">
        <f>+VLOOKUP(B66, 'NATIONAL 2020'!$A$3:$B$41, 2, FALSE)</f>
        <v>2</v>
      </c>
      <c r="E66" s="181">
        <f>+IFERROR(IF($D66=0, VLOOKUP($C66, 'NATIONAL 2020'!$A$3:$M$40, 7, FALSE), VLOOKUP($C66, 'NFI 2020'!$C$3:$J$282, 2, FALSE)), "")</f>
        <v>476904.89798159769</v>
      </c>
      <c r="F66" s="111">
        <f>+IFERROR(IF($D66=0, VLOOKUP($C66, 'NATIONAL 2020'!$A$3:$M$40, 8, FALSE), VLOOKUP($C66, 'NFI 2020'!$C$3:$J$282, 3, FALSE)), "")</f>
        <v>441642.71398697846</v>
      </c>
      <c r="G66" s="196">
        <f>+IFERROR(IF($D66=0, VLOOKUP($C66, 'NATIONAL 2020'!$A$3:$M$40, 9, FALSE), VLOOKUP($C66, 'NFI 2020'!$C$3:$J$282, 4, FALSE)), "")</f>
        <v>35262.183994619198</v>
      </c>
      <c r="H66" s="181">
        <f>+IFERROR(IF($D66=0, VLOOKUP($C66, 'NATIONAL 2020'!$A$3:$M$40, 10, FALSE), VLOOKUP($C66, 'NFI 2020'!$C$3:$J$282, 5, FALSE)), "")</f>
        <v>72910000.055403069</v>
      </c>
      <c r="I66" s="213">
        <f>+IFERROR(IF($D66=0, VLOOKUP($C66, 'NATIONAL 2020'!$A$3:$M$40, 13, FALSE), VLOOKUP($C66, 'NFI 2020'!$C$3:$J$282, 8, FALSE)), "")</f>
        <v>152.88163397771697</v>
      </c>
      <c r="J66" s="111">
        <f>+IFERROR(IF($D66=0, VLOOKUP($C66, 'NATIONAL 2020'!$A$3:$M$40, 11, FALSE), VLOOKUP($C66, 'NFI 2020'!$C$3:$J$282, 6, FALSE)), "")</f>
        <v>67434648.580348045</v>
      </c>
      <c r="K66" s="196">
        <f>+IFERROR(IF($D66=0, VLOOKUP($C66, 'NATIONAL 2020'!$A$3:$M$40, 12, FALSE), VLOOKUP($C66, 'NFI 2020'!$C$3:$J$282, 7, FALSE)), "")</f>
        <v>5475351.4750550194</v>
      </c>
      <c r="L66" s="14"/>
      <c r="M66" s="70"/>
      <c r="N66" s="70"/>
      <c r="R66" s="8"/>
      <c r="S66" s="8"/>
    </row>
    <row r="67" spans="1:19" x14ac:dyDescent="0.25">
      <c r="A67" s="26" t="s">
        <v>72</v>
      </c>
      <c r="B67" s="108" t="str">
        <f t="shared" si="4"/>
        <v>DE</v>
      </c>
      <c r="C67" s="108" t="s">
        <v>87</v>
      </c>
      <c r="D67" s="20">
        <f>+VLOOKUP(B67, 'NATIONAL 2020'!$A$3:$B$41, 2, FALSE)</f>
        <v>2</v>
      </c>
      <c r="E67" s="181">
        <f>+IFERROR(IF($D67=0, VLOOKUP($C67, 'NATIONAL 2020'!$A$3:$M$40, 7, FALSE), VLOOKUP($C67, 'NFI 2020'!$C$3:$J$282, 2, FALSE)), "")</f>
        <v>157922.26125754527</v>
      </c>
      <c r="F67" s="111">
        <f>+IFERROR(IF($D67=0, VLOOKUP($C67, 'NATIONAL 2020'!$A$3:$M$40, 8, FALSE), VLOOKUP($C67, 'NFI 2020'!$C$3:$J$282, 3, FALSE)), "")</f>
        <v>143711.2621879653</v>
      </c>
      <c r="G67" s="196">
        <f>+IFERROR(IF($D67=0, VLOOKUP($C67, 'NATIONAL 2020'!$A$3:$M$40, 9, FALSE), VLOOKUP($C67, 'NFI 2020'!$C$3:$J$282, 4, FALSE)), "")</f>
        <v>14210.999069579948</v>
      </c>
      <c r="H67" s="181">
        <f>+IFERROR(IF($D67=0, VLOOKUP($C67, 'NATIONAL 2020'!$A$3:$M$40, 10, FALSE), VLOOKUP($C67, 'NFI 2020'!$C$3:$J$282, 5, FALSE)), "")</f>
        <v>30804458.3684218</v>
      </c>
      <c r="I67" s="213">
        <f>+IFERROR(IF($D67=0, VLOOKUP($C67, 'NATIONAL 2020'!$A$3:$M$40, 13, FALSE), VLOOKUP($C67, 'NFI 2020'!$C$3:$J$282, 8, FALSE)), "")</f>
        <v>195.06089973081623</v>
      </c>
      <c r="J67" s="111">
        <f>+IFERROR(IF($D67=0, VLOOKUP($C67, 'NATIONAL 2020'!$A$3:$M$40, 11, FALSE), VLOOKUP($C67, 'NFI 2020'!$C$3:$J$282, 6, FALSE)), "")</f>
        <v>27614920.335564043</v>
      </c>
      <c r="K67" s="196">
        <f>+IFERROR(IF($D67=0, VLOOKUP($C67, 'NATIONAL 2020'!$A$3:$M$40, 12, FALSE), VLOOKUP($C67, 'NFI 2020'!$C$3:$J$282, 7, FALSE)), "")</f>
        <v>3189538.0328577561</v>
      </c>
      <c r="L67" s="14"/>
      <c r="M67" s="70"/>
      <c r="N67" s="70"/>
      <c r="R67" s="8"/>
      <c r="S67" s="8"/>
    </row>
    <row r="68" spans="1:19" x14ac:dyDescent="0.25">
      <c r="A68" s="26" t="s">
        <v>72</v>
      </c>
      <c r="B68" s="108" t="str">
        <f t="shared" si="4"/>
        <v>DE</v>
      </c>
      <c r="C68" s="108" t="s">
        <v>88</v>
      </c>
      <c r="D68" s="20">
        <f>+VLOOKUP(B68, 'NATIONAL 2020'!$A$3:$B$41, 2, FALSE)</f>
        <v>2</v>
      </c>
      <c r="E68" s="181">
        <f>+IFERROR(IF($D68=0, VLOOKUP($C68, 'NATIONAL 2020'!$A$3:$M$40, 7, FALSE), VLOOKUP($C68, 'NFI 2020'!$C$3:$J$282, 2, FALSE)), "")</f>
        <v>505370.55699606892</v>
      </c>
      <c r="F68" s="111">
        <f>+IFERROR(IF($D68=0, VLOOKUP($C68, 'NATIONAL 2020'!$A$3:$M$40, 8, FALSE), VLOOKUP($C68, 'NFI 2020'!$C$3:$J$282, 3, FALSE)), "")</f>
        <v>483336.38916268595</v>
      </c>
      <c r="G68" s="196">
        <f>+IFERROR(IF($D68=0, VLOOKUP($C68, 'NATIONAL 2020'!$A$3:$M$40, 9, FALSE), VLOOKUP($C68, 'NFI 2020'!$C$3:$J$282, 4, FALSE)), "")</f>
        <v>22034.167833382977</v>
      </c>
      <c r="H68" s="181">
        <f>+IFERROR(IF($D68=0, VLOOKUP($C68, 'NATIONAL 2020'!$A$3:$M$40, 10, FALSE), VLOOKUP($C68, 'NFI 2020'!$C$3:$J$282, 5, FALSE)), "")</f>
        <v>101350162.24227704</v>
      </c>
      <c r="I68" s="213">
        <f>+IFERROR(IF($D68=0, VLOOKUP($C68, 'NATIONAL 2020'!$A$3:$M$40, 13, FALSE), VLOOKUP($C68, 'NFI 2020'!$C$3:$J$282, 8, FALSE)), "")</f>
        <v>200.54623451889265</v>
      </c>
      <c r="J68" s="111">
        <f>+IFERROR(IF($D68=0, VLOOKUP($C68, 'NATIONAL 2020'!$A$3:$M$40, 11, FALSE), VLOOKUP($C68, 'NFI 2020'!$C$3:$J$282, 6, FALSE)), "")</f>
        <v>95881668.051291421</v>
      </c>
      <c r="K68" s="196">
        <f>+IFERROR(IF($D68=0, VLOOKUP($C68, 'NATIONAL 2020'!$A$3:$M$40, 12, FALSE), VLOOKUP($C68, 'NFI 2020'!$C$3:$J$282, 7, FALSE)), "")</f>
        <v>5468494.1909856265</v>
      </c>
      <c r="L68" s="14"/>
      <c r="M68" s="70"/>
      <c r="N68" s="70"/>
      <c r="R68" s="8"/>
      <c r="S68" s="8"/>
    </row>
    <row r="69" spans="1:19" x14ac:dyDescent="0.25">
      <c r="A69" s="26" t="s">
        <v>324</v>
      </c>
      <c r="B69" t="s">
        <v>10</v>
      </c>
      <c r="C69" t="s">
        <v>10</v>
      </c>
      <c r="D69" s="20">
        <v>0</v>
      </c>
      <c r="E69" s="321">
        <f>+IFERROR(IF($D69=0, VLOOKUP($C69, 'NATIONAL 2020'!$A$3:$M$40, 7, FALSE), VLOOKUP($C69, 'NFI 2020'!$C$3:$J$282, 2, FALSE)), "")</f>
        <v>628440</v>
      </c>
      <c r="F69" s="322">
        <f>+IFERROR(IF($D69=0, VLOOKUP($C69, 'NATIONAL 2020'!$A$3:$M$40, 8, FALSE), VLOOKUP($C69, 'NFI 2020'!$C$3:$J$282, 3, FALSE)), "")</f>
        <v>613880</v>
      </c>
      <c r="G69" s="323">
        <f>+IFERROR(IF($D69=0, VLOOKUP($C69, 'NATIONAL 2020'!$A$3:$M$40, 9, FALSE), VLOOKUP($C69, 'NFI 2020'!$C$3:$J$282, 4, FALSE)), "")</f>
        <v>14560</v>
      </c>
      <c r="H69" s="321">
        <f>+IFERROR(IF($D69=0, VLOOKUP($C69, 'NATIONAL 2020'!$A$3:$M$40, 10, FALSE), VLOOKUP($C69, 'NFI 2020'!$C$3:$J$282, 5, FALSE)), "")</f>
        <v>75516172.08701469</v>
      </c>
      <c r="I69" s="324">
        <f>+IFERROR(IF($D69=0, VLOOKUP($C69, 'NATIONAL 2020'!$A$3:$M$40, 13, FALSE), VLOOKUP($C69, 'NFI 2020'!$C$3:$J$282, 8, FALSE)), "")</f>
        <v>120.16448998633869</v>
      </c>
      <c r="J69" s="322">
        <f>+IFERROR(IF($D69=0, VLOOKUP($C69, 'NATIONAL 2020'!$A$3:$M$40, 11, FALSE), VLOOKUP($C69, 'NFI 2020'!$C$3:$J$282, 6, FALSE)), "")</f>
        <v>73455967.527854294</v>
      </c>
      <c r="K69" s="323">
        <f>+IFERROR(IF($D69=0, VLOOKUP($C69, 'NATIONAL 2020'!$A$3:$M$40, 12, FALSE), VLOOKUP($C69, 'NFI 2020'!$C$3:$J$282, 7, FALSE)), "")</f>
        <v>2060204.5591603965</v>
      </c>
      <c r="L69" s="14"/>
      <c r="M69" s="70"/>
      <c r="N69" s="70"/>
      <c r="O69" s="5"/>
      <c r="R69" s="8"/>
      <c r="S69" s="8"/>
    </row>
    <row r="70" spans="1:19" x14ac:dyDescent="0.25">
      <c r="A70" s="26" t="s">
        <v>324</v>
      </c>
      <c r="B70" t="s">
        <v>10</v>
      </c>
      <c r="C70" s="245" t="s">
        <v>470</v>
      </c>
      <c r="D70" s="20">
        <v>3</v>
      </c>
      <c r="E70" s="321">
        <f>+IFERROR(IF($D70=0, VLOOKUP($C70, 'NATIONAL 2020'!$A$3:$M$40, 7, FALSE), VLOOKUP($C70, 'NFI 2020'!$C$3:$J$282, 2, FALSE)), "")</f>
        <v>835.9678623226398</v>
      </c>
      <c r="F70" s="322" t="str">
        <f>+IFERROR(IF($D70=0, VLOOKUP($C70, 'NATIONAL 2020'!$A$3:$M$40, 8, FALSE), VLOOKUP($C70, 'NFI 2020'!$C$3:$J$282, 3, FALSE)), "")</f>
        <v/>
      </c>
      <c r="G70" s="323" t="str">
        <f>+IFERROR(IF($D70=0, VLOOKUP($C70, 'NATIONAL 2020'!$A$3:$M$40, 9, FALSE), VLOOKUP($C70, 'NFI 2020'!$C$3:$J$282, 4, FALSE)), "")</f>
        <v/>
      </c>
      <c r="H70" s="321">
        <f>+IFERROR(IF($D70=0, VLOOKUP($C70, 'NATIONAL 2020'!$A$3:$M$40, 10, FALSE), VLOOKUP($C70, 'NFI 2020'!$C$3:$J$282, 5, FALSE)), "")</f>
        <v>71106.625621109808</v>
      </c>
      <c r="I70" s="324">
        <f>+IFERROR(IF($D70=0, VLOOKUP($C70, 'NATIONAL 2020'!$A$3:$M$40, 13, FALSE), VLOOKUP($C70, 'NFI 2020'!$C$3:$J$282, 8, FALSE)), "")</f>
        <v>85.059042130576998</v>
      </c>
      <c r="J70" s="322" t="str">
        <f>+IFERROR(IF($D70=0, VLOOKUP($C70, 'NATIONAL 2020'!$A$3:$M$40, 11, FALSE), VLOOKUP($C70, 'NFI 2020'!$C$3:$J$282, 6, FALSE)), "")</f>
        <v/>
      </c>
      <c r="K70" s="323" t="str">
        <f>+IFERROR(IF($D70=0, VLOOKUP($C70, 'NATIONAL 2020'!$A$3:$M$40, 12, FALSE), VLOOKUP($C70, 'NFI 2020'!$C$3:$J$282, 7, FALSE)), "")</f>
        <v/>
      </c>
      <c r="L70" s="14"/>
      <c r="M70" s="70"/>
      <c r="N70" s="70"/>
      <c r="O70" s="5"/>
      <c r="R70" s="8"/>
      <c r="S70" s="8"/>
    </row>
    <row r="71" spans="1:19" x14ac:dyDescent="0.25">
      <c r="A71" s="26" t="s">
        <v>324</v>
      </c>
      <c r="B71" t="s">
        <v>10</v>
      </c>
      <c r="C71" s="245" t="s">
        <v>471</v>
      </c>
      <c r="D71" s="20">
        <v>3</v>
      </c>
      <c r="E71" s="321">
        <f>+IFERROR(IF($D71=0, VLOOKUP($C71, 'NATIONAL 2020'!$A$3:$M$40, 7, FALSE), VLOOKUP($C71, 'NFI 2020'!$C$3:$J$282, 2, FALSE)), "")</f>
        <v>4937.0346496966258</v>
      </c>
      <c r="F71" s="322" t="str">
        <f>+IFERROR(IF($D71=0, VLOOKUP($C71, 'NATIONAL 2020'!$A$3:$M$40, 8, FALSE), VLOOKUP($C71, 'NFI 2020'!$C$3:$J$282, 3, FALSE)), "")</f>
        <v/>
      </c>
      <c r="G71" s="323" t="str">
        <f>+IFERROR(IF($D71=0, VLOOKUP($C71, 'NATIONAL 2020'!$A$3:$M$40, 9, FALSE), VLOOKUP($C71, 'NFI 2020'!$C$3:$J$282, 4, FALSE)), "")</f>
        <v/>
      </c>
      <c r="H71" s="321">
        <f>+IFERROR(IF($D71=0, VLOOKUP($C71, 'NATIONAL 2020'!$A$3:$M$40, 10, FALSE), VLOOKUP($C71, 'NFI 2020'!$C$3:$J$282, 5, FALSE)), "")</f>
        <v>758757.90761936945</v>
      </c>
      <c r="I71" s="324">
        <f>+IFERROR(IF($D71=0, VLOOKUP($C71, 'NATIONAL 2020'!$A$3:$M$40, 13, FALSE), VLOOKUP($C71, 'NFI 2020'!$C$3:$J$282, 8, FALSE)), "")</f>
        <v>153.68697233388752</v>
      </c>
      <c r="J71" s="322" t="str">
        <f>+IFERROR(IF($D71=0, VLOOKUP($C71, 'NATIONAL 2020'!$A$3:$M$40, 11, FALSE), VLOOKUP($C71, 'NFI 2020'!$C$3:$J$282, 6, FALSE)), "")</f>
        <v/>
      </c>
      <c r="K71" s="323" t="str">
        <f>+IFERROR(IF($D71=0, VLOOKUP($C71, 'NATIONAL 2020'!$A$3:$M$40, 12, FALSE), VLOOKUP($C71, 'NFI 2020'!$C$3:$J$282, 7, FALSE)), "")</f>
        <v/>
      </c>
      <c r="L71" s="14"/>
      <c r="M71" s="70"/>
      <c r="N71" s="70"/>
      <c r="O71" s="5"/>
      <c r="R71" s="8"/>
      <c r="S71" s="8"/>
    </row>
    <row r="72" spans="1:19" x14ac:dyDescent="0.25">
      <c r="A72" s="26" t="s">
        <v>324</v>
      </c>
      <c r="B72" t="s">
        <v>10</v>
      </c>
      <c r="C72" s="245" t="s">
        <v>472</v>
      </c>
      <c r="D72" s="20">
        <v>3</v>
      </c>
      <c r="E72" s="321">
        <f>+IFERROR(IF($D72=0, VLOOKUP($C72, 'NATIONAL 2020'!$A$3:$M$40, 7, FALSE), VLOOKUP($C72, 'NFI 2020'!$C$3:$J$282, 2, FALSE)), "")</f>
        <v>27714.596884712595</v>
      </c>
      <c r="F72" s="322" t="str">
        <f>+IFERROR(IF($D72=0, VLOOKUP($C72, 'NATIONAL 2020'!$A$3:$M$40, 8, FALSE), VLOOKUP($C72, 'NFI 2020'!$C$3:$J$282, 3, FALSE)), "")</f>
        <v/>
      </c>
      <c r="G72" s="323" t="str">
        <f>+IFERROR(IF($D72=0, VLOOKUP($C72, 'NATIONAL 2020'!$A$3:$M$40, 9, FALSE), VLOOKUP($C72, 'NFI 2020'!$C$3:$J$282, 4, FALSE)), "")</f>
        <v/>
      </c>
      <c r="H72" s="321">
        <f>+IFERROR(IF($D72=0, VLOOKUP($C72, 'NATIONAL 2020'!$A$3:$M$40, 10, FALSE), VLOOKUP($C72, 'NFI 2020'!$C$3:$J$282, 5, FALSE)), "")</f>
        <v>4747940.5463327635</v>
      </c>
      <c r="I72" s="324">
        <f>+IFERROR(IF($D72=0, VLOOKUP($C72, 'NATIONAL 2020'!$A$3:$M$40, 13, FALSE), VLOOKUP($C72, 'NFI 2020'!$C$3:$J$282, 8, FALSE)), "")</f>
        <v>171.31551889725421</v>
      </c>
      <c r="J72" s="322" t="str">
        <f>+IFERROR(IF($D72=0, VLOOKUP($C72, 'NATIONAL 2020'!$A$3:$M$40, 11, FALSE), VLOOKUP($C72, 'NFI 2020'!$C$3:$J$282, 6, FALSE)), "")</f>
        <v/>
      </c>
      <c r="K72" s="323" t="str">
        <f>+IFERROR(IF($D72=0, VLOOKUP($C72, 'NATIONAL 2020'!$A$3:$M$40, 12, FALSE), VLOOKUP($C72, 'NFI 2020'!$C$3:$J$282, 7, FALSE)), "")</f>
        <v/>
      </c>
      <c r="L72" s="14"/>
      <c r="M72" s="70"/>
      <c r="N72" s="70"/>
      <c r="O72" s="5"/>
      <c r="R72" s="8"/>
      <c r="S72" s="8"/>
    </row>
    <row r="73" spans="1:19" x14ac:dyDescent="0.25">
      <c r="A73" s="26" t="s">
        <v>324</v>
      </c>
      <c r="B73" t="s">
        <v>10</v>
      </c>
      <c r="C73" s="245" t="s">
        <v>473</v>
      </c>
      <c r="D73" s="20">
        <v>3</v>
      </c>
      <c r="E73" s="321">
        <f>+IFERROR(IF($D73=0, VLOOKUP($C73, 'NATIONAL 2020'!$A$3:$M$40, 7, FALSE), VLOOKUP($C73, 'NFI 2020'!$C$3:$J$282, 2, FALSE)), "")</f>
        <v>14697.641801196216</v>
      </c>
      <c r="F73" s="322" t="str">
        <f>+IFERROR(IF($D73=0, VLOOKUP($C73, 'NATIONAL 2020'!$A$3:$M$40, 8, FALSE), VLOOKUP($C73, 'NFI 2020'!$C$3:$J$282, 3, FALSE)), "")</f>
        <v/>
      </c>
      <c r="G73" s="323" t="str">
        <f>+IFERROR(IF($D73=0, VLOOKUP($C73, 'NATIONAL 2020'!$A$3:$M$40, 9, FALSE), VLOOKUP($C73, 'NFI 2020'!$C$3:$J$282, 4, FALSE)), "")</f>
        <v/>
      </c>
      <c r="H73" s="321">
        <f>+IFERROR(IF($D73=0, VLOOKUP($C73, 'NATIONAL 2020'!$A$3:$M$40, 10, FALSE), VLOOKUP($C73, 'NFI 2020'!$C$3:$J$282, 5, FALSE)), "")</f>
        <v>2116694.8809872642</v>
      </c>
      <c r="I73" s="324">
        <f>+IFERROR(IF($D73=0, VLOOKUP($C73, 'NATIONAL 2020'!$A$3:$M$40, 13, FALSE), VLOOKUP($C73, 'NFI 2020'!$C$3:$J$282, 8, FALSE)), "")</f>
        <v>144.01595232882801</v>
      </c>
      <c r="J73" s="322" t="str">
        <f>+IFERROR(IF($D73=0, VLOOKUP($C73, 'NATIONAL 2020'!$A$3:$M$40, 11, FALSE), VLOOKUP($C73, 'NFI 2020'!$C$3:$J$282, 6, FALSE)), "")</f>
        <v/>
      </c>
      <c r="K73" s="323" t="str">
        <f>+IFERROR(IF($D73=0, VLOOKUP($C73, 'NATIONAL 2020'!$A$3:$M$40, 12, FALSE), VLOOKUP($C73, 'NFI 2020'!$C$3:$J$282, 7, FALSE)), "")</f>
        <v/>
      </c>
      <c r="L73" s="14"/>
      <c r="M73" s="70"/>
      <c r="N73" s="70"/>
      <c r="O73" s="5"/>
      <c r="R73" s="8"/>
      <c r="S73" s="8"/>
    </row>
    <row r="74" spans="1:19" x14ac:dyDescent="0.25">
      <c r="A74" s="26" t="s">
        <v>324</v>
      </c>
      <c r="B74" t="s">
        <v>10</v>
      </c>
      <c r="C74" s="245" t="s">
        <v>474</v>
      </c>
      <c r="D74" s="20">
        <v>3</v>
      </c>
      <c r="E74" s="321">
        <f>+IFERROR(IF($D74=0, VLOOKUP($C74, 'NATIONAL 2020'!$A$3:$M$40, 7, FALSE), VLOOKUP($C74, 'NFI 2020'!$C$3:$J$282, 2, FALSE)), "")</f>
        <v>9943.3368739583202</v>
      </c>
      <c r="F74" s="322" t="str">
        <f>+IFERROR(IF($D74=0, VLOOKUP($C74, 'NATIONAL 2020'!$A$3:$M$40, 8, FALSE), VLOOKUP($C74, 'NFI 2020'!$C$3:$J$282, 3, FALSE)), "")</f>
        <v/>
      </c>
      <c r="G74" s="323" t="str">
        <f>+IFERROR(IF($D74=0, VLOOKUP($C74, 'NATIONAL 2020'!$A$3:$M$40, 9, FALSE), VLOOKUP($C74, 'NFI 2020'!$C$3:$J$282, 4, FALSE)), "")</f>
        <v/>
      </c>
      <c r="H74" s="321">
        <f>+IFERROR(IF($D74=0, VLOOKUP($C74, 'NATIONAL 2020'!$A$3:$M$40, 10, FALSE), VLOOKUP($C74, 'NFI 2020'!$C$3:$J$282, 5, FALSE)), "")</f>
        <v>1501345.3197967282</v>
      </c>
      <c r="I74" s="324">
        <f>+IFERROR(IF($D74=0, VLOOKUP($C74, 'NATIONAL 2020'!$A$3:$M$40, 13, FALSE), VLOOKUP($C74, 'NFI 2020'!$C$3:$J$282, 8, FALSE)), "")</f>
        <v>150.99008902421517</v>
      </c>
      <c r="J74" s="322" t="str">
        <f>+IFERROR(IF($D74=0, VLOOKUP($C74, 'NATIONAL 2020'!$A$3:$M$40, 11, FALSE), VLOOKUP($C74, 'NFI 2020'!$C$3:$J$282, 6, FALSE)), "")</f>
        <v/>
      </c>
      <c r="K74" s="323" t="str">
        <f>+IFERROR(IF($D74=0, VLOOKUP($C74, 'NATIONAL 2020'!$A$3:$M$40, 12, FALSE), VLOOKUP($C74, 'NFI 2020'!$C$3:$J$282, 7, FALSE)), "")</f>
        <v/>
      </c>
      <c r="L74" s="14"/>
      <c r="M74" s="70"/>
      <c r="N74" s="70"/>
      <c r="O74" s="5"/>
      <c r="R74" s="8"/>
      <c r="S74" s="8"/>
    </row>
    <row r="75" spans="1:19" x14ac:dyDescent="0.25">
      <c r="A75" s="26" t="s">
        <v>324</v>
      </c>
      <c r="B75" t="s">
        <v>10</v>
      </c>
      <c r="C75" s="245" t="s">
        <v>475</v>
      </c>
      <c r="D75" s="20">
        <v>3</v>
      </c>
      <c r="E75" s="321">
        <f>+IFERROR(IF($D75=0, VLOOKUP($C75, 'NATIONAL 2020'!$A$3:$M$40, 7, FALSE), VLOOKUP($C75, 'NFI 2020'!$C$3:$J$282, 2, FALSE)), "")</f>
        <v>90156.459476498771</v>
      </c>
      <c r="F75" s="322" t="str">
        <f>+IFERROR(IF($D75=0, VLOOKUP($C75, 'NATIONAL 2020'!$A$3:$M$40, 8, FALSE), VLOOKUP($C75, 'NFI 2020'!$C$3:$J$282, 3, FALSE)), "")</f>
        <v/>
      </c>
      <c r="G75" s="323" t="str">
        <f>+IFERROR(IF($D75=0, VLOOKUP($C75, 'NATIONAL 2020'!$A$3:$M$40, 9, FALSE), VLOOKUP($C75, 'NFI 2020'!$C$3:$J$282, 4, FALSE)), "")</f>
        <v/>
      </c>
      <c r="H75" s="321">
        <f>+IFERROR(IF($D75=0, VLOOKUP($C75, 'NATIONAL 2020'!$A$3:$M$40, 10, FALSE), VLOOKUP($C75, 'NFI 2020'!$C$3:$J$282, 5, FALSE)), "")</f>
        <v>16233170.752526788</v>
      </c>
      <c r="I75" s="324">
        <f>+IFERROR(IF($D75=0, VLOOKUP($C75, 'NATIONAL 2020'!$A$3:$M$40, 13, FALSE), VLOOKUP($C75, 'NFI 2020'!$C$3:$J$282, 8, FALSE)), "")</f>
        <v>180.0555483964886</v>
      </c>
      <c r="J75" s="322" t="str">
        <f>+IFERROR(IF($D75=0, VLOOKUP($C75, 'NATIONAL 2020'!$A$3:$M$40, 11, FALSE), VLOOKUP($C75, 'NFI 2020'!$C$3:$J$282, 6, FALSE)), "")</f>
        <v/>
      </c>
      <c r="K75" s="323" t="str">
        <f>+IFERROR(IF($D75=0, VLOOKUP($C75, 'NATIONAL 2020'!$A$3:$M$40, 12, FALSE), VLOOKUP($C75, 'NFI 2020'!$C$3:$J$282, 7, FALSE)), "")</f>
        <v/>
      </c>
      <c r="L75" s="14"/>
      <c r="M75" s="70"/>
      <c r="N75" s="70"/>
      <c r="O75" s="5"/>
      <c r="R75" s="8"/>
      <c r="S75" s="8"/>
    </row>
    <row r="76" spans="1:19" x14ac:dyDescent="0.25">
      <c r="A76" s="26" t="s">
        <v>324</v>
      </c>
      <c r="B76" t="s">
        <v>10</v>
      </c>
      <c r="C76" s="245" t="s">
        <v>476</v>
      </c>
      <c r="D76" s="20">
        <v>3</v>
      </c>
      <c r="E76" s="321">
        <f>+IFERROR(IF($D76=0, VLOOKUP($C76, 'NATIONAL 2020'!$A$3:$M$40, 7, FALSE), VLOOKUP($C76, 'NFI 2020'!$C$3:$J$282, 2, FALSE)), "")</f>
        <v>35111.766906993907</v>
      </c>
      <c r="F76" s="322" t="str">
        <f>+IFERROR(IF($D76=0, VLOOKUP($C76, 'NATIONAL 2020'!$A$3:$M$40, 8, FALSE), VLOOKUP($C76, 'NFI 2020'!$C$3:$J$282, 3, FALSE)), "")</f>
        <v/>
      </c>
      <c r="G76" s="323" t="str">
        <f>+IFERROR(IF($D76=0, VLOOKUP($C76, 'NATIONAL 2020'!$A$3:$M$40, 9, FALSE), VLOOKUP($C76, 'NFI 2020'!$C$3:$J$282, 4, FALSE)), "")</f>
        <v/>
      </c>
      <c r="H76" s="321">
        <f>+IFERROR(IF($D76=0, VLOOKUP($C76, 'NATIONAL 2020'!$A$3:$M$40, 10, FALSE), VLOOKUP($C76, 'NFI 2020'!$C$3:$J$282, 5, FALSE)), "")</f>
        <v>5191443.6117199371</v>
      </c>
      <c r="I76" s="324">
        <f>+IFERROR(IF($D76=0, VLOOKUP($C76, 'NATIONAL 2020'!$A$3:$M$40, 13, FALSE), VLOOKUP($C76, 'NFI 2020'!$C$3:$J$282, 8, FALSE)), "")</f>
        <v>147.85480962753414</v>
      </c>
      <c r="J76" s="322" t="str">
        <f>+IFERROR(IF($D76=0, VLOOKUP($C76, 'NATIONAL 2020'!$A$3:$M$40, 11, FALSE), VLOOKUP($C76, 'NFI 2020'!$C$3:$J$282, 6, FALSE)), "")</f>
        <v/>
      </c>
      <c r="K76" s="323" t="str">
        <f>+IFERROR(IF($D76=0, VLOOKUP($C76, 'NATIONAL 2020'!$A$3:$M$40, 12, FALSE), VLOOKUP($C76, 'NFI 2020'!$C$3:$J$282, 7, FALSE)), "")</f>
        <v/>
      </c>
      <c r="L76" s="14"/>
      <c r="M76" s="70"/>
      <c r="N76" s="70"/>
      <c r="O76" s="5"/>
      <c r="R76" s="8"/>
      <c r="S76" s="8"/>
    </row>
    <row r="77" spans="1:19" x14ac:dyDescent="0.25">
      <c r="A77" s="26" t="s">
        <v>324</v>
      </c>
      <c r="B77" t="s">
        <v>10</v>
      </c>
      <c r="C77" s="245" t="s">
        <v>477</v>
      </c>
      <c r="D77" s="20">
        <v>3</v>
      </c>
      <c r="E77" s="321">
        <f>+IFERROR(IF($D77=0, VLOOKUP($C77, 'NATIONAL 2020'!$A$3:$M$40, 7, FALSE), VLOOKUP($C77, 'NFI 2020'!$C$3:$J$282, 2, FALSE)), "")</f>
        <v>108661.98291074796</v>
      </c>
      <c r="F77" s="322" t="str">
        <f>+IFERROR(IF($D77=0, VLOOKUP($C77, 'NATIONAL 2020'!$A$3:$M$40, 8, FALSE), VLOOKUP($C77, 'NFI 2020'!$C$3:$J$282, 3, FALSE)), "")</f>
        <v/>
      </c>
      <c r="G77" s="323" t="str">
        <f>+IFERROR(IF($D77=0, VLOOKUP($C77, 'NATIONAL 2020'!$A$3:$M$40, 9, FALSE), VLOOKUP($C77, 'NFI 2020'!$C$3:$J$282, 4, FALSE)), "")</f>
        <v/>
      </c>
      <c r="H77" s="321">
        <f>+IFERROR(IF($D77=0, VLOOKUP($C77, 'NATIONAL 2020'!$A$3:$M$40, 10, FALSE), VLOOKUP($C77, 'NFI 2020'!$C$3:$J$282, 5, FALSE)), "")</f>
        <v>9615512.559211893</v>
      </c>
      <c r="I77" s="324">
        <f>+IFERROR(IF($D77=0, VLOOKUP($C77, 'NATIONAL 2020'!$A$3:$M$40, 13, FALSE), VLOOKUP($C77, 'NFI 2020'!$C$3:$J$282, 8, FALSE)), "")</f>
        <v>88.490126000275708</v>
      </c>
      <c r="J77" s="322" t="str">
        <f>+IFERROR(IF($D77=0, VLOOKUP($C77, 'NATIONAL 2020'!$A$3:$M$40, 11, FALSE), VLOOKUP($C77, 'NFI 2020'!$C$3:$J$282, 6, FALSE)), "")</f>
        <v/>
      </c>
      <c r="K77" s="323" t="str">
        <f>+IFERROR(IF($D77=0, VLOOKUP($C77, 'NATIONAL 2020'!$A$3:$M$40, 12, FALSE), VLOOKUP($C77, 'NFI 2020'!$C$3:$J$282, 7, FALSE)), "")</f>
        <v/>
      </c>
      <c r="L77" s="14"/>
      <c r="M77" s="70"/>
      <c r="N77" s="70"/>
      <c r="O77" s="5"/>
      <c r="R77" s="8"/>
      <c r="S77" s="8"/>
    </row>
    <row r="78" spans="1:19" x14ac:dyDescent="0.25">
      <c r="A78" s="26" t="s">
        <v>324</v>
      </c>
      <c r="B78" t="s">
        <v>10</v>
      </c>
      <c r="C78" s="245" t="s">
        <v>478</v>
      </c>
      <c r="D78" s="20">
        <v>3</v>
      </c>
      <c r="E78" s="321">
        <f>+IFERROR(IF($D78=0, VLOOKUP($C78, 'NATIONAL 2020'!$A$3:$M$40, 7, FALSE), VLOOKUP($C78, 'NFI 2020'!$C$3:$J$282, 2, FALSE)), "")</f>
        <v>112216.32444741621</v>
      </c>
      <c r="F78" s="322" t="str">
        <f>+IFERROR(IF($D78=0, VLOOKUP($C78, 'NATIONAL 2020'!$A$3:$M$40, 8, FALSE), VLOOKUP($C78, 'NFI 2020'!$C$3:$J$282, 3, FALSE)), "")</f>
        <v/>
      </c>
      <c r="G78" s="323" t="str">
        <f>+IFERROR(IF($D78=0, VLOOKUP($C78, 'NATIONAL 2020'!$A$3:$M$40, 9, FALSE), VLOOKUP($C78, 'NFI 2020'!$C$3:$J$282, 4, FALSE)), "")</f>
        <v/>
      </c>
      <c r="H78" s="321">
        <f>+IFERROR(IF($D78=0, VLOOKUP($C78, 'NATIONAL 2020'!$A$3:$M$40, 10, FALSE), VLOOKUP($C78, 'NFI 2020'!$C$3:$J$282, 5, FALSE)), "")</f>
        <v>9329341.2504995856</v>
      </c>
      <c r="I78" s="324">
        <f>+IFERROR(IF($D78=0, VLOOKUP($C78, 'NATIONAL 2020'!$A$3:$M$40, 13, FALSE), VLOOKUP($C78, 'NFI 2020'!$C$3:$J$282, 8, FALSE)), "")</f>
        <v>83.137113039834503</v>
      </c>
      <c r="J78" s="322" t="str">
        <f>+IFERROR(IF($D78=0, VLOOKUP($C78, 'NATIONAL 2020'!$A$3:$M$40, 11, FALSE), VLOOKUP($C78, 'NFI 2020'!$C$3:$J$282, 6, FALSE)), "")</f>
        <v/>
      </c>
      <c r="K78" s="323" t="str">
        <f>+IFERROR(IF($D78=0, VLOOKUP($C78, 'NATIONAL 2020'!$A$3:$M$40, 12, FALSE), VLOOKUP($C78, 'NFI 2020'!$C$3:$J$282, 7, FALSE)), "")</f>
        <v/>
      </c>
      <c r="L78" s="14"/>
      <c r="M78" s="70"/>
      <c r="N78" s="70"/>
      <c r="O78" s="5"/>
      <c r="R78" s="8"/>
      <c r="S78" s="8"/>
    </row>
    <row r="79" spans="1:19" x14ac:dyDescent="0.25">
      <c r="A79" s="26" t="s">
        <v>324</v>
      </c>
      <c r="B79" t="s">
        <v>10</v>
      </c>
      <c r="C79" s="245" t="s">
        <v>479</v>
      </c>
      <c r="D79" s="20">
        <v>3</v>
      </c>
      <c r="E79" s="321">
        <f>+IFERROR(IF($D79=0, VLOOKUP($C79, 'NATIONAL 2020'!$A$3:$M$40, 7, FALSE), VLOOKUP($C79, 'NFI 2020'!$C$3:$J$282, 2, FALSE)), "")</f>
        <v>107185.77490043387</v>
      </c>
      <c r="F79" s="322" t="str">
        <f>+IFERROR(IF($D79=0, VLOOKUP($C79, 'NATIONAL 2020'!$A$3:$M$40, 8, FALSE), VLOOKUP($C79, 'NFI 2020'!$C$3:$J$282, 3, FALSE)), "")</f>
        <v/>
      </c>
      <c r="G79" s="323" t="str">
        <f>+IFERROR(IF($D79=0, VLOOKUP($C79, 'NATIONAL 2020'!$A$3:$M$40, 9, FALSE), VLOOKUP($C79, 'NFI 2020'!$C$3:$J$282, 4, FALSE)), "")</f>
        <v/>
      </c>
      <c r="H79" s="321">
        <f>+IFERROR(IF($D79=0, VLOOKUP($C79, 'NATIONAL 2020'!$A$3:$M$40, 10, FALSE), VLOOKUP($C79, 'NFI 2020'!$C$3:$J$282, 5, FALSE)), "")</f>
        <v>14564325.409975424</v>
      </c>
      <c r="I79" s="324">
        <f>+IFERROR(IF($D79=0, VLOOKUP($C79, 'NATIONAL 2020'!$A$3:$M$40, 13, FALSE), VLOOKUP($C79, 'NFI 2020'!$C$3:$J$282, 8, FALSE)), "")</f>
        <v>135.87927524435401</v>
      </c>
      <c r="J79" s="322" t="str">
        <f>+IFERROR(IF($D79=0, VLOOKUP($C79, 'NATIONAL 2020'!$A$3:$M$40, 11, FALSE), VLOOKUP($C79, 'NFI 2020'!$C$3:$J$282, 6, FALSE)), "")</f>
        <v/>
      </c>
      <c r="K79" s="323" t="str">
        <f>+IFERROR(IF($D79=0, VLOOKUP($C79, 'NATIONAL 2020'!$A$3:$M$40, 12, FALSE), VLOOKUP($C79, 'NFI 2020'!$C$3:$J$282, 7, FALSE)), "")</f>
        <v/>
      </c>
      <c r="L79" s="14"/>
      <c r="M79" s="70"/>
      <c r="N79" s="70"/>
      <c r="O79" s="5"/>
      <c r="R79" s="8"/>
      <c r="S79" s="8"/>
    </row>
    <row r="80" spans="1:19" x14ac:dyDescent="0.25">
      <c r="A80" s="26" t="s">
        <v>324</v>
      </c>
      <c r="B80" t="s">
        <v>10</v>
      </c>
      <c r="C80" s="245" t="s">
        <v>480</v>
      </c>
      <c r="D80" s="20">
        <v>3</v>
      </c>
      <c r="E80" s="321">
        <f>+IFERROR(IF($D80=0, VLOOKUP($C80, 'NATIONAL 2020'!$A$3:$M$40, 7, FALSE), VLOOKUP($C80, 'NFI 2020'!$C$3:$J$282, 2, FALSE)), "")</f>
        <v>116979.1132860229</v>
      </c>
      <c r="F80" s="322" t="str">
        <f>+IFERROR(IF($D80=0, VLOOKUP($C80, 'NATIONAL 2020'!$A$3:$M$40, 8, FALSE), VLOOKUP($C80, 'NFI 2020'!$C$3:$J$282, 3, FALSE)), "")</f>
        <v/>
      </c>
      <c r="G80" s="323" t="str">
        <f>+IFERROR(IF($D80=0, VLOOKUP($C80, 'NATIONAL 2020'!$A$3:$M$40, 9, FALSE), VLOOKUP($C80, 'NFI 2020'!$C$3:$J$282, 4, FALSE)), "")</f>
        <v/>
      </c>
      <c r="H80" s="321">
        <f>+IFERROR(IF($D80=0, VLOOKUP($C80, 'NATIONAL 2020'!$A$3:$M$40, 10, FALSE), VLOOKUP($C80, 'NFI 2020'!$C$3:$J$282, 5, FALSE)), "")</f>
        <v>11386533.222723832</v>
      </c>
      <c r="I80" s="324">
        <f>+IFERROR(IF($D80=0, VLOOKUP($C80, 'NATIONAL 2020'!$A$3:$M$40, 13, FALSE), VLOOKUP($C80, 'NFI 2020'!$C$3:$J$282, 8, FALSE)), "")</f>
        <v>97.338173481302476</v>
      </c>
      <c r="J80" s="322" t="str">
        <f>+IFERROR(IF($D80=0, VLOOKUP($C80, 'NATIONAL 2020'!$A$3:$M$40, 11, FALSE), VLOOKUP($C80, 'NFI 2020'!$C$3:$J$282, 6, FALSE)), "")</f>
        <v/>
      </c>
      <c r="K80" s="323" t="str">
        <f>+IFERROR(IF($D80=0, VLOOKUP($C80, 'NATIONAL 2020'!$A$3:$M$40, 12, FALSE), VLOOKUP($C80, 'NFI 2020'!$C$3:$J$282, 7, FALSE)), "")</f>
        <v/>
      </c>
      <c r="L80" s="14"/>
      <c r="M80" s="70"/>
      <c r="N80" s="70"/>
      <c r="O80" s="5"/>
      <c r="R80" s="8"/>
      <c r="S80" s="8"/>
    </row>
    <row r="81" spans="1:19" x14ac:dyDescent="0.25">
      <c r="A81" s="26" t="s">
        <v>507</v>
      </c>
      <c r="B81" t="s">
        <v>11</v>
      </c>
      <c r="C81" t="s">
        <v>11</v>
      </c>
      <c r="D81" s="20">
        <f>+VLOOKUP(B81, 'NATIONAL 2020'!$A$3:$B$41, 2, FALSE)</f>
        <v>0</v>
      </c>
      <c r="E81" s="181">
        <f>+IFERROR(IF($D81=0, VLOOKUP($C81, 'NATIONAL 2020'!$A$3:$M$40, 7, FALSE), VLOOKUP($C81, 'NFI 2020'!$C$3:$J$282, 2, FALSE)), "")</f>
        <v>2438400</v>
      </c>
      <c r="F81" s="111">
        <f>+IFERROR(IF($D81=0, VLOOKUP($C81, 'NATIONAL 2020'!$A$3:$M$40, 8, FALSE), VLOOKUP($C81, 'NFI 2020'!$C$3:$J$282, 3, FALSE)), "")</f>
        <v>2106040</v>
      </c>
      <c r="G81" s="196">
        <f>+IFERROR(IF($D81=0, VLOOKUP($C81, 'NATIONAL 2020'!$A$3:$M$40, 9, FALSE), VLOOKUP($C81, 'NFI 2020'!$C$3:$J$282, 4, FALSE)), "")</f>
        <v>332360</v>
      </c>
      <c r="H81" s="181">
        <f>+IFERROR(IF($D81=0, VLOOKUP($C81, 'NATIONAL 2020'!$A$3:$M$40, 10, FALSE), VLOOKUP($C81, 'NFI 2020'!$C$3:$J$282, 5, FALSE)), "")</f>
        <v>265579999.99999997</v>
      </c>
      <c r="I81" s="213">
        <f>+IFERROR(IF($D81=0, VLOOKUP($C81, 'NATIONAL 2020'!$A$3:$M$40, 13, FALSE), VLOOKUP($C81, 'NFI 2020'!$C$3:$J$282, 8, FALSE)), "")</f>
        <v>108.91568241469815</v>
      </c>
      <c r="J81" s="111">
        <f>+IFERROR(IF($D81=0, VLOOKUP($C81, 'NATIONAL 2020'!$A$3:$M$40, 11, FALSE), VLOOKUP($C81, 'NFI 2020'!$C$3:$J$282, 6, FALSE)), "")</f>
        <v>227071840.53425071</v>
      </c>
      <c r="K81" s="196">
        <f>+IFERROR(IF($D81=0, VLOOKUP($C81, 'NATIONAL 2020'!$A$3:$M$40, 12, FALSE), VLOOKUP($C81, 'NFI 2020'!$C$3:$J$282, 7, FALSE)), "")</f>
        <v>38508159.465749264</v>
      </c>
      <c r="L81" s="14"/>
      <c r="M81" s="70"/>
      <c r="N81" s="70"/>
      <c r="O81" s="5"/>
      <c r="R81" s="8"/>
      <c r="S81" s="8"/>
    </row>
    <row r="82" spans="1:19" x14ac:dyDescent="0.25">
      <c r="A82" s="26" t="s">
        <v>89</v>
      </c>
      <c r="B82" s="1" t="s">
        <v>12</v>
      </c>
      <c r="C82" s="1" t="s">
        <v>12</v>
      </c>
      <c r="D82" s="20">
        <v>0</v>
      </c>
      <c r="E82" s="181">
        <f>+IFERROR(IF($D82=0, VLOOKUP($C82, 'NATIONAL 2020'!$A$3:$M$40, 7, FALSE), VLOOKUP($C82, 'NFI 2020'!$C$3:$J$282, 2, FALSE)), "")</f>
        <v>18572170</v>
      </c>
      <c r="F82" s="111">
        <f>+IFERROR(IF($D82=0, VLOOKUP($C82, 'NATIONAL 2020'!$A$3:$M$40, 8, FALSE), VLOOKUP($C82, 'NFI 2020'!$C$3:$J$282, 3, FALSE)), "")</f>
        <v>17089794.767345741</v>
      </c>
      <c r="G82" s="196">
        <f>+IFERROR(IF($D82=0, VLOOKUP($C82, 'NATIONAL 2020'!$A$3:$M$40, 9, FALSE), VLOOKUP($C82, 'NFI 2020'!$C$3:$J$282, 4, FALSE)), "")</f>
        <v>1482375.2326542442</v>
      </c>
      <c r="H82" s="181">
        <f>+IFERROR(IF($D82=0, VLOOKUP($C82, 'NATIONAL 2020'!$A$3:$M$40, 10, FALSE), VLOOKUP($C82, 'NFI 2020'!$C$3:$J$282, 5, FALSE)), "")</f>
        <v>1152484716.593178</v>
      </c>
      <c r="I82" s="213">
        <f>+IFERROR(IF($D82=0, VLOOKUP($C82, 'NATIONAL 2020'!$A$3:$M$40, 13, FALSE), VLOOKUP($C82, 'NFI 2020'!$C$3:$J$282, 8, FALSE)), "")</f>
        <v>62.054391952753932</v>
      </c>
      <c r="J82" s="111">
        <f>+IFERROR(IF($D82=0, VLOOKUP($C82, 'NATIONAL 2020'!$A$3:$M$40, 11, FALSE), VLOOKUP($C82, 'NFI 2020'!$C$3:$J$282, 6, FALSE)), "")</f>
        <v>1071861700.4369625</v>
      </c>
      <c r="K82" s="196">
        <f>+IFERROR(IF($D82=0, VLOOKUP($C82, 'NATIONAL 2020'!$A$3:$M$40, 12, FALSE), VLOOKUP($C82, 'NFI 2020'!$C$3:$J$282, 7, FALSE)), "")</f>
        <v>80623016.156215295</v>
      </c>
      <c r="L82" s="14"/>
      <c r="M82" s="70"/>
      <c r="N82" s="70"/>
      <c r="O82" s="4"/>
      <c r="R82" s="8"/>
      <c r="S82" s="8"/>
    </row>
    <row r="83" spans="1:19" x14ac:dyDescent="0.25">
      <c r="A83" s="26" t="s">
        <v>89</v>
      </c>
      <c r="B83" s="108" t="str">
        <f t="shared" ref="B83:B130" si="5">+LEFT(C83, 2)</f>
        <v>ES</v>
      </c>
      <c r="C83" s="108" t="s">
        <v>90</v>
      </c>
      <c r="D83" s="20">
        <f>+VLOOKUP(B83, 'NATIONAL 2020'!$A$3:$B$41, 2, FALSE)</f>
        <v>3</v>
      </c>
      <c r="E83" s="181">
        <f>+IFERROR(IF($D83=0, VLOOKUP($C83, 'NATIONAL 2020'!$A$3:$M$40, 7, FALSE), VLOOKUP($C83, 'NFI 2020'!$C$3:$J$282, 2, FALSE)), "")</f>
        <v>397132.56965639535</v>
      </c>
      <c r="F83" s="111">
        <f>+IFERROR(IF($D83=0, VLOOKUP($C83, 'NATIONAL 2020'!$A$3:$M$40, 8, FALSE), VLOOKUP($C83, 'NFI 2020'!$C$3:$J$282, 3, FALSE)), "")</f>
        <v>376442.54637923528</v>
      </c>
      <c r="G83" s="196">
        <f>+IFERROR(IF($D83=0, VLOOKUP($C83, 'NATIONAL 2020'!$A$3:$M$40, 9, FALSE), VLOOKUP($C83, 'NFI 2020'!$C$3:$J$282, 4, FALSE)), "")</f>
        <v>20690.023277161239</v>
      </c>
      <c r="H83" s="181">
        <f>+IFERROR(IF($D83=0, VLOOKUP($C83, 'NATIONAL 2020'!$A$3:$M$40, 10, FALSE), VLOOKUP($C83, 'NFI 2020'!$C$3:$J$282, 5, FALSE)), "")</f>
        <v>38945298.749537848</v>
      </c>
      <c r="I83" s="213">
        <f>+IFERROR(IF($D83=0, VLOOKUP($C83, 'NATIONAL 2020'!$A$3:$M$40, 13, FALSE), VLOOKUP($C83, 'NFI 2020'!$C$3:$J$282, 8, FALSE)), "")</f>
        <v>98.066242170048824</v>
      </c>
      <c r="J83" s="111">
        <f>+IFERROR(IF($D83=0, VLOOKUP($C83, 'NATIONAL 2020'!$A$3:$M$40, 11, FALSE), VLOOKUP($C83, 'NFI 2020'!$C$3:$J$282, 6, FALSE)), "")</f>
        <v>37753447.703814521</v>
      </c>
      <c r="K83" s="196">
        <f>+IFERROR(IF($D83=0, VLOOKUP($C83, 'NATIONAL 2020'!$A$3:$M$40, 12, FALSE), VLOOKUP($C83, 'NFI 2020'!$C$3:$J$282, 7, FALSE)), "")</f>
        <v>1191851.0457233312</v>
      </c>
      <c r="L83" s="14"/>
      <c r="M83" s="70"/>
      <c r="N83" s="70"/>
      <c r="O83" s="4"/>
      <c r="R83" s="8"/>
      <c r="S83" s="8"/>
    </row>
    <row r="84" spans="1:19" x14ac:dyDescent="0.25">
      <c r="A84" s="26" t="s">
        <v>89</v>
      </c>
      <c r="B84" s="108" t="str">
        <f t="shared" si="5"/>
        <v>ES</v>
      </c>
      <c r="C84" s="108" t="s">
        <v>91</v>
      </c>
      <c r="D84" s="20">
        <f>+VLOOKUP(B84, 'NATIONAL 2020'!$A$3:$B$41, 2, FALSE)</f>
        <v>3</v>
      </c>
      <c r="E84" s="181">
        <f>+IFERROR(IF($D84=0, VLOOKUP($C84, 'NATIONAL 2020'!$A$3:$M$40, 7, FALSE), VLOOKUP($C84, 'NFI 2020'!$C$3:$J$282, 2, FALSE)), "")</f>
        <v>461064.50802029803</v>
      </c>
      <c r="F84" s="111">
        <f>+IFERROR(IF($D84=0, VLOOKUP($C84, 'NATIONAL 2020'!$A$3:$M$40, 8, FALSE), VLOOKUP($C84, 'NFI 2020'!$C$3:$J$282, 3, FALSE)), "")</f>
        <v>438272.21864772844</v>
      </c>
      <c r="G84" s="196">
        <f>+IFERROR(IF($D84=0, VLOOKUP($C84, 'NATIONAL 2020'!$A$3:$M$40, 9, FALSE), VLOOKUP($C84, 'NFI 2020'!$C$3:$J$282, 4, FALSE)), "")</f>
        <v>22792.28937257006</v>
      </c>
      <c r="H84" s="181">
        <f>+IFERROR(IF($D84=0, VLOOKUP($C84, 'NATIONAL 2020'!$A$3:$M$40, 10, FALSE), VLOOKUP($C84, 'NFI 2020'!$C$3:$J$282, 5, FALSE)), "")</f>
        <v>47374025.116665199</v>
      </c>
      <c r="I84" s="213">
        <f>+IFERROR(IF($D84=0, VLOOKUP($C84, 'NATIONAL 2020'!$A$3:$M$40, 13, FALSE), VLOOKUP($C84, 'NFI 2020'!$C$3:$J$282, 8, FALSE)), "")</f>
        <v>102.74923420169134</v>
      </c>
      <c r="J84" s="111">
        <f>+IFERROR(IF($D84=0, VLOOKUP($C84, 'NATIONAL 2020'!$A$3:$M$40, 11, FALSE), VLOOKUP($C84, 'NFI 2020'!$C$3:$J$282, 6, FALSE)), "")</f>
        <v>45463888.430036299</v>
      </c>
      <c r="K84" s="196">
        <f>+IFERROR(IF($D84=0, VLOOKUP($C84, 'NATIONAL 2020'!$A$3:$M$40, 12, FALSE), VLOOKUP($C84, 'NFI 2020'!$C$3:$J$282, 7, FALSE)), "")</f>
        <v>1910136.6866289007</v>
      </c>
      <c r="L84" s="14"/>
      <c r="M84" s="70"/>
      <c r="N84" s="70"/>
      <c r="O84" s="4"/>
      <c r="R84" s="8"/>
      <c r="S84" s="8"/>
    </row>
    <row r="85" spans="1:19" x14ac:dyDescent="0.25">
      <c r="A85" s="26" t="s">
        <v>89</v>
      </c>
      <c r="B85" s="108" t="str">
        <f t="shared" si="5"/>
        <v>ES</v>
      </c>
      <c r="C85" s="108" t="s">
        <v>92</v>
      </c>
      <c r="D85" s="20">
        <f>+VLOOKUP(B85, 'NATIONAL 2020'!$A$3:$B$41, 2, FALSE)</f>
        <v>3</v>
      </c>
      <c r="E85" s="181">
        <f>+IFERROR(IF($D85=0, VLOOKUP($C85, 'NATIONAL 2020'!$A$3:$M$40, 7, FALSE), VLOOKUP($C85, 'NFI 2020'!$C$3:$J$282, 2, FALSE)), "")</f>
        <v>318939.51896911848</v>
      </c>
      <c r="F85" s="111">
        <f>+IFERROR(IF($D85=0, VLOOKUP($C85, 'NATIONAL 2020'!$A$3:$M$40, 8, FALSE), VLOOKUP($C85, 'NFI 2020'!$C$3:$J$282, 3, FALSE)), "")</f>
        <v>297054.22360998468</v>
      </c>
      <c r="G85" s="196">
        <f>+IFERROR(IF($D85=0, VLOOKUP($C85, 'NATIONAL 2020'!$A$3:$M$40, 9, FALSE), VLOOKUP($C85, 'NFI 2020'!$C$3:$J$282, 4, FALSE)), "")</f>
        <v>21885.295359133772</v>
      </c>
      <c r="H85" s="181">
        <f>+IFERROR(IF($D85=0, VLOOKUP($C85, 'NATIONAL 2020'!$A$3:$M$40, 10, FALSE), VLOOKUP($C85, 'NFI 2020'!$C$3:$J$282, 5, FALSE)), "")</f>
        <v>22785482.123754732</v>
      </c>
      <c r="I85" s="213">
        <f>+IFERROR(IF($D85=0, VLOOKUP($C85, 'NATIONAL 2020'!$A$3:$M$40, 13, FALSE), VLOOKUP($C85, 'NFI 2020'!$C$3:$J$282, 8, FALSE)), "")</f>
        <v>71.441388628798151</v>
      </c>
      <c r="J85" s="111">
        <f>+IFERROR(IF($D85=0, VLOOKUP($C85, 'NATIONAL 2020'!$A$3:$M$40, 11, FALSE), VLOOKUP($C85, 'NFI 2020'!$C$3:$J$282, 6, FALSE)), "")</f>
        <v>21837726.502256215</v>
      </c>
      <c r="K85" s="196">
        <f>+IFERROR(IF($D85=0, VLOOKUP($C85, 'NATIONAL 2020'!$A$3:$M$40, 12, FALSE), VLOOKUP($C85, 'NFI 2020'!$C$3:$J$282, 7, FALSE)), "")</f>
        <v>947755.62149852351</v>
      </c>
      <c r="L85" s="14"/>
      <c r="M85" s="70"/>
      <c r="N85" s="70"/>
      <c r="R85" s="8"/>
      <c r="S85" s="8"/>
    </row>
    <row r="86" spans="1:19" x14ac:dyDescent="0.25">
      <c r="A86" s="26" t="s">
        <v>89</v>
      </c>
      <c r="B86" s="108" t="str">
        <f t="shared" si="5"/>
        <v>ES</v>
      </c>
      <c r="C86" s="108" t="s">
        <v>93</v>
      </c>
      <c r="D86" s="20">
        <f>+VLOOKUP(B86, 'NATIONAL 2020'!$A$3:$B$41, 2, FALSE)</f>
        <v>3</v>
      </c>
      <c r="E86" s="181">
        <f>+IFERROR(IF($D86=0, VLOOKUP($C86, 'NATIONAL 2020'!$A$3:$M$40, 7, FALSE), VLOOKUP($C86, 'NFI 2020'!$C$3:$J$282, 2, FALSE)), "")</f>
        <v>221871.84095621374</v>
      </c>
      <c r="F86" s="111">
        <f>+IFERROR(IF($D86=0, VLOOKUP($C86, 'NATIONAL 2020'!$A$3:$M$40, 8, FALSE), VLOOKUP($C86, 'NFI 2020'!$C$3:$J$282, 3, FALSE)), "")</f>
        <v>209783.69379146653</v>
      </c>
      <c r="G86" s="196">
        <f>+IFERROR(IF($D86=0, VLOOKUP($C86, 'NATIONAL 2020'!$A$3:$M$40, 9, FALSE), VLOOKUP($C86, 'NFI 2020'!$C$3:$J$282, 4, FALSE)), "")</f>
        <v>12088.147164747214</v>
      </c>
      <c r="H86" s="181">
        <f>+IFERROR(IF($D86=0, VLOOKUP($C86, 'NATIONAL 2020'!$A$3:$M$40, 10, FALSE), VLOOKUP($C86, 'NFI 2020'!$C$3:$J$282, 5, FALSE)), "")</f>
        <v>21442937.786231928</v>
      </c>
      <c r="I86" s="213">
        <f>+IFERROR(IF($D86=0, VLOOKUP($C86, 'NATIONAL 2020'!$A$3:$M$40, 13, FALSE), VLOOKUP($C86, 'NFI 2020'!$C$3:$J$282, 8, FALSE)), "")</f>
        <v>96.64560267683396</v>
      </c>
      <c r="J86" s="111">
        <f>+IFERROR(IF($D86=0, VLOOKUP($C86, 'NATIONAL 2020'!$A$3:$M$40, 11, FALSE), VLOOKUP($C86, 'NFI 2020'!$C$3:$J$282, 6, FALSE)), "")</f>
        <v>20901547.960747026</v>
      </c>
      <c r="K86" s="196">
        <f>+IFERROR(IF($D86=0, VLOOKUP($C86, 'NATIONAL 2020'!$A$3:$M$40, 12, FALSE), VLOOKUP($C86, 'NFI 2020'!$C$3:$J$282, 7, FALSE)), "")</f>
        <v>541389.82548490341</v>
      </c>
      <c r="L86" s="14"/>
      <c r="M86" s="70"/>
      <c r="N86" s="70"/>
      <c r="R86" s="8"/>
      <c r="S86" s="8"/>
    </row>
    <row r="87" spans="1:19" x14ac:dyDescent="0.25">
      <c r="A87" s="26" t="s">
        <v>89</v>
      </c>
      <c r="B87" s="108" t="str">
        <f t="shared" si="5"/>
        <v>ES</v>
      </c>
      <c r="C87" s="108" t="s">
        <v>94</v>
      </c>
      <c r="D87" s="20">
        <f>+VLOOKUP(B87, 'NATIONAL 2020'!$A$3:$B$41, 2, FALSE)</f>
        <v>3</v>
      </c>
      <c r="E87" s="181">
        <f>+IFERROR(IF($D87=0, VLOOKUP($C87, 'NATIONAL 2020'!$A$3:$M$40, 7, FALSE), VLOOKUP($C87, 'NFI 2020'!$C$3:$J$282, 2, FALSE)), "")</f>
        <v>445525.6357396766</v>
      </c>
      <c r="F87" s="111">
        <f>+IFERROR(IF($D87=0, VLOOKUP($C87, 'NATIONAL 2020'!$A$3:$M$40, 8, FALSE), VLOOKUP($C87, 'NFI 2020'!$C$3:$J$282, 3, FALSE)), "")</f>
        <v>408059.23778736877</v>
      </c>
      <c r="G87" s="196">
        <f>+IFERROR(IF($D87=0, VLOOKUP($C87, 'NATIONAL 2020'!$A$3:$M$40, 9, FALSE), VLOOKUP($C87, 'NFI 2020'!$C$3:$J$282, 4, FALSE)), "")</f>
        <v>37466.397952307037</v>
      </c>
      <c r="H87" s="181">
        <f>+IFERROR(IF($D87=0, VLOOKUP($C87, 'NATIONAL 2020'!$A$3:$M$40, 10, FALSE), VLOOKUP($C87, 'NFI 2020'!$C$3:$J$282, 5, FALSE)), "")</f>
        <v>48294937.174253143</v>
      </c>
      <c r="I87" s="213">
        <f>+IFERROR(IF($D87=0, VLOOKUP($C87, 'NATIONAL 2020'!$A$3:$M$40, 13, FALSE), VLOOKUP($C87, 'NFI 2020'!$C$3:$J$282, 8, FALSE)), "")</f>
        <v>108.3999063130728</v>
      </c>
      <c r="J87" s="111">
        <f>+IFERROR(IF($D87=0, VLOOKUP($C87, 'NATIONAL 2020'!$A$3:$M$40, 11, FALSE), VLOOKUP($C87, 'NFI 2020'!$C$3:$J$282, 6, FALSE)), "")</f>
        <v>44912929.242013738</v>
      </c>
      <c r="K87" s="196">
        <f>+IFERROR(IF($D87=0, VLOOKUP($C87, 'NATIONAL 2020'!$A$3:$M$40, 12, FALSE), VLOOKUP($C87, 'NFI 2020'!$C$3:$J$282, 7, FALSE)), "")</f>
        <v>3382007.932239397</v>
      </c>
      <c r="L87" s="14"/>
      <c r="M87" s="70"/>
      <c r="N87" s="70"/>
      <c r="R87" s="8"/>
      <c r="S87" s="8"/>
    </row>
    <row r="88" spans="1:19" x14ac:dyDescent="0.25">
      <c r="A88" s="26" t="s">
        <v>89</v>
      </c>
      <c r="B88" s="108" t="str">
        <f t="shared" si="5"/>
        <v>ES</v>
      </c>
      <c r="C88" s="108" t="s">
        <v>95</v>
      </c>
      <c r="D88" s="20">
        <f>+VLOOKUP(B88, 'NATIONAL 2020'!$A$3:$B$41, 2, FALSE)</f>
        <v>3</v>
      </c>
      <c r="E88" s="181">
        <f>+IFERROR(IF($D88=0, VLOOKUP($C88, 'NATIONAL 2020'!$A$3:$M$40, 7, FALSE), VLOOKUP($C88, 'NFI 2020'!$C$3:$J$282, 2, FALSE)), "")</f>
        <v>214498.66578079737</v>
      </c>
      <c r="F88" s="111">
        <f>+IFERROR(IF($D88=0, VLOOKUP($C88, 'NATIONAL 2020'!$A$3:$M$40, 8, FALSE), VLOOKUP($C88, 'NFI 2020'!$C$3:$J$282, 3, FALSE)), "")</f>
        <v>196381.32520588761</v>
      </c>
      <c r="G88" s="196">
        <f>+IFERROR(IF($D88=0, VLOOKUP($C88, 'NATIONAL 2020'!$A$3:$M$40, 9, FALSE), VLOOKUP($C88, 'NFI 2020'!$C$3:$J$282, 4, FALSE)), "")</f>
        <v>18117.340574909289</v>
      </c>
      <c r="H88" s="181">
        <f>+IFERROR(IF($D88=0, VLOOKUP($C88, 'NATIONAL 2020'!$A$3:$M$40, 10, FALSE), VLOOKUP($C88, 'NFI 2020'!$C$3:$J$282, 5, FALSE)), "")</f>
        <v>26230388.351337254</v>
      </c>
      <c r="I88" s="213">
        <f>+IFERROR(IF($D88=0, VLOOKUP($C88, 'NATIONAL 2020'!$A$3:$M$40, 13, FALSE), VLOOKUP($C88, 'NFI 2020'!$C$3:$J$282, 8, FALSE)), "")</f>
        <v>122.28695342162582</v>
      </c>
      <c r="J88" s="111">
        <f>+IFERROR(IF($D88=0, VLOOKUP($C88, 'NATIONAL 2020'!$A$3:$M$40, 11, FALSE), VLOOKUP($C88, 'NFI 2020'!$C$3:$J$282, 6, FALSE)), "")</f>
        <v>24090345.022962678</v>
      </c>
      <c r="K88" s="196">
        <f>+IFERROR(IF($D88=0, VLOOKUP($C88, 'NATIONAL 2020'!$A$3:$M$40, 12, FALSE), VLOOKUP($C88, 'NFI 2020'!$C$3:$J$282, 7, FALSE)), "")</f>
        <v>2140043.3283745763</v>
      </c>
      <c r="L88" s="14"/>
      <c r="M88" s="70"/>
      <c r="N88" s="70"/>
      <c r="R88" s="8"/>
      <c r="S88" s="8"/>
    </row>
    <row r="89" spans="1:19" x14ac:dyDescent="0.25">
      <c r="A89" s="26" t="s">
        <v>89</v>
      </c>
      <c r="B89" s="108" t="str">
        <f t="shared" si="5"/>
        <v>ES</v>
      </c>
      <c r="C89" s="108" t="s">
        <v>96</v>
      </c>
      <c r="D89" s="20">
        <f>+VLOOKUP(B89, 'NATIONAL 2020'!$A$3:$B$41, 2, FALSE)</f>
        <v>3</v>
      </c>
      <c r="E89" s="181">
        <f>+IFERROR(IF($D89=0, VLOOKUP($C89, 'NATIONAL 2020'!$A$3:$M$40, 7, FALSE), VLOOKUP($C89, 'NFI 2020'!$C$3:$J$282, 2, FALSE)), "")</f>
        <v>141274.21669917009</v>
      </c>
      <c r="F89" s="111">
        <f>+IFERROR(IF($D89=0, VLOOKUP($C89, 'NATIONAL 2020'!$A$3:$M$40, 8, FALSE), VLOOKUP($C89, 'NFI 2020'!$C$3:$J$282, 3, FALSE)), "")</f>
        <v>139872.66807766381</v>
      </c>
      <c r="G89" s="196">
        <f>+IFERROR(IF($D89=0, VLOOKUP($C89, 'NATIONAL 2020'!$A$3:$M$40, 9, FALSE), VLOOKUP($C89, 'NFI 2020'!$C$3:$J$282, 4, FALSE)), "")</f>
        <v>1401.5486215062454</v>
      </c>
      <c r="H89" s="181">
        <f>+IFERROR(IF($D89=0, VLOOKUP($C89, 'NATIONAL 2020'!$A$3:$M$40, 10, FALSE), VLOOKUP($C89, 'NFI 2020'!$C$3:$J$282, 5, FALSE)), "")</f>
        <v>19856654.450649619</v>
      </c>
      <c r="I89" s="213">
        <f>+IFERROR(IF($D89=0, VLOOKUP($C89, 'NATIONAL 2020'!$A$3:$M$40, 13, FALSE), VLOOKUP($C89, 'NFI 2020'!$C$3:$J$282, 8, FALSE)), "")</f>
        <v>140.55398723556516</v>
      </c>
      <c r="J89" s="111">
        <f>+IFERROR(IF($D89=0, VLOOKUP($C89, 'NATIONAL 2020'!$A$3:$M$40, 11, FALSE), VLOOKUP($C89, 'NFI 2020'!$C$3:$J$282, 6, FALSE)), "")</f>
        <v>19620363.01605906</v>
      </c>
      <c r="K89" s="196">
        <f>+IFERROR(IF($D89=0, VLOOKUP($C89, 'NATIONAL 2020'!$A$3:$M$40, 12, FALSE), VLOOKUP($C89, 'NFI 2020'!$C$3:$J$282, 7, FALSE)), "")</f>
        <v>236291.43459055579</v>
      </c>
      <c r="L89" s="14"/>
      <c r="M89" s="70"/>
      <c r="N89" s="70"/>
      <c r="R89" s="8"/>
      <c r="S89" s="8"/>
    </row>
    <row r="90" spans="1:19" x14ac:dyDescent="0.25">
      <c r="A90" s="26" t="s">
        <v>89</v>
      </c>
      <c r="B90" s="108" t="str">
        <f t="shared" si="5"/>
        <v>ES</v>
      </c>
      <c r="C90" s="108" t="s">
        <v>97</v>
      </c>
      <c r="D90" s="20">
        <f>+VLOOKUP(B90, 'NATIONAL 2020'!$A$3:$B$41, 2, FALSE)</f>
        <v>3</v>
      </c>
      <c r="E90" s="181">
        <f>+IFERROR(IF($D90=0, VLOOKUP($C90, 'NATIONAL 2020'!$A$3:$M$40, 7, FALSE), VLOOKUP($C90, 'NFI 2020'!$C$3:$J$282, 2, FALSE)), "")</f>
        <v>122837.36111422742</v>
      </c>
      <c r="F90" s="111">
        <f>+IFERROR(IF($D90=0, VLOOKUP($C90, 'NATIONAL 2020'!$A$3:$M$40, 8, FALSE), VLOOKUP($C90, 'NFI 2020'!$C$3:$J$282, 3, FALSE)), "")</f>
        <v>122353.97568094201</v>
      </c>
      <c r="G90" s="196">
        <f>+IFERROR(IF($D90=0, VLOOKUP($C90, 'NATIONAL 2020'!$A$3:$M$40, 9, FALSE), VLOOKUP($C90, 'NFI 2020'!$C$3:$J$282, 4, FALSE)), "")</f>
        <v>483.38543328540231</v>
      </c>
      <c r="H90" s="181">
        <f>+IFERROR(IF($D90=0, VLOOKUP($C90, 'NATIONAL 2020'!$A$3:$M$40, 10, FALSE), VLOOKUP($C90, 'NFI 2020'!$C$3:$J$282, 5, FALSE)), "")</f>
        <v>18658863.930384934</v>
      </c>
      <c r="I90" s="213">
        <f>+IFERROR(IF($D90=0, VLOOKUP($C90, 'NATIONAL 2020'!$A$3:$M$40, 13, FALSE), VLOOKUP($C90, 'NFI 2020'!$C$3:$J$282, 8, FALSE)), "")</f>
        <v>151.8989317348971</v>
      </c>
      <c r="J90" s="111">
        <f>+IFERROR(IF($D90=0, VLOOKUP($C90, 'NATIONAL 2020'!$A$3:$M$40, 11, FALSE), VLOOKUP($C90, 'NFI 2020'!$C$3:$J$282, 6, FALSE)), "")</f>
        <v>18636880.179745469</v>
      </c>
      <c r="K90" s="196">
        <f>+IFERROR(IF($D90=0, VLOOKUP($C90, 'NATIONAL 2020'!$A$3:$M$40, 12, FALSE), VLOOKUP($C90, 'NFI 2020'!$C$3:$J$282, 7, FALSE)), "")</f>
        <v>21983.750639468075</v>
      </c>
      <c r="L90" s="14"/>
      <c r="M90" s="70"/>
      <c r="N90" s="70"/>
      <c r="R90" s="8"/>
      <c r="S90" s="8"/>
    </row>
    <row r="91" spans="1:19" x14ac:dyDescent="0.25">
      <c r="A91" s="26" t="s">
        <v>89</v>
      </c>
      <c r="B91" s="108" t="str">
        <f t="shared" si="5"/>
        <v>ES</v>
      </c>
      <c r="C91" s="108" t="s">
        <v>98</v>
      </c>
      <c r="D91" s="20">
        <f>+VLOOKUP(B91, 'NATIONAL 2020'!$A$3:$B$41, 2, FALSE)</f>
        <v>3</v>
      </c>
      <c r="E91" s="181">
        <f>+IFERROR(IF($D91=0, VLOOKUP($C91, 'NATIONAL 2020'!$A$3:$M$40, 7, FALSE), VLOOKUP($C91, 'NFI 2020'!$C$3:$J$282, 2, FALSE)), "")</f>
        <v>126880.6341410145</v>
      </c>
      <c r="F91" s="111">
        <f>+IFERROR(IF($D91=0, VLOOKUP($C91, 'NATIONAL 2020'!$A$3:$M$40, 8, FALSE), VLOOKUP($C91, 'NFI 2020'!$C$3:$J$282, 3, FALSE)), "")</f>
        <v>125808.35191698925</v>
      </c>
      <c r="G91" s="196">
        <f>+IFERROR(IF($D91=0, VLOOKUP($C91, 'NATIONAL 2020'!$A$3:$M$40, 9, FALSE), VLOOKUP($C91, 'NFI 2020'!$C$3:$J$282, 4, FALSE)), "")</f>
        <v>1072.282224025249</v>
      </c>
      <c r="H91" s="181">
        <f>+IFERROR(IF($D91=0, VLOOKUP($C91, 'NATIONAL 2020'!$A$3:$M$40, 10, FALSE), VLOOKUP($C91, 'NFI 2020'!$C$3:$J$282, 5, FALSE)), "")</f>
        <v>15573838.744192341</v>
      </c>
      <c r="I91" s="213">
        <f>+IFERROR(IF($D91=0, VLOOKUP($C91, 'NATIONAL 2020'!$A$3:$M$40, 13, FALSE), VLOOKUP($C91, 'NFI 2020'!$C$3:$J$282, 8, FALSE)), "")</f>
        <v>122.74401723815201</v>
      </c>
      <c r="J91" s="111">
        <f>+IFERROR(IF($D91=0, VLOOKUP($C91, 'NATIONAL 2020'!$A$3:$M$40, 11, FALSE), VLOOKUP($C91, 'NFI 2020'!$C$3:$J$282, 6, FALSE)), "")</f>
        <v>15488868.972223299</v>
      </c>
      <c r="K91" s="196">
        <f>+IFERROR(IF($D91=0, VLOOKUP($C91, 'NATIONAL 2020'!$A$3:$M$40, 12, FALSE), VLOOKUP($C91, 'NFI 2020'!$C$3:$J$282, 7, FALSE)), "")</f>
        <v>84969.771969043257</v>
      </c>
      <c r="L91" s="14"/>
      <c r="M91" s="70"/>
      <c r="N91" s="70"/>
      <c r="R91" s="8"/>
      <c r="S91" s="8"/>
    </row>
    <row r="92" spans="1:19" x14ac:dyDescent="0.25">
      <c r="A92" s="26" t="s">
        <v>89</v>
      </c>
      <c r="B92" s="108" t="str">
        <f t="shared" si="5"/>
        <v>ES</v>
      </c>
      <c r="C92" s="108" t="s">
        <v>99</v>
      </c>
      <c r="D92" s="20">
        <f>+VLOOKUP(B92, 'NATIONAL 2020'!$A$3:$B$41, 2, FALSE)</f>
        <v>3</v>
      </c>
      <c r="E92" s="181">
        <f>+IFERROR(IF($D92=0, VLOOKUP($C92, 'NATIONAL 2020'!$A$3:$M$40, 7, FALSE), VLOOKUP($C92, 'NFI 2020'!$C$3:$J$282, 2, FALSE)), "")</f>
        <v>455672.82721692417</v>
      </c>
      <c r="F92" s="111">
        <f>+IFERROR(IF($D92=0, VLOOKUP($C92, 'NATIONAL 2020'!$A$3:$M$40, 8, FALSE), VLOOKUP($C92, 'NFI 2020'!$C$3:$J$282, 3, FALSE)), "")</f>
        <v>413270.02176201908</v>
      </c>
      <c r="G92" s="196">
        <f>+IFERROR(IF($D92=0, VLOOKUP($C92, 'NATIONAL 2020'!$A$3:$M$40, 9, FALSE), VLOOKUP($C92, 'NFI 2020'!$C$3:$J$282, 4, FALSE)), "")</f>
        <v>42402.805454902293</v>
      </c>
      <c r="H92" s="181">
        <f>+IFERROR(IF($D92=0, VLOOKUP($C92, 'NATIONAL 2020'!$A$3:$M$40, 10, FALSE), VLOOKUP($C92, 'NFI 2020'!$C$3:$J$282, 5, FALSE)), "")</f>
        <v>62789545.090974726</v>
      </c>
      <c r="I92" s="213">
        <f>+IFERROR(IF($D92=0, VLOOKUP($C92, 'NATIONAL 2020'!$A$3:$M$40, 13, FALSE), VLOOKUP($C92, 'NFI 2020'!$C$3:$J$282, 8, FALSE)), "")</f>
        <v>137.79523671505567</v>
      </c>
      <c r="J92" s="111">
        <f>+IFERROR(IF($D92=0, VLOOKUP($C92, 'NATIONAL 2020'!$A$3:$M$40, 11, FALSE), VLOOKUP($C92, 'NFI 2020'!$C$3:$J$282, 6, FALSE)), "")</f>
        <v>58351588.327815652</v>
      </c>
      <c r="K92" s="196">
        <f>+IFERROR(IF($D92=0, VLOOKUP($C92, 'NATIONAL 2020'!$A$3:$M$40, 12, FALSE), VLOOKUP($C92, 'NFI 2020'!$C$3:$J$282, 7, FALSE)), "")</f>
        <v>4437956.7631590702</v>
      </c>
      <c r="L92" s="14"/>
      <c r="M92" s="70"/>
      <c r="N92" s="70"/>
      <c r="R92" s="8"/>
      <c r="S92" s="8"/>
    </row>
    <row r="93" spans="1:19" x14ac:dyDescent="0.25">
      <c r="A93" s="26" t="s">
        <v>89</v>
      </c>
      <c r="B93" s="108" t="str">
        <f t="shared" si="5"/>
        <v>ES</v>
      </c>
      <c r="C93" s="108" t="s">
        <v>100</v>
      </c>
      <c r="D93" s="20">
        <f>+VLOOKUP(B93, 'NATIONAL 2020'!$A$3:$B$41, 2, FALSE)</f>
        <v>3</v>
      </c>
      <c r="E93" s="181">
        <f>+IFERROR(IF($D93=0, VLOOKUP($C93, 'NATIONAL 2020'!$A$3:$M$40, 7, FALSE), VLOOKUP($C93, 'NFI 2020'!$C$3:$J$282, 2, FALSE)), "")</f>
        <v>165745.84929830965</v>
      </c>
      <c r="F93" s="111">
        <f>+IFERROR(IF($D93=0, VLOOKUP($C93, 'NATIONAL 2020'!$A$3:$M$40, 8, FALSE), VLOOKUP($C93, 'NFI 2020'!$C$3:$J$282, 3, FALSE)), "")</f>
        <v>148538.22364781919</v>
      </c>
      <c r="G93" s="196">
        <f>+IFERROR(IF($D93=0, VLOOKUP($C93, 'NATIONAL 2020'!$A$3:$M$40, 9, FALSE), VLOOKUP($C93, 'NFI 2020'!$C$3:$J$282, 4, FALSE)), "")</f>
        <v>17207.625650489754</v>
      </c>
      <c r="H93" s="181">
        <f>+IFERROR(IF($D93=0, VLOOKUP($C93, 'NATIONAL 2020'!$A$3:$M$40, 10, FALSE), VLOOKUP($C93, 'NFI 2020'!$C$3:$J$282, 5, FALSE)), "")</f>
        <v>16216873.461035416</v>
      </c>
      <c r="I93" s="213">
        <f>+IFERROR(IF($D93=0, VLOOKUP($C93, 'NATIONAL 2020'!$A$3:$M$40, 13, FALSE), VLOOKUP($C93, 'NFI 2020'!$C$3:$J$282, 8, FALSE)), "")</f>
        <v>97.841807379732685</v>
      </c>
      <c r="J93" s="111">
        <f>+IFERROR(IF($D93=0, VLOOKUP($C93, 'NATIONAL 2020'!$A$3:$M$40, 11, FALSE), VLOOKUP($C93, 'NFI 2020'!$C$3:$J$282, 6, FALSE)), "")</f>
        <v>14755575.246952057</v>
      </c>
      <c r="K93" s="196">
        <f>+IFERROR(IF($D93=0, VLOOKUP($C93, 'NATIONAL 2020'!$A$3:$M$40, 12, FALSE), VLOOKUP($C93, 'NFI 2020'!$C$3:$J$282, 7, FALSE)), "")</f>
        <v>1461298.2140833556</v>
      </c>
      <c r="L93" s="14"/>
      <c r="M93" s="70"/>
      <c r="N93" s="70"/>
      <c r="R93" s="8"/>
      <c r="S93" s="8"/>
    </row>
    <row r="94" spans="1:19" x14ac:dyDescent="0.25">
      <c r="A94" s="26" t="s">
        <v>89</v>
      </c>
      <c r="B94" s="108" t="str">
        <f t="shared" si="5"/>
        <v>ES</v>
      </c>
      <c r="C94" s="108" t="s">
        <v>101</v>
      </c>
      <c r="D94" s="20">
        <f>+VLOOKUP(B94, 'NATIONAL 2020'!$A$3:$B$41, 2, FALSE)</f>
        <v>3</v>
      </c>
      <c r="E94" s="181">
        <f>+IFERROR(IF($D94=0, VLOOKUP($C94, 'NATIONAL 2020'!$A$3:$M$40, 7, FALSE), VLOOKUP($C94, 'NFI 2020'!$C$3:$J$282, 2, FALSE)), "")</f>
        <v>605365.18360269407</v>
      </c>
      <c r="F94" s="111">
        <f>+IFERROR(IF($D94=0, VLOOKUP($C94, 'NATIONAL 2020'!$A$3:$M$40, 8, FALSE), VLOOKUP($C94, 'NFI 2020'!$C$3:$J$282, 3, FALSE)), "")</f>
        <v>544994.13847880578</v>
      </c>
      <c r="G94" s="196">
        <f>+IFERROR(IF($D94=0, VLOOKUP($C94, 'NATIONAL 2020'!$A$3:$M$40, 9, FALSE), VLOOKUP($C94, 'NFI 2020'!$C$3:$J$282, 4, FALSE)), "")</f>
        <v>60371.045123886914</v>
      </c>
      <c r="H94" s="181">
        <f>+IFERROR(IF($D94=0, VLOOKUP($C94, 'NATIONAL 2020'!$A$3:$M$40, 10, FALSE), VLOOKUP($C94, 'NFI 2020'!$C$3:$J$282, 5, FALSE)), "")</f>
        <v>49189209.586721599</v>
      </c>
      <c r="I94" s="213">
        <f>+IFERROR(IF($D94=0, VLOOKUP($C94, 'NATIONAL 2020'!$A$3:$M$40, 13, FALSE), VLOOKUP($C94, 'NFI 2020'!$C$3:$J$282, 8, FALSE)), "")</f>
        <v>81.255432124429646</v>
      </c>
      <c r="J94" s="111">
        <f>+IFERROR(IF($D94=0, VLOOKUP($C94, 'NATIONAL 2020'!$A$3:$M$40, 11, FALSE), VLOOKUP($C94, 'NFI 2020'!$C$3:$J$282, 6, FALSE)), "")</f>
        <v>42943081.073353879</v>
      </c>
      <c r="K94" s="196">
        <f>+IFERROR(IF($D94=0, VLOOKUP($C94, 'NATIONAL 2020'!$A$3:$M$40, 12, FALSE), VLOOKUP($C94, 'NFI 2020'!$C$3:$J$282, 7, FALSE)), "")</f>
        <v>6246128.5133677134</v>
      </c>
      <c r="L94" s="14"/>
      <c r="M94" s="70"/>
      <c r="N94" s="70"/>
      <c r="R94" s="8"/>
      <c r="S94" s="8"/>
    </row>
    <row r="95" spans="1:19" x14ac:dyDescent="0.25">
      <c r="A95" s="26" t="s">
        <v>89</v>
      </c>
      <c r="B95" s="108" t="str">
        <f t="shared" si="5"/>
        <v>ES</v>
      </c>
      <c r="C95" s="108" t="s">
        <v>102</v>
      </c>
      <c r="D95" s="20">
        <f>+VLOOKUP(B95, 'NATIONAL 2020'!$A$3:$B$41, 2, FALSE)</f>
        <v>3</v>
      </c>
      <c r="E95" s="181">
        <f>+IFERROR(IF($D95=0, VLOOKUP($C95, 'NATIONAL 2020'!$A$3:$M$40, 7, FALSE), VLOOKUP($C95, 'NFI 2020'!$C$3:$J$282, 2, FALSE)), "")</f>
        <v>587513.80816556874</v>
      </c>
      <c r="F95" s="111">
        <f>+IFERROR(IF($D95=0, VLOOKUP($C95, 'NATIONAL 2020'!$A$3:$M$40, 8, FALSE), VLOOKUP($C95, 'NFI 2020'!$C$3:$J$282, 3, FALSE)), "")</f>
        <v>547963.57394624804</v>
      </c>
      <c r="G95" s="196">
        <f>+IFERROR(IF($D95=0, VLOOKUP($C95, 'NATIONAL 2020'!$A$3:$M$40, 9, FALSE), VLOOKUP($C95, 'NFI 2020'!$C$3:$J$282, 4, FALSE)), "")</f>
        <v>39550.234219323167</v>
      </c>
      <c r="H95" s="181">
        <f>+IFERROR(IF($D95=0, VLOOKUP($C95, 'NATIONAL 2020'!$A$3:$M$40, 10, FALSE), VLOOKUP($C95, 'NFI 2020'!$C$3:$J$282, 5, FALSE)), "")</f>
        <v>30673869.332073409</v>
      </c>
      <c r="I95" s="213">
        <f>+IFERROR(IF($D95=0, VLOOKUP($C95, 'NATIONAL 2020'!$A$3:$M$40, 13, FALSE), VLOOKUP($C95, 'NFI 2020'!$C$3:$J$282, 8, FALSE)), "")</f>
        <v>52.209614320126974</v>
      </c>
      <c r="J95" s="111">
        <f>+IFERROR(IF($D95=0, VLOOKUP($C95, 'NATIONAL 2020'!$A$3:$M$40, 11, FALSE), VLOOKUP($C95, 'NFI 2020'!$C$3:$J$282, 6, FALSE)), "")</f>
        <v>29322863.698774528</v>
      </c>
      <c r="K95" s="196">
        <f>+IFERROR(IF($D95=0, VLOOKUP($C95, 'NATIONAL 2020'!$A$3:$M$40, 12, FALSE), VLOOKUP($C95, 'NFI 2020'!$C$3:$J$282, 7, FALSE)), "")</f>
        <v>1351005.63329888</v>
      </c>
      <c r="L95" s="14"/>
      <c r="M95" s="70"/>
      <c r="N95" s="70"/>
      <c r="R95" s="8"/>
      <c r="S95" s="8"/>
    </row>
    <row r="96" spans="1:19" x14ac:dyDescent="0.25">
      <c r="A96" s="26" t="s">
        <v>89</v>
      </c>
      <c r="B96" s="108" t="str">
        <f t="shared" si="5"/>
        <v>ES</v>
      </c>
      <c r="C96" s="108" t="s">
        <v>103</v>
      </c>
      <c r="D96" s="20">
        <f>+VLOOKUP(B96, 'NATIONAL 2020'!$A$3:$B$41, 2, FALSE)</f>
        <v>3</v>
      </c>
      <c r="E96" s="181">
        <f>+IFERROR(IF($D96=0, VLOOKUP($C96, 'NATIONAL 2020'!$A$3:$M$40, 7, FALSE), VLOOKUP($C96, 'NFI 2020'!$C$3:$J$282, 2, FALSE)), "")</f>
        <v>372431.13659224537</v>
      </c>
      <c r="F96" s="111">
        <f>+IFERROR(IF($D96=0, VLOOKUP($C96, 'NATIONAL 2020'!$A$3:$M$40, 8, FALSE), VLOOKUP($C96, 'NFI 2020'!$C$3:$J$282, 3, FALSE)), "")</f>
        <v>350051.40715343889</v>
      </c>
      <c r="G96" s="196">
        <f>+IFERROR(IF($D96=0, VLOOKUP($C96, 'NATIONAL 2020'!$A$3:$M$40, 9, FALSE), VLOOKUP($C96, 'NFI 2020'!$C$3:$J$282, 4, FALSE)), "")</f>
        <v>22379.729438806866</v>
      </c>
      <c r="H96" s="181">
        <f>+IFERROR(IF($D96=0, VLOOKUP($C96, 'NATIONAL 2020'!$A$3:$M$40, 10, FALSE), VLOOKUP($C96, 'NFI 2020'!$C$3:$J$282, 5, FALSE)), "")</f>
        <v>16346353.362193292</v>
      </c>
      <c r="I96" s="213">
        <f>+IFERROR(IF($D96=0, VLOOKUP($C96, 'NATIONAL 2020'!$A$3:$M$40, 13, FALSE), VLOOKUP($C96, 'NFI 2020'!$C$3:$J$282, 8, FALSE)), "")</f>
        <v>43.890941857769604</v>
      </c>
      <c r="J96" s="111">
        <f>+IFERROR(IF($D96=0, VLOOKUP($C96, 'NATIONAL 2020'!$A$3:$M$40, 11, FALSE), VLOOKUP($C96, 'NFI 2020'!$C$3:$J$282, 6, FALSE)), "")</f>
        <v>15677458.268696725</v>
      </c>
      <c r="K96" s="196">
        <f>+IFERROR(IF($D96=0, VLOOKUP($C96, 'NATIONAL 2020'!$A$3:$M$40, 12, FALSE), VLOOKUP($C96, 'NFI 2020'!$C$3:$J$282, 7, FALSE)), "")</f>
        <v>668895.09349656315</v>
      </c>
      <c r="L96" s="14"/>
      <c r="M96" s="70"/>
      <c r="N96" s="70"/>
      <c r="R96" s="8"/>
      <c r="S96" s="8"/>
    </row>
    <row r="97" spans="1:19" x14ac:dyDescent="0.25">
      <c r="A97" s="26" t="s">
        <v>89</v>
      </c>
      <c r="B97" s="108" t="str">
        <f t="shared" si="5"/>
        <v>ES</v>
      </c>
      <c r="C97" s="108" t="s">
        <v>104</v>
      </c>
      <c r="D97" s="20">
        <f>+VLOOKUP(B97, 'NATIONAL 2020'!$A$3:$B$41, 2, FALSE)</f>
        <v>3</v>
      </c>
      <c r="E97" s="181">
        <f>+IFERROR(IF($D97=0, VLOOKUP($C97, 'NATIONAL 2020'!$A$3:$M$40, 7, FALSE), VLOOKUP($C97, 'NFI 2020'!$C$3:$J$282, 2, FALSE)), "")</f>
        <v>270603.95066942315</v>
      </c>
      <c r="F97" s="111">
        <f>+IFERROR(IF($D97=0, VLOOKUP($C97, 'NATIONAL 2020'!$A$3:$M$40, 8, FALSE), VLOOKUP($C97, 'NFI 2020'!$C$3:$J$282, 3, FALSE)), "")</f>
        <v>231982.44616666567</v>
      </c>
      <c r="G97" s="196">
        <f>+IFERROR(IF($D97=0, VLOOKUP($C97, 'NATIONAL 2020'!$A$3:$M$40, 9, FALSE), VLOOKUP($C97, 'NFI 2020'!$C$3:$J$282, 4, FALSE)), "")</f>
        <v>38621.504502756849</v>
      </c>
      <c r="H97" s="181">
        <f>+IFERROR(IF($D97=0, VLOOKUP($C97, 'NATIONAL 2020'!$A$3:$M$40, 10, FALSE), VLOOKUP($C97, 'NFI 2020'!$C$3:$J$282, 5, FALSE)), "")</f>
        <v>12832819.763640609</v>
      </c>
      <c r="I97" s="213">
        <f>+IFERROR(IF($D97=0, VLOOKUP($C97, 'NATIONAL 2020'!$A$3:$M$40, 13, FALSE), VLOOKUP($C97, 'NFI 2020'!$C$3:$J$282, 8, FALSE)), "")</f>
        <v>47.422884004075449</v>
      </c>
      <c r="J97" s="111">
        <f>+IFERROR(IF($D97=0, VLOOKUP($C97, 'NATIONAL 2020'!$A$3:$M$40, 11, FALSE), VLOOKUP($C97, 'NFI 2020'!$C$3:$J$282, 6, FALSE)), "")</f>
        <v>10814608.856419833</v>
      </c>
      <c r="K97" s="196">
        <f>+IFERROR(IF($D97=0, VLOOKUP($C97, 'NATIONAL 2020'!$A$3:$M$40, 12, FALSE), VLOOKUP($C97, 'NFI 2020'!$C$3:$J$282, 7, FALSE)), "")</f>
        <v>2018210.9072207743</v>
      </c>
      <c r="L97" s="14"/>
      <c r="M97" s="70"/>
      <c r="N97" s="70"/>
      <c r="R97" s="8"/>
      <c r="S97" s="8"/>
    </row>
    <row r="98" spans="1:19" x14ac:dyDescent="0.25">
      <c r="A98" s="26" t="s">
        <v>89</v>
      </c>
      <c r="B98" s="108" t="str">
        <f t="shared" si="5"/>
        <v>ES</v>
      </c>
      <c r="C98" s="108" t="s">
        <v>105</v>
      </c>
      <c r="D98" s="20">
        <f>+VLOOKUP(B98, 'NATIONAL 2020'!$A$3:$B$41, 2, FALSE)</f>
        <v>3</v>
      </c>
      <c r="E98" s="181">
        <f>+IFERROR(IF($D98=0, VLOOKUP($C98, 'NATIONAL 2020'!$A$3:$M$40, 7, FALSE), VLOOKUP($C98, 'NFI 2020'!$C$3:$J$282, 2, FALSE)), "")</f>
        <v>235772.07160443987</v>
      </c>
      <c r="F98" s="111">
        <f>+IFERROR(IF($D98=0, VLOOKUP($C98, 'NATIONAL 2020'!$A$3:$M$40, 8, FALSE), VLOOKUP($C98, 'NFI 2020'!$C$3:$J$282, 3, FALSE)), "")</f>
        <v>219051.46074894033</v>
      </c>
      <c r="G98" s="196">
        <f>+IFERROR(IF($D98=0, VLOOKUP($C98, 'NATIONAL 2020'!$A$3:$M$40, 9, FALSE), VLOOKUP($C98, 'NFI 2020'!$C$3:$J$282, 4, FALSE)), "")</f>
        <v>16720.610855500483</v>
      </c>
      <c r="H98" s="181">
        <f>+IFERROR(IF($D98=0, VLOOKUP($C98, 'NATIONAL 2020'!$A$3:$M$40, 10, FALSE), VLOOKUP($C98, 'NFI 2020'!$C$3:$J$282, 5, FALSE)), "")</f>
        <v>16651683.012426846</v>
      </c>
      <c r="I98" s="213">
        <f>+IFERROR(IF($D98=0, VLOOKUP($C98, 'NATIONAL 2020'!$A$3:$M$40, 13, FALSE), VLOOKUP($C98, 'NFI 2020'!$C$3:$J$282, 8, FALSE)), "")</f>
        <v>70.626189519018823</v>
      </c>
      <c r="J98" s="111">
        <f>+IFERROR(IF($D98=0, VLOOKUP($C98, 'NATIONAL 2020'!$A$3:$M$40, 11, FALSE), VLOOKUP($C98, 'NFI 2020'!$C$3:$J$282, 6, FALSE)), "")</f>
        <v>15458136.335585553</v>
      </c>
      <c r="K98" s="196">
        <f>+IFERROR(IF($D98=0, VLOOKUP($C98, 'NATIONAL 2020'!$A$3:$M$40, 12, FALSE), VLOOKUP($C98, 'NFI 2020'!$C$3:$J$282, 7, FALSE)), "")</f>
        <v>1193546.6768412902</v>
      </c>
      <c r="L98" s="14"/>
      <c r="M98" s="70"/>
      <c r="N98" s="70"/>
      <c r="R98" s="8"/>
      <c r="S98" s="8"/>
    </row>
    <row r="99" spans="1:19" x14ac:dyDescent="0.25">
      <c r="A99" s="26" t="s">
        <v>89</v>
      </c>
      <c r="B99" s="108" t="str">
        <f t="shared" si="5"/>
        <v>ES</v>
      </c>
      <c r="C99" s="108" t="s">
        <v>106</v>
      </c>
      <c r="D99" s="20">
        <f>+VLOOKUP(B99, 'NATIONAL 2020'!$A$3:$B$41, 2, FALSE)</f>
        <v>3</v>
      </c>
      <c r="E99" s="181">
        <f>+IFERROR(IF($D99=0, VLOOKUP($C99, 'NATIONAL 2020'!$A$3:$M$40, 7, FALSE), VLOOKUP($C99, 'NFI 2020'!$C$3:$J$282, 2, FALSE)), "")</f>
        <v>476269.22510468523</v>
      </c>
      <c r="F99" s="111">
        <f>+IFERROR(IF($D99=0, VLOOKUP($C99, 'NATIONAL 2020'!$A$3:$M$40, 8, FALSE), VLOOKUP($C99, 'NFI 2020'!$C$3:$J$282, 3, FALSE)), "")</f>
        <v>454321.02598800894</v>
      </c>
      <c r="G99" s="196">
        <f>+IFERROR(IF($D99=0, VLOOKUP($C99, 'NATIONAL 2020'!$A$3:$M$40, 9, FALSE), VLOOKUP($C99, 'NFI 2020'!$C$3:$J$282, 4, FALSE)), "")</f>
        <v>21948.199116677701</v>
      </c>
      <c r="H99" s="181">
        <f>+IFERROR(IF($D99=0, VLOOKUP($C99, 'NATIONAL 2020'!$A$3:$M$40, 10, FALSE), VLOOKUP($C99, 'NFI 2020'!$C$3:$J$282, 5, FALSE)), "")</f>
        <v>39578536.87967626</v>
      </c>
      <c r="I99" s="213">
        <f>+IFERROR(IF($D99=0, VLOOKUP($C99, 'NATIONAL 2020'!$A$3:$M$40, 13, FALSE), VLOOKUP($C99, 'NFI 2020'!$C$3:$J$282, 8, FALSE)), "")</f>
        <v>83.101184778371504</v>
      </c>
      <c r="J99" s="111">
        <f>+IFERROR(IF($D99=0, VLOOKUP($C99, 'NATIONAL 2020'!$A$3:$M$40, 11, FALSE), VLOOKUP($C99, 'NFI 2020'!$C$3:$J$282, 6, FALSE)), "")</f>
        <v>38445345.308785692</v>
      </c>
      <c r="K99" s="196">
        <f>+IFERROR(IF($D99=0, VLOOKUP($C99, 'NATIONAL 2020'!$A$3:$M$40, 12, FALSE), VLOOKUP($C99, 'NFI 2020'!$C$3:$J$282, 7, FALSE)), "")</f>
        <v>1133191.570890568</v>
      </c>
      <c r="L99" s="14"/>
      <c r="M99" s="70"/>
      <c r="N99" s="70"/>
      <c r="R99" s="8"/>
      <c r="S99" s="8"/>
    </row>
    <row r="100" spans="1:19" x14ac:dyDescent="0.25">
      <c r="A100" s="26" t="s">
        <v>89</v>
      </c>
      <c r="B100" s="108" t="str">
        <f t="shared" si="5"/>
        <v>ES</v>
      </c>
      <c r="C100" s="108" t="s">
        <v>107</v>
      </c>
      <c r="D100" s="20">
        <f>+VLOOKUP(B100, 'NATIONAL 2020'!$A$3:$B$41, 2, FALSE)</f>
        <v>3</v>
      </c>
      <c r="E100" s="181">
        <f>+IFERROR(IF($D100=0, VLOOKUP($C100, 'NATIONAL 2020'!$A$3:$M$40, 7, FALSE), VLOOKUP($C100, 'NFI 2020'!$C$3:$J$282, 2, FALSE)), "")</f>
        <v>527224.20287209633</v>
      </c>
      <c r="F100" s="111">
        <f>+IFERROR(IF($D100=0, VLOOKUP($C100, 'NATIONAL 2020'!$A$3:$M$40, 8, FALSE), VLOOKUP($C100, 'NFI 2020'!$C$3:$J$282, 3, FALSE)), "")</f>
        <v>487764.81969867006</v>
      </c>
      <c r="G100" s="196">
        <f>+IFERROR(IF($D100=0, VLOOKUP($C100, 'NATIONAL 2020'!$A$3:$M$40, 9, FALSE), VLOOKUP($C100, 'NFI 2020'!$C$3:$J$282, 4, FALSE)), "")</f>
        <v>39459.383173425107</v>
      </c>
      <c r="H100" s="181">
        <f>+IFERROR(IF($D100=0, VLOOKUP($C100, 'NATIONAL 2020'!$A$3:$M$40, 10, FALSE), VLOOKUP($C100, 'NFI 2020'!$C$3:$J$282, 5, FALSE)), "")</f>
        <v>31667574.227600865</v>
      </c>
      <c r="I100" s="213">
        <f>+IFERROR(IF($D100=0, VLOOKUP($C100, 'NATIONAL 2020'!$A$3:$M$40, 13, FALSE), VLOOKUP($C100, 'NFI 2020'!$C$3:$J$282, 8, FALSE)), "")</f>
        <v>60.064720198900588</v>
      </c>
      <c r="J100" s="111">
        <f>+IFERROR(IF($D100=0, VLOOKUP($C100, 'NATIONAL 2020'!$A$3:$M$40, 11, FALSE), VLOOKUP($C100, 'NFI 2020'!$C$3:$J$282, 6, FALSE)), "")</f>
        <v>28369639.250018626</v>
      </c>
      <c r="K100" s="196">
        <f>+IFERROR(IF($D100=0, VLOOKUP($C100, 'NATIONAL 2020'!$A$3:$M$40, 12, FALSE), VLOOKUP($C100, 'NFI 2020'!$C$3:$J$282, 7, FALSE)), "")</f>
        <v>3297934.9775822409</v>
      </c>
      <c r="L100" s="14"/>
      <c r="M100" s="70"/>
      <c r="N100" s="70"/>
      <c r="R100" s="8"/>
      <c r="S100" s="8"/>
    </row>
    <row r="101" spans="1:19" x14ac:dyDescent="0.25">
      <c r="A101" s="26" t="s">
        <v>89</v>
      </c>
      <c r="B101" s="108" t="str">
        <f t="shared" si="5"/>
        <v>ES</v>
      </c>
      <c r="C101" s="108" t="s">
        <v>108</v>
      </c>
      <c r="D101" s="20">
        <f>+VLOOKUP(B101, 'NATIONAL 2020'!$A$3:$B$41, 2, FALSE)</f>
        <v>3</v>
      </c>
      <c r="E101" s="181">
        <f>+IFERROR(IF($D101=0, VLOOKUP($C101, 'NATIONAL 2020'!$A$3:$M$40, 7, FALSE), VLOOKUP($C101, 'NFI 2020'!$C$3:$J$282, 2, FALSE)), "")</f>
        <v>174286.037314749</v>
      </c>
      <c r="F101" s="111">
        <f>+IFERROR(IF($D101=0, VLOOKUP($C101, 'NATIONAL 2020'!$A$3:$M$40, 8, FALSE), VLOOKUP($C101, 'NFI 2020'!$C$3:$J$282, 3, FALSE)), "")</f>
        <v>171208.92315316288</v>
      </c>
      <c r="G101" s="196">
        <f>+IFERROR(IF($D101=0, VLOOKUP($C101, 'NATIONAL 2020'!$A$3:$M$40, 9, FALSE), VLOOKUP($C101, 'NFI 2020'!$C$3:$J$282, 4, FALSE)), "")</f>
        <v>3077.1141615862002</v>
      </c>
      <c r="H101" s="181">
        <f>+IFERROR(IF($D101=0, VLOOKUP($C101, 'NATIONAL 2020'!$A$3:$M$40, 10, FALSE), VLOOKUP($C101, 'NFI 2020'!$C$3:$J$282, 5, FALSE)), "")</f>
        <v>11273341.28446565</v>
      </c>
      <c r="I101" s="213">
        <f>+IFERROR(IF($D101=0, VLOOKUP($C101, 'NATIONAL 2020'!$A$3:$M$40, 13, FALSE), VLOOKUP($C101, 'NFI 2020'!$C$3:$J$282, 8, FALSE)), "")</f>
        <v>64.682985844165728</v>
      </c>
      <c r="J101" s="111">
        <f>+IFERROR(IF($D101=0, VLOOKUP($C101, 'NATIONAL 2020'!$A$3:$M$40, 11, FALSE), VLOOKUP($C101, 'NFI 2020'!$C$3:$J$282, 6, FALSE)), "")</f>
        <v>11242265.107311614</v>
      </c>
      <c r="K101" s="196">
        <f>+IFERROR(IF($D101=0, VLOOKUP($C101, 'NATIONAL 2020'!$A$3:$M$40, 12, FALSE), VLOOKUP($C101, 'NFI 2020'!$C$3:$J$282, 7, FALSE)), "")</f>
        <v>31076.177154034631</v>
      </c>
      <c r="L101" s="14"/>
      <c r="M101" s="70"/>
      <c r="N101" s="70"/>
      <c r="R101" s="8"/>
      <c r="S101" s="8"/>
    </row>
    <row r="102" spans="1:19" x14ac:dyDescent="0.25">
      <c r="A102" s="26" t="s">
        <v>89</v>
      </c>
      <c r="B102" s="108" t="str">
        <f t="shared" si="5"/>
        <v>ES</v>
      </c>
      <c r="C102" s="108" t="s">
        <v>109</v>
      </c>
      <c r="D102" s="20">
        <f>+VLOOKUP(B102, 'NATIONAL 2020'!$A$3:$B$41, 2, FALSE)</f>
        <v>3</v>
      </c>
      <c r="E102" s="181">
        <f>+IFERROR(IF($D102=0, VLOOKUP($C102, 'NATIONAL 2020'!$A$3:$M$40, 7, FALSE), VLOOKUP($C102, 'NFI 2020'!$C$3:$J$282, 2, FALSE)), "")</f>
        <v>534396.61231133807</v>
      </c>
      <c r="F102" s="111">
        <f>+IFERROR(IF($D102=0, VLOOKUP($C102, 'NATIONAL 2020'!$A$3:$M$40, 8, FALSE), VLOOKUP($C102, 'NFI 2020'!$C$3:$J$282, 3, FALSE)), "")</f>
        <v>510776.50968923123</v>
      </c>
      <c r="G102" s="196">
        <f>+IFERROR(IF($D102=0, VLOOKUP($C102, 'NATIONAL 2020'!$A$3:$M$40, 9, FALSE), VLOOKUP($C102, 'NFI 2020'!$C$3:$J$282, 4, FALSE)), "")</f>
        <v>23620.102622107814</v>
      </c>
      <c r="H102" s="181">
        <f>+IFERROR(IF($D102=0, VLOOKUP($C102, 'NATIONAL 2020'!$A$3:$M$40, 10, FALSE), VLOOKUP($C102, 'NFI 2020'!$C$3:$J$282, 5, FALSE)), "")</f>
        <v>25704895.549452107</v>
      </c>
      <c r="I102" s="213">
        <f>+IFERROR(IF($D102=0, VLOOKUP($C102, 'NATIONAL 2020'!$A$3:$M$40, 13, FALSE), VLOOKUP($C102, 'NFI 2020'!$C$3:$J$282, 8, FALSE)), "")</f>
        <v>48.100783121125964</v>
      </c>
      <c r="J102" s="111">
        <f>+IFERROR(IF($D102=0, VLOOKUP($C102, 'NATIONAL 2020'!$A$3:$M$40, 11, FALSE), VLOOKUP($C102, 'NFI 2020'!$C$3:$J$282, 6, FALSE)), "")</f>
        <v>25051149.643138934</v>
      </c>
      <c r="K102" s="196">
        <f>+IFERROR(IF($D102=0, VLOOKUP($C102, 'NATIONAL 2020'!$A$3:$M$40, 12, FALSE), VLOOKUP($C102, 'NFI 2020'!$C$3:$J$282, 7, FALSE)), "")</f>
        <v>653745.90631317429</v>
      </c>
      <c r="L102" s="14"/>
      <c r="M102" s="70"/>
      <c r="N102" s="70"/>
      <c r="R102" s="8"/>
      <c r="S102" s="8"/>
    </row>
    <row r="103" spans="1:19" x14ac:dyDescent="0.25">
      <c r="A103" s="26" t="s">
        <v>89</v>
      </c>
      <c r="B103" s="108" t="str">
        <f t="shared" si="5"/>
        <v>ES</v>
      </c>
      <c r="C103" s="108" t="s">
        <v>110</v>
      </c>
      <c r="D103" s="20">
        <f>+VLOOKUP(B103, 'NATIONAL 2020'!$A$3:$B$41, 2, FALSE)</f>
        <v>3</v>
      </c>
      <c r="E103" s="181">
        <f>+IFERROR(IF($D103=0, VLOOKUP($C103, 'NATIONAL 2020'!$A$3:$M$40, 7, FALSE), VLOOKUP($C103, 'NFI 2020'!$C$3:$J$282, 2, FALSE)), "")</f>
        <v>244904.43504722882</v>
      </c>
      <c r="F103" s="111">
        <f>+IFERROR(IF($D103=0, VLOOKUP($C103, 'NATIONAL 2020'!$A$3:$M$40, 8, FALSE), VLOOKUP($C103, 'NFI 2020'!$C$3:$J$282, 3, FALSE)), "")</f>
        <v>228574.72063403396</v>
      </c>
      <c r="G103" s="196">
        <f>+IFERROR(IF($D103=0, VLOOKUP($C103, 'NATIONAL 2020'!$A$3:$M$40, 9, FALSE), VLOOKUP($C103, 'NFI 2020'!$C$3:$J$282, 4, FALSE)), "")</f>
        <v>16329.714413194597</v>
      </c>
      <c r="H103" s="181">
        <f>+IFERROR(IF($D103=0, VLOOKUP($C103, 'NATIONAL 2020'!$A$3:$M$40, 10, FALSE), VLOOKUP($C103, 'NFI 2020'!$C$3:$J$282, 5, FALSE)), "")</f>
        <v>21088740.806848999</v>
      </c>
      <c r="I103" s="213">
        <f>+IFERROR(IF($D103=0, VLOOKUP($C103, 'NATIONAL 2020'!$A$3:$M$40, 13, FALSE), VLOOKUP($C103, 'NFI 2020'!$C$3:$J$282, 8, FALSE)), "")</f>
        <v>86.110081276323641</v>
      </c>
      <c r="J103" s="111">
        <f>+IFERROR(IF($D103=0, VLOOKUP($C103, 'NATIONAL 2020'!$A$3:$M$40, 11, FALSE), VLOOKUP($C103, 'NFI 2020'!$C$3:$J$282, 6, FALSE)), "")</f>
        <v>19738074.788178496</v>
      </c>
      <c r="K103" s="196">
        <f>+IFERROR(IF($D103=0, VLOOKUP($C103, 'NATIONAL 2020'!$A$3:$M$40, 12, FALSE), VLOOKUP($C103, 'NFI 2020'!$C$3:$J$282, 7, FALSE)), "")</f>
        <v>1350666.0186705077</v>
      </c>
      <c r="L103" s="14"/>
      <c r="M103" s="70"/>
      <c r="N103" s="70"/>
      <c r="R103" s="8"/>
      <c r="S103" s="8"/>
    </row>
    <row r="104" spans="1:19" x14ac:dyDescent="0.25">
      <c r="A104" s="26" t="s">
        <v>89</v>
      </c>
      <c r="B104" s="108" t="str">
        <f t="shared" si="5"/>
        <v>ES</v>
      </c>
      <c r="C104" s="108" t="s">
        <v>111</v>
      </c>
      <c r="D104" s="20">
        <f>+VLOOKUP(B104, 'NATIONAL 2020'!$A$3:$B$41, 2, FALSE)</f>
        <v>3</v>
      </c>
      <c r="E104" s="181">
        <f>+IFERROR(IF($D104=0, VLOOKUP($C104, 'NATIONAL 2020'!$A$3:$M$40, 7, FALSE), VLOOKUP($C104, 'NFI 2020'!$C$3:$J$282, 2, FALSE)), "")</f>
        <v>419647.376218608</v>
      </c>
      <c r="F104" s="111">
        <f>+IFERROR(IF($D104=0, VLOOKUP($C104, 'NATIONAL 2020'!$A$3:$M$40, 8, FALSE), VLOOKUP($C104, 'NFI 2020'!$C$3:$J$282, 3, FALSE)), "")</f>
        <v>409401.57424663956</v>
      </c>
      <c r="G104" s="196">
        <f>+IFERROR(IF($D104=0, VLOOKUP($C104, 'NATIONAL 2020'!$A$3:$M$40, 9, FALSE), VLOOKUP($C104, 'NFI 2020'!$C$3:$J$282, 4, FALSE)), "")</f>
        <v>10245.801971968533</v>
      </c>
      <c r="H104" s="181">
        <f>+IFERROR(IF($D104=0, VLOOKUP($C104, 'NATIONAL 2020'!$A$3:$M$40, 10, FALSE), VLOOKUP($C104, 'NFI 2020'!$C$3:$J$282, 5, FALSE)), "")</f>
        <v>33475700.041875467</v>
      </c>
      <c r="I104" s="213">
        <f>+IFERROR(IF($D104=0, VLOOKUP($C104, 'NATIONAL 2020'!$A$3:$M$40, 13, FALSE), VLOOKUP($C104, 'NFI 2020'!$C$3:$J$282, 8, FALSE)), "")</f>
        <v>79.771021907776401</v>
      </c>
      <c r="J104" s="111">
        <f>+IFERROR(IF($D104=0, VLOOKUP($C104, 'NATIONAL 2020'!$A$3:$M$40, 11, FALSE), VLOOKUP($C104, 'NFI 2020'!$C$3:$J$282, 6, FALSE)), "")</f>
        <v>33442343.459438939</v>
      </c>
      <c r="K104" s="196">
        <f>+IFERROR(IF($D104=0, VLOOKUP($C104, 'NATIONAL 2020'!$A$3:$M$40, 12, FALSE), VLOOKUP($C104, 'NFI 2020'!$C$3:$J$282, 7, FALSE)), "")</f>
        <v>33356.582436533397</v>
      </c>
      <c r="L104" s="14"/>
      <c r="M104" s="70"/>
      <c r="N104" s="70"/>
      <c r="R104" s="8"/>
      <c r="S104" s="8"/>
    </row>
    <row r="105" spans="1:19" x14ac:dyDescent="0.25">
      <c r="A105" s="26" t="s">
        <v>89</v>
      </c>
      <c r="B105" s="108" t="str">
        <f t="shared" si="5"/>
        <v>ES</v>
      </c>
      <c r="C105" s="108" t="s">
        <v>112</v>
      </c>
      <c r="D105" s="20">
        <f>+VLOOKUP(B105, 'NATIONAL 2020'!$A$3:$B$41, 2, FALSE)</f>
        <v>3</v>
      </c>
      <c r="E105" s="181">
        <f>+IFERROR(IF($D105=0, VLOOKUP($C105, 'NATIONAL 2020'!$A$3:$M$40, 7, FALSE), VLOOKUP($C105, 'NFI 2020'!$C$3:$J$282, 2, FALSE)), "")</f>
        <v>126129.52112016692</v>
      </c>
      <c r="F105" s="111">
        <f>+IFERROR(IF($D105=0, VLOOKUP($C105, 'NATIONAL 2020'!$A$3:$M$40, 8, FALSE), VLOOKUP($C105, 'NFI 2020'!$C$3:$J$282, 3, FALSE)), "")</f>
        <v>119258.68700910524</v>
      </c>
      <c r="G105" s="196">
        <f>+IFERROR(IF($D105=0, VLOOKUP($C105, 'NATIONAL 2020'!$A$3:$M$40, 9, FALSE), VLOOKUP($C105, 'NFI 2020'!$C$3:$J$282, 4, FALSE)), "")</f>
        <v>6870.8341110618994</v>
      </c>
      <c r="H105" s="181">
        <f>+IFERROR(IF($D105=0, VLOOKUP($C105, 'NATIONAL 2020'!$A$3:$M$40, 10, FALSE), VLOOKUP($C105, 'NFI 2020'!$C$3:$J$282, 5, FALSE)), "")</f>
        <v>7619127.4536089562</v>
      </c>
      <c r="I105" s="213">
        <f>+IFERROR(IF($D105=0, VLOOKUP($C105, 'NATIONAL 2020'!$A$3:$M$40, 13, FALSE), VLOOKUP($C105, 'NFI 2020'!$C$3:$J$282, 8, FALSE)), "")</f>
        <v>60.407170232177549</v>
      </c>
      <c r="J105" s="111">
        <f>+IFERROR(IF($D105=0, VLOOKUP($C105, 'NATIONAL 2020'!$A$3:$M$40, 11, FALSE), VLOOKUP($C105, 'NFI 2020'!$C$3:$J$282, 6, FALSE)), "")</f>
        <v>7329374.9609948359</v>
      </c>
      <c r="K105" s="196">
        <f>+IFERROR(IF($D105=0, VLOOKUP($C105, 'NATIONAL 2020'!$A$3:$M$40, 12, FALSE), VLOOKUP($C105, 'NFI 2020'!$C$3:$J$282, 7, FALSE)), "")</f>
        <v>289752.49261411972</v>
      </c>
      <c r="L105" s="14"/>
      <c r="M105" s="70"/>
      <c r="N105" s="70"/>
      <c r="R105" s="8"/>
      <c r="S105" s="8"/>
    </row>
    <row r="106" spans="1:19" x14ac:dyDescent="0.25">
      <c r="A106" s="26" t="s">
        <v>89</v>
      </c>
      <c r="B106" s="108" t="str">
        <f t="shared" si="5"/>
        <v>ES</v>
      </c>
      <c r="C106" s="108" t="s">
        <v>113</v>
      </c>
      <c r="D106" s="20">
        <f>+VLOOKUP(B106, 'NATIONAL 2020'!$A$3:$B$41, 2, FALSE)</f>
        <v>3</v>
      </c>
      <c r="E106" s="181">
        <f>+IFERROR(IF($D106=0, VLOOKUP($C106, 'NATIONAL 2020'!$A$3:$M$40, 7, FALSE), VLOOKUP($C106, 'NFI 2020'!$C$3:$J$282, 2, FALSE)), "")</f>
        <v>246002.20332810408</v>
      </c>
      <c r="F106" s="111">
        <f>+IFERROR(IF($D106=0, VLOOKUP($C106, 'NATIONAL 2020'!$A$3:$M$40, 8, FALSE), VLOOKUP($C106, 'NFI 2020'!$C$3:$J$282, 3, FALSE)), "")</f>
        <v>230331.9971606358</v>
      </c>
      <c r="G106" s="196">
        <f>+IFERROR(IF($D106=0, VLOOKUP($C106, 'NATIONAL 2020'!$A$3:$M$40, 9, FALSE), VLOOKUP($C106, 'NFI 2020'!$C$3:$J$282, 4, FALSE)), "")</f>
        <v>15670.206167467995</v>
      </c>
      <c r="H106" s="181">
        <f>+IFERROR(IF($D106=0, VLOOKUP($C106, 'NATIONAL 2020'!$A$3:$M$40, 10, FALSE), VLOOKUP($C106, 'NFI 2020'!$C$3:$J$282, 5, FALSE)), "")</f>
        <v>11102353.155741662</v>
      </c>
      <c r="I106" s="213">
        <f>+IFERROR(IF($D106=0, VLOOKUP($C106, 'NATIONAL 2020'!$A$3:$M$40, 13, FALSE), VLOOKUP($C106, 'NFI 2020'!$C$3:$J$282, 8, FALSE)), "")</f>
        <v>45.131112671108717</v>
      </c>
      <c r="J106" s="111">
        <f>+IFERROR(IF($D106=0, VLOOKUP($C106, 'NATIONAL 2020'!$A$3:$M$40, 11, FALSE), VLOOKUP($C106, 'NFI 2020'!$C$3:$J$282, 6, FALSE)), "")</f>
        <v>10698381.092347752</v>
      </c>
      <c r="K106" s="196">
        <f>+IFERROR(IF($D106=0, VLOOKUP($C106, 'NATIONAL 2020'!$A$3:$M$40, 12, FALSE), VLOOKUP($C106, 'NFI 2020'!$C$3:$J$282, 7, FALSE)), "")</f>
        <v>403972.06339391146</v>
      </c>
      <c r="L106" s="14"/>
      <c r="M106" s="70"/>
      <c r="N106" s="70"/>
      <c r="R106" s="8"/>
      <c r="S106" s="8"/>
    </row>
    <row r="107" spans="1:19" x14ac:dyDescent="0.25">
      <c r="A107" s="26" t="s">
        <v>89</v>
      </c>
      <c r="B107" s="108" t="str">
        <f t="shared" si="5"/>
        <v>ES</v>
      </c>
      <c r="C107" s="108" t="s">
        <v>114</v>
      </c>
      <c r="D107" s="20">
        <f>+VLOOKUP(B107, 'NATIONAL 2020'!$A$3:$B$41, 2, FALSE)</f>
        <v>3</v>
      </c>
      <c r="E107" s="181">
        <f>+IFERROR(IF($D107=0, VLOOKUP($C107, 'NATIONAL 2020'!$A$3:$M$40, 7, FALSE), VLOOKUP($C107, 'NFI 2020'!$C$3:$J$282, 2, FALSE)), "")</f>
        <v>474831.62810815033</v>
      </c>
      <c r="F107" s="111">
        <f>+IFERROR(IF($D107=0, VLOOKUP($C107, 'NATIONAL 2020'!$A$3:$M$40, 8, FALSE), VLOOKUP($C107, 'NFI 2020'!$C$3:$J$282, 3, FALSE)), "")</f>
        <v>427200.74086201331</v>
      </c>
      <c r="G107" s="196">
        <f>+IFERROR(IF($D107=0, VLOOKUP($C107, 'NATIONAL 2020'!$A$3:$M$40, 9, FALSE), VLOOKUP($C107, 'NFI 2020'!$C$3:$J$282, 4, FALSE)), "")</f>
        <v>47630.887246139886</v>
      </c>
      <c r="H107" s="181">
        <f>+IFERROR(IF($D107=0, VLOOKUP($C107, 'NATIONAL 2020'!$A$3:$M$40, 10, FALSE), VLOOKUP($C107, 'NFI 2020'!$C$3:$J$282, 5, FALSE)), "")</f>
        <v>16819643.093894579</v>
      </c>
      <c r="I107" s="213">
        <f>+IFERROR(IF($D107=0, VLOOKUP($C107, 'NATIONAL 2020'!$A$3:$M$40, 13, FALSE), VLOOKUP($C107, 'NFI 2020'!$C$3:$J$282, 8, FALSE)), "")</f>
        <v>35.422330986898039</v>
      </c>
      <c r="J107" s="111">
        <f>+IFERROR(IF($D107=0, VLOOKUP($C107, 'NATIONAL 2020'!$A$3:$M$40, 11, FALSE), VLOOKUP($C107, 'NFI 2020'!$C$3:$J$282, 6, FALSE)), "")</f>
        <v>15198427.134477824</v>
      </c>
      <c r="K107" s="196">
        <f>+IFERROR(IF($D107=0, VLOOKUP($C107, 'NATIONAL 2020'!$A$3:$M$40, 12, FALSE), VLOOKUP($C107, 'NFI 2020'!$C$3:$J$282, 7, FALSE)), "")</f>
        <v>1621215.9594167571</v>
      </c>
      <c r="L107" s="14"/>
      <c r="M107" s="70"/>
      <c r="N107" s="70"/>
      <c r="R107" s="8"/>
      <c r="S107" s="8"/>
    </row>
    <row r="108" spans="1:19" x14ac:dyDescent="0.25">
      <c r="A108" s="26" t="s">
        <v>89</v>
      </c>
      <c r="B108" s="108" t="str">
        <f t="shared" si="5"/>
        <v>ES</v>
      </c>
      <c r="C108" s="108" t="s">
        <v>115</v>
      </c>
      <c r="D108" s="20">
        <f>+VLOOKUP(B108, 'NATIONAL 2020'!$A$3:$B$41, 2, FALSE)</f>
        <v>3</v>
      </c>
      <c r="E108" s="181">
        <f>+IFERROR(IF($D108=0, VLOOKUP($C108, 'NATIONAL 2020'!$A$3:$M$40, 7, FALSE), VLOOKUP($C108, 'NFI 2020'!$C$3:$J$282, 2, FALSE)), "")</f>
        <v>650092.11042220006</v>
      </c>
      <c r="F108" s="111">
        <f>+IFERROR(IF($D108=0, VLOOKUP($C108, 'NATIONAL 2020'!$A$3:$M$40, 8, FALSE), VLOOKUP($C108, 'NFI 2020'!$C$3:$J$282, 3, FALSE)), "")</f>
        <v>598635.9434014241</v>
      </c>
      <c r="G108" s="196">
        <f>+IFERROR(IF($D108=0, VLOOKUP($C108, 'NATIONAL 2020'!$A$3:$M$40, 9, FALSE), VLOOKUP($C108, 'NFI 2020'!$C$3:$J$282, 4, FALSE)), "")</f>
        <v>51456.167020774985</v>
      </c>
      <c r="H108" s="181">
        <f>+IFERROR(IF($D108=0, VLOOKUP($C108, 'NATIONAL 2020'!$A$3:$M$40, 10, FALSE), VLOOKUP($C108, 'NFI 2020'!$C$3:$J$282, 5, FALSE)), "")</f>
        <v>21555343.279467881</v>
      </c>
      <c r="I108" s="213">
        <f>+IFERROR(IF($D108=0, VLOOKUP($C108, 'NATIONAL 2020'!$A$3:$M$40, 13, FALSE), VLOOKUP($C108, 'NFI 2020'!$C$3:$J$282, 8, FALSE)), "")</f>
        <v>33.157367908170485</v>
      </c>
      <c r="J108" s="111">
        <f>+IFERROR(IF($D108=0, VLOOKUP($C108, 'NATIONAL 2020'!$A$3:$M$40, 11, FALSE), VLOOKUP($C108, 'NFI 2020'!$C$3:$J$282, 6, FALSE)), "")</f>
        <v>20097245.711472247</v>
      </c>
      <c r="K108" s="196">
        <f>+IFERROR(IF($D108=0, VLOOKUP($C108, 'NATIONAL 2020'!$A$3:$M$40, 12, FALSE), VLOOKUP($C108, 'NFI 2020'!$C$3:$J$282, 7, FALSE)), "")</f>
        <v>1458097.5679956346</v>
      </c>
      <c r="L108" s="14"/>
      <c r="M108" s="70"/>
      <c r="N108" s="70"/>
      <c r="R108" s="8"/>
      <c r="S108" s="8"/>
    </row>
    <row r="109" spans="1:19" x14ac:dyDescent="0.25">
      <c r="A109" s="26" t="s">
        <v>89</v>
      </c>
      <c r="B109" s="108" t="str">
        <f t="shared" si="5"/>
        <v>ES</v>
      </c>
      <c r="C109" s="108" t="s">
        <v>116</v>
      </c>
      <c r="D109" s="20">
        <f>+VLOOKUP(B109, 'NATIONAL 2020'!$A$3:$B$41, 2, FALSE)</f>
        <v>3</v>
      </c>
      <c r="E109" s="181">
        <f>+IFERROR(IF($D109=0, VLOOKUP($C109, 'NATIONAL 2020'!$A$3:$M$40, 7, FALSE), VLOOKUP($C109, 'NFI 2020'!$C$3:$J$282, 2, FALSE)), "")</f>
        <v>702006.88152033207</v>
      </c>
      <c r="F109" s="111">
        <f>+IFERROR(IF($D109=0, VLOOKUP($C109, 'NATIONAL 2020'!$A$3:$M$40, 8, FALSE), VLOOKUP($C109, 'NFI 2020'!$C$3:$J$282, 3, FALSE)), "")</f>
        <v>673753.43928420043</v>
      </c>
      <c r="G109" s="196">
        <f>+IFERROR(IF($D109=0, VLOOKUP($C109, 'NATIONAL 2020'!$A$3:$M$40, 9, FALSE), VLOOKUP($C109, 'NFI 2020'!$C$3:$J$282, 4, FALSE)), "")</f>
        <v>28253.442236132771</v>
      </c>
      <c r="H109" s="181">
        <f>+IFERROR(IF($D109=0, VLOOKUP($C109, 'NATIONAL 2020'!$A$3:$M$40, 10, FALSE), VLOOKUP($C109, 'NFI 2020'!$C$3:$J$282, 5, FALSE)), "")</f>
        <v>37759625.973452143</v>
      </c>
      <c r="I109" s="213">
        <f>+IFERROR(IF($D109=0, VLOOKUP($C109, 'NATIONAL 2020'!$A$3:$M$40, 13, FALSE), VLOOKUP($C109, 'NFI 2020'!$C$3:$J$282, 8, FALSE)), "")</f>
        <v>53.788113717170901</v>
      </c>
      <c r="J109" s="111">
        <f>+IFERROR(IF($D109=0, VLOOKUP($C109, 'NATIONAL 2020'!$A$3:$M$40, 11, FALSE), VLOOKUP($C109, 'NFI 2020'!$C$3:$J$282, 6, FALSE)), "")</f>
        <v>36659274.375738107</v>
      </c>
      <c r="K109" s="196">
        <f>+IFERROR(IF($D109=0, VLOOKUP($C109, 'NATIONAL 2020'!$A$3:$M$40, 12, FALSE), VLOOKUP($C109, 'NFI 2020'!$C$3:$J$282, 7, FALSE)), "")</f>
        <v>1100351.5977140442</v>
      </c>
      <c r="L109" s="14"/>
      <c r="M109" s="70"/>
      <c r="N109" s="70"/>
      <c r="R109" s="8"/>
      <c r="S109" s="8"/>
    </row>
    <row r="110" spans="1:19" x14ac:dyDescent="0.25">
      <c r="A110" s="26" t="s">
        <v>89</v>
      </c>
      <c r="B110" s="108" t="str">
        <f t="shared" si="5"/>
        <v>ES</v>
      </c>
      <c r="C110" s="108" t="s">
        <v>117</v>
      </c>
      <c r="D110" s="20">
        <f>+VLOOKUP(B110, 'NATIONAL 2020'!$A$3:$B$41, 2, FALSE)</f>
        <v>3</v>
      </c>
      <c r="E110" s="181">
        <f>+IFERROR(IF($D110=0, VLOOKUP($C110, 'NATIONAL 2020'!$A$3:$M$40, 7, FALSE), VLOOKUP($C110, 'NFI 2020'!$C$3:$J$282, 2, FALSE)), "")</f>
        <v>554482.04989080678</v>
      </c>
      <c r="F110" s="111">
        <f>+IFERROR(IF($D110=0, VLOOKUP($C110, 'NATIONAL 2020'!$A$3:$M$40, 8, FALSE), VLOOKUP($C110, 'NFI 2020'!$C$3:$J$282, 3, FALSE)), "")</f>
        <v>532123.78524192516</v>
      </c>
      <c r="G110" s="196">
        <f>+IFERROR(IF($D110=0, VLOOKUP($C110, 'NATIONAL 2020'!$A$3:$M$40, 9, FALSE), VLOOKUP($C110, 'NFI 2020'!$C$3:$J$282, 4, FALSE)), "")</f>
        <v>22358.264648880326</v>
      </c>
      <c r="H110" s="181">
        <f>+IFERROR(IF($D110=0, VLOOKUP($C110, 'NATIONAL 2020'!$A$3:$M$40, 10, FALSE), VLOOKUP($C110, 'NFI 2020'!$C$3:$J$282, 5, FALSE)), "")</f>
        <v>28757517.963024464</v>
      </c>
      <c r="I110" s="213">
        <f>+IFERROR(IF($D110=0, VLOOKUP($C110, 'NATIONAL 2020'!$A$3:$M$40, 13, FALSE), VLOOKUP($C110, 'NFI 2020'!$C$3:$J$282, 8, FALSE)), "")</f>
        <v>51.863749184825068</v>
      </c>
      <c r="J110" s="111">
        <f>+IFERROR(IF($D110=0, VLOOKUP($C110, 'NATIONAL 2020'!$A$3:$M$40, 11, FALSE), VLOOKUP($C110, 'NFI 2020'!$C$3:$J$282, 6, FALSE)), "")</f>
        <v>28227149.899833169</v>
      </c>
      <c r="K110" s="196">
        <f>+IFERROR(IF($D110=0, VLOOKUP($C110, 'NATIONAL 2020'!$A$3:$M$40, 12, FALSE), VLOOKUP($C110, 'NFI 2020'!$C$3:$J$282, 7, FALSE)), "")</f>
        <v>530368.0631912956</v>
      </c>
      <c r="L110" s="14"/>
      <c r="M110" s="70"/>
      <c r="N110" s="70"/>
      <c r="R110" s="8"/>
      <c r="S110" s="8"/>
    </row>
    <row r="111" spans="1:19" x14ac:dyDescent="0.25">
      <c r="A111" s="26" t="s">
        <v>89</v>
      </c>
      <c r="B111" s="108" t="str">
        <f t="shared" si="5"/>
        <v>ES</v>
      </c>
      <c r="C111" s="108" t="s">
        <v>118</v>
      </c>
      <c r="D111" s="20">
        <f>+VLOOKUP(B111, 'NATIONAL 2020'!$A$3:$B$41, 2, FALSE)</f>
        <v>3</v>
      </c>
      <c r="E111" s="181">
        <f>+IFERROR(IF($D111=0, VLOOKUP($C111, 'NATIONAL 2020'!$A$3:$M$40, 7, FALSE), VLOOKUP($C111, 'NFI 2020'!$C$3:$J$282, 2, FALSE)), "")</f>
        <v>381897.06024836638</v>
      </c>
      <c r="F111" s="111">
        <f>+IFERROR(IF($D111=0, VLOOKUP($C111, 'NATIONAL 2020'!$A$3:$M$40, 8, FALSE), VLOOKUP($C111, 'NFI 2020'!$C$3:$J$282, 3, FALSE)), "")</f>
        <v>364955.45359310193</v>
      </c>
      <c r="G111" s="196">
        <f>+IFERROR(IF($D111=0, VLOOKUP($C111, 'NATIONAL 2020'!$A$3:$M$40, 9, FALSE), VLOOKUP($C111, 'NFI 2020'!$C$3:$J$282, 4, FALSE)), "")</f>
        <v>16941.606655263819</v>
      </c>
      <c r="H111" s="181">
        <f>+IFERROR(IF($D111=0, VLOOKUP($C111, 'NATIONAL 2020'!$A$3:$M$40, 10, FALSE), VLOOKUP($C111, 'NFI 2020'!$C$3:$J$282, 5, FALSE)), "")</f>
        <v>16220809.746216755</v>
      </c>
      <c r="I111" s="213">
        <f>+IFERROR(IF($D111=0, VLOOKUP($C111, 'NATIONAL 2020'!$A$3:$M$40, 13, FALSE), VLOOKUP($C111, 'NFI 2020'!$C$3:$J$282, 8, FALSE)), "")</f>
        <v>42.474298533923168</v>
      </c>
      <c r="J111" s="111">
        <f>+IFERROR(IF($D111=0, VLOOKUP($C111, 'NATIONAL 2020'!$A$3:$M$40, 11, FALSE), VLOOKUP($C111, 'NFI 2020'!$C$3:$J$282, 6, FALSE)), "")</f>
        <v>15757480.565387728</v>
      </c>
      <c r="K111" s="196">
        <f>+IFERROR(IF($D111=0, VLOOKUP($C111, 'NATIONAL 2020'!$A$3:$M$40, 12, FALSE), VLOOKUP($C111, 'NFI 2020'!$C$3:$J$282, 7, FALSE)), "")</f>
        <v>463329.18082902877</v>
      </c>
      <c r="L111" s="14"/>
      <c r="M111" s="70"/>
      <c r="N111" s="70"/>
      <c r="R111" s="8"/>
      <c r="S111" s="8"/>
    </row>
    <row r="112" spans="1:19" x14ac:dyDescent="0.25">
      <c r="A112" s="26" t="s">
        <v>89</v>
      </c>
      <c r="B112" s="108" t="str">
        <f t="shared" si="5"/>
        <v>ES</v>
      </c>
      <c r="C112" s="108" t="s">
        <v>119</v>
      </c>
      <c r="D112" s="20">
        <f>+VLOOKUP(B112, 'NATIONAL 2020'!$A$3:$B$41, 2, FALSE)</f>
        <v>3</v>
      </c>
      <c r="E112" s="181">
        <f>+IFERROR(IF($D112=0, VLOOKUP($C112, 'NATIONAL 2020'!$A$3:$M$40, 7, FALSE), VLOOKUP($C112, 'NFI 2020'!$C$3:$J$282, 2, FALSE)), "")</f>
        <v>893696.59788113821</v>
      </c>
      <c r="F112" s="111">
        <f>+IFERROR(IF($D112=0, VLOOKUP($C112, 'NATIONAL 2020'!$A$3:$M$40, 8, FALSE), VLOOKUP($C112, 'NFI 2020'!$C$3:$J$282, 3, FALSE)), "")</f>
        <v>865292.76106960152</v>
      </c>
      <c r="G112" s="196">
        <f>+IFERROR(IF($D112=0, VLOOKUP($C112, 'NATIONAL 2020'!$A$3:$M$40, 9, FALSE), VLOOKUP($C112, 'NFI 2020'!$C$3:$J$282, 4, FALSE)), "")</f>
        <v>28403.836811536297</v>
      </c>
      <c r="H112" s="181">
        <f>+IFERROR(IF($D112=0, VLOOKUP($C112, 'NATIONAL 2020'!$A$3:$M$40, 10, FALSE), VLOOKUP($C112, 'NFI 2020'!$C$3:$J$282, 5, FALSE)), "")</f>
        <v>41468194.144522466</v>
      </c>
      <c r="I112" s="213">
        <f>+IFERROR(IF($D112=0, VLOOKUP($C112, 'NATIONAL 2020'!$A$3:$M$40, 13, FALSE), VLOOKUP($C112, 'NFI 2020'!$C$3:$J$282, 8, FALSE)), "")</f>
        <v>46.400751936215542</v>
      </c>
      <c r="J112" s="111">
        <f>+IFERROR(IF($D112=0, VLOOKUP($C112, 'NATIONAL 2020'!$A$3:$M$40, 11, FALSE), VLOOKUP($C112, 'NFI 2020'!$C$3:$J$282, 6, FALSE)), "")</f>
        <v>41068356.986646563</v>
      </c>
      <c r="K112" s="196">
        <f>+IFERROR(IF($D112=0, VLOOKUP($C112, 'NATIONAL 2020'!$A$3:$M$40, 12, FALSE), VLOOKUP($C112, 'NFI 2020'!$C$3:$J$282, 7, FALSE)), "")</f>
        <v>399837.15787590877</v>
      </c>
      <c r="L112" s="14"/>
      <c r="M112" s="70"/>
      <c r="N112" s="70"/>
      <c r="R112" s="8"/>
      <c r="S112" s="8"/>
    </row>
    <row r="113" spans="1:19" x14ac:dyDescent="0.25">
      <c r="A113" s="26" t="s">
        <v>89</v>
      </c>
      <c r="B113" s="108" t="str">
        <f t="shared" si="5"/>
        <v>ES</v>
      </c>
      <c r="C113" s="108" t="s">
        <v>120</v>
      </c>
      <c r="D113" s="20">
        <f>+VLOOKUP(B113, 'NATIONAL 2020'!$A$3:$B$41, 2, FALSE)</f>
        <v>3</v>
      </c>
      <c r="E113" s="181">
        <f>+IFERROR(IF($D113=0, VLOOKUP($C113, 'NATIONAL 2020'!$A$3:$M$40, 7, FALSE), VLOOKUP($C113, 'NFI 2020'!$C$3:$J$282, 2, FALSE)), "")</f>
        <v>1031183.5707344054</v>
      </c>
      <c r="F113" s="111">
        <f>+IFERROR(IF($D113=0, VLOOKUP($C113, 'NATIONAL 2020'!$A$3:$M$40, 8, FALSE), VLOOKUP($C113, 'NFI 2020'!$C$3:$J$282, 3, FALSE)), "")</f>
        <v>967629.35281912121</v>
      </c>
      <c r="G113" s="196">
        <f>+IFERROR(IF($D113=0, VLOOKUP($C113, 'NATIONAL 2020'!$A$3:$M$40, 9, FALSE), VLOOKUP($C113, 'NFI 2020'!$C$3:$J$282, 4, FALSE)), "")</f>
        <v>63554.217915280788</v>
      </c>
      <c r="H113" s="181">
        <f>+IFERROR(IF($D113=0, VLOOKUP($C113, 'NATIONAL 2020'!$A$3:$M$40, 10, FALSE), VLOOKUP($C113, 'NFI 2020'!$C$3:$J$282, 5, FALSE)), "")</f>
        <v>40398811.959992364</v>
      </c>
      <c r="I113" s="213">
        <f>+IFERROR(IF($D113=0, VLOOKUP($C113, 'NATIONAL 2020'!$A$3:$M$40, 13, FALSE), VLOOKUP($C113, 'NFI 2020'!$C$3:$J$282, 8, FALSE)), "")</f>
        <v>39.17712918100554</v>
      </c>
      <c r="J113" s="111">
        <f>+IFERROR(IF($D113=0, VLOOKUP($C113, 'NATIONAL 2020'!$A$3:$M$40, 11, FALSE), VLOOKUP($C113, 'NFI 2020'!$C$3:$J$282, 6, FALSE)), "")</f>
        <v>38784249.442188166</v>
      </c>
      <c r="K113" s="196">
        <f>+IFERROR(IF($D113=0, VLOOKUP($C113, 'NATIONAL 2020'!$A$3:$M$40, 12, FALSE), VLOOKUP($C113, 'NFI 2020'!$C$3:$J$282, 7, FALSE)), "")</f>
        <v>1614562.5178041838</v>
      </c>
      <c r="L113" s="14"/>
      <c r="M113" s="70"/>
      <c r="N113" s="70"/>
      <c r="R113" s="8"/>
      <c r="S113" s="8"/>
    </row>
    <row r="114" spans="1:19" x14ac:dyDescent="0.25">
      <c r="A114" s="26" t="s">
        <v>89</v>
      </c>
      <c r="B114" s="108" t="str">
        <f t="shared" si="5"/>
        <v>ES</v>
      </c>
      <c r="C114" s="108" t="s">
        <v>121</v>
      </c>
      <c r="D114" s="20">
        <f>+VLOOKUP(B114, 'NATIONAL 2020'!$A$3:$B$41, 2, FALSE)</f>
        <v>3</v>
      </c>
      <c r="E114" s="181">
        <f>+IFERROR(IF($D114=0, VLOOKUP($C114, 'NATIONAL 2020'!$A$3:$M$40, 7, FALSE), VLOOKUP($C114, 'NFI 2020'!$C$3:$J$282, 2, FALSE)), "")</f>
        <v>470263.80548038892</v>
      </c>
      <c r="F114" s="111">
        <f>+IFERROR(IF($D114=0, VLOOKUP($C114, 'NATIONAL 2020'!$A$3:$M$40, 8, FALSE), VLOOKUP($C114, 'NFI 2020'!$C$3:$J$282, 3, FALSE)), "")</f>
        <v>415553.16830170993</v>
      </c>
      <c r="G114" s="196">
        <f>+IFERROR(IF($D114=0, VLOOKUP($C114, 'NATIONAL 2020'!$A$3:$M$40, 9, FALSE), VLOOKUP($C114, 'NFI 2020'!$C$3:$J$282, 4, FALSE)), "")</f>
        <v>54710.637178676334</v>
      </c>
      <c r="H114" s="181">
        <f>+IFERROR(IF($D114=0, VLOOKUP($C114, 'NATIONAL 2020'!$A$3:$M$40, 10, FALSE), VLOOKUP($C114, 'NFI 2020'!$C$3:$J$282, 5, FALSE)), "")</f>
        <v>33499244.70081735</v>
      </c>
      <c r="I114" s="213">
        <f>+IFERROR(IF($D114=0, VLOOKUP($C114, 'NATIONAL 2020'!$A$3:$M$40, 13, FALSE), VLOOKUP($C114, 'NFI 2020'!$C$3:$J$282, 8, FALSE)), "")</f>
        <v>71.235005353212003</v>
      </c>
      <c r="J114" s="111">
        <f>+IFERROR(IF($D114=0, VLOOKUP($C114, 'NATIONAL 2020'!$A$3:$M$40, 11, FALSE), VLOOKUP($C114, 'NFI 2020'!$C$3:$J$282, 6, FALSE)), "")</f>
        <v>29958287.224554013</v>
      </c>
      <c r="K114" s="196">
        <f>+IFERROR(IF($D114=0, VLOOKUP($C114, 'NATIONAL 2020'!$A$3:$M$40, 12, FALSE), VLOOKUP($C114, 'NFI 2020'!$C$3:$J$282, 7, FALSE)), "")</f>
        <v>3540957.4762633373</v>
      </c>
      <c r="L114" s="14"/>
      <c r="M114" s="70"/>
      <c r="N114" s="70"/>
      <c r="R114" s="8"/>
      <c r="S114" s="8"/>
    </row>
    <row r="115" spans="1:19" x14ac:dyDescent="0.25">
      <c r="A115" s="26" t="s">
        <v>89</v>
      </c>
      <c r="B115" s="108" t="str">
        <f t="shared" si="5"/>
        <v>ES</v>
      </c>
      <c r="C115" s="108" t="s">
        <v>122</v>
      </c>
      <c r="D115" s="20">
        <f>+VLOOKUP(B115, 'NATIONAL 2020'!$A$3:$B$41, 2, FALSE)</f>
        <v>3</v>
      </c>
      <c r="E115" s="181">
        <f>+IFERROR(IF($D115=0, VLOOKUP($C115, 'NATIONAL 2020'!$A$3:$M$40, 7, FALSE), VLOOKUP($C115, 'NFI 2020'!$C$3:$J$282, 2, FALSE)), "")</f>
        <v>366287.21395758109</v>
      </c>
      <c r="F115" s="111">
        <f>+IFERROR(IF($D115=0, VLOOKUP($C115, 'NATIONAL 2020'!$A$3:$M$40, 8, FALSE), VLOOKUP($C115, 'NFI 2020'!$C$3:$J$282, 3, FALSE)), "")</f>
        <v>328389.85393338051</v>
      </c>
      <c r="G115" s="196">
        <f>+IFERROR(IF($D115=0, VLOOKUP($C115, 'NATIONAL 2020'!$A$3:$M$40, 9, FALSE), VLOOKUP($C115, 'NFI 2020'!$C$3:$J$282, 4, FALSE)), "")</f>
        <v>37897.360024201582</v>
      </c>
      <c r="H115" s="181">
        <f>+IFERROR(IF($D115=0, VLOOKUP($C115, 'NATIONAL 2020'!$A$3:$M$40, 10, FALSE), VLOOKUP($C115, 'NFI 2020'!$C$3:$J$282, 5, FALSE)), "")</f>
        <v>39678198.615607522</v>
      </c>
      <c r="I115" s="213">
        <f>+IFERROR(IF($D115=0, VLOOKUP($C115, 'NATIONAL 2020'!$A$3:$M$40, 13, FALSE), VLOOKUP($C115, 'NFI 2020'!$C$3:$J$282, 8, FALSE)), "")</f>
        <v>108.32537174011912</v>
      </c>
      <c r="J115" s="111">
        <f>+IFERROR(IF($D115=0, VLOOKUP($C115, 'NATIONAL 2020'!$A$3:$M$40, 11, FALSE), VLOOKUP($C115, 'NFI 2020'!$C$3:$J$282, 6, FALSE)), "")</f>
        <v>35318954.570093825</v>
      </c>
      <c r="K115" s="196">
        <f>+IFERROR(IF($D115=0, VLOOKUP($C115, 'NATIONAL 2020'!$A$3:$M$40, 12, FALSE), VLOOKUP($C115, 'NFI 2020'!$C$3:$J$282, 7, FALSE)), "")</f>
        <v>4359244.0455136951</v>
      </c>
      <c r="L115" s="14"/>
      <c r="M115" s="5"/>
      <c r="N115" s="70"/>
      <c r="R115" s="8"/>
      <c r="S115" s="8"/>
    </row>
    <row r="116" spans="1:19" x14ac:dyDescent="0.25">
      <c r="A116" s="26" t="s">
        <v>89</v>
      </c>
      <c r="B116" s="108" t="str">
        <f t="shared" si="5"/>
        <v>ES</v>
      </c>
      <c r="C116" s="108" t="s">
        <v>123</v>
      </c>
      <c r="D116" s="20">
        <f>+VLOOKUP(B116, 'NATIONAL 2020'!$A$3:$B$41, 2, FALSE)</f>
        <v>3</v>
      </c>
      <c r="E116" s="181">
        <f>+IFERROR(IF($D116=0, VLOOKUP($C116, 'NATIONAL 2020'!$A$3:$M$40, 7, FALSE), VLOOKUP($C116, 'NFI 2020'!$C$3:$J$282, 2, FALSE)), "")</f>
        <v>533966.89622137218</v>
      </c>
      <c r="F116" s="111">
        <f>+IFERROR(IF($D116=0, VLOOKUP($C116, 'NATIONAL 2020'!$A$3:$M$40, 8, FALSE), VLOOKUP($C116, 'NFI 2020'!$C$3:$J$282, 3, FALSE)), "")</f>
        <v>442288.59245684161</v>
      </c>
      <c r="G116" s="196">
        <f>+IFERROR(IF($D116=0, VLOOKUP($C116, 'NATIONAL 2020'!$A$3:$M$40, 9, FALSE), VLOOKUP($C116, 'NFI 2020'!$C$3:$J$282, 4, FALSE)), "")</f>
        <v>91678.303764527955</v>
      </c>
      <c r="H116" s="181">
        <f>+IFERROR(IF($D116=0, VLOOKUP($C116, 'NATIONAL 2020'!$A$3:$M$40, 10, FALSE), VLOOKUP($C116, 'NFI 2020'!$C$3:$J$282, 5, FALSE)), "")</f>
        <v>42806691.903336339</v>
      </c>
      <c r="I116" s="213">
        <f>+IFERROR(IF($D116=0, VLOOKUP($C116, 'NATIONAL 2020'!$A$3:$M$40, 13, FALSE), VLOOKUP($C116, 'NFI 2020'!$C$3:$J$282, 8, FALSE)), "")</f>
        <v>80.167314128008272</v>
      </c>
      <c r="J116" s="111">
        <f>+IFERROR(IF($D116=0, VLOOKUP($C116, 'NATIONAL 2020'!$A$3:$M$40, 11, FALSE), VLOOKUP($C116, 'NFI 2020'!$C$3:$J$282, 6, FALSE)), "")</f>
        <v>35403494.343913555</v>
      </c>
      <c r="K116" s="196">
        <f>+IFERROR(IF($D116=0, VLOOKUP($C116, 'NATIONAL 2020'!$A$3:$M$40, 12, FALSE), VLOOKUP($C116, 'NFI 2020'!$C$3:$J$282, 7, FALSE)), "")</f>
        <v>7403197.5594227863</v>
      </c>
      <c r="L116" s="14"/>
      <c r="M116" s="5"/>
      <c r="N116" s="70"/>
      <c r="R116" s="8"/>
      <c r="S116" s="8"/>
    </row>
    <row r="117" spans="1:19" x14ac:dyDescent="0.25">
      <c r="A117" s="26" t="s">
        <v>89</v>
      </c>
      <c r="B117" s="108" t="str">
        <f t="shared" si="5"/>
        <v>ES</v>
      </c>
      <c r="C117" s="108" t="s">
        <v>124</v>
      </c>
      <c r="D117" s="20">
        <f>+VLOOKUP(B117, 'NATIONAL 2020'!$A$3:$B$41, 2, FALSE)</f>
        <v>3</v>
      </c>
      <c r="E117" s="181">
        <f>+IFERROR(IF($D117=0, VLOOKUP($C117, 'NATIONAL 2020'!$A$3:$M$40, 7, FALSE), VLOOKUP($C117, 'NFI 2020'!$C$3:$J$282, 2, FALSE)), "")</f>
        <v>253351.77604493228</v>
      </c>
      <c r="F117" s="111">
        <f>+IFERROR(IF($D117=0, VLOOKUP($C117, 'NATIONAL 2020'!$A$3:$M$40, 8, FALSE), VLOOKUP($C117, 'NFI 2020'!$C$3:$J$282, 3, FALSE)), "")</f>
        <v>228166.18222293057</v>
      </c>
      <c r="G117" s="196">
        <f>+IFERROR(IF($D117=0, VLOOKUP($C117, 'NATIONAL 2020'!$A$3:$M$40, 9, FALSE), VLOOKUP($C117, 'NFI 2020'!$C$3:$J$282, 4, FALSE)), "")</f>
        <v>25185.59382200097</v>
      </c>
      <c r="H117" s="181">
        <f>+IFERROR(IF($D117=0, VLOOKUP($C117, 'NATIONAL 2020'!$A$3:$M$40, 10, FALSE), VLOOKUP($C117, 'NFI 2020'!$C$3:$J$282, 5, FALSE)), "")</f>
        <v>11789448.931591367</v>
      </c>
      <c r="I117" s="213">
        <f>+IFERROR(IF($D117=0, VLOOKUP($C117, 'NATIONAL 2020'!$A$3:$M$40, 13, FALSE), VLOOKUP($C117, 'NFI 2020'!$C$3:$J$282, 8, FALSE)), "")</f>
        <v>46.533910737221326</v>
      </c>
      <c r="J117" s="111">
        <f>+IFERROR(IF($D117=0, VLOOKUP($C117, 'NATIONAL 2020'!$A$3:$M$40, 11, FALSE), VLOOKUP($C117, 'NFI 2020'!$C$3:$J$282, 6, FALSE)), "")</f>
        <v>10751722.220215349</v>
      </c>
      <c r="K117" s="196">
        <f>+IFERROR(IF($D117=0, VLOOKUP($C117, 'NATIONAL 2020'!$A$3:$M$40, 12, FALSE), VLOOKUP($C117, 'NFI 2020'!$C$3:$J$282, 7, FALSE)), "")</f>
        <v>1037726.7113760196</v>
      </c>
      <c r="L117" s="14"/>
      <c r="M117" s="70"/>
      <c r="N117" s="70"/>
      <c r="R117" s="8"/>
      <c r="S117" s="8"/>
    </row>
    <row r="118" spans="1:19" x14ac:dyDescent="0.25">
      <c r="A118" s="26" t="s">
        <v>89</v>
      </c>
      <c r="B118" s="108" t="str">
        <f t="shared" si="5"/>
        <v>ES</v>
      </c>
      <c r="C118" s="108" t="s">
        <v>125</v>
      </c>
      <c r="D118" s="20">
        <f>+VLOOKUP(B118, 'NATIONAL 2020'!$A$3:$B$41, 2, FALSE)</f>
        <v>3</v>
      </c>
      <c r="E118" s="181">
        <f>+IFERROR(IF($D118=0, VLOOKUP($C118, 'NATIONAL 2020'!$A$3:$M$40, 7, FALSE), VLOOKUP($C118, 'NFI 2020'!$C$3:$J$282, 2, FALSE)), "")</f>
        <v>132836.48862610562</v>
      </c>
      <c r="F118" s="111">
        <f>+IFERROR(IF($D118=0, VLOOKUP($C118, 'NATIONAL 2020'!$A$3:$M$40, 8, FALSE), VLOOKUP($C118, 'NFI 2020'!$C$3:$J$282, 3, FALSE)), "")</f>
        <v>105881.9894439076</v>
      </c>
      <c r="G118" s="196">
        <f>+IFERROR(IF($D118=0, VLOOKUP($C118, 'NATIONAL 2020'!$A$3:$M$40, 9, FALSE), VLOOKUP($C118, 'NFI 2020'!$C$3:$J$282, 4, FALSE)), "")</f>
        <v>26954.499182198095</v>
      </c>
      <c r="H118" s="181">
        <f>+IFERROR(IF($D118=0, VLOOKUP($C118, 'NATIONAL 2020'!$A$3:$M$40, 10, FALSE), VLOOKUP($C118, 'NFI 2020'!$C$3:$J$282, 5, FALSE)), "")</f>
        <v>3060065.1725182761</v>
      </c>
      <c r="I118" s="213">
        <f>+IFERROR(IF($D118=0, VLOOKUP($C118, 'NATIONAL 2020'!$A$3:$M$40, 13, FALSE), VLOOKUP($C118, 'NFI 2020'!$C$3:$J$282, 8, FALSE)), "")</f>
        <v>23.036329883210254</v>
      </c>
      <c r="J118" s="111">
        <f>+IFERROR(IF($D118=0, VLOOKUP($C118, 'NATIONAL 2020'!$A$3:$M$40, 11, FALSE), VLOOKUP($C118, 'NFI 2020'!$C$3:$J$282, 6, FALSE)), "")</f>
        <v>2450359.7968170759</v>
      </c>
      <c r="K118" s="196">
        <f>+IFERROR(IF($D118=0, VLOOKUP($C118, 'NATIONAL 2020'!$A$3:$M$40, 12, FALSE), VLOOKUP($C118, 'NFI 2020'!$C$3:$J$282, 7, FALSE)), "")</f>
        <v>609705.37570119987</v>
      </c>
      <c r="L118" s="14"/>
      <c r="M118" s="70"/>
      <c r="N118" s="70"/>
      <c r="R118" s="8"/>
      <c r="S118" s="8"/>
    </row>
    <row r="119" spans="1:19" x14ac:dyDescent="0.25">
      <c r="A119" s="26" t="s">
        <v>89</v>
      </c>
      <c r="B119" s="108" t="str">
        <f t="shared" si="5"/>
        <v>ES</v>
      </c>
      <c r="C119" s="108" t="s">
        <v>126</v>
      </c>
      <c r="D119" s="20">
        <f>+VLOOKUP(B119, 'NATIONAL 2020'!$A$3:$B$41, 2, FALSE)</f>
        <v>3</v>
      </c>
      <c r="E119" s="181">
        <f>+IFERROR(IF($D119=0, VLOOKUP($C119, 'NATIONAL 2020'!$A$3:$M$40, 7, FALSE), VLOOKUP($C119, 'NFI 2020'!$C$3:$J$282, 2, FALSE)), "")</f>
        <v>271406.83144588937</v>
      </c>
      <c r="F119" s="111">
        <f>+IFERROR(IF($D119=0, VLOOKUP($C119, 'NATIONAL 2020'!$A$3:$M$40, 8, FALSE), VLOOKUP($C119, 'NFI 2020'!$C$3:$J$282, 3, FALSE)), "")</f>
        <v>247680.55312138633</v>
      </c>
      <c r="G119" s="196">
        <f>+IFERROR(IF($D119=0, VLOOKUP($C119, 'NATIONAL 2020'!$A$3:$M$40, 9, FALSE), VLOOKUP($C119, 'NFI 2020'!$C$3:$J$282, 4, FALSE)), "")</f>
        <v>23726.278324503302</v>
      </c>
      <c r="H119" s="181">
        <f>+IFERROR(IF($D119=0, VLOOKUP($C119, 'NATIONAL 2020'!$A$3:$M$40, 10, FALSE), VLOOKUP($C119, 'NFI 2020'!$C$3:$J$282, 5, FALSE)), "")</f>
        <v>12766740.75680102</v>
      </c>
      <c r="I119" s="213">
        <f>+IFERROR(IF($D119=0, VLOOKUP($C119, 'NATIONAL 2020'!$A$3:$M$40, 13, FALSE), VLOOKUP($C119, 'NFI 2020'!$C$3:$J$282, 8, FALSE)), "")</f>
        <v>47.039128266549682</v>
      </c>
      <c r="J119" s="111">
        <f>+IFERROR(IF($D119=0, VLOOKUP($C119, 'NATIONAL 2020'!$A$3:$M$40, 11, FALSE), VLOOKUP($C119, 'NFI 2020'!$C$3:$J$282, 6, FALSE)), "")</f>
        <v>11865401.198682537</v>
      </c>
      <c r="K119" s="196">
        <f>+IFERROR(IF($D119=0, VLOOKUP($C119, 'NATIONAL 2020'!$A$3:$M$40, 12, FALSE), VLOOKUP($C119, 'NFI 2020'!$C$3:$J$282, 7, FALSE)), "")</f>
        <v>901339.55811848375</v>
      </c>
      <c r="L119" s="14"/>
      <c r="M119" s="70"/>
      <c r="N119" s="70"/>
      <c r="R119" s="8"/>
      <c r="S119" s="8"/>
    </row>
    <row r="120" spans="1:19" x14ac:dyDescent="0.25">
      <c r="A120" s="26" t="s">
        <v>89</v>
      </c>
      <c r="B120" s="108" t="str">
        <f t="shared" si="5"/>
        <v>ES</v>
      </c>
      <c r="C120" s="108" t="s">
        <v>127</v>
      </c>
      <c r="D120" s="20">
        <f>+VLOOKUP(B120, 'NATIONAL 2020'!$A$3:$B$41, 2, FALSE)</f>
        <v>3</v>
      </c>
      <c r="E120" s="181">
        <f>+IFERROR(IF($D120=0, VLOOKUP($C120, 'NATIONAL 2020'!$A$3:$M$40, 7, FALSE), VLOOKUP($C120, 'NFI 2020'!$C$3:$J$282, 2, FALSE)), "")</f>
        <v>351194.47913070471</v>
      </c>
      <c r="F120" s="111">
        <f>+IFERROR(IF($D120=0, VLOOKUP($C120, 'NATIONAL 2020'!$A$3:$M$40, 8, FALSE), VLOOKUP($C120, 'NFI 2020'!$C$3:$J$282, 3, FALSE)), "")</f>
        <v>327236.70764506375</v>
      </c>
      <c r="G120" s="196">
        <f>+IFERROR(IF($D120=0, VLOOKUP($C120, 'NATIONAL 2020'!$A$3:$M$40, 9, FALSE), VLOOKUP($C120, 'NFI 2020'!$C$3:$J$282, 4, FALSE)), "")</f>
        <v>23957.771485640475</v>
      </c>
      <c r="H120" s="181">
        <f>+IFERROR(IF($D120=0, VLOOKUP($C120, 'NATIONAL 2020'!$A$3:$M$40, 10, FALSE), VLOOKUP($C120, 'NFI 2020'!$C$3:$J$282, 5, FALSE)), "")</f>
        <v>10133601.59993338</v>
      </c>
      <c r="I120" s="213">
        <f>+IFERROR(IF($D120=0, VLOOKUP($C120, 'NATIONAL 2020'!$A$3:$M$40, 13, FALSE), VLOOKUP($C120, 'NFI 2020'!$C$3:$J$282, 8, FALSE)), "")</f>
        <v>28.854672274509014</v>
      </c>
      <c r="J120" s="111">
        <f>+IFERROR(IF($D120=0, VLOOKUP($C120, 'NATIONAL 2020'!$A$3:$M$40, 11, FALSE), VLOOKUP($C120, 'NFI 2020'!$C$3:$J$282, 6, FALSE)), "")</f>
        <v>9529420.5116919223</v>
      </c>
      <c r="K120" s="196">
        <f>+IFERROR(IF($D120=0, VLOOKUP($C120, 'NATIONAL 2020'!$A$3:$M$40, 12, FALSE), VLOOKUP($C120, 'NFI 2020'!$C$3:$J$282, 7, FALSE)), "")</f>
        <v>604181.08824145747</v>
      </c>
      <c r="L120" s="14"/>
      <c r="M120" s="70"/>
      <c r="N120" s="70"/>
      <c r="R120" s="8"/>
      <c r="S120" s="8"/>
    </row>
    <row r="121" spans="1:19" x14ac:dyDescent="0.25">
      <c r="A121" s="26" t="s">
        <v>89</v>
      </c>
      <c r="B121" s="108" t="str">
        <f t="shared" si="5"/>
        <v>ES</v>
      </c>
      <c r="C121" s="108" t="s">
        <v>300</v>
      </c>
      <c r="D121" s="20">
        <f>+VLOOKUP(B121, 'NATIONAL 2020'!$A$3:$B$41, 2, FALSE)</f>
        <v>3</v>
      </c>
      <c r="E121" s="181">
        <f>+IFERROR(IF($D121=0, VLOOKUP($C121, 'NATIONAL 2020'!$A$3:$M$40, 7, FALSE), VLOOKUP($C121, 'NFI 2020'!$C$3:$J$282, 2, FALSE)), "")</f>
        <v>176632.98908414168</v>
      </c>
      <c r="F121" s="111">
        <f>+IFERROR(IF($D121=0, VLOOKUP($C121, 'NATIONAL 2020'!$A$3:$M$40, 8, FALSE), VLOOKUP($C121, 'NFI 2020'!$C$3:$J$282, 3, FALSE)), "")</f>
        <v>154266.44636089497</v>
      </c>
      <c r="G121" s="196">
        <f>+IFERROR(IF($D121=0, VLOOKUP($C121, 'NATIONAL 2020'!$A$3:$M$40, 9, FALSE), VLOOKUP($C121, 'NFI 2020'!$C$3:$J$282, 4, FALSE)), "")</f>
        <v>22366.542723246708</v>
      </c>
      <c r="H121" s="181">
        <f>+IFERROR(IF($D121=0, VLOOKUP($C121, 'NATIONAL 2020'!$A$3:$M$40, 10, FALSE), VLOOKUP($C121, 'NFI 2020'!$C$3:$J$282, 5, FALSE)), "")</f>
        <v>8918246.0462921988</v>
      </c>
      <c r="I121" s="213">
        <f>+IFERROR(IF($D121=0, VLOOKUP($C121, 'NATIONAL 2020'!$A$3:$M$40, 13, FALSE), VLOOKUP($C121, 'NFI 2020'!$C$3:$J$282, 8, FALSE)), "")</f>
        <v>50.490262846901508</v>
      </c>
      <c r="J121" s="111">
        <f>+IFERROR(IF($D121=0, VLOOKUP($C121, 'NATIONAL 2020'!$A$3:$M$40, 11, FALSE), VLOOKUP($C121, 'NFI 2020'!$C$3:$J$282, 6, FALSE)), "")</f>
        <v>7921042.3090024907</v>
      </c>
      <c r="K121" s="196">
        <f>+IFERROR(IF($D121=0, VLOOKUP($C121, 'NATIONAL 2020'!$A$3:$M$40, 12, FALSE), VLOOKUP($C121, 'NFI 2020'!$C$3:$J$282, 7, FALSE)), "")</f>
        <v>997203.73728970648</v>
      </c>
      <c r="L121" s="14"/>
      <c r="M121" s="70"/>
      <c r="N121" s="70"/>
      <c r="R121" s="8"/>
      <c r="S121" s="8"/>
    </row>
    <row r="122" spans="1:19" x14ac:dyDescent="0.25">
      <c r="A122" s="26" t="s">
        <v>89</v>
      </c>
      <c r="B122" s="108" t="str">
        <f t="shared" si="5"/>
        <v>ES</v>
      </c>
      <c r="C122" s="108" t="s">
        <v>128</v>
      </c>
      <c r="D122" s="20">
        <f>+VLOOKUP(B122, 'NATIONAL 2020'!$A$3:$B$41, 2, FALSE)</f>
        <v>3</v>
      </c>
      <c r="E122" s="181">
        <f>+IFERROR(IF($D122=0, VLOOKUP($C122, 'NATIONAL 2020'!$A$3:$M$40, 7, FALSE), VLOOKUP($C122, 'NFI 2020'!$C$3:$J$282, 2, FALSE)), "")</f>
        <v>170988.49184041069</v>
      </c>
      <c r="F122" s="111">
        <f>+IFERROR(IF($D122=0, VLOOKUP($C122, 'NATIONAL 2020'!$A$3:$M$40, 8, FALSE), VLOOKUP($C122, 'NFI 2020'!$C$3:$J$282, 3, FALSE)), "")</f>
        <v>142065.27579575437</v>
      </c>
      <c r="G122" s="196">
        <f>+IFERROR(IF($D122=0, VLOOKUP($C122, 'NATIONAL 2020'!$A$3:$M$40, 9, FALSE), VLOOKUP($C122, 'NFI 2020'!$C$3:$J$282, 4, FALSE)), "")</f>
        <v>28923.216044657329</v>
      </c>
      <c r="H122" s="181">
        <f>+IFERROR(IF($D122=0, VLOOKUP($C122, 'NATIONAL 2020'!$A$3:$M$40, 10, FALSE), VLOOKUP($C122, 'NFI 2020'!$C$3:$J$282, 5, FALSE)), "")</f>
        <v>5414199.4835173739</v>
      </c>
      <c r="I122" s="213">
        <f>+IFERROR(IF($D122=0, VLOOKUP($C122, 'NATIONAL 2020'!$A$3:$M$40, 13, FALSE), VLOOKUP($C122, 'NFI 2020'!$C$3:$J$282, 8, FALSE)), "")</f>
        <v>31.66411625275126</v>
      </c>
      <c r="J122" s="111">
        <f>+IFERROR(IF($D122=0, VLOOKUP($C122, 'NATIONAL 2020'!$A$3:$M$40, 11, FALSE), VLOOKUP($C122, 'NFI 2020'!$C$3:$J$282, 6, FALSE)), "")</f>
        <v>4556731.4389667818</v>
      </c>
      <c r="K122" s="196">
        <f>+IFERROR(IF($D122=0, VLOOKUP($C122, 'NATIONAL 2020'!$A$3:$M$40, 12, FALSE), VLOOKUP($C122, 'NFI 2020'!$C$3:$J$282, 7, FALSE)), "")</f>
        <v>857468.04455059173</v>
      </c>
      <c r="L122" s="14"/>
      <c r="M122" s="70"/>
      <c r="N122" s="70"/>
      <c r="R122" s="8"/>
      <c r="S122" s="8"/>
    </row>
    <row r="123" spans="1:19" x14ac:dyDescent="0.25">
      <c r="A123" s="26" t="s">
        <v>89</v>
      </c>
      <c r="B123" s="108" t="str">
        <f t="shared" si="5"/>
        <v>ES</v>
      </c>
      <c r="C123" s="108" t="s">
        <v>129</v>
      </c>
      <c r="D123" s="20">
        <f>+VLOOKUP(B123, 'NATIONAL 2020'!$A$3:$B$41, 2, FALSE)</f>
        <v>3</v>
      </c>
      <c r="E123" s="181">
        <f>+IFERROR(IF($D123=0, VLOOKUP($C123, 'NATIONAL 2020'!$A$3:$M$40, 7, FALSE), VLOOKUP($C123, 'NFI 2020'!$C$3:$J$282, 2, FALSE)), "")</f>
        <v>239685.95668138925</v>
      </c>
      <c r="F123" s="111">
        <f>+IFERROR(IF($D123=0, VLOOKUP($C123, 'NATIONAL 2020'!$A$3:$M$40, 8, FALSE), VLOOKUP($C123, 'NFI 2020'!$C$3:$J$282, 3, FALSE)), "")</f>
        <v>215481.25851404908</v>
      </c>
      <c r="G123" s="196">
        <f>+IFERROR(IF($D123=0, VLOOKUP($C123, 'NATIONAL 2020'!$A$3:$M$40, 9, FALSE), VLOOKUP($C123, 'NFI 2020'!$C$3:$J$282, 4, FALSE)), "")</f>
        <v>24204.698167339167</v>
      </c>
      <c r="H123" s="181">
        <f>+IFERROR(IF($D123=0, VLOOKUP($C123, 'NATIONAL 2020'!$A$3:$M$40, 10, FALSE), VLOOKUP($C123, 'NFI 2020'!$C$3:$J$282, 5, FALSE)), "")</f>
        <v>12616737.598173898</v>
      </c>
      <c r="I123" s="213">
        <f>+IFERROR(IF($D123=0, VLOOKUP($C123, 'NATIONAL 2020'!$A$3:$M$40, 13, FALSE), VLOOKUP($C123, 'NFI 2020'!$C$3:$J$282, 8, FALSE)), "")</f>
        <v>52.638618352368169</v>
      </c>
      <c r="J123" s="111">
        <f>+IFERROR(IF($D123=0, VLOOKUP($C123, 'NATIONAL 2020'!$A$3:$M$40, 11, FALSE), VLOOKUP($C123, 'NFI 2020'!$C$3:$J$282, 6, FALSE)), "")</f>
        <v>10846106.114848759</v>
      </c>
      <c r="K123" s="196">
        <f>+IFERROR(IF($D123=0, VLOOKUP($C123, 'NATIONAL 2020'!$A$3:$M$40, 12, FALSE), VLOOKUP($C123, 'NFI 2020'!$C$3:$J$282, 7, FALSE)), "")</f>
        <v>1770631.4833251394</v>
      </c>
      <c r="L123" s="14"/>
      <c r="M123" s="70"/>
      <c r="N123" s="70"/>
      <c r="R123" s="8"/>
      <c r="S123" s="8"/>
    </row>
    <row r="124" spans="1:19" x14ac:dyDescent="0.25">
      <c r="A124" s="26" t="s">
        <v>89</v>
      </c>
      <c r="B124" s="108" t="str">
        <f t="shared" si="5"/>
        <v>ES</v>
      </c>
      <c r="C124" s="108" t="s">
        <v>130</v>
      </c>
      <c r="D124" s="20">
        <f>+VLOOKUP(B124, 'NATIONAL 2020'!$A$3:$B$41, 2, FALSE)</f>
        <v>3</v>
      </c>
      <c r="E124" s="181">
        <f>+IFERROR(IF($D124=0, VLOOKUP($C124, 'NATIONAL 2020'!$A$3:$M$40, 7, FALSE), VLOOKUP($C124, 'NFI 2020'!$C$3:$J$282, 2, FALSE)), "")</f>
        <v>595385.45350102358</v>
      </c>
      <c r="F124" s="111">
        <f>+IFERROR(IF($D124=0, VLOOKUP($C124, 'NATIONAL 2020'!$A$3:$M$40, 8, FALSE), VLOOKUP($C124, 'NFI 2020'!$C$3:$J$282, 3, FALSE)), "")</f>
        <v>567781.33296620683</v>
      </c>
      <c r="G124" s="196">
        <f>+IFERROR(IF($D124=0, VLOOKUP($C124, 'NATIONAL 2020'!$A$3:$M$40, 9, FALSE), VLOOKUP($C124, 'NFI 2020'!$C$3:$J$282, 4, FALSE)), "")</f>
        <v>27604.120534817343</v>
      </c>
      <c r="H124" s="181">
        <f>+IFERROR(IF($D124=0, VLOOKUP($C124, 'NATIONAL 2020'!$A$3:$M$40, 10, FALSE), VLOOKUP($C124, 'NFI 2020'!$C$3:$J$282, 5, FALSE)), "")</f>
        <v>24585561.717965931</v>
      </c>
      <c r="I124" s="213">
        <f>+IFERROR(IF($D124=0, VLOOKUP($C124, 'NATIONAL 2020'!$A$3:$M$40, 13, FALSE), VLOOKUP($C124, 'NFI 2020'!$C$3:$J$282, 8, FALSE)), "")</f>
        <v>41.293520984425029</v>
      </c>
      <c r="J124" s="111">
        <f>+IFERROR(IF($D124=0, VLOOKUP($C124, 'NATIONAL 2020'!$A$3:$M$40, 11, FALSE), VLOOKUP($C124, 'NFI 2020'!$C$3:$J$282, 6, FALSE)), "")</f>
        <v>23847021.705601007</v>
      </c>
      <c r="K124" s="196">
        <f>+IFERROR(IF($D124=0, VLOOKUP($C124, 'NATIONAL 2020'!$A$3:$M$40, 12, FALSE), VLOOKUP($C124, 'NFI 2020'!$C$3:$J$282, 7, FALSE)), "")</f>
        <v>738540.01236491988</v>
      </c>
      <c r="L124" s="14"/>
      <c r="M124" s="70"/>
      <c r="N124" s="70"/>
      <c r="R124" s="8"/>
      <c r="S124" s="8"/>
    </row>
    <row r="125" spans="1:19" x14ac:dyDescent="0.25">
      <c r="A125" s="26" t="s">
        <v>89</v>
      </c>
      <c r="B125" s="108" t="str">
        <f t="shared" si="5"/>
        <v>ES</v>
      </c>
      <c r="C125" s="108" t="s">
        <v>131</v>
      </c>
      <c r="D125" s="20">
        <f>+VLOOKUP(B125, 'NATIONAL 2020'!$A$3:$B$41, 2, FALSE)</f>
        <v>3</v>
      </c>
      <c r="E125" s="181">
        <f>+IFERROR(IF($D125=0, VLOOKUP($C125, 'NATIONAL 2020'!$A$3:$M$40, 7, FALSE), VLOOKUP($C125, 'NFI 2020'!$C$3:$J$282, 2, FALSE)), "")</f>
        <v>336591.55428864405</v>
      </c>
      <c r="F125" s="111">
        <f>+IFERROR(IF($D125=0, VLOOKUP($C125, 'NATIONAL 2020'!$A$3:$M$40, 8, FALSE), VLOOKUP($C125, 'NFI 2020'!$C$3:$J$282, 3, FALSE)), "")</f>
        <v>291103.92980103201</v>
      </c>
      <c r="G125" s="196">
        <f>+IFERROR(IF($D125=0, VLOOKUP($C125, 'NATIONAL 2020'!$A$3:$M$40, 9, FALSE), VLOOKUP($C125, 'NFI 2020'!$C$3:$J$282, 4, FALSE)), "")</f>
        <v>45487.62448761057</v>
      </c>
      <c r="H125" s="181">
        <f>+IFERROR(IF($D125=0, VLOOKUP($C125, 'NATIONAL 2020'!$A$3:$M$40, 10, FALSE), VLOOKUP($C125, 'NFI 2020'!$C$3:$J$282, 5, FALSE)), "")</f>
        <v>13364228.881720092</v>
      </c>
      <c r="I125" s="213">
        <f>+IFERROR(IF($D125=0, VLOOKUP($C125, 'NATIONAL 2020'!$A$3:$M$40, 13, FALSE), VLOOKUP($C125, 'NFI 2020'!$C$3:$J$282, 8, FALSE)), "")</f>
        <v>39.704587686295895</v>
      </c>
      <c r="J125" s="111">
        <f>+IFERROR(IF($D125=0, VLOOKUP($C125, 'NATIONAL 2020'!$A$3:$M$40, 11, FALSE), VLOOKUP($C125, 'NFI 2020'!$C$3:$J$282, 6, FALSE)), "")</f>
        <v>10822582.62702392</v>
      </c>
      <c r="K125" s="196">
        <f>+IFERROR(IF($D125=0, VLOOKUP($C125, 'NATIONAL 2020'!$A$3:$M$40, 12, FALSE), VLOOKUP($C125, 'NFI 2020'!$C$3:$J$282, 7, FALSE)), "")</f>
        <v>2541646.2546961736</v>
      </c>
      <c r="L125" s="14"/>
      <c r="M125" s="70"/>
      <c r="N125" s="70"/>
      <c r="R125" s="8"/>
      <c r="S125" s="8"/>
    </row>
    <row r="126" spans="1:19" x14ac:dyDescent="0.25">
      <c r="A126" s="26" t="s">
        <v>89</v>
      </c>
      <c r="B126" s="108" t="str">
        <f t="shared" si="5"/>
        <v>ES</v>
      </c>
      <c r="C126" s="108" t="s">
        <v>132</v>
      </c>
      <c r="D126" s="20">
        <f>+VLOOKUP(B126, 'NATIONAL 2020'!$A$3:$B$41, 2, FALSE)</f>
        <v>3</v>
      </c>
      <c r="E126" s="181">
        <f>+IFERROR(IF($D126=0, VLOOKUP($C126, 'NATIONAL 2020'!$A$3:$M$40, 7, FALSE), VLOOKUP($C126, 'NFI 2020'!$C$3:$J$282, 2, FALSE)), "")</f>
        <v>609467.6895758959</v>
      </c>
      <c r="F126" s="111">
        <f>+IFERROR(IF($D126=0, VLOOKUP($C126, 'NATIONAL 2020'!$A$3:$M$40, 8, FALSE), VLOOKUP($C126, 'NFI 2020'!$C$3:$J$282, 3, FALSE)), "")</f>
        <v>570745.39612918894</v>
      </c>
      <c r="G126" s="196">
        <f>+IFERROR(IF($D126=0, VLOOKUP($C126, 'NATIONAL 2020'!$A$3:$M$40, 9, FALSE), VLOOKUP($C126, 'NFI 2020'!$C$3:$J$282, 4, FALSE)), "")</f>
        <v>38722.293446702941</v>
      </c>
      <c r="H126" s="181">
        <f>+IFERROR(IF($D126=0, VLOOKUP($C126, 'NATIONAL 2020'!$A$3:$M$40, 10, FALSE), VLOOKUP($C126, 'NFI 2020'!$C$3:$J$282, 5, FALSE)), "")</f>
        <v>21197304.193086825</v>
      </c>
      <c r="I126" s="213">
        <f>+IFERROR(IF($D126=0, VLOOKUP($C126, 'NATIONAL 2020'!$A$3:$M$40, 13, FALSE), VLOOKUP($C126, 'NFI 2020'!$C$3:$J$282, 8, FALSE)), "")</f>
        <v>34.78002945133511</v>
      </c>
      <c r="J126" s="111">
        <f>+IFERROR(IF($D126=0, VLOOKUP($C126, 'NATIONAL 2020'!$A$3:$M$40, 11, FALSE), VLOOKUP($C126, 'NFI 2020'!$C$3:$J$282, 6, FALSE)), "")</f>
        <v>20366314.596721586</v>
      </c>
      <c r="K126" s="196">
        <f>+IFERROR(IF($D126=0, VLOOKUP($C126, 'NATIONAL 2020'!$A$3:$M$40, 12, FALSE), VLOOKUP($C126, 'NFI 2020'!$C$3:$J$282, 7, FALSE)), "")</f>
        <v>830989.59636524122</v>
      </c>
      <c r="L126" s="14"/>
      <c r="M126" s="70"/>
      <c r="N126" s="70"/>
      <c r="R126" s="8"/>
      <c r="S126" s="8"/>
    </row>
    <row r="127" spans="1:19" x14ac:dyDescent="0.25">
      <c r="A127" s="26" t="s">
        <v>89</v>
      </c>
      <c r="B127" s="108" t="str">
        <f t="shared" si="5"/>
        <v>ES</v>
      </c>
      <c r="C127" s="108" t="s">
        <v>133</v>
      </c>
      <c r="D127" s="20">
        <f>+VLOOKUP(B127, 'NATIONAL 2020'!$A$3:$B$41, 2, FALSE)</f>
        <v>3</v>
      </c>
      <c r="E127" s="181">
        <f>+IFERROR(IF($D127=0, VLOOKUP($C127, 'NATIONAL 2020'!$A$3:$M$40, 7, FALSE), VLOOKUP($C127, 'NFI 2020'!$C$3:$J$282, 2, FALSE)), "")</f>
        <v>481797.2617472019</v>
      </c>
      <c r="F127" s="111">
        <f>+IFERROR(IF($D127=0, VLOOKUP($C127, 'NATIONAL 2020'!$A$3:$M$40, 8, FALSE), VLOOKUP($C127, 'NFI 2020'!$C$3:$J$282, 3, FALSE)), "")</f>
        <v>439186.7581743031</v>
      </c>
      <c r="G127" s="196">
        <f>+IFERROR(IF($D127=0, VLOOKUP($C127, 'NATIONAL 2020'!$A$3:$M$40, 9, FALSE), VLOOKUP($C127, 'NFI 2020'!$C$3:$J$282, 4, FALSE)), "")</f>
        <v>42610.50357289883</v>
      </c>
      <c r="H127" s="181">
        <f>+IFERROR(IF($D127=0, VLOOKUP($C127, 'NATIONAL 2020'!$A$3:$M$40, 10, FALSE), VLOOKUP($C127, 'NFI 2020'!$C$3:$J$282, 5, FALSE)), "")</f>
        <v>25849928.917410973</v>
      </c>
      <c r="I127" s="213">
        <f>+IFERROR(IF($D127=0, VLOOKUP($C127, 'NATIONAL 2020'!$A$3:$M$40, 13, FALSE), VLOOKUP($C127, 'NFI 2020'!$C$3:$J$282, 8, FALSE)), "")</f>
        <v>53.653125432195544</v>
      </c>
      <c r="J127" s="111">
        <f>+IFERROR(IF($D127=0, VLOOKUP($C127, 'NATIONAL 2020'!$A$3:$M$40, 11, FALSE), VLOOKUP($C127, 'NFI 2020'!$C$3:$J$282, 6, FALSE)), "")</f>
        <v>24609042.777019881</v>
      </c>
      <c r="K127" s="196">
        <f>+IFERROR(IF($D127=0, VLOOKUP($C127, 'NATIONAL 2020'!$A$3:$M$40, 12, FALSE), VLOOKUP($C127, 'NFI 2020'!$C$3:$J$282, 7, FALSE)), "")</f>
        <v>1240886.1403910944</v>
      </c>
      <c r="L127" s="14"/>
      <c r="M127" s="70"/>
      <c r="N127" s="70"/>
      <c r="R127" s="8"/>
      <c r="S127" s="8"/>
    </row>
    <row r="128" spans="1:19" x14ac:dyDescent="0.25">
      <c r="A128" s="26" t="s">
        <v>89</v>
      </c>
      <c r="B128" s="108" t="str">
        <f t="shared" si="5"/>
        <v>ES</v>
      </c>
      <c r="C128" s="108" t="s">
        <v>134</v>
      </c>
      <c r="D128" s="20">
        <f>+VLOOKUP(B128, 'NATIONAL 2020'!$A$3:$B$41, 2, FALSE)</f>
        <v>3</v>
      </c>
      <c r="E128" s="181">
        <f>+IFERROR(IF($D128=0, VLOOKUP($C128, 'NATIONAL 2020'!$A$3:$M$40, 7, FALSE), VLOOKUP($C128, 'NFI 2020'!$C$3:$J$282, 2, FALSE)), "")</f>
        <v>210405.82296757304</v>
      </c>
      <c r="F128" s="111">
        <f>+IFERROR(IF($D128=0, VLOOKUP($C128, 'NATIONAL 2020'!$A$3:$M$40, 8, FALSE), VLOOKUP($C128, 'NFI 2020'!$C$3:$J$282, 3, FALSE)), "")</f>
        <v>168745.49051582356</v>
      </c>
      <c r="G128" s="196">
        <f>+IFERROR(IF($D128=0, VLOOKUP($C128, 'NATIONAL 2020'!$A$3:$M$40, 9, FALSE), VLOOKUP($C128, 'NFI 2020'!$C$3:$J$282, 4, FALSE)), "")</f>
        <v>41660.332451749018</v>
      </c>
      <c r="H128" s="181">
        <f>+IFERROR(IF($D128=0, VLOOKUP($C128, 'NATIONAL 2020'!$A$3:$M$40, 10, FALSE), VLOOKUP($C128, 'NFI 2020'!$C$3:$J$282, 5, FALSE)), "")</f>
        <v>9230035.401485879</v>
      </c>
      <c r="I128" s="213">
        <f>+IFERROR(IF($D128=0, VLOOKUP($C128, 'NATIONAL 2020'!$A$3:$M$40, 13, FALSE), VLOOKUP($C128, 'NFI 2020'!$C$3:$J$282, 8, FALSE)), "")</f>
        <v>43.867775479333467</v>
      </c>
      <c r="J128" s="111">
        <f>+IFERROR(IF($D128=0, VLOOKUP($C128, 'NATIONAL 2020'!$A$3:$M$40, 11, FALSE), VLOOKUP($C128, 'NFI 2020'!$C$3:$J$282, 6, FALSE)), "")</f>
        <v>7824316.7733218605</v>
      </c>
      <c r="K128" s="196">
        <f>+IFERROR(IF($D128=0, VLOOKUP($C128, 'NATIONAL 2020'!$A$3:$M$40, 12, FALSE), VLOOKUP($C128, 'NFI 2020'!$C$3:$J$282, 7, FALSE)), "")</f>
        <v>1405718.628164019</v>
      </c>
      <c r="L128" s="14"/>
      <c r="M128" s="70"/>
      <c r="N128" s="70"/>
      <c r="R128" s="8"/>
      <c r="S128" s="8"/>
    </row>
    <row r="129" spans="1:19" x14ac:dyDescent="0.25">
      <c r="A129" s="26" t="s">
        <v>89</v>
      </c>
      <c r="B129" s="108" t="str">
        <f t="shared" si="5"/>
        <v>ES</v>
      </c>
      <c r="C129" s="108" t="s">
        <v>135</v>
      </c>
      <c r="D129" s="20">
        <f>+VLOOKUP(B129, 'NATIONAL 2020'!$A$3:$B$41, 2, FALSE)</f>
        <v>3</v>
      </c>
      <c r="E129" s="181">
        <f>+IFERROR(IF($D129=0, VLOOKUP($C129, 'NATIONAL 2020'!$A$3:$M$40, 7, FALSE), VLOOKUP($C129, 'NFI 2020'!$C$3:$J$282, 2, FALSE)), "")</f>
        <v>344153.30057361035</v>
      </c>
      <c r="F129" s="111">
        <f>+IFERROR(IF($D129=0, VLOOKUP($C129, 'NATIONAL 2020'!$A$3:$M$40, 8, FALSE), VLOOKUP($C129, 'NFI 2020'!$C$3:$J$282, 3, FALSE)), "")</f>
        <v>328911.16692762618</v>
      </c>
      <c r="G129" s="196">
        <f>+IFERROR(IF($D129=0, VLOOKUP($C129, 'NATIONAL 2020'!$A$3:$M$40, 9, FALSE), VLOOKUP($C129, 'NFI 2020'!$C$3:$J$282, 4, FALSE)), "")</f>
        <v>15242.133645984111</v>
      </c>
      <c r="H129" s="181">
        <f>+IFERROR(IF($D129=0, VLOOKUP($C129, 'NATIONAL 2020'!$A$3:$M$40, 10, FALSE), VLOOKUP($C129, 'NFI 2020'!$C$3:$J$282, 5, FALSE)), "")</f>
        <v>11663337.270640412</v>
      </c>
      <c r="I129" s="213">
        <f>+IFERROR(IF($D129=0, VLOOKUP($C129, 'NATIONAL 2020'!$A$3:$M$40, 13, FALSE), VLOOKUP($C129, 'NFI 2020'!$C$3:$J$282, 8, FALSE)), "")</f>
        <v>33.889947448421353</v>
      </c>
      <c r="J129" s="111">
        <f>+IFERROR(IF($D129=0, VLOOKUP($C129, 'NATIONAL 2020'!$A$3:$M$40, 11, FALSE), VLOOKUP($C129, 'NFI 2020'!$C$3:$J$282, 6, FALSE)), "")</f>
        <v>11407866.225470666</v>
      </c>
      <c r="K129" s="196">
        <f>+IFERROR(IF($D129=0, VLOOKUP($C129, 'NATIONAL 2020'!$A$3:$M$40, 12, FALSE), VLOOKUP($C129, 'NFI 2020'!$C$3:$J$282, 7, FALSE)), "")</f>
        <v>255471.04516974578</v>
      </c>
      <c r="L129" s="14"/>
      <c r="M129" s="70"/>
      <c r="N129" s="70"/>
      <c r="R129" s="8"/>
      <c r="S129" s="8"/>
    </row>
    <row r="130" spans="1:19" x14ac:dyDescent="0.25">
      <c r="A130" s="26" t="s">
        <v>89</v>
      </c>
      <c r="B130" s="108" t="str">
        <f t="shared" si="5"/>
        <v>ES</v>
      </c>
      <c r="C130" s="108" t="s">
        <v>136</v>
      </c>
      <c r="D130" s="20">
        <f>+VLOOKUP(B130, 'NATIONAL 2020'!$A$3:$B$41, 2, FALSE)</f>
        <v>3</v>
      </c>
      <c r="E130" s="181">
        <f>+IFERROR(IF($D130=0, VLOOKUP($C130, 'NATIONAL 2020'!$A$3:$M$40, 7, FALSE), VLOOKUP($C130, 'NFI 2020'!$C$3:$J$282, 2, FALSE)), "")</f>
        <v>314808.2334920087</v>
      </c>
      <c r="F130" s="111">
        <f>+IFERROR(IF($D130=0, VLOOKUP($C130, 'NATIONAL 2020'!$A$3:$M$40, 8, FALSE), VLOOKUP($C130, 'NFI 2020'!$C$3:$J$282, 3, FALSE)), "")</f>
        <v>273421.66733648657</v>
      </c>
      <c r="G130" s="196">
        <f>+IFERROR(IF($D130=0, VLOOKUP($C130, 'NATIONAL 2020'!$A$3:$M$40, 9, FALSE), VLOOKUP($C130, 'NFI 2020'!$C$3:$J$282, 4, FALSE)), "")</f>
        <v>41386.566155526227</v>
      </c>
      <c r="H130" s="181">
        <f>+IFERROR(IF($D130=0, VLOOKUP($C130, 'NATIONAL 2020'!$A$3:$M$40, 10, FALSE), VLOOKUP($C130, 'NFI 2020'!$C$3:$J$282, 5, FALSE)), "")</f>
        <v>7076629.4835163727</v>
      </c>
      <c r="I130" s="213">
        <f>+IFERROR(IF($D130=0, VLOOKUP($C130, 'NATIONAL 2020'!$A$3:$M$40, 13, FALSE), VLOOKUP($C130, 'NFI 2020'!$C$3:$J$282, 8, FALSE)), "")</f>
        <v>22.479175353893691</v>
      </c>
      <c r="J130" s="111">
        <f>+IFERROR(IF($D130=0, VLOOKUP($C130, 'NATIONAL 2020'!$A$3:$M$40, 11, FALSE), VLOOKUP($C130, 'NFI 2020'!$C$3:$J$282, 6, FALSE)), "")</f>
        <v>6469204.7507498628</v>
      </c>
      <c r="K130" s="196">
        <f>+IFERROR(IF($D130=0, VLOOKUP($C130, 'NATIONAL 2020'!$A$3:$M$40, 12, FALSE), VLOOKUP($C130, 'NFI 2020'!$C$3:$J$282, 7, FALSE)), "")</f>
        <v>607424.73276650906</v>
      </c>
      <c r="L130" s="14"/>
      <c r="M130" s="70"/>
      <c r="N130" s="70"/>
      <c r="R130" s="8"/>
      <c r="S130" s="8"/>
    </row>
    <row r="131" spans="1:19" x14ac:dyDescent="0.25">
      <c r="A131" s="107" t="s">
        <v>89</v>
      </c>
      <c r="B131" s="108" t="s">
        <v>12</v>
      </c>
      <c r="C131" s="108" t="s">
        <v>137</v>
      </c>
      <c r="D131" s="20">
        <f>+VLOOKUP(B131, 'NATIONAL 2020'!$A$3:$B$41, 2, FALSE)</f>
        <v>3</v>
      </c>
      <c r="E131" s="181">
        <f>+IFERROR(IF($D131=0, VLOOKUP($C131, 'NATIONAL 2020'!$A$3:$M$40, 7, FALSE), VLOOKUP($C131, 'NFI 2020'!$C$3:$J$282, 2, FALSE)), "")</f>
        <v>112251.26090845748</v>
      </c>
      <c r="F131" s="111">
        <f>+IFERROR(IF($D131=0, VLOOKUP($C131, 'NATIONAL 2020'!$A$3:$M$40, 8, FALSE), VLOOKUP($C131, 'NFI 2020'!$C$3:$J$282, 3, FALSE)), "")</f>
        <v>27171.067057300737</v>
      </c>
      <c r="G131" s="196">
        <f>+IFERROR(IF($D131=0, VLOOKUP($C131, 'NATIONAL 2020'!$A$3:$M$40, 9, FALSE), VLOOKUP($C131, 'NFI 2020'!$C$3:$J$282, 4, FALSE)), "")</f>
        <v>85080.193851154661</v>
      </c>
      <c r="H131" s="181">
        <f>+IFERROR(IF($D131=0, VLOOKUP($C131, 'NATIONAL 2020'!$A$3:$M$40, 10, FALSE), VLOOKUP($C131, 'NFI 2020'!$C$3:$J$282, 5, FALSE)), "")</f>
        <v>9579052.2642874178</v>
      </c>
      <c r="I131" s="213">
        <f>+IFERROR(IF($D131=0, VLOOKUP($C131, 'NATIONAL 2020'!$A$3:$M$40, 13, FALSE), VLOOKUP($C131, 'NFI 2020'!$C$3:$J$282, 8, FALSE)), "")</f>
        <v>85.335809921095432</v>
      </c>
      <c r="J131" s="111">
        <f>+IFERROR(IF($D131=0, VLOOKUP($C131, 'NATIONAL 2020'!$A$3:$M$40, 11, FALSE), VLOOKUP($C131, 'NFI 2020'!$C$3:$J$282, 6, FALSE)), "")</f>
        <v>1636897.0742613557</v>
      </c>
      <c r="K131" s="196">
        <f>+IFERROR(IF($D131=0, VLOOKUP($C131, 'NATIONAL 2020'!$A$3:$M$40, 12, FALSE), VLOOKUP($C131, 'NFI 2020'!$C$3:$J$282, 7, FALSE)), "")</f>
        <v>7942155.1900260616</v>
      </c>
      <c r="L131" s="14"/>
      <c r="M131" s="70"/>
      <c r="N131" s="70"/>
      <c r="R131" s="8"/>
      <c r="S131" s="8"/>
    </row>
    <row r="132" spans="1:19" x14ac:dyDescent="0.25">
      <c r="A132" s="107" t="s">
        <v>89</v>
      </c>
      <c r="B132" s="108" t="s">
        <v>12</v>
      </c>
      <c r="C132" s="108" t="s">
        <v>138</v>
      </c>
      <c r="D132" s="20">
        <f>+VLOOKUP(B132, 'NATIONAL 2020'!$A$3:$B$41, 2, FALSE)</f>
        <v>3</v>
      </c>
      <c r="E132" s="181">
        <f>+IFERROR(IF($D132=0, VLOOKUP($C132, 'NATIONAL 2020'!$A$3:$M$40, 7, FALSE), VLOOKUP($C132, 'NFI 2020'!$C$3:$J$282, 2, FALSE)), "")</f>
        <v>20515.204083776542</v>
      </c>
      <c r="F132" s="111">
        <f>+IFERROR(IF($D132=0, VLOOKUP($C132, 'NATIONAL 2020'!$A$3:$M$40, 8, FALSE), VLOOKUP($C132, 'NFI 2020'!$C$3:$J$282, 3, FALSE)), "")</f>
        <v>4608.6837897791802</v>
      </c>
      <c r="G132" s="196">
        <f>+IFERROR(IF($D132=0, VLOOKUP($C132, 'NATIONAL 2020'!$A$3:$M$40, 9, FALSE), VLOOKUP($C132, 'NFI 2020'!$C$3:$J$282, 4, FALSE)), "")</f>
        <v>15906.520293997353</v>
      </c>
      <c r="H132" s="181">
        <f>+IFERROR(IF($D132=0, VLOOKUP($C132, 'NATIONAL 2020'!$A$3:$M$40, 10, FALSE), VLOOKUP($C132, 'NFI 2020'!$C$3:$J$282, 5, FALSE)), "")</f>
        <v>902468.05856181832</v>
      </c>
      <c r="I132" s="213">
        <f>+IFERROR(IF($D132=0, VLOOKUP($C132, 'NATIONAL 2020'!$A$3:$M$40, 13, FALSE), VLOOKUP($C132, 'NFI 2020'!$C$3:$J$282, 8, FALSE)), "")</f>
        <v>43.990206233214693</v>
      </c>
      <c r="J132" s="111">
        <f>+IFERROR(IF($D132=0, VLOOKUP($C132, 'NATIONAL 2020'!$A$3:$M$40, 11, FALSE), VLOOKUP($C132, 'NFI 2020'!$C$3:$J$282, 6, FALSE)), "")</f>
        <v>138867.61459097921</v>
      </c>
      <c r="K132" s="196">
        <f>+IFERROR(IF($D132=0, VLOOKUP($C132, 'NATIONAL 2020'!$A$3:$M$40, 12, FALSE), VLOOKUP($C132, 'NFI 2020'!$C$3:$J$282, 7, FALSE)), "")</f>
        <v>763600.44397083938</v>
      </c>
      <c r="L132" s="14"/>
      <c r="M132" s="70"/>
      <c r="N132" s="70"/>
      <c r="R132" s="8"/>
      <c r="S132" s="8"/>
    </row>
    <row r="133" spans="1:19" x14ac:dyDescent="0.25">
      <c r="A133" s="26" t="s">
        <v>330</v>
      </c>
      <c r="B133" t="s">
        <v>13</v>
      </c>
      <c r="C133" t="s">
        <v>13</v>
      </c>
      <c r="D133" s="20">
        <v>0</v>
      </c>
      <c r="E133" s="181">
        <f>+IFERROR(IF($D133=0, VLOOKUP($C133, 'NATIONAL 2020'!$A$3:$M$40, 7, FALSE), VLOOKUP($C133, 'NFI 2020'!$C$3:$J$282, 2, FALSE)), "")</f>
        <v>22409000</v>
      </c>
      <c r="F133" s="111">
        <f>+IFERROR(IF($D133=0, VLOOKUP($C133, 'NATIONAL 2020'!$A$3:$M$40, 8, FALSE), VLOOKUP($C133, 'NFI 2020'!$C$3:$J$282, 3, FALSE)), "")</f>
        <v>19719020</v>
      </c>
      <c r="G133" s="196">
        <f>+IFERROR(IF($D133=0, VLOOKUP($C133, 'NATIONAL 2020'!$A$3:$M$40, 9, FALSE), VLOOKUP($C133, 'NFI 2020'!$C$3:$J$282, 4, FALSE)), "")</f>
        <v>2689980</v>
      </c>
      <c r="H133" s="181">
        <f>+IFERROR(IF($D133=0, VLOOKUP($C133, 'NATIONAL 2020'!$A$3:$M$40, 10, FALSE), VLOOKUP($C133, 'NFI 2020'!$C$3:$J$282, 5, FALSE)), "")</f>
        <v>1496214930.2886453</v>
      </c>
      <c r="I133" s="213">
        <f>+IFERROR(IF($D133=0, VLOOKUP($C133, 'NATIONAL 2020'!$A$3:$M$40, 13, FALSE), VLOOKUP($C133, 'NFI 2020'!$C$3:$J$282, 8, FALSE)), "")</f>
        <v>66.768482765346306</v>
      </c>
      <c r="J133" s="111">
        <f>+IFERROR(IF($D133=0, VLOOKUP($C133, 'NATIONAL 2020'!$A$3:$M$40, 11, FALSE), VLOOKUP($C133, 'NFI 2020'!$C$3:$J$282, 6, FALSE)), "")</f>
        <v>1345921392.9872952</v>
      </c>
      <c r="K133" s="196">
        <f>+IFERROR(IF($D133=0, VLOOKUP($C133, 'NATIONAL 2020'!$A$3:$M$40, 12, FALSE), VLOOKUP($C133, 'NFI 2020'!$C$3:$J$282, 7, FALSE)), "")</f>
        <v>150293537.30135012</v>
      </c>
      <c r="L133" s="14"/>
      <c r="M133" s="70"/>
      <c r="N133" s="70"/>
      <c r="R133" s="8"/>
      <c r="S133" s="8"/>
    </row>
    <row r="134" spans="1:19" x14ac:dyDescent="0.25">
      <c r="A134" s="26" t="s">
        <v>330</v>
      </c>
      <c r="B134" s="108" t="str">
        <f>+LEFT(C134, 2)</f>
        <v>FI</v>
      </c>
      <c r="C134" s="22" t="s">
        <v>314</v>
      </c>
      <c r="D134" s="20">
        <f>+VLOOKUP(B134, 'NATIONAL 2020'!$A$3:$B$41, 2, FALSE)</f>
        <v>1</v>
      </c>
      <c r="E134" s="181">
        <f>+IFERROR(IF($D134=0, VLOOKUP($C134, 'NATIONAL 2020'!$A$3:$M$40, 7, FALSE), VLOOKUP($C134, 'NFI 2020'!$C$3:$J$282, 2, FALSE)), "")</f>
        <v>4406382.1572682466</v>
      </c>
      <c r="F134" s="111" t="str">
        <f>+IFERROR(IF($D134=0, VLOOKUP($C134, 'NATIONAL 2020'!$A$3:$M$40, 8, FALSE), VLOOKUP($C134, 'NFI 2020'!$C$3:$J$282, 3, FALSE)), "")</f>
        <v/>
      </c>
      <c r="G134" s="196" t="str">
        <f>+IFERROR(IF($D134=0, VLOOKUP($C134, 'NATIONAL 2020'!$A$3:$M$40, 9, FALSE), VLOOKUP($C134, 'NFI 2020'!$C$3:$J$282, 4, FALSE)), "")</f>
        <v/>
      </c>
      <c r="H134" s="181">
        <f>+IFERROR(IF($D134=0, VLOOKUP($C134, 'NATIONAL 2020'!$A$3:$M$40, 10, FALSE), VLOOKUP($C134, 'NFI 2020'!$C$3:$J$282, 5, FALSE)), "")</f>
        <v>355222482.06231511</v>
      </c>
      <c r="I134" s="213">
        <f>+IFERROR(IF($D134=0, VLOOKUP($C134, 'NATIONAL 2020'!$A$3:$M$40, 13, FALSE), VLOOKUP($C134, 'NFI 2020'!$C$3:$J$282, 8, FALSE)), "")</f>
        <v>80.615450359062052</v>
      </c>
      <c r="J134" s="111" t="str">
        <f>+IFERROR(IF($D134=0, VLOOKUP($C134, 'NATIONAL 2020'!$A$3:$M$40, 11, FALSE), VLOOKUP($C134, 'NFI 2020'!$C$3:$J$282, 6, FALSE)), "")</f>
        <v/>
      </c>
      <c r="K134" s="196" t="str">
        <f>+IFERROR(IF($D134=0, VLOOKUP($C134, 'NATIONAL 2020'!$A$3:$M$40, 12, FALSE), VLOOKUP($C134, 'NFI 2020'!$C$3:$J$282, 7, FALSE)), "")</f>
        <v/>
      </c>
      <c r="L134" s="14"/>
      <c r="M134" s="70"/>
      <c r="N134" s="70"/>
      <c r="R134" s="8"/>
      <c r="S134" s="8"/>
    </row>
    <row r="135" spans="1:19" x14ac:dyDescent="0.25">
      <c r="A135" s="26" t="s">
        <v>330</v>
      </c>
      <c r="B135" s="108" t="str">
        <f>+LEFT(C135, 2)</f>
        <v>FI</v>
      </c>
      <c r="C135" s="22" t="s">
        <v>315</v>
      </c>
      <c r="D135" s="20">
        <f>+VLOOKUP(B135, 'NATIONAL 2020'!$A$3:$B$41, 2, FALSE)</f>
        <v>1</v>
      </c>
      <c r="E135" s="181">
        <f>+IFERROR(IF($D135=0, VLOOKUP($C135, 'NATIONAL 2020'!$A$3:$M$40, 7, FALSE), VLOOKUP($C135, 'NFI 2020'!$C$3:$J$282, 2, FALSE)), "")</f>
        <v>542912.67876592337</v>
      </c>
      <c r="F135" s="111" t="str">
        <f>+IFERROR(IF($D135=0, VLOOKUP($C135, 'NATIONAL 2020'!$A$3:$M$40, 8, FALSE), VLOOKUP($C135, 'NFI 2020'!$C$3:$J$282, 3, FALSE)), "")</f>
        <v/>
      </c>
      <c r="G135" s="196" t="str">
        <f>+IFERROR(IF($D135=0, VLOOKUP($C135, 'NATIONAL 2020'!$A$3:$M$40, 9, FALSE), VLOOKUP($C135, 'NFI 2020'!$C$3:$J$282, 4, FALSE)), "")</f>
        <v/>
      </c>
      <c r="H135" s="181">
        <f>+IFERROR(IF($D135=0, VLOOKUP($C135, 'NATIONAL 2020'!$A$3:$M$40, 10, FALSE), VLOOKUP($C135, 'NFI 2020'!$C$3:$J$282, 5, FALSE)), "")</f>
        <v>56618741.403113842</v>
      </c>
      <c r="I135" s="213">
        <f>+IFERROR(IF($D135=0, VLOOKUP($C135, 'NATIONAL 2020'!$A$3:$M$40, 13, FALSE), VLOOKUP($C135, 'NFI 2020'!$C$3:$J$282, 8, FALSE)), "")</f>
        <v>104.28701265885337</v>
      </c>
      <c r="J135" s="111" t="str">
        <f>+IFERROR(IF($D135=0, VLOOKUP($C135, 'NATIONAL 2020'!$A$3:$M$40, 11, FALSE), VLOOKUP($C135, 'NFI 2020'!$C$3:$J$282, 6, FALSE)), "")</f>
        <v/>
      </c>
      <c r="K135" s="196" t="str">
        <f>+IFERROR(IF($D135=0, VLOOKUP($C135, 'NATIONAL 2020'!$A$3:$M$40, 12, FALSE), VLOOKUP($C135, 'NFI 2020'!$C$3:$J$282, 7, FALSE)), "")</f>
        <v/>
      </c>
      <c r="L135" s="14"/>
      <c r="M135" s="70"/>
      <c r="N135" s="70"/>
      <c r="R135" s="8"/>
      <c r="S135" s="8"/>
    </row>
    <row r="136" spans="1:19" x14ac:dyDescent="0.25">
      <c r="A136" s="26" t="s">
        <v>330</v>
      </c>
      <c r="B136" s="108" t="str">
        <f>+LEFT(C136, 2)</f>
        <v>FI</v>
      </c>
      <c r="C136" s="22" t="s">
        <v>316</v>
      </c>
      <c r="D136" s="20">
        <f>+VLOOKUP(B136, 'NATIONAL 2020'!$A$3:$B$41, 2, FALSE)</f>
        <v>1</v>
      </c>
      <c r="E136" s="181">
        <f>+IFERROR(IF($D136=0, VLOOKUP($C136, 'NATIONAL 2020'!$A$3:$M$40, 7, FALSE), VLOOKUP($C136, 'NFI 2020'!$C$3:$J$282, 2, FALSE)), "")</f>
        <v>2098899.1279618936</v>
      </c>
      <c r="F136" s="111" t="str">
        <f>+IFERROR(IF($D136=0, VLOOKUP($C136, 'NATIONAL 2020'!$A$3:$M$40, 8, FALSE), VLOOKUP($C136, 'NFI 2020'!$C$3:$J$282, 3, FALSE)), "")</f>
        <v/>
      </c>
      <c r="G136" s="196" t="str">
        <f>+IFERROR(IF($D136=0, VLOOKUP($C136, 'NATIONAL 2020'!$A$3:$M$40, 9, FALSE), VLOOKUP($C136, 'NFI 2020'!$C$3:$J$282, 4, FALSE)), "")</f>
        <v/>
      </c>
      <c r="H136" s="181">
        <f>+IFERROR(IF($D136=0, VLOOKUP($C136, 'NATIONAL 2020'!$A$3:$M$40, 10, FALSE), VLOOKUP($C136, 'NFI 2020'!$C$3:$J$282, 5, FALSE)), "")</f>
        <v>200558330.56385294</v>
      </c>
      <c r="I136" s="213">
        <f>+IFERROR(IF($D136=0, VLOOKUP($C136, 'NATIONAL 2020'!$A$3:$M$40, 13, FALSE), VLOOKUP($C136, 'NFI 2020'!$C$3:$J$282, 8, FALSE)), "")</f>
        <v>95.5540587405943</v>
      </c>
      <c r="J136" s="111" t="str">
        <f>+IFERROR(IF($D136=0, VLOOKUP($C136, 'NATIONAL 2020'!$A$3:$M$40, 11, FALSE), VLOOKUP($C136, 'NFI 2020'!$C$3:$J$282, 6, FALSE)), "")</f>
        <v/>
      </c>
      <c r="K136" s="196" t="str">
        <f>+IFERROR(IF($D136=0, VLOOKUP($C136, 'NATIONAL 2020'!$A$3:$M$40, 12, FALSE), VLOOKUP($C136, 'NFI 2020'!$C$3:$J$282, 7, FALSE)), "")</f>
        <v/>
      </c>
      <c r="L136" s="14"/>
      <c r="M136" s="70"/>
      <c r="N136" s="70"/>
      <c r="R136" s="8"/>
      <c r="S136" s="8"/>
    </row>
    <row r="137" spans="1:19" x14ac:dyDescent="0.25">
      <c r="A137" s="26" t="s">
        <v>330</v>
      </c>
      <c r="B137" s="108" t="str">
        <f>+LEFT(C137, 2)</f>
        <v>FI</v>
      </c>
      <c r="C137" s="22" t="s">
        <v>317</v>
      </c>
      <c r="D137" s="20">
        <f>+VLOOKUP(B137, 'NATIONAL 2020'!$A$3:$B$41, 2, FALSE)</f>
        <v>1</v>
      </c>
      <c r="E137" s="181">
        <f>+IFERROR(IF($D137=0, VLOOKUP($C137, 'NATIONAL 2020'!$A$3:$M$40, 7, FALSE), VLOOKUP($C137, 'NFI 2020'!$C$3:$J$282, 2, FALSE)), "")</f>
        <v>15270035.859734744</v>
      </c>
      <c r="F137" s="111" t="str">
        <f>+IFERROR(IF($D137=0, VLOOKUP($C137, 'NATIONAL 2020'!$A$3:$M$40, 8, FALSE), VLOOKUP($C137, 'NFI 2020'!$C$3:$J$282, 3, FALSE)), "")</f>
        <v/>
      </c>
      <c r="G137" s="196" t="str">
        <f>+IFERROR(IF($D137=0, VLOOKUP($C137, 'NATIONAL 2020'!$A$3:$M$40, 9, FALSE), VLOOKUP($C137, 'NFI 2020'!$C$3:$J$282, 4, FALSE)), "")</f>
        <v/>
      </c>
      <c r="H137" s="181">
        <f>+IFERROR(IF($D137=0, VLOOKUP($C137, 'NATIONAL 2020'!$A$3:$M$40, 10, FALSE), VLOOKUP($C137, 'NFI 2020'!$C$3:$J$282, 5, FALSE)), "")</f>
        <v>875493995.05529296</v>
      </c>
      <c r="I137" s="213">
        <f>+IFERROR(IF($D137=0, VLOOKUP($C137, 'NATIONAL 2020'!$A$3:$M$40, 13, FALSE), VLOOKUP($C137, 'NFI 2020'!$C$3:$J$282, 8, FALSE)), "")</f>
        <v>57.33411519771645</v>
      </c>
      <c r="J137" s="111" t="str">
        <f>+IFERROR(IF($D137=0, VLOOKUP($C137, 'NATIONAL 2020'!$A$3:$M$40, 11, FALSE), VLOOKUP($C137, 'NFI 2020'!$C$3:$J$282, 6, FALSE)), "")</f>
        <v/>
      </c>
      <c r="K137" s="196" t="str">
        <f>+IFERROR(IF($D137=0, VLOOKUP($C137, 'NATIONAL 2020'!$A$3:$M$40, 12, FALSE), VLOOKUP($C137, 'NFI 2020'!$C$3:$J$282, 7, FALSE)), "")</f>
        <v/>
      </c>
      <c r="L137" s="14"/>
      <c r="M137" s="70"/>
      <c r="N137" s="70"/>
      <c r="R137" s="8"/>
      <c r="S137" s="8"/>
    </row>
    <row r="138" spans="1:19" x14ac:dyDescent="0.25">
      <c r="A138" s="26" t="s">
        <v>330</v>
      </c>
      <c r="B138" s="108" t="str">
        <f>+LEFT(C138, 2)</f>
        <v>FI</v>
      </c>
      <c r="C138" s="22" t="s">
        <v>318</v>
      </c>
      <c r="D138" s="20">
        <f>+VLOOKUP(B138, 'NATIONAL 2020'!$A$3:$B$41, 2, FALSE)</f>
        <v>1</v>
      </c>
      <c r="E138" s="181">
        <f>+IFERROR(IF($D138=0, VLOOKUP($C138, 'NATIONAL 2020'!$A$3:$M$40, 7, FALSE), VLOOKUP($C138, 'NFI 2020'!$C$3:$J$282, 2, FALSE)), "")</f>
        <v>90770.176269194359</v>
      </c>
      <c r="F138" s="111" t="str">
        <f>+IFERROR(IF($D138=0, VLOOKUP($C138, 'NATIONAL 2020'!$A$3:$M$40, 8, FALSE), VLOOKUP($C138, 'NFI 2020'!$C$3:$J$282, 3, FALSE)), "")</f>
        <v/>
      </c>
      <c r="G138" s="196" t="str">
        <f>+IFERROR(IF($D138=0, VLOOKUP($C138, 'NATIONAL 2020'!$A$3:$M$40, 9, FALSE), VLOOKUP($C138, 'NFI 2020'!$C$3:$J$282, 4, FALSE)), "")</f>
        <v/>
      </c>
      <c r="H138" s="181">
        <f>+IFERROR(IF($D138=0, VLOOKUP($C138, 'NATIONAL 2020'!$A$3:$M$40, 10, FALSE), VLOOKUP($C138, 'NFI 2020'!$C$3:$J$282, 5, FALSE)), "")</f>
        <v>8321381.2040705401</v>
      </c>
      <c r="I138" s="213">
        <f>+IFERROR(IF($D138=0, VLOOKUP($C138, 'NATIONAL 2020'!$A$3:$M$40, 13, FALSE), VLOOKUP($C138, 'NFI 2020'!$C$3:$J$282, 8, FALSE)), "")</f>
        <v>91.675278666332787</v>
      </c>
      <c r="J138" s="111" t="str">
        <f>+IFERROR(IF($D138=0, VLOOKUP($C138, 'NATIONAL 2020'!$A$3:$M$40, 11, FALSE), VLOOKUP($C138, 'NFI 2020'!$C$3:$J$282, 6, FALSE)), "")</f>
        <v/>
      </c>
      <c r="K138" s="196" t="str">
        <f>+IFERROR(IF($D138=0, VLOOKUP($C138, 'NATIONAL 2020'!$A$3:$M$40, 12, FALSE), VLOOKUP($C138, 'NFI 2020'!$C$3:$J$282, 7, FALSE)), "")</f>
        <v/>
      </c>
      <c r="L138" s="14"/>
      <c r="M138" s="70"/>
      <c r="N138" s="70"/>
      <c r="R138" s="8"/>
      <c r="S138" s="8"/>
    </row>
    <row r="139" spans="1:19" x14ac:dyDescent="0.25">
      <c r="A139" s="26" t="s">
        <v>252</v>
      </c>
      <c r="B139" t="s">
        <v>14</v>
      </c>
      <c r="C139" t="s">
        <v>14</v>
      </c>
      <c r="D139" s="20">
        <v>0</v>
      </c>
      <c r="E139" s="181">
        <f>+IFERROR(IF($D139=0, VLOOKUP($C139, 'NATIONAL 2020'!$A$3:$M$40, 7, FALSE), VLOOKUP($C139, 'NFI 2020'!$C$3:$J$282, 2, FALSE)), "")</f>
        <v>17253000</v>
      </c>
      <c r="F139" s="111">
        <f>+IFERROR(IF($D139=0, VLOOKUP($C139, 'NATIONAL 2020'!$A$3:$M$40, 8, FALSE), VLOOKUP($C139, 'NFI 2020'!$C$3:$J$282, 3, FALSE)), "")</f>
        <v>16393711.519727228</v>
      </c>
      <c r="G139" s="196">
        <f>+IFERROR(IF($D139=0, VLOOKUP($C139, 'NATIONAL 2020'!$A$3:$M$40, 9, FALSE), VLOOKUP($C139, 'NFI 2020'!$C$3:$J$282, 4, FALSE)), "")</f>
        <v>859288.48027277144</v>
      </c>
      <c r="H139" s="181">
        <f>+IFERROR(IF($D139=0, VLOOKUP($C139, 'NATIONAL 2020'!$A$3:$M$40, 10, FALSE), VLOOKUP($C139, 'NFI 2020'!$C$3:$J$282, 5, FALSE)), "")</f>
        <v>2541541630.8944631</v>
      </c>
      <c r="I139" s="213">
        <f>+IFERROR(IF($D139=0, VLOOKUP($C139, 'NATIONAL 2020'!$A$3:$M$40, 13, FALSE), VLOOKUP($C139, 'NFI 2020'!$C$3:$J$282, 8, FALSE)), "")</f>
        <v>147.31012756589945</v>
      </c>
      <c r="J139" s="111">
        <f>+IFERROR(IF($D139=0, VLOOKUP($C139, 'NATIONAL 2020'!$A$3:$M$40, 11, FALSE), VLOOKUP($C139, 'NFI 2020'!$C$3:$J$282, 6, FALSE)), "")</f>
        <v>2427449312.4700747</v>
      </c>
      <c r="K139" s="196">
        <f>+IFERROR(IF($D139=0, VLOOKUP($C139, 'NATIONAL 2020'!$A$3:$M$40, 12, FALSE), VLOOKUP($C139, 'NFI 2020'!$C$3:$J$282, 7, FALSE)), "")</f>
        <v>114092318.42438889</v>
      </c>
      <c r="L139" s="14"/>
      <c r="M139" s="70"/>
      <c r="N139" s="70"/>
      <c r="O139" s="5"/>
      <c r="R139" s="8"/>
      <c r="S139" s="8"/>
    </row>
    <row r="140" spans="1:19" x14ac:dyDescent="0.25">
      <c r="A140" s="26" t="s">
        <v>252</v>
      </c>
      <c r="B140" s="108" t="str">
        <f t="shared" ref="B140:B161" si="6">+LEFT(C140, 2)</f>
        <v>FR</v>
      </c>
      <c r="C140" s="108" t="s">
        <v>223</v>
      </c>
      <c r="D140" s="20">
        <f>+VLOOKUP(B140, 'NATIONAL 2020'!$A$3:$B$41, 2, FALSE)</f>
        <v>2</v>
      </c>
      <c r="E140" s="181">
        <f>+IFERROR(IF($D140=0, VLOOKUP($C140, 'NATIONAL 2020'!$A$3:$M$40, 7, FALSE), VLOOKUP($C140, 'NFI 2020'!$C$3:$J$282, 2, FALSE)), "")</f>
        <v>268921.57817827567</v>
      </c>
      <c r="F140" s="111">
        <f>+IFERROR(IF($D140=0, VLOOKUP($C140, 'NATIONAL 2020'!$A$3:$M$40, 8, FALSE), VLOOKUP($C140, 'NFI 2020'!$C$3:$J$282, 3, FALSE)), "")</f>
        <v>262618.72868972231</v>
      </c>
      <c r="G140" s="196">
        <f>+IFERROR(IF($D140=0, VLOOKUP($C140, 'NATIONAL 2020'!$A$3:$M$40, 9, FALSE), VLOOKUP($C140, 'NFI 2020'!$C$3:$J$282, 4, FALSE)), "")</f>
        <v>6302.8494885533355</v>
      </c>
      <c r="H140" s="181">
        <f>+IFERROR(IF($D140=0, VLOOKUP($C140, 'NATIONAL 2020'!$A$3:$M$40, 10, FALSE), VLOOKUP($C140, 'NFI 2020'!$C$3:$J$282, 5, FALSE)), "")</f>
        <v>45770119.458093517</v>
      </c>
      <c r="I140" s="213">
        <f>+IFERROR(IF($D140=0, VLOOKUP($C140, 'NATIONAL 2020'!$A$3:$M$40, 13, FALSE), VLOOKUP($C140, 'NFI 2020'!$C$3:$J$282, 8, FALSE)), "")</f>
        <v>170.19876117100287</v>
      </c>
      <c r="J140" s="111">
        <f>+IFERROR(IF($D140=0, VLOOKUP($C140, 'NATIONAL 2020'!$A$3:$M$40, 11, FALSE), VLOOKUP($C140, 'NFI 2020'!$C$3:$J$282, 6, FALSE)), "")</f>
        <v>44697382.283294447</v>
      </c>
      <c r="K140" s="196">
        <f>+IFERROR(IF($D140=0, VLOOKUP($C140, 'NATIONAL 2020'!$A$3:$M$40, 12, FALSE), VLOOKUP($C140, 'NFI 2020'!$C$3:$J$282, 7, FALSE)), "")</f>
        <v>1072737.1747990677</v>
      </c>
      <c r="L140" s="14"/>
      <c r="M140" s="70"/>
      <c r="N140" s="70"/>
      <c r="R140" s="8"/>
      <c r="S140" s="8"/>
    </row>
    <row r="141" spans="1:19" x14ac:dyDescent="0.25">
      <c r="A141" s="26" t="s">
        <v>252</v>
      </c>
      <c r="B141" s="108" t="str">
        <f t="shared" si="6"/>
        <v>FR</v>
      </c>
      <c r="C141" s="108" t="s">
        <v>263</v>
      </c>
      <c r="D141" s="20">
        <f>+VLOOKUP(B141, 'NATIONAL 2020'!$A$3:$B$41, 2, FALSE)</f>
        <v>2</v>
      </c>
      <c r="E141" s="181">
        <f>+IFERROR(IF($D141=0, VLOOKUP($C141, 'NATIONAL 2020'!$A$3:$M$40, 7, FALSE), VLOOKUP($C141, 'NFI 2020'!$C$3:$J$282, 2, FALSE)), "")</f>
        <v>1005304.4934242571</v>
      </c>
      <c r="F141" s="111">
        <f>+IFERROR(IF($D141=0, VLOOKUP($C141, 'NATIONAL 2020'!$A$3:$M$40, 8, FALSE), VLOOKUP($C141, 'NFI 2020'!$C$3:$J$282, 3, FALSE)), "")</f>
        <v>996900.69410618604</v>
      </c>
      <c r="G141" s="196">
        <f>+IFERROR(IF($D141=0, VLOOKUP($C141, 'NATIONAL 2020'!$A$3:$M$40, 9, FALSE), VLOOKUP($C141, 'NFI 2020'!$C$3:$J$282, 4, FALSE)), "")</f>
        <v>8403.7993180711146</v>
      </c>
      <c r="H141" s="181">
        <f>+IFERROR(IF($D141=0, VLOOKUP($C141, 'NATIONAL 2020'!$A$3:$M$40, 10, FALSE), VLOOKUP($C141, 'NFI 2020'!$C$3:$J$282, 5, FALSE)), "")</f>
        <v>157079652.08005434</v>
      </c>
      <c r="I141" s="213">
        <f>+IFERROR(IF($D141=0, VLOOKUP($C141, 'NATIONAL 2020'!$A$3:$M$40, 13, FALSE), VLOOKUP($C141, 'NFI 2020'!$C$3:$J$282, 8, FALSE)), "")</f>
        <v>156.25082062949042</v>
      </c>
      <c r="J141" s="111">
        <f>+IFERROR(IF($D141=0, VLOOKUP($C141, 'NATIONAL 2020'!$A$3:$M$40, 11, FALSE), VLOOKUP($C141, 'NFI 2020'!$C$3:$J$282, 6, FALSE)), "")</f>
        <v>155766551.5402002</v>
      </c>
      <c r="K141" s="196">
        <f>+IFERROR(IF($D141=0, VLOOKUP($C141, 'NATIONAL 2020'!$A$3:$M$40, 12, FALSE), VLOOKUP($C141, 'NFI 2020'!$C$3:$J$282, 7, FALSE)), "")</f>
        <v>1313100.5398541428</v>
      </c>
      <c r="L141" s="14"/>
      <c r="M141" s="70"/>
      <c r="N141" s="70"/>
      <c r="R141" s="8"/>
      <c r="S141" s="8"/>
    </row>
    <row r="142" spans="1:19" x14ac:dyDescent="0.25">
      <c r="A142" s="26" t="s">
        <v>252</v>
      </c>
      <c r="B142" s="108" t="str">
        <f t="shared" si="6"/>
        <v>FR</v>
      </c>
      <c r="C142" s="108" t="s">
        <v>266</v>
      </c>
      <c r="D142" s="20">
        <f>+VLOOKUP(B142, 'NATIONAL 2020'!$A$3:$B$41, 2, FALSE)</f>
        <v>2</v>
      </c>
      <c r="E142" s="181">
        <f>+IFERROR(IF($D142=0, VLOOKUP($C142, 'NATIONAL 2020'!$A$3:$M$40, 7, FALSE), VLOOKUP($C142, 'NFI 2020'!$C$3:$J$282, 2, FALSE)), "")</f>
        <v>1065181.5635655138</v>
      </c>
      <c r="F142" s="111">
        <f>+IFERROR(IF($D142=0, VLOOKUP($C142, 'NATIONAL 2020'!$A$3:$M$40, 8, FALSE), VLOOKUP($C142, 'NFI 2020'!$C$3:$J$282, 3, FALSE)), "")</f>
        <v>1055727.2893326839</v>
      </c>
      <c r="G142" s="196">
        <f>+IFERROR(IF($D142=0, VLOOKUP($C142, 'NATIONAL 2020'!$A$3:$M$40, 9, FALSE), VLOOKUP($C142, 'NFI 2020'!$C$3:$J$282, 4, FALSE)), "")</f>
        <v>9454.2742328300046</v>
      </c>
      <c r="H142" s="181">
        <f>+IFERROR(IF($D142=0, VLOOKUP($C142, 'NATIONAL 2020'!$A$3:$M$40, 10, FALSE), VLOOKUP($C142, 'NFI 2020'!$C$3:$J$282, 5, FALSE)), "")</f>
        <v>189140978.03211188</v>
      </c>
      <c r="I142" s="213">
        <f>+IFERROR(IF($D142=0, VLOOKUP($C142, 'NATIONAL 2020'!$A$3:$M$40, 13, FALSE), VLOOKUP($C142, 'NFI 2020'!$C$3:$J$282, 8, FALSE)), "")</f>
        <v>177.56689047357776</v>
      </c>
      <c r="J142" s="111">
        <f>+IFERROR(IF($D142=0, VLOOKUP($C142, 'NATIONAL 2020'!$A$3:$M$40, 11, FALSE), VLOOKUP($C142, 'NFI 2020'!$C$3:$J$282, 6, FALSE)), "")</f>
        <v>187462211.95490378</v>
      </c>
      <c r="K142" s="196">
        <f>+IFERROR(IF($D142=0, VLOOKUP($C142, 'NATIONAL 2020'!$A$3:$M$40, 12, FALSE), VLOOKUP($C142, 'NFI 2020'!$C$3:$J$282, 7, FALSE)), "")</f>
        <v>1678766.0772081043</v>
      </c>
      <c r="L142" s="14"/>
      <c r="M142" s="70"/>
      <c r="N142" s="70"/>
      <c r="O142" s="38"/>
      <c r="R142" s="8"/>
      <c r="S142" s="8"/>
    </row>
    <row r="143" spans="1:19" x14ac:dyDescent="0.25">
      <c r="A143" s="26" t="s">
        <v>252</v>
      </c>
      <c r="B143" s="108" t="str">
        <f t="shared" si="6"/>
        <v>FR</v>
      </c>
      <c r="C143" s="108" t="s">
        <v>269</v>
      </c>
      <c r="D143" s="20">
        <f>+VLOOKUP(B143, 'NATIONAL 2020'!$A$3:$B$41, 2, FALSE)</f>
        <v>2</v>
      </c>
      <c r="E143" s="181">
        <f>+IFERROR(IF($D143=0, VLOOKUP($C143, 'NATIONAL 2020'!$A$3:$M$40, 7, FALSE), VLOOKUP($C143, 'NFI 2020'!$C$3:$J$282, 2, FALSE)), "")</f>
        <v>765796.21285923035</v>
      </c>
      <c r="F143" s="111">
        <f>+IFERROR(IF($D143=0, VLOOKUP($C143, 'NATIONAL 2020'!$A$3:$M$40, 8, FALSE), VLOOKUP($C143, 'NFI 2020'!$C$3:$J$282, 3, FALSE)), "")</f>
        <v>748988.61422308814</v>
      </c>
      <c r="G143" s="196">
        <f>+IFERROR(IF($D143=0, VLOOKUP($C143, 'NATIONAL 2020'!$A$3:$M$40, 9, FALSE), VLOOKUP($C143, 'NFI 2020'!$C$3:$J$282, 4, FALSE)), "")</f>
        <v>16807.598636142229</v>
      </c>
      <c r="H143" s="181">
        <f>+IFERROR(IF($D143=0, VLOOKUP($C143, 'NATIONAL 2020'!$A$3:$M$40, 10, FALSE), VLOOKUP($C143, 'NFI 2020'!$C$3:$J$282, 5, FALSE)), "")</f>
        <v>153231913.3547987</v>
      </c>
      <c r="I143" s="213">
        <f>+IFERROR(IF($D143=0, VLOOKUP($C143, 'NATIONAL 2020'!$A$3:$M$40, 13, FALSE), VLOOKUP($C143, 'NFI 2020'!$C$3:$J$282, 8, FALSE)), "")</f>
        <v>200.09489571994789</v>
      </c>
      <c r="J143" s="111">
        <f>+IFERROR(IF($D143=0, VLOOKUP($C143, 'NATIONAL 2020'!$A$3:$M$40, 11, FALSE), VLOOKUP($C143, 'NFI 2020'!$C$3:$J$282, 6, FALSE)), "")</f>
        <v>149868798.65839708</v>
      </c>
      <c r="K143" s="196">
        <f>+IFERROR(IF($D143=0, VLOOKUP($C143, 'NATIONAL 2020'!$A$3:$M$40, 12, FALSE), VLOOKUP($C143, 'NFI 2020'!$C$3:$J$282, 7, FALSE)), "")</f>
        <v>3363114.6964016124</v>
      </c>
      <c r="L143" s="14"/>
      <c r="M143" s="70"/>
      <c r="N143" s="70"/>
      <c r="O143" s="39"/>
      <c r="R143" s="8"/>
      <c r="S143" s="8"/>
    </row>
    <row r="144" spans="1:19" x14ac:dyDescent="0.25">
      <c r="A144" s="26" t="s">
        <v>252</v>
      </c>
      <c r="B144" s="108" t="str">
        <f t="shared" si="6"/>
        <v>FR</v>
      </c>
      <c r="C144" s="108" t="s">
        <v>259</v>
      </c>
      <c r="D144" s="20">
        <f>+VLOOKUP(B144, 'NATIONAL 2020'!$A$3:$B$41, 2, FALSE)</f>
        <v>2</v>
      </c>
      <c r="E144" s="181">
        <f>+IFERROR(IF($D144=0, VLOOKUP($C144, 'NATIONAL 2020'!$A$3:$M$40, 7, FALSE), VLOOKUP($C144, 'NFI 2020'!$C$3:$J$282, 2, FALSE)), "")</f>
        <v>188035.0097418412</v>
      </c>
      <c r="F144" s="111">
        <f>+IFERROR(IF($D144=0, VLOOKUP($C144, 'NATIONAL 2020'!$A$3:$M$40, 8, FALSE), VLOOKUP($C144, 'NFI 2020'!$C$3:$J$282, 3, FALSE)), "")</f>
        <v>185934.05991232343</v>
      </c>
      <c r="G144" s="196">
        <f>+IFERROR(IF($D144=0, VLOOKUP($C144, 'NATIONAL 2020'!$A$3:$M$40, 9, FALSE), VLOOKUP($C144, 'NFI 2020'!$C$3:$J$282, 4, FALSE)), "")</f>
        <v>2100.9498295177787</v>
      </c>
      <c r="H144" s="181">
        <f>+IFERROR(IF($D144=0, VLOOKUP($C144, 'NATIONAL 2020'!$A$3:$M$40, 10, FALSE), VLOOKUP($C144, 'NFI 2020'!$C$3:$J$282, 5, FALSE)), "")</f>
        <v>30427914.198157448</v>
      </c>
      <c r="I144" s="213">
        <f>+IFERROR(IF($D144=0, VLOOKUP($C144, 'NATIONAL 2020'!$A$3:$M$40, 13, FALSE), VLOOKUP($C144, 'NFI 2020'!$C$3:$J$282, 8, FALSE)), "")</f>
        <v>161.82047289987554</v>
      </c>
      <c r="J144" s="111">
        <f>+IFERROR(IF($D144=0, VLOOKUP($C144, 'NATIONAL 2020'!$A$3:$M$40, 11, FALSE), VLOOKUP($C144, 'NFI 2020'!$C$3:$J$282, 6, FALSE)), "")</f>
        <v>30087937.503205966</v>
      </c>
      <c r="K144" s="196">
        <f>+IFERROR(IF($D144=0, VLOOKUP($C144, 'NATIONAL 2020'!$A$3:$M$40, 12, FALSE), VLOOKUP($C144, 'NFI 2020'!$C$3:$J$282, 7, FALSE)), "")</f>
        <v>339976.69495148025</v>
      </c>
      <c r="L144" s="14"/>
      <c r="M144" s="70"/>
      <c r="N144" s="70"/>
      <c r="R144" s="8"/>
      <c r="S144" s="8"/>
    </row>
    <row r="145" spans="1:19" x14ac:dyDescent="0.25">
      <c r="A145" s="26" t="s">
        <v>252</v>
      </c>
      <c r="B145" s="108" t="str">
        <f t="shared" si="6"/>
        <v>FR</v>
      </c>
      <c r="C145" s="108" t="s">
        <v>260</v>
      </c>
      <c r="D145" s="20">
        <f>+VLOOKUP(B145, 'NATIONAL 2020'!$A$3:$B$41, 2, FALSE)</f>
        <v>2</v>
      </c>
      <c r="E145" s="181">
        <f>+IFERROR(IF($D145=0, VLOOKUP($C145, 'NATIONAL 2020'!$A$3:$M$40, 7, FALSE), VLOOKUP($C145, 'NFI 2020'!$C$3:$J$282, 2, FALSE)), "")</f>
        <v>242659.70530930345</v>
      </c>
      <c r="F145" s="111">
        <f>+IFERROR(IF($D145=0, VLOOKUP($C145, 'NATIONAL 2020'!$A$3:$M$40, 8, FALSE), VLOOKUP($C145, 'NFI 2020'!$C$3:$J$282, 3, FALSE)), "")</f>
        <v>240558.75547978567</v>
      </c>
      <c r="G145" s="196">
        <f>+IFERROR(IF($D145=0, VLOOKUP($C145, 'NATIONAL 2020'!$A$3:$M$40, 9, FALSE), VLOOKUP($C145, 'NFI 2020'!$C$3:$J$282, 4, FALSE)), "")</f>
        <v>2100.9498295177791</v>
      </c>
      <c r="H145" s="181">
        <f>+IFERROR(IF($D145=0, VLOOKUP($C145, 'NATIONAL 2020'!$A$3:$M$40, 10, FALSE), VLOOKUP($C145, 'NFI 2020'!$C$3:$J$282, 5, FALSE)), "")</f>
        <v>42683726.411665641</v>
      </c>
      <c r="I145" s="213">
        <f>+IFERROR(IF($D145=0, VLOOKUP($C145, 'NATIONAL 2020'!$A$3:$M$40, 13, FALSE), VLOOKUP($C145, 'NFI 2020'!$C$3:$J$282, 8, FALSE)), "")</f>
        <v>175.89952298532347</v>
      </c>
      <c r="J145" s="111">
        <f>+IFERROR(IF($D145=0, VLOOKUP($C145, 'NATIONAL 2020'!$A$3:$M$40, 11, FALSE), VLOOKUP($C145, 'NFI 2020'!$C$3:$J$282, 6, FALSE)), "")</f>
        <v>42314170.33883737</v>
      </c>
      <c r="K145" s="196">
        <f>+IFERROR(IF($D145=0, VLOOKUP($C145, 'NATIONAL 2020'!$A$3:$M$40, 12, FALSE), VLOOKUP($C145, 'NFI 2020'!$C$3:$J$282, 7, FALSE)), "")</f>
        <v>369556.0728282755</v>
      </c>
      <c r="L145" s="14"/>
      <c r="M145" s="70"/>
      <c r="N145" s="70"/>
      <c r="R145" s="8"/>
      <c r="S145" s="8"/>
    </row>
    <row r="146" spans="1:19" x14ac:dyDescent="0.25">
      <c r="A146" s="26" t="s">
        <v>252</v>
      </c>
      <c r="B146" s="108" t="str">
        <f t="shared" si="6"/>
        <v>FR</v>
      </c>
      <c r="C146" s="108" t="s">
        <v>262</v>
      </c>
      <c r="D146" s="20">
        <f>+VLOOKUP(B146, 'NATIONAL 2020'!$A$3:$B$41, 2, FALSE)</f>
        <v>2</v>
      </c>
      <c r="E146" s="181">
        <f>+IFERROR(IF($D146=0, VLOOKUP($C146, 'NATIONAL 2020'!$A$3:$M$40, 7, FALSE), VLOOKUP($C146, 'NFI 2020'!$C$3:$J$282, 2, FALSE)), "")</f>
        <v>111350.34096444228</v>
      </c>
      <c r="F146" s="111">
        <f>+IFERROR(IF($D146=0, VLOOKUP($C146, 'NATIONAL 2020'!$A$3:$M$40, 8, FALSE), VLOOKUP($C146, 'NFI 2020'!$C$3:$J$282, 3, FALSE)), "")</f>
        <v>109249.39113492449</v>
      </c>
      <c r="G146" s="196">
        <f>+IFERROR(IF($D146=0, VLOOKUP($C146, 'NATIONAL 2020'!$A$3:$M$40, 9, FALSE), VLOOKUP($C146, 'NFI 2020'!$C$3:$J$282, 4, FALSE)), "")</f>
        <v>2100.9498295177791</v>
      </c>
      <c r="H146" s="181">
        <f>+IFERROR(IF($D146=0, VLOOKUP($C146, 'NATIONAL 2020'!$A$3:$M$40, 10, FALSE), VLOOKUP($C146, 'NFI 2020'!$C$3:$J$282, 5, FALSE)), "")</f>
        <v>20547324.449641105</v>
      </c>
      <c r="I146" s="213">
        <f>+IFERROR(IF($D146=0, VLOOKUP($C146, 'NATIONAL 2020'!$A$3:$M$40, 13, FALSE), VLOOKUP($C146, 'NFI 2020'!$C$3:$J$282, 8, FALSE)), "")</f>
        <v>184.52861726038648</v>
      </c>
      <c r="J146" s="111">
        <f>+IFERROR(IF($D146=0, VLOOKUP($C146, 'NATIONAL 2020'!$A$3:$M$40, 11, FALSE), VLOOKUP($C146, 'NFI 2020'!$C$3:$J$282, 6, FALSE)), "")</f>
        <v>20159639.082666744</v>
      </c>
      <c r="K146" s="196">
        <f>+IFERROR(IF($D146=0, VLOOKUP($C146, 'NATIONAL 2020'!$A$3:$M$40, 12, FALSE), VLOOKUP($C146, 'NFI 2020'!$C$3:$J$282, 7, FALSE)), "")</f>
        <v>387685.36697435792</v>
      </c>
      <c r="L146" s="14"/>
      <c r="M146" s="70"/>
      <c r="N146" s="70"/>
      <c r="R146" s="8"/>
      <c r="S146" s="8"/>
    </row>
    <row r="147" spans="1:19" x14ac:dyDescent="0.25">
      <c r="A147" s="26" t="s">
        <v>252</v>
      </c>
      <c r="B147" s="108" t="str">
        <f t="shared" si="6"/>
        <v>FR</v>
      </c>
      <c r="C147" s="108" t="s">
        <v>261</v>
      </c>
      <c r="D147" s="20">
        <f>+VLOOKUP(B147, 'NATIONAL 2020'!$A$3:$B$41, 2, FALSE)</f>
        <v>2</v>
      </c>
      <c r="E147" s="181">
        <f>+IFERROR(IF($D147=0, VLOOKUP($C147, 'NATIONAL 2020'!$A$3:$M$40, 7, FALSE), VLOOKUP($C147, 'NFI 2020'!$C$3:$J$282, 2, FALSE)), "")</f>
        <v>340353.87238188018</v>
      </c>
      <c r="F147" s="111">
        <f>+IFERROR(IF($D147=0, VLOOKUP($C147, 'NATIONAL 2020'!$A$3:$M$40, 8, FALSE), VLOOKUP($C147, 'NFI 2020'!$C$3:$J$282, 3, FALSE)), "")</f>
        <v>333000.54797856795</v>
      </c>
      <c r="G147" s="196">
        <f>+IFERROR(IF($D147=0, VLOOKUP($C147, 'NATIONAL 2020'!$A$3:$M$40, 9, FALSE), VLOOKUP($C147, 'NFI 2020'!$C$3:$J$282, 4, FALSE)), "")</f>
        <v>7353.3244033122255</v>
      </c>
      <c r="H147" s="181">
        <f>+IFERROR(IF($D147=0, VLOOKUP($C147, 'NATIONAL 2020'!$A$3:$M$40, 10, FALSE), VLOOKUP($C147, 'NFI 2020'!$C$3:$J$282, 5, FALSE)), "")</f>
        <v>65411509.091544561</v>
      </c>
      <c r="I147" s="213">
        <f>+IFERROR(IF($D147=0, VLOOKUP($C147, 'NATIONAL 2020'!$A$3:$M$40, 13, FALSE), VLOOKUP($C147, 'NFI 2020'!$C$3:$J$282, 8, FALSE)), "")</f>
        <v>192.1867632466724</v>
      </c>
      <c r="J147" s="111">
        <f>+IFERROR(IF($D147=0, VLOOKUP($C147, 'NATIONAL 2020'!$A$3:$M$40, 11, FALSE), VLOOKUP($C147, 'NFI 2020'!$C$3:$J$282, 6, FALSE)), "")</f>
        <v>63998297.475369215</v>
      </c>
      <c r="K147" s="196">
        <f>+IFERROR(IF($D147=0, VLOOKUP($C147, 'NATIONAL 2020'!$A$3:$M$40, 12, FALSE), VLOOKUP($C147, 'NFI 2020'!$C$3:$J$282, 7, FALSE)), "")</f>
        <v>1413211.6161753433</v>
      </c>
      <c r="L147" s="14"/>
      <c r="M147" s="70"/>
      <c r="N147" s="70"/>
      <c r="R147" s="8"/>
      <c r="S147" s="8"/>
    </row>
    <row r="148" spans="1:19" x14ac:dyDescent="0.25">
      <c r="A148" s="26" t="s">
        <v>252</v>
      </c>
      <c r="B148" s="108" t="str">
        <f t="shared" si="6"/>
        <v>FR</v>
      </c>
      <c r="C148" s="108" t="s">
        <v>267</v>
      </c>
      <c r="D148" s="20">
        <f>+VLOOKUP(B148, 'NATIONAL 2020'!$A$3:$B$41, 2, FALSE)</f>
        <v>2</v>
      </c>
      <c r="E148" s="181">
        <f>+IFERROR(IF($D148=0, VLOOKUP($C148, 'NATIONAL 2020'!$A$3:$M$40, 7, FALSE), VLOOKUP($C148, 'NFI 2020'!$C$3:$J$282, 2, FALSE)), "")</f>
        <v>333000.54797856795</v>
      </c>
      <c r="F148" s="111">
        <f>+IFERROR(IF($D148=0, VLOOKUP($C148, 'NATIONAL 2020'!$A$3:$M$40, 8, FALSE), VLOOKUP($C148, 'NFI 2020'!$C$3:$J$282, 3, FALSE)), "")</f>
        <v>326697.69849001459</v>
      </c>
      <c r="G148" s="196">
        <f>+IFERROR(IF($D148=0, VLOOKUP($C148, 'NATIONAL 2020'!$A$3:$M$40, 9, FALSE), VLOOKUP($C148, 'NFI 2020'!$C$3:$J$282, 4, FALSE)), "")</f>
        <v>6302.8494885533364</v>
      </c>
      <c r="H148" s="181">
        <f>+IFERROR(IF($D148=0, VLOOKUP($C148, 'NATIONAL 2020'!$A$3:$M$40, 10, FALSE), VLOOKUP($C148, 'NFI 2020'!$C$3:$J$282, 5, FALSE)), "")</f>
        <v>68983075.492878392</v>
      </c>
      <c r="I148" s="213">
        <f>+IFERROR(IF($D148=0, VLOOKUP($C148, 'NATIONAL 2020'!$A$3:$M$40, 13, FALSE), VLOOKUP($C148, 'NFI 2020'!$C$3:$J$282, 8, FALSE)), "")</f>
        <v>207.15604196939091</v>
      </c>
      <c r="J148" s="111">
        <f>+IFERROR(IF($D148=0, VLOOKUP($C148, 'NATIONAL 2020'!$A$3:$M$40, 11, FALSE), VLOOKUP($C148, 'NFI 2020'!$C$3:$J$282, 6, FALSE)), "")</f>
        <v>67677402.13970089</v>
      </c>
      <c r="K148" s="196">
        <f>+IFERROR(IF($D148=0, VLOOKUP($C148, 'NATIONAL 2020'!$A$3:$M$40, 12, FALSE), VLOOKUP($C148, 'NFI 2020'!$C$3:$J$282, 7, FALSE)), "")</f>
        <v>1305673.3531775072</v>
      </c>
      <c r="L148" s="14"/>
      <c r="M148" s="70"/>
      <c r="N148" s="70"/>
      <c r="R148" s="8"/>
      <c r="S148" s="8"/>
    </row>
    <row r="149" spans="1:19" x14ac:dyDescent="0.25">
      <c r="A149" s="26" t="s">
        <v>252</v>
      </c>
      <c r="B149" s="108" t="str">
        <f t="shared" si="6"/>
        <v>FR</v>
      </c>
      <c r="C149" s="108" t="s">
        <v>265</v>
      </c>
      <c r="D149" s="20">
        <f>+VLOOKUP(B149, 'NATIONAL 2020'!$A$3:$B$41, 2, FALSE)</f>
        <v>2</v>
      </c>
      <c r="E149" s="181">
        <f>+IFERROR(IF($D149=0, VLOOKUP($C149, 'NATIONAL 2020'!$A$3:$M$40, 7, FALSE), VLOOKUP($C149, 'NFI 2020'!$C$3:$J$282, 2, FALSE)), "")</f>
        <v>755291.4637116415</v>
      </c>
      <c r="F149" s="111">
        <f>+IFERROR(IF($D149=0, VLOOKUP($C149, 'NATIONAL 2020'!$A$3:$M$40, 8, FALSE), VLOOKUP($C149, 'NFI 2020'!$C$3:$J$282, 3, FALSE)), "")</f>
        <v>723777.21626887482</v>
      </c>
      <c r="G149" s="196">
        <f>+IFERROR(IF($D149=0, VLOOKUP($C149, 'NATIONAL 2020'!$A$3:$M$40, 9, FALSE), VLOOKUP($C149, 'NFI 2020'!$C$3:$J$282, 4, FALSE)), "")</f>
        <v>31514.247442766682</v>
      </c>
      <c r="H149" s="181">
        <f>+IFERROR(IF($D149=0, VLOOKUP($C149, 'NATIONAL 2020'!$A$3:$M$40, 10, FALSE), VLOOKUP($C149, 'NFI 2020'!$C$3:$J$282, 5, FALSE)), "")</f>
        <v>128522873.11844467</v>
      </c>
      <c r="I149" s="213">
        <f>+IFERROR(IF($D149=0, VLOOKUP($C149, 'NATIONAL 2020'!$A$3:$M$40, 13, FALSE), VLOOKUP($C149, 'NFI 2020'!$C$3:$J$282, 8, FALSE)), "")</f>
        <v>170.16328039358419</v>
      </c>
      <c r="J149" s="111">
        <f>+IFERROR(IF($D149=0, VLOOKUP($C149, 'NATIONAL 2020'!$A$3:$M$40, 11, FALSE), VLOOKUP($C149, 'NFI 2020'!$C$3:$J$282, 6, FALSE)), "")</f>
        <v>123160305.39444835</v>
      </c>
      <c r="K149" s="196">
        <f>+IFERROR(IF($D149=0, VLOOKUP($C149, 'NATIONAL 2020'!$A$3:$M$40, 12, FALSE), VLOOKUP($C149, 'NFI 2020'!$C$3:$J$282, 7, FALSE)), "")</f>
        <v>5362567.7239963077</v>
      </c>
      <c r="L149" s="14"/>
      <c r="M149" s="70"/>
      <c r="N149" s="70"/>
      <c r="R149" s="8"/>
      <c r="S149" s="8"/>
    </row>
    <row r="150" spans="1:19" x14ac:dyDescent="0.25">
      <c r="A150" s="26" t="s">
        <v>252</v>
      </c>
      <c r="B150" s="108" t="str">
        <f t="shared" si="6"/>
        <v>FR</v>
      </c>
      <c r="C150" s="108" t="s">
        <v>268</v>
      </c>
      <c r="D150" s="20">
        <f>+VLOOKUP(B150, 'NATIONAL 2020'!$A$3:$B$41, 2, FALSE)</f>
        <v>2</v>
      </c>
      <c r="E150" s="181">
        <f>+IFERROR(IF($D150=0, VLOOKUP($C150, 'NATIONAL 2020'!$A$3:$M$40, 7, FALSE), VLOOKUP($C150, 'NFI 2020'!$C$3:$J$282, 2, FALSE)), "")</f>
        <v>924417.92498782265</v>
      </c>
      <c r="F150" s="111">
        <f>+IFERROR(IF($D150=0, VLOOKUP($C150, 'NATIONAL 2020'!$A$3:$M$40, 8, FALSE), VLOOKUP($C150, 'NFI 2020'!$C$3:$J$282, 3, FALSE)), "")</f>
        <v>917064.60058451036</v>
      </c>
      <c r="G150" s="196">
        <f>+IFERROR(IF($D150=0, VLOOKUP($C150, 'NATIONAL 2020'!$A$3:$M$40, 9, FALSE), VLOOKUP($C150, 'NFI 2020'!$C$3:$J$282, 4, FALSE)), "")</f>
        <v>7353.3244033122255</v>
      </c>
      <c r="H150" s="181">
        <f>+IFERROR(IF($D150=0, VLOOKUP($C150, 'NATIONAL 2020'!$A$3:$M$40, 10, FALSE), VLOOKUP($C150, 'NFI 2020'!$C$3:$J$282, 5, FALSE)), "")</f>
        <v>160075919.24746597</v>
      </c>
      <c r="I150" s="213">
        <f>+IFERROR(IF($D150=0, VLOOKUP($C150, 'NATIONAL 2020'!$A$3:$M$40, 13, FALSE), VLOOKUP($C150, 'NFI 2020'!$C$3:$J$282, 8, FALSE)), "")</f>
        <v>173.16401480377465</v>
      </c>
      <c r="J150" s="111">
        <f>+IFERROR(IF($D150=0, VLOOKUP($C150, 'NATIONAL 2020'!$A$3:$M$40, 11, FALSE), VLOOKUP($C150, 'NFI 2020'!$C$3:$J$282, 6, FALSE)), "")</f>
        <v>158802588.07163385</v>
      </c>
      <c r="K150" s="196">
        <f>+IFERROR(IF($D150=0, VLOOKUP($C150, 'NATIONAL 2020'!$A$3:$M$40, 12, FALSE), VLOOKUP($C150, 'NFI 2020'!$C$3:$J$282, 7, FALSE)), "")</f>
        <v>1273331.1758321119</v>
      </c>
      <c r="L150" s="14"/>
      <c r="M150" s="70"/>
      <c r="N150" s="70"/>
      <c r="R150" s="8"/>
      <c r="S150" s="8"/>
    </row>
    <row r="151" spans="1:19" x14ac:dyDescent="0.25">
      <c r="A151" s="26" t="s">
        <v>252</v>
      </c>
      <c r="B151" s="108" t="str">
        <f t="shared" si="6"/>
        <v>FR</v>
      </c>
      <c r="C151" s="108" t="s">
        <v>258</v>
      </c>
      <c r="D151" s="20">
        <f>+VLOOKUP(B151, 'NATIONAL 2020'!$A$3:$B$41, 2, FALSE)</f>
        <v>2</v>
      </c>
      <c r="E151" s="181">
        <f>+IFERROR(IF($D151=0, VLOOKUP($C151, 'NATIONAL 2020'!$A$3:$M$40, 7, FALSE), VLOOKUP($C151, 'NFI 2020'!$C$3:$J$282, 2, FALSE)), "")</f>
        <v>368716.69508037018</v>
      </c>
      <c r="F151" s="111">
        <f>+IFERROR(IF($D151=0, VLOOKUP($C151, 'NATIONAL 2020'!$A$3:$M$40, 8, FALSE), VLOOKUP($C151, 'NFI 2020'!$C$3:$J$282, 3, FALSE)), "")</f>
        <v>363464.32050657569</v>
      </c>
      <c r="G151" s="196">
        <f>+IFERROR(IF($D151=0, VLOOKUP($C151, 'NATIONAL 2020'!$A$3:$M$40, 9, FALSE), VLOOKUP($C151, 'NFI 2020'!$C$3:$J$282, 4, FALSE)), "")</f>
        <v>5252.3745737944473</v>
      </c>
      <c r="H151" s="181">
        <f>+IFERROR(IF($D151=0, VLOOKUP($C151, 'NATIONAL 2020'!$A$3:$M$40, 10, FALSE), VLOOKUP($C151, 'NFI 2020'!$C$3:$J$282, 5, FALSE)), "")</f>
        <v>55303690.903260767</v>
      </c>
      <c r="I151" s="213">
        <f>+IFERROR(IF($D151=0, VLOOKUP($C151, 'NATIONAL 2020'!$A$3:$M$40, 13, FALSE), VLOOKUP($C151, 'NFI 2020'!$C$3:$J$282, 8, FALSE)), "")</f>
        <v>149.98965775391883</v>
      </c>
      <c r="J151" s="111">
        <f>+IFERROR(IF($D151=0, VLOOKUP($C151, 'NATIONAL 2020'!$A$3:$M$40, 11, FALSE), VLOOKUP($C151, 'NFI 2020'!$C$3:$J$282, 6, FALSE)), "")</f>
        <v>54515889.03854195</v>
      </c>
      <c r="K151" s="196">
        <f>+IFERROR(IF($D151=0, VLOOKUP($C151, 'NATIONAL 2020'!$A$3:$M$40, 12, FALSE), VLOOKUP($C151, 'NFI 2020'!$C$3:$J$282, 7, FALSE)), "")</f>
        <v>787801.86471881496</v>
      </c>
      <c r="L151" s="14"/>
      <c r="M151" s="70"/>
      <c r="N151" s="70"/>
      <c r="R151" s="8"/>
      <c r="S151" s="8"/>
    </row>
    <row r="152" spans="1:19" x14ac:dyDescent="0.25">
      <c r="A152" s="26" t="s">
        <v>252</v>
      </c>
      <c r="B152" s="108" t="str">
        <f t="shared" si="6"/>
        <v>FR</v>
      </c>
      <c r="C152" s="108" t="s">
        <v>257</v>
      </c>
      <c r="D152" s="20">
        <f>+VLOOKUP(B152, 'NATIONAL 2020'!$A$3:$B$41, 2, FALSE)</f>
        <v>2</v>
      </c>
      <c r="E152" s="181">
        <f>+IFERROR(IF($D152=0, VLOOKUP($C152, 'NATIONAL 2020'!$A$3:$M$40, 7, FALSE), VLOOKUP($C152, 'NFI 2020'!$C$3:$J$282, 2, FALSE)), "")</f>
        <v>405483.31709693134</v>
      </c>
      <c r="F152" s="111">
        <f>+IFERROR(IF($D152=0, VLOOKUP($C152, 'NATIONAL 2020'!$A$3:$M$40, 8, FALSE), VLOOKUP($C152, 'NFI 2020'!$C$3:$J$282, 3, FALSE)), "")</f>
        <v>401281.41743789578</v>
      </c>
      <c r="G152" s="196">
        <f>+IFERROR(IF($D152=0, VLOOKUP($C152, 'NATIONAL 2020'!$A$3:$M$40, 9, FALSE), VLOOKUP($C152, 'NFI 2020'!$C$3:$J$282, 4, FALSE)), "")</f>
        <v>4201.8996590355582</v>
      </c>
      <c r="H152" s="181">
        <f>+IFERROR(IF($D152=0, VLOOKUP($C152, 'NATIONAL 2020'!$A$3:$M$40, 10, FALSE), VLOOKUP($C152, 'NFI 2020'!$C$3:$J$282, 5, FALSE)), "")</f>
        <v>61661658.516181923</v>
      </c>
      <c r="I152" s="213">
        <f>+IFERROR(IF($D152=0, VLOOKUP($C152, 'NATIONAL 2020'!$A$3:$M$40, 13, FALSE), VLOOKUP($C152, 'NFI 2020'!$C$3:$J$282, 8, FALSE)), "")</f>
        <v>152.0695326201093</v>
      </c>
      <c r="J152" s="111">
        <f>+IFERROR(IF($D152=0, VLOOKUP($C152, 'NATIONAL 2020'!$A$3:$M$40, 11, FALSE), VLOOKUP($C152, 'NFI 2020'!$C$3:$J$282, 6, FALSE)), "")</f>
        <v>61022677.598915793</v>
      </c>
      <c r="K152" s="196">
        <f>+IFERROR(IF($D152=0, VLOOKUP($C152, 'NATIONAL 2020'!$A$3:$M$40, 12, FALSE), VLOOKUP($C152, 'NFI 2020'!$C$3:$J$282, 7, FALSE)), "")</f>
        <v>638980.91726613266</v>
      </c>
      <c r="L152" s="14"/>
      <c r="M152" s="70"/>
      <c r="N152" s="70"/>
      <c r="R152" s="8"/>
      <c r="S152" s="8"/>
    </row>
    <row r="153" spans="1:19" x14ac:dyDescent="0.25">
      <c r="A153" s="26" t="s">
        <v>252</v>
      </c>
      <c r="B153" s="108" t="str">
        <f t="shared" si="6"/>
        <v>FR</v>
      </c>
      <c r="C153" s="108" t="s">
        <v>273</v>
      </c>
      <c r="D153" s="20">
        <f>+VLOOKUP(B153, 'NATIONAL 2020'!$A$3:$B$41, 2, FALSE)</f>
        <v>2</v>
      </c>
      <c r="E153" s="181">
        <f>+IFERROR(IF($D153=0, VLOOKUP($C153, 'NATIONAL 2020'!$A$3:$M$40, 7, FALSE), VLOOKUP($C153, 'NFI 2020'!$C$3:$J$282, 2, FALSE)), "")</f>
        <v>1929722.4184120798</v>
      </c>
      <c r="F153" s="111">
        <f>+IFERROR(IF($D153=0, VLOOKUP($C153, 'NATIONAL 2020'!$A$3:$M$40, 8, FALSE), VLOOKUP($C153, 'NFI 2020'!$C$3:$J$282, 3, FALSE)), "")</f>
        <v>1908712.9201169021</v>
      </c>
      <c r="G153" s="196">
        <f>+IFERROR(IF($D153=0, VLOOKUP($C153, 'NATIONAL 2020'!$A$3:$M$40, 9, FALSE), VLOOKUP($C153, 'NFI 2020'!$C$3:$J$282, 4, FALSE)), "")</f>
        <v>21009.498295177786</v>
      </c>
      <c r="H153" s="181">
        <f>+IFERROR(IF($D153=0, VLOOKUP($C153, 'NATIONAL 2020'!$A$3:$M$40, 10, FALSE), VLOOKUP($C153, 'NFI 2020'!$C$3:$J$282, 5, FALSE)), "")</f>
        <v>216232974.22635025</v>
      </c>
      <c r="I153" s="213">
        <f>+IFERROR(IF($D153=0, VLOOKUP($C153, 'NATIONAL 2020'!$A$3:$M$40, 13, FALSE), VLOOKUP($C153, 'NFI 2020'!$C$3:$J$282, 8, FALSE)), "")</f>
        <v>112.05392659752739</v>
      </c>
      <c r="J153" s="111">
        <f>+IFERROR(IF($D153=0, VLOOKUP($C153, 'NATIONAL 2020'!$A$3:$M$40, 11, FALSE), VLOOKUP($C153, 'NFI 2020'!$C$3:$J$282, 6, FALSE)), "")</f>
        <v>213878777.44653153</v>
      </c>
      <c r="K153" s="196">
        <f>+IFERROR(IF($D153=0, VLOOKUP($C153, 'NATIONAL 2020'!$A$3:$M$40, 12, FALSE), VLOOKUP($C153, 'NFI 2020'!$C$3:$J$282, 7, FALSE)), "")</f>
        <v>2354196.7798187197</v>
      </c>
      <c r="L153" s="14"/>
      <c r="M153" s="70"/>
      <c r="N153" s="70"/>
      <c r="R153" s="8"/>
      <c r="S153" s="8"/>
    </row>
    <row r="154" spans="1:19" x14ac:dyDescent="0.25">
      <c r="A154" s="26" t="s">
        <v>252</v>
      </c>
      <c r="B154" s="108" t="str">
        <f t="shared" si="6"/>
        <v>FR</v>
      </c>
      <c r="C154" s="108" t="s">
        <v>271</v>
      </c>
      <c r="D154" s="20">
        <f>+VLOOKUP(B154, 'NATIONAL 2020'!$A$3:$B$41, 2, FALSE)</f>
        <v>2</v>
      </c>
      <c r="E154" s="181">
        <f>+IFERROR(IF($D154=0, VLOOKUP($C154, 'NATIONAL 2020'!$A$3:$M$40, 7, FALSE), VLOOKUP($C154, 'NFI 2020'!$C$3:$J$282, 2, FALSE)), "")</f>
        <v>600871.6512420848</v>
      </c>
      <c r="F154" s="111">
        <f>+IFERROR(IF($D154=0, VLOOKUP($C154, 'NATIONAL 2020'!$A$3:$M$40, 8, FALSE), VLOOKUP($C154, 'NFI 2020'!$C$3:$J$282, 3, FALSE)), "")</f>
        <v>592467.8519240137</v>
      </c>
      <c r="G154" s="196">
        <f>+IFERROR(IF($D154=0, VLOOKUP($C154, 'NATIONAL 2020'!$A$3:$M$40, 9, FALSE), VLOOKUP($C154, 'NFI 2020'!$C$3:$J$282, 4, FALSE)), "")</f>
        <v>8403.7993180711146</v>
      </c>
      <c r="H154" s="181">
        <f>+IFERROR(IF($D154=0, VLOOKUP($C154, 'NATIONAL 2020'!$A$3:$M$40, 10, FALSE), VLOOKUP($C154, 'NFI 2020'!$C$3:$J$282, 5, FALSE)), "")</f>
        <v>100611793.16474415</v>
      </c>
      <c r="I154" s="213">
        <f>+IFERROR(IF($D154=0, VLOOKUP($C154, 'NATIONAL 2020'!$A$3:$M$40, 13, FALSE), VLOOKUP($C154, 'NFI 2020'!$C$3:$J$282, 8, FALSE)), "")</f>
        <v>167.44306867658952</v>
      </c>
      <c r="J154" s="111">
        <f>+IFERROR(IF($D154=0, VLOOKUP($C154, 'NATIONAL 2020'!$A$3:$M$40, 11, FALSE), VLOOKUP($C154, 'NFI 2020'!$C$3:$J$282, 6, FALSE)), "")</f>
        <v>99204635.218384102</v>
      </c>
      <c r="K154" s="196">
        <f>+IFERROR(IF($D154=0, VLOOKUP($C154, 'NATIONAL 2020'!$A$3:$M$40, 12, FALSE), VLOOKUP($C154, 'NFI 2020'!$C$3:$J$282, 7, FALSE)), "")</f>
        <v>1407157.9463600544</v>
      </c>
      <c r="L154" s="14"/>
      <c r="M154" s="70"/>
      <c r="N154" s="70"/>
      <c r="R154" s="8"/>
      <c r="S154" s="8"/>
    </row>
    <row r="155" spans="1:19" x14ac:dyDescent="0.25">
      <c r="A155" s="26" t="s">
        <v>252</v>
      </c>
      <c r="B155" s="108" t="str">
        <f t="shared" si="6"/>
        <v>FR</v>
      </c>
      <c r="C155" s="108" t="s">
        <v>264</v>
      </c>
      <c r="D155" s="20">
        <f>+VLOOKUP(B155, 'NATIONAL 2020'!$A$3:$B$41, 2, FALSE)</f>
        <v>2</v>
      </c>
      <c r="E155" s="181">
        <f>+IFERROR(IF($D155=0, VLOOKUP($C155, 'NATIONAL 2020'!$A$3:$M$40, 7, FALSE), VLOOKUP($C155, 'NFI 2020'!$C$3:$J$282, 2, FALSE)), "")</f>
        <v>440148.98928397469</v>
      </c>
      <c r="F155" s="111">
        <f>+IFERROR(IF($D155=0, VLOOKUP($C155, 'NATIONAL 2020'!$A$3:$M$40, 8, FALSE), VLOOKUP($C155, 'NFI 2020'!$C$3:$J$282, 3, FALSE)), "")</f>
        <v>431745.18996590358</v>
      </c>
      <c r="G155" s="196">
        <f>+IFERROR(IF($D155=0, VLOOKUP($C155, 'NATIONAL 2020'!$A$3:$M$40, 9, FALSE), VLOOKUP($C155, 'NFI 2020'!$C$3:$J$282, 4, FALSE)), "")</f>
        <v>8403.7993180711164</v>
      </c>
      <c r="H155" s="181">
        <f>+IFERROR(IF($D155=0, VLOOKUP($C155, 'NATIONAL 2020'!$A$3:$M$40, 10, FALSE), VLOOKUP($C155, 'NFI 2020'!$C$3:$J$282, 5, FALSE)), "")</f>
        <v>54825397.075311624</v>
      </c>
      <c r="I155" s="213">
        <f>+IFERROR(IF($D155=0, VLOOKUP($C155, 'NATIONAL 2020'!$A$3:$M$40, 13, FALSE), VLOOKUP($C155, 'NFI 2020'!$C$3:$J$282, 8, FALSE)), "")</f>
        <v>124.5609973216125</v>
      </c>
      <c r="J155" s="111">
        <f>+IFERROR(IF($D155=0, VLOOKUP($C155, 'NATIONAL 2020'!$A$3:$M$40, 11, FALSE), VLOOKUP($C155, 'NFI 2020'!$C$3:$J$282, 6, FALSE)), "")</f>
        <v>53778611.450962</v>
      </c>
      <c r="K155" s="196">
        <f>+IFERROR(IF($D155=0, VLOOKUP($C155, 'NATIONAL 2020'!$A$3:$M$40, 12, FALSE), VLOOKUP($C155, 'NFI 2020'!$C$3:$J$282, 7, FALSE)), "")</f>
        <v>1046785.6243496282</v>
      </c>
      <c r="L155" s="14"/>
      <c r="M155" s="70"/>
      <c r="N155" s="70"/>
      <c r="R155" s="8"/>
      <c r="S155" s="8"/>
    </row>
    <row r="156" spans="1:19" x14ac:dyDescent="0.25">
      <c r="A156" s="26" t="s">
        <v>252</v>
      </c>
      <c r="B156" s="108" t="str">
        <f t="shared" si="6"/>
        <v>FR</v>
      </c>
      <c r="C156" s="108" t="s">
        <v>275</v>
      </c>
      <c r="D156" s="20">
        <f>+VLOOKUP(B156, 'NATIONAL 2020'!$A$3:$B$41, 2, FALSE)</f>
        <v>2</v>
      </c>
      <c r="E156" s="181">
        <f>+IFERROR(IF($D156=0, VLOOKUP($C156, 'NATIONAL 2020'!$A$3:$M$40, 7, FALSE), VLOOKUP($C156, 'NFI 2020'!$C$3:$J$282, 2, FALSE)), "")</f>
        <v>1314144.1183633707</v>
      </c>
      <c r="F156" s="111">
        <f>+IFERROR(IF($D156=0, VLOOKUP($C156, 'NATIONAL 2020'!$A$3:$M$40, 8, FALSE), VLOOKUP($C156, 'NFI 2020'!$C$3:$J$282, 3, FALSE)), "")</f>
        <v>1216449.9512907939</v>
      </c>
      <c r="G156" s="196">
        <f>+IFERROR(IF($D156=0, VLOOKUP($C156, 'NATIONAL 2020'!$A$3:$M$40, 9, FALSE), VLOOKUP($C156, 'NFI 2020'!$C$3:$J$282, 4, FALSE)), "")</f>
        <v>97694.167072576718</v>
      </c>
      <c r="H156" s="181">
        <f>+IFERROR(IF($D156=0, VLOOKUP($C156, 'NATIONAL 2020'!$A$3:$M$40, 10, FALSE), VLOOKUP($C156, 'NFI 2020'!$C$3:$J$282, 5, FALSE)), "")</f>
        <v>139560335.32701898</v>
      </c>
      <c r="I156" s="213">
        <f>+IFERROR(IF($D156=0, VLOOKUP($C156, 'NATIONAL 2020'!$A$3:$M$40, 13, FALSE), VLOOKUP($C156, 'NFI 2020'!$C$3:$J$282, 8, FALSE)), "")</f>
        <v>106.19865308291058</v>
      </c>
      <c r="J156" s="111">
        <f>+IFERROR(IF($D156=0, VLOOKUP($C156, 'NATIONAL 2020'!$A$3:$M$40, 11, FALSE), VLOOKUP($C156, 'NFI 2020'!$C$3:$J$282, 6, FALSE)), "")</f>
        <v>129185346.36985449</v>
      </c>
      <c r="K156" s="196">
        <f>+IFERROR(IF($D156=0, VLOOKUP($C156, 'NATIONAL 2020'!$A$3:$M$40, 12, FALSE), VLOOKUP($C156, 'NFI 2020'!$C$3:$J$282, 7, FALSE)), "")</f>
        <v>10374988.957164483</v>
      </c>
      <c r="L156" s="14"/>
      <c r="M156" s="5"/>
      <c r="N156" s="70"/>
      <c r="R156" s="8"/>
      <c r="S156" s="8"/>
    </row>
    <row r="157" spans="1:19" x14ac:dyDescent="0.25">
      <c r="A157" s="26" t="s">
        <v>252</v>
      </c>
      <c r="B157" s="108" t="str">
        <f t="shared" si="6"/>
        <v>FR</v>
      </c>
      <c r="C157" s="108" t="s">
        <v>274</v>
      </c>
      <c r="D157" s="20">
        <f>+VLOOKUP(B157, 'NATIONAL 2020'!$A$3:$B$41, 2, FALSE)</f>
        <v>2</v>
      </c>
      <c r="E157" s="181">
        <f>+IFERROR(IF($D157=0, VLOOKUP($C157, 'NATIONAL 2020'!$A$3:$M$40, 7, FALSE), VLOOKUP($C157, 'NFI 2020'!$C$3:$J$282, 2, FALSE)), "")</f>
        <v>1451756.3321967851</v>
      </c>
      <c r="F157" s="111">
        <f>+IFERROR(IF($D157=0, VLOOKUP($C157, 'NATIONAL 2020'!$A$3:$M$40, 8, FALSE), VLOOKUP($C157, 'NFI 2020'!$C$3:$J$282, 3, FALSE)), "")</f>
        <v>1363516.4393570384</v>
      </c>
      <c r="G157" s="196">
        <f>+IFERROR(IF($D157=0, VLOOKUP($C157, 'NATIONAL 2020'!$A$3:$M$40, 9, FALSE), VLOOKUP($C157, 'NFI 2020'!$C$3:$J$282, 4, FALSE)), "")</f>
        <v>88239.89283974671</v>
      </c>
      <c r="H157" s="181">
        <f>+IFERROR(IF($D157=0, VLOOKUP($C157, 'NATIONAL 2020'!$A$3:$M$40, 10, FALSE), VLOOKUP($C157, 'NFI 2020'!$C$3:$J$282, 5, FALSE)), "")</f>
        <v>205182432.46810225</v>
      </c>
      <c r="I157" s="213">
        <f>+IFERROR(IF($D157=0, VLOOKUP($C157, 'NATIONAL 2020'!$A$3:$M$40, 13, FALSE), VLOOKUP($C157, 'NFI 2020'!$C$3:$J$282, 8, FALSE)), "")</f>
        <v>141.33393319361105</v>
      </c>
      <c r="J157" s="111">
        <f>+IFERROR(IF($D157=0, VLOOKUP($C157, 'NATIONAL 2020'!$A$3:$M$40, 11, FALSE), VLOOKUP($C157, 'NFI 2020'!$C$3:$J$282, 6, FALSE)), "")</f>
        <v>192711141.34847811</v>
      </c>
      <c r="K157" s="196">
        <f>+IFERROR(IF($D157=0, VLOOKUP($C157, 'NATIONAL 2020'!$A$3:$M$40, 12, FALSE), VLOOKUP($C157, 'NFI 2020'!$C$3:$J$282, 7, FALSE)), "")</f>
        <v>12471291.119624145</v>
      </c>
      <c r="L157" s="14"/>
      <c r="M157" s="5"/>
      <c r="N157" s="70"/>
      <c r="R157" s="8"/>
      <c r="S157" s="8"/>
    </row>
    <row r="158" spans="1:19" x14ac:dyDescent="0.25">
      <c r="A158" s="26" t="s">
        <v>252</v>
      </c>
      <c r="B158" s="108" t="str">
        <f t="shared" si="6"/>
        <v>FR</v>
      </c>
      <c r="C158" s="108" t="s">
        <v>270</v>
      </c>
      <c r="D158" s="20">
        <f>+VLOOKUP(B158, 'NATIONAL 2020'!$A$3:$B$41, 2, FALSE)</f>
        <v>2</v>
      </c>
      <c r="E158" s="181">
        <f>+IFERROR(IF($D158=0, VLOOKUP($C158, 'NATIONAL 2020'!$A$3:$M$40, 7, FALSE), VLOOKUP($C158, 'NFI 2020'!$C$3:$J$282, 2, FALSE)), "")</f>
        <v>788906.66098392592</v>
      </c>
      <c r="F158" s="111">
        <f>+IFERROR(IF($D158=0, VLOOKUP($C158, 'NATIONAL 2020'!$A$3:$M$40, 8, FALSE), VLOOKUP($C158, 'NFI 2020'!$C$3:$J$282, 3, FALSE)), "")</f>
        <v>752140.03896736482</v>
      </c>
      <c r="G158" s="196">
        <f>+IFERROR(IF($D158=0, VLOOKUP($C158, 'NATIONAL 2020'!$A$3:$M$40, 9, FALSE), VLOOKUP($C158, 'NFI 2020'!$C$3:$J$282, 4, FALSE)), "")</f>
        <v>36766.62201656113</v>
      </c>
      <c r="H158" s="181">
        <f>+IFERROR(IF($D158=0, VLOOKUP($C158, 'NATIONAL 2020'!$A$3:$M$40, 10, FALSE), VLOOKUP($C158, 'NFI 2020'!$C$3:$J$282, 5, FALSE)), "")</f>
        <v>145801655.58231598</v>
      </c>
      <c r="I158" s="213">
        <f>+IFERROR(IF($D158=0, VLOOKUP($C158, 'NATIONAL 2020'!$A$3:$M$40, 13, FALSE), VLOOKUP($C158, 'NFI 2020'!$C$3:$J$282, 8, FALSE)), "")</f>
        <v>184.81483652384412</v>
      </c>
      <c r="J158" s="111">
        <f>+IFERROR(IF($D158=0, VLOOKUP($C158, 'NATIONAL 2020'!$A$3:$M$40, 11, FALSE), VLOOKUP($C158, 'NFI 2020'!$C$3:$J$282, 6, FALSE)), "")</f>
        <v>139006638.34479126</v>
      </c>
      <c r="K158" s="196">
        <f>+IFERROR(IF($D158=0, VLOOKUP($C158, 'NATIONAL 2020'!$A$3:$M$40, 12, FALSE), VLOOKUP($C158, 'NFI 2020'!$C$3:$J$282, 7, FALSE)), "")</f>
        <v>6795017.2375247115</v>
      </c>
      <c r="L158" s="14"/>
      <c r="M158" s="70"/>
      <c r="N158" s="70"/>
      <c r="R158" s="8"/>
      <c r="S158" s="8"/>
    </row>
    <row r="159" spans="1:19" x14ac:dyDescent="0.25">
      <c r="A159" s="26" t="s">
        <v>252</v>
      </c>
      <c r="B159" s="108" t="str">
        <f t="shared" si="6"/>
        <v>FR</v>
      </c>
      <c r="C159" s="108" t="s">
        <v>272</v>
      </c>
      <c r="D159" s="20">
        <f>+VLOOKUP(B159, 'NATIONAL 2020'!$A$3:$B$41, 2, FALSE)</f>
        <v>2</v>
      </c>
      <c r="E159" s="181">
        <f>+IFERROR(IF($D159=0, VLOOKUP($C159, 'NATIONAL 2020'!$A$3:$M$40, 7, FALSE), VLOOKUP($C159, 'NFI 2020'!$C$3:$J$282, 2, FALSE)), "")</f>
        <v>1833078.726254262</v>
      </c>
      <c r="F159" s="111">
        <f>+IFERROR(IF($D159=0, VLOOKUP($C159, 'NATIONAL 2020'!$A$3:$M$40, 8, FALSE), VLOOKUP($C159, 'NFI 2020'!$C$3:$J$282, 3, FALSE)), "")</f>
        <v>1660800.8402338042</v>
      </c>
      <c r="G159" s="196">
        <f>+IFERROR(IF($D159=0, VLOOKUP($C159, 'NATIONAL 2020'!$A$3:$M$40, 9, FALSE), VLOOKUP($C159, 'NFI 2020'!$C$3:$J$282, 4, FALSE)), "")</f>
        <v>172277.88602045787</v>
      </c>
      <c r="H159" s="181">
        <f>+IFERROR(IF($D159=0, VLOOKUP($C159, 'NATIONAL 2020'!$A$3:$M$40, 10, FALSE), VLOOKUP($C159, 'NFI 2020'!$C$3:$J$282, 5, FALSE)), "")</f>
        <v>282054788.83154488</v>
      </c>
      <c r="I159" s="213">
        <f>+IFERROR(IF($D159=0, VLOOKUP($C159, 'NATIONAL 2020'!$A$3:$M$40, 13, FALSE), VLOOKUP($C159, 'NFI 2020'!$C$3:$J$282, 8, FALSE)), "")</f>
        <v>153.86943549767744</v>
      </c>
      <c r="J159" s="111">
        <f>+IFERROR(IF($D159=0, VLOOKUP($C159, 'NATIONAL 2020'!$A$3:$M$40, 11, FALSE), VLOOKUP($C159, 'NFI 2020'!$C$3:$J$282, 6, FALSE)), "")</f>
        <v>255546487.76084384</v>
      </c>
      <c r="K159" s="196">
        <f>+IFERROR(IF($D159=0, VLOOKUP($C159, 'NATIONAL 2020'!$A$3:$M$40, 12, FALSE), VLOOKUP($C159, 'NFI 2020'!$C$3:$J$282, 7, FALSE)), "")</f>
        <v>26508301.07070104</v>
      </c>
      <c r="L159" s="14"/>
      <c r="M159" s="70"/>
      <c r="N159" s="70"/>
      <c r="R159" s="8"/>
      <c r="S159" s="8"/>
    </row>
    <row r="160" spans="1:19" x14ac:dyDescent="0.25">
      <c r="A160" s="26" t="s">
        <v>252</v>
      </c>
      <c r="B160" s="108" t="str">
        <f t="shared" si="6"/>
        <v>FR</v>
      </c>
      <c r="C160" s="108" t="s">
        <v>276</v>
      </c>
      <c r="D160" s="20">
        <f>+VLOOKUP(B160, 'NATIONAL 2020'!$A$3:$B$41, 2, FALSE)</f>
        <v>2</v>
      </c>
      <c r="E160" s="181">
        <f>+IFERROR(IF($D160=0, VLOOKUP($C160, 'NATIONAL 2020'!$A$3:$M$40, 7, FALSE), VLOOKUP($C160, 'NFI 2020'!$C$3:$J$282, 2, FALSE)), "")</f>
        <v>1600923.7700925474</v>
      </c>
      <c r="F160" s="111">
        <f>+IFERROR(IF($D160=0, VLOOKUP($C160, 'NATIONAL 2020'!$A$3:$M$40, 8, FALSE), VLOOKUP($C160, 'NFI 2020'!$C$3:$J$282, 3, FALSE)), "")</f>
        <v>1381374.5129079395</v>
      </c>
      <c r="G160" s="196">
        <f>+IFERROR(IF($D160=0, VLOOKUP($C160, 'NATIONAL 2020'!$A$3:$M$40, 9, FALSE), VLOOKUP($C160, 'NFI 2020'!$C$3:$J$282, 4, FALSE)), "")</f>
        <v>219549.25718460788</v>
      </c>
      <c r="H160" s="181">
        <f>+IFERROR(IF($D160=0, VLOOKUP($C160, 'NATIONAL 2020'!$A$3:$M$40, 10, FALSE), VLOOKUP($C160, 'NFI 2020'!$C$3:$J$282, 5, FALSE)), "")</f>
        <v>142678369.65122619</v>
      </c>
      <c r="I160" s="213">
        <f>+IFERROR(IF($D160=0, VLOOKUP($C160, 'NATIONAL 2020'!$A$3:$M$40, 13, FALSE), VLOOKUP($C160, 'NFI 2020'!$C$3:$J$282, 8, FALSE)), "")</f>
        <v>89.122525579702113</v>
      </c>
      <c r="J160" s="111">
        <f>+IFERROR(IF($D160=0, VLOOKUP($C160, 'NATIONAL 2020'!$A$3:$M$40, 11, FALSE), VLOOKUP($C160, 'NFI 2020'!$C$3:$J$282, 6, FALSE)), "")</f>
        <v>123111585.36178638</v>
      </c>
      <c r="K160" s="196">
        <f>+IFERROR(IF($D160=0, VLOOKUP($C160, 'NATIONAL 2020'!$A$3:$M$40, 12, FALSE), VLOOKUP($C160, 'NFI 2020'!$C$3:$J$282, 7, FALSE)), "")</f>
        <v>19566784.289439816</v>
      </c>
      <c r="L160" s="14"/>
      <c r="M160" s="70"/>
      <c r="N160" s="70"/>
      <c r="R160" s="8"/>
      <c r="S160" s="8"/>
    </row>
    <row r="161" spans="1:19" x14ac:dyDescent="0.25">
      <c r="A161" s="26" t="s">
        <v>252</v>
      </c>
      <c r="B161" s="108" t="str">
        <f t="shared" si="6"/>
        <v>FR</v>
      </c>
      <c r="C161" s="108" t="s">
        <v>277</v>
      </c>
      <c r="D161" s="20">
        <f>+VLOOKUP(B161, 'NATIONAL 2020'!$A$3:$B$41, 2, FALSE)</f>
        <v>2</v>
      </c>
      <c r="E161" s="181">
        <f>+IFERROR(IF($D161=0, VLOOKUP($C161, 'NATIONAL 2020'!$A$3:$M$40, 7, FALSE), VLOOKUP($C161, 'NFI 2020'!$C$3:$J$282, 2, FALSE)), "")</f>
        <v>518934.60789089138</v>
      </c>
      <c r="F161" s="111">
        <f>+IFERROR(IF($D161=0, VLOOKUP($C161, 'NATIONAL 2020'!$A$3:$M$40, 8, FALSE), VLOOKUP($C161, 'NFI 2020'!$C$3:$J$282, 3, FALSE)), "")</f>
        <v>421240.44081831467</v>
      </c>
      <c r="G161" s="196">
        <f>+IFERROR(IF($D161=0, VLOOKUP($C161, 'NATIONAL 2020'!$A$3:$M$40, 9, FALSE), VLOOKUP($C161, 'NFI 2020'!$C$3:$J$282, 4, FALSE)), "")</f>
        <v>97694.167072576718</v>
      </c>
      <c r="H161" s="181">
        <f>+IFERROR(IF($D161=0, VLOOKUP($C161, 'NATIONAL 2020'!$A$3:$M$40, 10, FALSE), VLOOKUP($C161, 'NFI 2020'!$C$3:$J$282, 5, FALSE)), "")</f>
        <v>75753530.21355024</v>
      </c>
      <c r="I161" s="213">
        <f>+IFERROR(IF($D161=0, VLOOKUP($C161, 'NATIONAL 2020'!$A$3:$M$40, 13, FALSE), VLOOKUP($C161, 'NFI 2020'!$C$3:$J$282, 8, FALSE)), "")</f>
        <v>145.9789519944251</v>
      </c>
      <c r="J161" s="111">
        <f>+IFERROR(IF($D161=0, VLOOKUP($C161, 'NATIONAL 2020'!$A$3:$M$40, 11, FALSE), VLOOKUP($C161, 'NFI 2020'!$C$3:$J$282, 6, FALSE)), "")</f>
        <v>61492238.088327214</v>
      </c>
      <c r="K161" s="196">
        <f>+IFERROR(IF($D161=0, VLOOKUP($C161, 'NATIONAL 2020'!$A$3:$M$40, 12, FALSE), VLOOKUP($C161, 'NFI 2020'!$C$3:$J$282, 7, FALSE)), "")</f>
        <v>14261292.125223022</v>
      </c>
      <c r="L161" s="14"/>
      <c r="M161" s="70"/>
      <c r="N161" s="70"/>
      <c r="R161" s="8"/>
      <c r="S161" s="8"/>
    </row>
    <row r="162" spans="1:19" x14ac:dyDescent="0.25">
      <c r="A162" s="26" t="s">
        <v>515</v>
      </c>
      <c r="B162" t="s">
        <v>15</v>
      </c>
      <c r="C162" t="s">
        <v>15</v>
      </c>
      <c r="D162" s="20">
        <f>+VLOOKUP(B162, 'NATIONAL 2020'!$A$3:$B$41, 2, FALSE)</f>
        <v>0</v>
      </c>
      <c r="E162" s="181">
        <f>+IFERROR(IF($D162=0, VLOOKUP($C162, 'NATIONAL 2020'!$A$3:$M$40, 7, FALSE), VLOOKUP($C162, 'NFI 2020'!$C$3:$J$282, 2, FALSE)), "")</f>
        <v>3190000</v>
      </c>
      <c r="F162" s="111">
        <f>+IFERROR(IF($D162=0, VLOOKUP($C162, 'NATIONAL 2020'!$A$3:$M$40, 8, FALSE), VLOOKUP($C162, 'NFI 2020'!$C$3:$J$282, 3, FALSE)), "")</f>
        <v>3190000</v>
      </c>
      <c r="G162" s="196">
        <f>+IFERROR(IF($D162=0, VLOOKUP($C162, 'NATIONAL 2020'!$A$3:$M$40, 9, FALSE), VLOOKUP($C162, 'NFI 2020'!$C$3:$J$282, 4, FALSE)), "")</f>
        <v>0</v>
      </c>
      <c r="H162" s="181">
        <f>+IFERROR(IF($D162=0, VLOOKUP($C162, 'NATIONAL 2020'!$A$3:$M$40, 10, FALSE), VLOOKUP($C162, 'NFI 2020'!$C$3:$J$282, 5, FALSE)), "")</f>
        <v>368000000</v>
      </c>
      <c r="I162" s="213">
        <f>+IFERROR(IF($D162=0, VLOOKUP($C162, 'NATIONAL 2020'!$A$3:$M$40, 13, FALSE), VLOOKUP($C162, 'NFI 2020'!$C$3:$J$282, 8, FALSE)), "")</f>
        <v>115.36050156739812</v>
      </c>
      <c r="J162" s="111">
        <f>+IFERROR(IF($D162=0, VLOOKUP($C162, 'NATIONAL 2020'!$A$3:$M$40, 11, FALSE), VLOOKUP($C162, 'NFI 2020'!$C$3:$J$282, 6, FALSE)), "")</f>
        <v>368000000</v>
      </c>
      <c r="K162" s="196">
        <f>+IFERROR(IF($D162=0, VLOOKUP($C162, 'NATIONAL 2020'!$A$3:$M$40, 12, FALSE), VLOOKUP($C162, 'NFI 2020'!$C$3:$J$282, 7, FALSE)), "")</f>
        <v>0</v>
      </c>
      <c r="L162" s="14"/>
      <c r="M162" s="70"/>
      <c r="N162" s="70"/>
      <c r="O162" s="5"/>
      <c r="R162" s="8"/>
      <c r="S162" s="8"/>
    </row>
    <row r="163" spans="1:19" x14ac:dyDescent="0.25">
      <c r="A163" s="26" t="s">
        <v>454</v>
      </c>
      <c r="B163" t="s">
        <v>16</v>
      </c>
      <c r="C163" t="s">
        <v>16</v>
      </c>
      <c r="D163" s="20">
        <f>+VLOOKUP(B163, 'NATIONAL 2020'!$A$3:$B$41, 2, FALSE)</f>
        <v>0</v>
      </c>
      <c r="E163" s="181">
        <f>+IFERROR(IF($D163=0, VLOOKUP($C163, 'NATIONAL 2020'!$A$3:$M$40, 7, FALSE), VLOOKUP($C163, 'NFI 2020'!$C$3:$J$282, 2, FALSE)), "")</f>
        <v>3903000</v>
      </c>
      <c r="F163" s="111">
        <f>+IFERROR(IF($D163=0, VLOOKUP($C163, 'NATIONAL 2020'!$A$3:$M$40, 8, FALSE), VLOOKUP($C163, 'NFI 2020'!$C$3:$J$282, 3, FALSE)), "")</f>
        <v>3594660</v>
      </c>
      <c r="G163" s="196">
        <f>+IFERROR(IF($D163=0, VLOOKUP($C163, 'NATIONAL 2020'!$A$3:$M$40, 9, FALSE), VLOOKUP($C163, 'NFI 2020'!$C$3:$J$282, 4, FALSE)), "")</f>
        <v>308340</v>
      </c>
      <c r="H163" s="181">
        <f>+IFERROR(IF($D163=0, VLOOKUP($C163, 'NATIONAL 2020'!$A$3:$M$40, 10, FALSE), VLOOKUP($C163, 'NFI 2020'!$C$3:$J$282, 5, FALSE)), "")</f>
        <v>202151473.27700347</v>
      </c>
      <c r="I163" s="213">
        <f>+IFERROR(IF($D163=0, VLOOKUP($C163, 'NATIONAL 2020'!$A$3:$M$40, 13, FALSE), VLOOKUP($C163, 'NFI 2020'!$C$3:$J$282, 8, FALSE)), "")</f>
        <v>51.793869658468736</v>
      </c>
      <c r="J163" s="111">
        <f>+IFERROR(IF($D163=0, VLOOKUP($C163, 'NATIONAL 2020'!$A$3:$M$40, 11, FALSE), VLOOKUP($C163, 'NFI 2020'!$C$3:$J$282, 6, FALSE)), "")</f>
        <v>185760813.28157076</v>
      </c>
      <c r="K163" s="196">
        <f>+IFERROR(IF($D163=0, VLOOKUP($C163, 'NATIONAL 2020'!$A$3:$M$40, 12, FALSE), VLOOKUP($C163, 'NFI 2020'!$C$3:$J$282, 7, FALSE)), "")</f>
        <v>16390659.995432705</v>
      </c>
      <c r="L163" s="14"/>
      <c r="M163" s="70"/>
      <c r="N163" s="70"/>
      <c r="O163" s="5"/>
      <c r="R163" s="8"/>
      <c r="S163" s="8"/>
    </row>
    <row r="164" spans="1:19" x14ac:dyDescent="0.25">
      <c r="A164" s="26" t="s">
        <v>454</v>
      </c>
      <c r="B164" s="108" t="str">
        <f>+LEFT(C164, 2)</f>
        <v>GR</v>
      </c>
      <c r="C164" s="215" t="s">
        <v>486</v>
      </c>
      <c r="D164" s="20">
        <v>1</v>
      </c>
      <c r="E164" s="181">
        <f>+IFERROR(IF($D164=0, VLOOKUP($C164, 'NATIONAL 2020'!$A$3:$M$40, 7, FALSE), VLOOKUP($C164, 'NFI 2020'!$C$3:$J$282, 2, FALSE)), "")</f>
        <v>2158000</v>
      </c>
      <c r="F164" s="111" t="str">
        <f>+IFERROR(IF($D164=0, VLOOKUP($C164, 'NATIONAL 2020'!$A$3:$M$40, 8, FALSE), VLOOKUP($C164, 'NFI 2020'!$C$3:$J$282, 3, FALSE)), "")</f>
        <v/>
      </c>
      <c r="G164" s="196" t="str">
        <f>+IFERROR(IF($D164=0, VLOOKUP($C164, 'NATIONAL 2020'!$A$3:$M$40, 9, FALSE), VLOOKUP($C164, 'NFI 2020'!$C$3:$J$282, 4, FALSE)), "")</f>
        <v/>
      </c>
      <c r="H164" s="181">
        <f>+IFERROR(IF($D164=0, VLOOKUP($C164, 'NATIONAL 2020'!$A$3:$M$40, 10, FALSE), VLOOKUP($C164, 'NFI 2020'!$C$3:$J$282, 5, FALSE)), "")</f>
        <v>68560594.414552912</v>
      </c>
      <c r="I164" s="213">
        <f>+IFERROR(IF($D164=0, VLOOKUP($C164, 'NATIONAL 2020'!$A$3:$M$40, 13, FALSE), VLOOKUP($C164, 'NFI 2020'!$C$3:$J$282, 8, FALSE)), "")</f>
        <v>31.770433000256215</v>
      </c>
      <c r="J164" s="111" t="str">
        <f>+IFERROR(IF($D164=0, VLOOKUP($C164, 'NATIONAL 2020'!$A$3:$M$40, 11, FALSE), VLOOKUP($C164, 'NFI 2020'!$C$3:$J$282, 6, FALSE)), "")</f>
        <v/>
      </c>
      <c r="K164" s="196" t="str">
        <f>+IFERROR(IF($D164=0, VLOOKUP($C164, 'NATIONAL 2020'!$A$3:$M$40, 12, FALSE), VLOOKUP($C164, 'NFI 2020'!$C$3:$J$282, 7, FALSE)), "")</f>
        <v/>
      </c>
      <c r="L164" s="14"/>
      <c r="M164" s="70"/>
      <c r="N164" s="70"/>
      <c r="R164" s="8"/>
      <c r="S164" s="8"/>
    </row>
    <row r="165" spans="1:19" x14ac:dyDescent="0.25">
      <c r="A165" s="26" t="s">
        <v>454</v>
      </c>
      <c r="B165" s="108" t="str">
        <f>+LEFT(C165, 2)</f>
        <v>GR</v>
      </c>
      <c r="C165" s="215" t="s">
        <v>435</v>
      </c>
      <c r="D165" s="20">
        <v>1</v>
      </c>
      <c r="E165" s="181">
        <f>+IFERROR(IF($D165=0, VLOOKUP($C165, 'NATIONAL 2020'!$A$3:$M$40, 7, FALSE), VLOOKUP($C165, 'NFI 2020'!$C$3:$J$282, 2, FALSE)), "")</f>
        <v>1745000</v>
      </c>
      <c r="F165" s="111" t="str">
        <f>+IFERROR(IF($D165=0, VLOOKUP($C165, 'NATIONAL 2020'!$A$3:$M$40, 8, FALSE), VLOOKUP($C165, 'NFI 2020'!$C$3:$J$282, 3, FALSE)), "")</f>
        <v/>
      </c>
      <c r="G165" s="196" t="str">
        <f>+IFERROR(IF($D165=0, VLOOKUP($C165, 'NATIONAL 2020'!$A$3:$M$40, 9, FALSE), VLOOKUP($C165, 'NFI 2020'!$C$3:$J$282, 4, FALSE)), "")</f>
        <v/>
      </c>
      <c r="H165" s="181">
        <f>+IFERROR(IF($D165=0, VLOOKUP($C165, 'NATIONAL 2020'!$A$3:$M$40, 10, FALSE), VLOOKUP($C165, 'NFI 2020'!$C$3:$J$282, 5, FALSE)), "")</f>
        <v>133590878.86245054</v>
      </c>
      <c r="I165" s="213">
        <f>+IFERROR(IF($D165=0, VLOOKUP($C165, 'NATIONAL 2020'!$A$3:$M$40, 13, FALSE), VLOOKUP($C165, 'NFI 2020'!$C$3:$J$282, 8, FALSE)), "")</f>
        <v>76.556377571604898</v>
      </c>
      <c r="J165" s="111" t="str">
        <f>+IFERROR(IF($D165=0, VLOOKUP($C165, 'NATIONAL 2020'!$A$3:$M$40, 11, FALSE), VLOOKUP($C165, 'NFI 2020'!$C$3:$J$282, 6, FALSE)), "")</f>
        <v/>
      </c>
      <c r="K165" s="196" t="str">
        <f>+IFERROR(IF($D165=0, VLOOKUP($C165, 'NATIONAL 2020'!$A$3:$M$40, 12, FALSE), VLOOKUP($C165, 'NFI 2020'!$C$3:$J$282, 7, FALSE)), "")</f>
        <v/>
      </c>
      <c r="L165" s="14"/>
      <c r="M165" s="70"/>
      <c r="N165" s="70"/>
      <c r="R165" s="8"/>
      <c r="S165" s="8"/>
    </row>
    <row r="166" spans="1:19" x14ac:dyDescent="0.25">
      <c r="A166" s="26" t="s">
        <v>323</v>
      </c>
      <c r="B166" s="1" t="s">
        <v>17</v>
      </c>
      <c r="C166" s="1" t="s">
        <v>17</v>
      </c>
      <c r="D166" s="20">
        <v>0</v>
      </c>
      <c r="E166" s="181">
        <f>+IFERROR(IF($D166=0, VLOOKUP($C166, 'NATIONAL 2020'!$A$3:$M$40, 7, FALSE), VLOOKUP($C166, 'NFI 2020'!$C$3:$J$282, 2, FALSE)), "")</f>
        <v>2477994.1582182217</v>
      </c>
      <c r="F166" s="111">
        <f>+IFERROR(IF($D166=0, VLOOKUP($C166, 'NATIONAL 2020'!$A$3:$M$40, 8, FALSE), VLOOKUP($C166, 'NFI 2020'!$C$3:$J$282, 3, FALSE)), "")</f>
        <v>2226745.6826560902</v>
      </c>
      <c r="G166" s="196">
        <f>+IFERROR(IF($D166=0, VLOOKUP($C166, 'NATIONAL 2020'!$A$3:$M$40, 9, FALSE), VLOOKUP($C166, 'NFI 2020'!$C$3:$J$282, 4, FALSE)), "")</f>
        <v>251248.4755621315</v>
      </c>
      <c r="H166" s="181">
        <f>+IFERROR(IF($D166=0, VLOOKUP($C166, 'NATIONAL 2020'!$A$3:$M$40, 10, FALSE), VLOOKUP($C166, 'NFI 2020'!$C$3:$J$282, 5, FALSE)), "")</f>
        <v>470410376.16506064</v>
      </c>
      <c r="I166" s="213">
        <f>+IFERROR(IF($D166=0, VLOOKUP($C166, 'NATIONAL 2020'!$A$3:$M$40, 13, FALSE), VLOOKUP($C166, 'NFI 2020'!$C$3:$J$282, 8, FALSE)), "")</f>
        <v>189.83514331740992</v>
      </c>
      <c r="J166" s="111">
        <f>+IFERROR(IF($D166=0, VLOOKUP($C166, 'NATIONAL 2020'!$A$3:$M$40, 11, FALSE), VLOOKUP($C166, 'NFI 2020'!$C$3:$J$282, 6, FALSE)), "")</f>
        <v>443070154.17129058</v>
      </c>
      <c r="K166" s="196">
        <f>+IFERROR(IF($D166=0, VLOOKUP($C166, 'NATIONAL 2020'!$A$3:$M$40, 12, FALSE), VLOOKUP($C166, 'NFI 2020'!$C$3:$J$282, 7, FALSE)), "")</f>
        <v>27340221.993770063</v>
      </c>
      <c r="L166" s="14"/>
      <c r="M166" s="70"/>
      <c r="N166" s="70"/>
      <c r="R166" s="8"/>
      <c r="S166" s="8"/>
    </row>
    <row r="167" spans="1:19" x14ac:dyDescent="0.25">
      <c r="A167" s="26" t="s">
        <v>323</v>
      </c>
      <c r="B167" s="1" t="s">
        <v>17</v>
      </c>
      <c r="C167" s="215" t="s">
        <v>487</v>
      </c>
      <c r="D167" s="20">
        <v>2</v>
      </c>
      <c r="E167" s="181">
        <f>+IFERROR(IF($D167=0, VLOOKUP($C167, 'NATIONAL 2020'!$A$3:$M$40, 7, FALSE), VLOOKUP($C167, 'NFI 2020'!$C$3:$J$282, 2, FALSE)), "")</f>
        <v>1162888.6779425235</v>
      </c>
      <c r="F167" s="111" t="str">
        <f>+IFERROR(IF($D167=0, VLOOKUP($C167, 'NATIONAL 2020'!$A$3:$M$40, 8, FALSE), VLOOKUP($C167, 'NFI 2020'!$C$3:$J$282, 3, FALSE)), "")</f>
        <v/>
      </c>
      <c r="G167" s="196" t="str">
        <f>+IFERROR(IF($D167=0, VLOOKUP($C167, 'NATIONAL 2020'!$A$3:$M$40, 9, FALSE), VLOOKUP($C167, 'NFI 2020'!$C$3:$J$282, 4, FALSE)), "")</f>
        <v/>
      </c>
      <c r="H167" s="181">
        <f>+IFERROR(IF($D167=0, VLOOKUP($C167, 'NATIONAL 2020'!$A$3:$M$40, 10, FALSE), VLOOKUP($C167, 'NFI 2020'!$C$3:$J$282, 5, FALSE)), "")</f>
        <v>153232700.29062557</v>
      </c>
      <c r="I167" s="213">
        <f>+IFERROR(IF($D167=0, VLOOKUP($C167, 'NATIONAL 2020'!$A$3:$M$40, 13, FALSE), VLOOKUP($C167, 'NFI 2020'!$C$3:$J$282, 8, FALSE)), "")</f>
        <v>131.76901899306236</v>
      </c>
      <c r="J167" s="111" t="str">
        <f>+IFERROR(IF($D167=0, VLOOKUP($C167, 'NATIONAL 2020'!$A$3:$M$40, 11, FALSE), VLOOKUP($C167, 'NFI 2020'!$C$3:$J$282, 6, FALSE)), "")</f>
        <v/>
      </c>
      <c r="K167" s="196" t="str">
        <f>+IFERROR(IF($D167=0, VLOOKUP($C167, 'NATIONAL 2020'!$A$3:$M$40, 12, FALSE), VLOOKUP($C167, 'NFI 2020'!$C$3:$J$282, 7, FALSE)), "")</f>
        <v/>
      </c>
      <c r="L167" s="14"/>
      <c r="M167" s="70"/>
      <c r="N167" s="70"/>
      <c r="R167" s="8"/>
      <c r="S167" s="8"/>
    </row>
    <row r="168" spans="1:19" x14ac:dyDescent="0.25">
      <c r="A168" s="26" t="s">
        <v>323</v>
      </c>
      <c r="B168" s="1" t="s">
        <v>17</v>
      </c>
      <c r="C168" s="1" t="s">
        <v>488</v>
      </c>
      <c r="D168" s="20">
        <f>+VLOOKUP(B168, 'NATIONAL 2020'!$A$3:$B$41, 2, FALSE)</f>
        <v>2</v>
      </c>
      <c r="E168" s="181">
        <f>+IFERROR(IF($D168=0, VLOOKUP($C168, 'NATIONAL 2020'!$A$3:$M$40, 7, FALSE), VLOOKUP($C168, 'NFI 2020'!$C$3:$J$282, 2, FALSE)), "")</f>
        <v>1315105.480275698</v>
      </c>
      <c r="F168" s="111" t="str">
        <f>+IFERROR(IF($D168=0, VLOOKUP($C168, 'NATIONAL 2020'!$A$3:$M$40, 8, FALSE), VLOOKUP($C168, 'NFI 2020'!$C$3:$J$282, 3, FALSE)), "")</f>
        <v/>
      </c>
      <c r="G168" s="196" t="str">
        <f>+IFERROR(IF($D168=0, VLOOKUP($C168, 'NATIONAL 2020'!$A$3:$M$40, 9, FALSE), VLOOKUP($C168, 'NFI 2020'!$C$3:$J$282, 4, FALSE)), "")</f>
        <v/>
      </c>
      <c r="H168" s="181">
        <f>+IFERROR(IF($D168=0, VLOOKUP($C168, 'NATIONAL 2020'!$A$3:$M$40, 10, FALSE), VLOOKUP($C168, 'NFI 2020'!$C$3:$J$282, 5, FALSE)), "")</f>
        <v>317177675.87443507</v>
      </c>
      <c r="I168" s="213">
        <f>+IFERROR(IF($D168=0, VLOOKUP($C168, 'NATIONAL 2020'!$A$3:$M$40, 13, FALSE), VLOOKUP($C168, 'NFI 2020'!$C$3:$J$282, 8, FALSE)), "")</f>
        <v>241.18040767949816</v>
      </c>
      <c r="J168" s="111" t="str">
        <f>+IFERROR(IF($D168=0, VLOOKUP($C168, 'NATIONAL 2020'!$A$3:$M$40, 11, FALSE), VLOOKUP($C168, 'NFI 2020'!$C$3:$J$282, 6, FALSE)), "")</f>
        <v/>
      </c>
      <c r="K168" s="196" t="str">
        <f>+IFERROR(IF($D168=0, VLOOKUP($C168, 'NATIONAL 2020'!$A$3:$M$40, 12, FALSE), VLOOKUP($C168, 'NFI 2020'!$C$3:$J$282, 7, FALSE)), "")</f>
        <v/>
      </c>
      <c r="L168" s="14"/>
      <c r="M168" s="70"/>
      <c r="N168" s="70"/>
      <c r="O168" s="37"/>
      <c r="R168" s="8"/>
      <c r="S168" s="8"/>
    </row>
    <row r="169" spans="1:19" x14ac:dyDescent="0.25">
      <c r="A169" s="26" t="s">
        <v>246</v>
      </c>
      <c r="B169" s="1" t="s">
        <v>18</v>
      </c>
      <c r="C169" s="1" t="s">
        <v>18</v>
      </c>
      <c r="D169" s="20">
        <v>0</v>
      </c>
      <c r="E169" s="181">
        <f>+IFERROR(IF($D169=0, VLOOKUP($C169, 'NATIONAL 2020'!$A$3:$M$40, 7, FALSE), VLOOKUP($C169, 'NFI 2020'!$C$3:$J$282, 2, FALSE)), "")</f>
        <v>2147296</v>
      </c>
      <c r="F169" s="111">
        <f>+IFERROR(IF($D169=0, VLOOKUP($C169, 'NATIONAL 2020'!$A$3:$M$40, 8, FALSE), VLOOKUP($C169, 'NFI 2020'!$C$3:$J$282, 3, FALSE)), "")</f>
        <v>1972063.8147525678</v>
      </c>
      <c r="G169" s="196">
        <f>+IFERROR(IF($D169=0, VLOOKUP($C169, 'NATIONAL 2020'!$A$3:$M$40, 9, FALSE), VLOOKUP($C169, 'NFI 2020'!$C$3:$J$282, 4, FALSE)), "")</f>
        <v>175232.1852474323</v>
      </c>
      <c r="H169" s="181">
        <f>+IFERROR(IF($D169=0, VLOOKUP($C169, 'NATIONAL 2020'!$A$3:$M$40, 10, FALSE), VLOOKUP($C169, 'NFI 2020'!$C$3:$J$282, 5, FALSE)), "")</f>
        <v>318993315.57516211</v>
      </c>
      <c r="I169" s="213">
        <f>+IFERROR(IF($D169=0, VLOOKUP($C169, 'NATIONAL 2020'!$A$3:$M$40, 13, FALSE), VLOOKUP($C169, 'NFI 2020'!$C$3:$J$282, 8, FALSE)), "")</f>
        <v>148.55581884153938</v>
      </c>
      <c r="J169" s="111">
        <f>+IFERROR(IF($D169=0, VLOOKUP($C169, 'NATIONAL 2020'!$A$3:$M$40, 11, FALSE), VLOOKUP($C169, 'NFI 2020'!$C$3:$J$282, 6, FALSE)), "")</f>
        <v>306371112.57789451</v>
      </c>
      <c r="K169" s="196">
        <f>+IFERROR(IF($D169=0, VLOOKUP($C169, 'NATIONAL 2020'!$A$3:$M$40, 12, FALSE), VLOOKUP($C169, 'NFI 2020'!$C$3:$J$282, 7, FALSE)), "")</f>
        <v>12622202.997267647</v>
      </c>
      <c r="L169" s="14"/>
      <c r="M169" s="70"/>
      <c r="N169" s="70"/>
      <c r="R169" s="8"/>
      <c r="S169" s="8"/>
    </row>
    <row r="170" spans="1:19" x14ac:dyDescent="0.25">
      <c r="A170" s="26" t="s">
        <v>246</v>
      </c>
      <c r="B170" s="108" t="str">
        <f t="shared" ref="B170:B189" si="7">+LEFT(C170, 2)</f>
        <v>HU</v>
      </c>
      <c r="C170" s="216" t="s">
        <v>301</v>
      </c>
      <c r="D170" s="20">
        <f>+VLOOKUP(B170, 'NATIONAL 2020'!$A$3:$B$41, 2, FALSE)</f>
        <v>3</v>
      </c>
      <c r="E170" s="181">
        <f>+IFERROR(IF($D170=0, VLOOKUP($C170, 'NATIONAL 2020'!$A$3:$M$40, 7, FALSE), VLOOKUP($C170, 'NFI 2020'!$C$3:$J$282, 2, FALSE)), "")</f>
        <v>6014.8347338935573</v>
      </c>
      <c r="F170" s="111">
        <f>+IFERROR(IF($D170=0, VLOOKUP($C170, 'NATIONAL 2020'!$A$3:$M$40, 8, FALSE), VLOOKUP($C170, 'NFI 2020'!$C$3:$J$282, 3, FALSE)), "")</f>
        <v>3608.9008403361345</v>
      </c>
      <c r="G170" s="196">
        <f>+IFERROR(IF($D170=0, VLOOKUP($C170, 'NATIONAL 2020'!$A$3:$M$40, 9, FALSE), VLOOKUP($C170, 'NFI 2020'!$C$3:$J$282, 4, FALSE)), "")</f>
        <v>2405.9338935574228</v>
      </c>
      <c r="H170" s="181">
        <f>+IFERROR(IF($D170=0, VLOOKUP($C170, 'NATIONAL 2020'!$A$3:$M$40, 10, FALSE), VLOOKUP($C170, 'NFI 2020'!$C$3:$J$282, 5, FALSE)), "")</f>
        <v>548370.08188308915</v>
      </c>
      <c r="I170" s="213">
        <f>+IFERROR(IF($D170=0, VLOOKUP($C170, 'NATIONAL 2020'!$A$3:$M$40, 13, FALSE), VLOOKUP($C170, 'NFI 2020'!$C$3:$J$282, 8, FALSE)), "")</f>
        <v>91.169600852543311</v>
      </c>
      <c r="J170" s="111">
        <f>+IFERROR(IF($D170=0, VLOOKUP($C170, 'NATIONAL 2020'!$A$3:$M$40, 11, FALSE), VLOOKUP($C170, 'NFI 2020'!$C$3:$J$282, 6, FALSE)), "")</f>
        <v>434153.92012663424</v>
      </c>
      <c r="K170" s="196">
        <f>+IFERROR(IF($D170=0, VLOOKUP($C170, 'NATIONAL 2020'!$A$3:$M$40, 12, FALSE), VLOOKUP($C170, 'NFI 2020'!$C$3:$J$282, 7, FALSE)), "")</f>
        <v>114216.16175645488</v>
      </c>
      <c r="L170" s="14"/>
      <c r="M170" s="70"/>
      <c r="N170" s="70"/>
      <c r="O170" s="38"/>
      <c r="R170" s="8"/>
      <c r="S170" s="8"/>
    </row>
    <row r="171" spans="1:19" x14ac:dyDescent="0.25">
      <c r="A171" s="26" t="s">
        <v>246</v>
      </c>
      <c r="B171" s="108" t="str">
        <f t="shared" si="7"/>
        <v>HU</v>
      </c>
      <c r="C171" s="216" t="s">
        <v>302</v>
      </c>
      <c r="D171" s="20">
        <f>+VLOOKUP(B171, 'NATIONAL 2020'!$A$3:$B$41, 2, FALSE)</f>
        <v>3</v>
      </c>
      <c r="E171" s="181">
        <f>+IFERROR(IF($D171=0, VLOOKUP($C171, 'NATIONAL 2020'!$A$3:$M$40, 7, FALSE), VLOOKUP($C171, 'NFI 2020'!$C$3:$J$282, 2, FALSE)), "")</f>
        <v>172024.27338935575</v>
      </c>
      <c r="F171" s="111">
        <f>+IFERROR(IF($D171=0, VLOOKUP($C171, 'NATIONAL 2020'!$A$3:$M$40, 8, FALSE), VLOOKUP($C171, 'NFI 2020'!$C$3:$J$282, 3, FALSE)), "")</f>
        <v>149568.89038281978</v>
      </c>
      <c r="G171" s="196">
        <f>+IFERROR(IF($D171=0, VLOOKUP($C171, 'NATIONAL 2020'!$A$3:$M$40, 9, FALSE), VLOOKUP($C171, 'NFI 2020'!$C$3:$J$282, 4, FALSE)), "")</f>
        <v>22455.383006535951</v>
      </c>
      <c r="H171" s="181">
        <f>+IFERROR(IF($D171=0, VLOOKUP($C171, 'NATIONAL 2020'!$A$3:$M$40, 10, FALSE), VLOOKUP($C171, 'NFI 2020'!$C$3:$J$282, 5, FALSE)), "")</f>
        <v>21453187.062520169</v>
      </c>
      <c r="I171" s="213">
        <f>+IFERROR(IF($D171=0, VLOOKUP($C171, 'NATIONAL 2020'!$A$3:$M$40, 13, FALSE), VLOOKUP($C171, 'NFI 2020'!$C$3:$J$282, 8, FALSE)), "")</f>
        <v>124.71023210755568</v>
      </c>
      <c r="J171" s="111">
        <f>+IFERROR(IF($D171=0, VLOOKUP($C171, 'NATIONAL 2020'!$A$3:$M$40, 11, FALSE), VLOOKUP($C171, 'NFI 2020'!$C$3:$J$282, 6, FALSE)), "")</f>
        <v>20313229.336830989</v>
      </c>
      <c r="K171" s="196">
        <f>+IFERROR(IF($D171=0, VLOOKUP($C171, 'NATIONAL 2020'!$A$3:$M$40, 12, FALSE), VLOOKUP($C171, 'NFI 2020'!$C$3:$J$282, 7, FALSE)), "")</f>
        <v>1139957.7256891802</v>
      </c>
      <c r="L171" s="14"/>
      <c r="M171" s="70"/>
      <c r="N171" s="70"/>
      <c r="R171" s="8"/>
      <c r="S171" s="8"/>
    </row>
    <row r="172" spans="1:19" x14ac:dyDescent="0.25">
      <c r="A172" s="26" t="s">
        <v>246</v>
      </c>
      <c r="B172" s="108" t="str">
        <f t="shared" si="7"/>
        <v>HU</v>
      </c>
      <c r="C172" s="216" t="s">
        <v>280</v>
      </c>
      <c r="D172" s="20">
        <f>+VLOOKUP(B172, 'NATIONAL 2020'!$A$3:$B$41, 2, FALSE)</f>
        <v>3</v>
      </c>
      <c r="E172" s="181">
        <f>+IFERROR(IF($D172=0, VLOOKUP($C172, 'NATIONAL 2020'!$A$3:$M$40, 7, FALSE), VLOOKUP($C172, 'NFI 2020'!$C$3:$J$282, 2, FALSE)), "")</f>
        <v>60549.336321195144</v>
      </c>
      <c r="F172" s="111">
        <f>+IFERROR(IF($D172=0, VLOOKUP($C172, 'NATIONAL 2020'!$A$3:$M$40, 8, FALSE), VLOOKUP($C172, 'NFI 2020'!$C$3:$J$282, 3, FALSE)), "")</f>
        <v>50925.600746965458</v>
      </c>
      <c r="G172" s="196">
        <f>+IFERROR(IF($D172=0, VLOOKUP($C172, 'NATIONAL 2020'!$A$3:$M$40, 9, FALSE), VLOOKUP($C172, 'NFI 2020'!$C$3:$J$282, 4, FALSE)), "")</f>
        <v>9623.7355742296913</v>
      </c>
      <c r="H172" s="181">
        <f>+IFERROR(IF($D172=0, VLOOKUP($C172, 'NATIONAL 2020'!$A$3:$M$40, 10, FALSE), VLOOKUP($C172, 'NFI 2020'!$C$3:$J$282, 5, FALSE)), "")</f>
        <v>7908973.0231492296</v>
      </c>
      <c r="I172" s="213">
        <f>+IFERROR(IF($D172=0, VLOOKUP($C172, 'NATIONAL 2020'!$A$3:$M$40, 13, FALSE), VLOOKUP($C172, 'NFI 2020'!$C$3:$J$282, 8, FALSE)), "")</f>
        <v>130.62030905169001</v>
      </c>
      <c r="J172" s="111">
        <f>+IFERROR(IF($D172=0, VLOOKUP($C172, 'NATIONAL 2020'!$A$3:$M$40, 11, FALSE), VLOOKUP($C172, 'NFI 2020'!$C$3:$J$282, 6, FALSE)), "")</f>
        <v>7479091.1696017822</v>
      </c>
      <c r="K172" s="196">
        <f>+IFERROR(IF($D172=0, VLOOKUP($C172, 'NATIONAL 2020'!$A$3:$M$40, 12, FALSE), VLOOKUP($C172, 'NFI 2020'!$C$3:$J$282, 7, FALSE)), "")</f>
        <v>429881.85354744719</v>
      </c>
      <c r="L172" s="14"/>
      <c r="M172" s="70"/>
      <c r="N172" s="70"/>
      <c r="R172" s="8"/>
      <c r="S172" s="8"/>
    </row>
    <row r="173" spans="1:19" x14ac:dyDescent="0.25">
      <c r="A173" s="26" t="s">
        <v>246</v>
      </c>
      <c r="B173" s="108" t="str">
        <f t="shared" si="7"/>
        <v>HU</v>
      </c>
      <c r="C173" s="216" t="s">
        <v>281</v>
      </c>
      <c r="D173" s="20">
        <f>+VLOOKUP(B173, 'NATIONAL 2020'!$A$3:$B$41, 2, FALSE)</f>
        <v>3</v>
      </c>
      <c r="E173" s="181">
        <f>+IFERROR(IF($D173=0, VLOOKUP($C173, 'NATIONAL 2020'!$A$3:$M$40, 7, FALSE), VLOOKUP($C173, 'NFI 2020'!$C$3:$J$282, 2, FALSE)), "")</f>
        <v>78593.84052287582</v>
      </c>
      <c r="F173" s="111">
        <f>+IFERROR(IF($D173=0, VLOOKUP($C173, 'NATIONAL 2020'!$A$3:$M$40, 8, FALSE), VLOOKUP($C173, 'NFI 2020'!$C$3:$J$282, 3, FALSE)), "")</f>
        <v>64559.226143790846</v>
      </c>
      <c r="G173" s="196">
        <f>+IFERROR(IF($D173=0, VLOOKUP($C173, 'NATIONAL 2020'!$A$3:$M$40, 9, FALSE), VLOOKUP($C173, 'NFI 2020'!$C$3:$J$282, 4, FALSE)), "")</f>
        <v>14034.614379084967</v>
      </c>
      <c r="H173" s="181">
        <f>+IFERROR(IF($D173=0, VLOOKUP($C173, 'NATIONAL 2020'!$A$3:$M$40, 10, FALSE), VLOOKUP($C173, 'NFI 2020'!$C$3:$J$282, 5, FALSE)), "")</f>
        <v>12579495.524170309</v>
      </c>
      <c r="I173" s="213">
        <f>+IFERROR(IF($D173=0, VLOOKUP($C173, 'NATIONAL 2020'!$A$3:$M$40, 13, FALSE), VLOOKUP($C173, 'NFI 2020'!$C$3:$J$282, 8, FALSE)), "")</f>
        <v>160.05701516149824</v>
      </c>
      <c r="J173" s="111">
        <f>+IFERROR(IF($D173=0, VLOOKUP($C173, 'NATIONAL 2020'!$A$3:$M$40, 11, FALSE), VLOOKUP($C173, 'NFI 2020'!$C$3:$J$282, 6, FALSE)), "")</f>
        <v>11641124.968808904</v>
      </c>
      <c r="K173" s="196">
        <f>+IFERROR(IF($D173=0, VLOOKUP($C173, 'NATIONAL 2020'!$A$3:$M$40, 12, FALSE), VLOOKUP($C173, 'NFI 2020'!$C$3:$J$282, 7, FALSE)), "")</f>
        <v>938370.5553614035</v>
      </c>
      <c r="L173" s="14"/>
      <c r="M173" s="70"/>
      <c r="N173" s="70"/>
      <c r="O173" s="38"/>
      <c r="R173" s="8"/>
      <c r="S173" s="8"/>
    </row>
    <row r="174" spans="1:19" x14ac:dyDescent="0.25">
      <c r="A174" s="26" t="s">
        <v>246</v>
      </c>
      <c r="B174" s="108" t="str">
        <f t="shared" si="7"/>
        <v>HU</v>
      </c>
      <c r="C174" s="216" t="s">
        <v>282</v>
      </c>
      <c r="D174" s="20">
        <f>+VLOOKUP(B174, 'NATIONAL 2020'!$A$3:$B$41, 2, FALSE)</f>
        <v>3</v>
      </c>
      <c r="E174" s="181">
        <f>+IFERROR(IF($D174=0, VLOOKUP($C174, 'NATIONAL 2020'!$A$3:$M$40, 7, FALSE), VLOOKUP($C174, 'NFI 2020'!$C$3:$J$282, 2, FALSE)), "")</f>
        <v>149568.89038281981</v>
      </c>
      <c r="F174" s="111">
        <f>+IFERROR(IF($D174=0, VLOOKUP($C174, 'NATIONAL 2020'!$A$3:$M$40, 8, FALSE), VLOOKUP($C174, 'NFI 2020'!$C$3:$J$282, 3, FALSE)), "")</f>
        <v>138341.19887955181</v>
      </c>
      <c r="G174" s="196">
        <f>+IFERROR(IF($D174=0, VLOOKUP($C174, 'NATIONAL 2020'!$A$3:$M$40, 9, FALSE), VLOOKUP($C174, 'NFI 2020'!$C$3:$J$282, 4, FALSE)), "")</f>
        <v>11227.691503267975</v>
      </c>
      <c r="H174" s="181">
        <f>+IFERROR(IF($D174=0, VLOOKUP($C174, 'NATIONAL 2020'!$A$3:$M$40, 10, FALSE), VLOOKUP($C174, 'NFI 2020'!$C$3:$J$282, 5, FALSE)), "")</f>
        <v>26185824.082816146</v>
      </c>
      <c r="I174" s="213">
        <f>+IFERROR(IF($D174=0, VLOOKUP($C174, 'NATIONAL 2020'!$A$3:$M$40, 13, FALSE), VLOOKUP($C174, 'NFI 2020'!$C$3:$J$282, 8, FALSE)), "")</f>
        <v>175.07533829925353</v>
      </c>
      <c r="J174" s="111">
        <f>+IFERROR(IF($D174=0, VLOOKUP($C174, 'NATIONAL 2020'!$A$3:$M$40, 11, FALSE), VLOOKUP($C174, 'NFI 2020'!$C$3:$J$282, 6, FALSE)), "")</f>
        <v>25451497.191462811</v>
      </c>
      <c r="K174" s="196">
        <f>+IFERROR(IF($D174=0, VLOOKUP($C174, 'NATIONAL 2020'!$A$3:$M$40, 12, FALSE), VLOOKUP($C174, 'NFI 2020'!$C$3:$J$282, 7, FALSE)), "")</f>
        <v>734326.8913533329</v>
      </c>
      <c r="L174" s="14"/>
      <c r="M174" s="70"/>
      <c r="N174" s="70"/>
      <c r="O174" s="16"/>
      <c r="R174" s="8"/>
      <c r="S174" s="8"/>
    </row>
    <row r="175" spans="1:19" x14ac:dyDescent="0.25">
      <c r="A175" s="26" t="s">
        <v>246</v>
      </c>
      <c r="B175" s="108" t="str">
        <f t="shared" si="7"/>
        <v>HU</v>
      </c>
      <c r="C175" s="216" t="s">
        <v>283</v>
      </c>
      <c r="D175" s="20">
        <f>+VLOOKUP(B175, 'NATIONAL 2020'!$A$3:$B$41, 2, FALSE)</f>
        <v>3</v>
      </c>
      <c r="E175" s="181">
        <f>+IFERROR(IF($D175=0, VLOOKUP($C175, 'NATIONAL 2020'!$A$3:$M$40, 7, FALSE), VLOOKUP($C175, 'NFI 2020'!$C$3:$J$282, 2, FALSE)), "")</f>
        <v>82603.730345471515</v>
      </c>
      <c r="F175" s="111">
        <f>+IFERROR(IF($D175=0, VLOOKUP($C175, 'NATIONAL 2020'!$A$3:$M$40, 8, FALSE), VLOOKUP($C175, 'NFI 2020'!$C$3:$J$282, 3, FALSE)), "")</f>
        <v>77390.873576097089</v>
      </c>
      <c r="G175" s="196">
        <f>+IFERROR(IF($D175=0, VLOOKUP($C175, 'NATIONAL 2020'!$A$3:$M$40, 9, FALSE), VLOOKUP($C175, 'NFI 2020'!$C$3:$J$282, 4, FALSE)), "")</f>
        <v>5212.8567693744162</v>
      </c>
      <c r="H175" s="181">
        <f>+IFERROR(IF($D175=0, VLOOKUP($C175, 'NATIONAL 2020'!$A$3:$M$40, 10, FALSE), VLOOKUP($C175, 'NFI 2020'!$C$3:$J$282, 5, FALSE)), "")</f>
        <v>11965227.804993246</v>
      </c>
      <c r="I175" s="213">
        <f>+IFERROR(IF($D175=0, VLOOKUP($C175, 'NATIONAL 2020'!$A$3:$M$40, 13, FALSE), VLOOKUP($C175, 'NFI 2020'!$C$3:$J$282, 8, FALSE)), "")</f>
        <v>144.85093778393994</v>
      </c>
      <c r="J175" s="111">
        <f>+IFERROR(IF($D175=0, VLOOKUP($C175, 'NATIONAL 2020'!$A$3:$M$40, 11, FALSE), VLOOKUP($C175, 'NFI 2020'!$C$3:$J$282, 6, FALSE)), "")</f>
        <v>11620349.439099327</v>
      </c>
      <c r="K175" s="196">
        <f>+IFERROR(IF($D175=0, VLOOKUP($C175, 'NATIONAL 2020'!$A$3:$M$40, 12, FALSE), VLOOKUP($C175, 'NFI 2020'!$C$3:$J$282, 7, FALSE)), "")</f>
        <v>344878.36589391896</v>
      </c>
      <c r="L175" s="14"/>
      <c r="M175" s="70"/>
      <c r="N175" s="70"/>
      <c r="R175" s="8"/>
      <c r="S175" s="8"/>
    </row>
    <row r="176" spans="1:19" x14ac:dyDescent="0.25">
      <c r="A176" s="26" t="s">
        <v>246</v>
      </c>
      <c r="B176" s="108" t="str">
        <f t="shared" si="7"/>
        <v>HU</v>
      </c>
      <c r="C176" s="216" t="s">
        <v>284</v>
      </c>
      <c r="D176" s="20">
        <f>+VLOOKUP(B176, 'NATIONAL 2020'!$A$3:$B$41, 2, FALSE)</f>
        <v>3</v>
      </c>
      <c r="E176" s="181">
        <f>+IFERROR(IF($D176=0, VLOOKUP($C176, 'NATIONAL 2020'!$A$3:$M$40, 7, FALSE), VLOOKUP($C176, 'NFI 2020'!$C$3:$J$282, 2, FALSE)), "")</f>
        <v>112276.91503267974</v>
      </c>
      <c r="F176" s="111">
        <f>+IFERROR(IF($D176=0, VLOOKUP($C176, 'NATIONAL 2020'!$A$3:$M$40, 8, FALSE), VLOOKUP($C176, 'NFI 2020'!$C$3:$J$282, 3, FALSE)), "")</f>
        <v>107866.03622782447</v>
      </c>
      <c r="G176" s="196">
        <f>+IFERROR(IF($D176=0, VLOOKUP($C176, 'NATIONAL 2020'!$A$3:$M$40, 9, FALSE), VLOOKUP($C176, 'NFI 2020'!$C$3:$J$282, 4, FALSE)), "")</f>
        <v>4410.8788048552751</v>
      </c>
      <c r="H176" s="181">
        <f>+IFERROR(IF($D176=0, VLOOKUP($C176, 'NATIONAL 2020'!$A$3:$M$40, 10, FALSE), VLOOKUP($C176, 'NFI 2020'!$C$3:$J$282, 5, FALSE)), "")</f>
        <v>21726744.944343645</v>
      </c>
      <c r="I176" s="213">
        <f>+IFERROR(IF($D176=0, VLOOKUP($C176, 'NATIONAL 2020'!$A$3:$M$40, 13, FALSE), VLOOKUP($C176, 'NFI 2020'!$C$3:$J$282, 8, FALSE)), "")</f>
        <v>193.51034839191811</v>
      </c>
      <c r="J176" s="111">
        <f>+IFERROR(IF($D176=0, VLOOKUP($C176, 'NATIONAL 2020'!$A$3:$M$40, 11, FALSE), VLOOKUP($C176, 'NFI 2020'!$C$3:$J$282, 6, FALSE)), "")</f>
        <v>20894492.261876822</v>
      </c>
      <c r="K176" s="196">
        <f>+IFERROR(IF($D176=0, VLOOKUP($C176, 'NATIONAL 2020'!$A$3:$M$40, 12, FALSE), VLOOKUP($C176, 'NFI 2020'!$C$3:$J$282, 7, FALSE)), "")</f>
        <v>832252.68246682337</v>
      </c>
      <c r="L176" s="14"/>
      <c r="M176" s="70"/>
      <c r="N176" s="70"/>
      <c r="R176" s="8"/>
      <c r="S176" s="8"/>
    </row>
    <row r="177" spans="1:19" x14ac:dyDescent="0.25">
      <c r="A177" s="26" t="s">
        <v>246</v>
      </c>
      <c r="B177" s="108" t="str">
        <f t="shared" si="7"/>
        <v>HU</v>
      </c>
      <c r="C177" s="216" t="s">
        <v>285</v>
      </c>
      <c r="D177" s="20">
        <f>+VLOOKUP(B177, 'NATIONAL 2020'!$A$3:$B$41, 2, FALSE)</f>
        <v>3</v>
      </c>
      <c r="E177" s="181">
        <f>+IFERROR(IF($D177=0, VLOOKUP($C177, 'NATIONAL 2020'!$A$3:$M$40, 7, FALSE), VLOOKUP($C177, 'NFI 2020'!$C$3:$J$282, 2, FALSE)), "")</f>
        <v>143153.06666666668</v>
      </c>
      <c r="F177" s="111">
        <f>+IFERROR(IF($D177=0, VLOOKUP($C177, 'NATIONAL 2020'!$A$3:$M$40, 8, FALSE), VLOOKUP($C177, 'NFI 2020'!$C$3:$J$282, 3, FALSE)), "")</f>
        <v>139143.17684407099</v>
      </c>
      <c r="G177" s="196">
        <f>+IFERROR(IF($D177=0, VLOOKUP($C177, 'NATIONAL 2020'!$A$3:$M$40, 9, FALSE), VLOOKUP($C177, 'NFI 2020'!$C$3:$J$282, 4, FALSE)), "")</f>
        <v>4009.8898225957055</v>
      </c>
      <c r="H177" s="181">
        <f>+IFERROR(IF($D177=0, VLOOKUP($C177, 'NATIONAL 2020'!$A$3:$M$40, 10, FALSE), VLOOKUP($C177, 'NFI 2020'!$C$3:$J$282, 5, FALSE)), "")</f>
        <v>29592577.533901401</v>
      </c>
      <c r="I177" s="213">
        <f>+IFERROR(IF($D177=0, VLOOKUP($C177, 'NATIONAL 2020'!$A$3:$M$40, 13, FALSE), VLOOKUP($C177, 'NFI 2020'!$C$3:$J$282, 8, FALSE)), "")</f>
        <v>206.71982950115913</v>
      </c>
      <c r="J177" s="111">
        <f>+IFERROR(IF($D177=0, VLOOKUP($C177, 'NATIONAL 2020'!$A$3:$M$40, 11, FALSE), VLOOKUP($C177, 'NFI 2020'!$C$3:$J$282, 6, FALSE)), "")</f>
        <v>29322908.572187703</v>
      </c>
      <c r="K177" s="196">
        <f>+IFERROR(IF($D177=0, VLOOKUP($C177, 'NATIONAL 2020'!$A$3:$M$40, 12, FALSE), VLOOKUP($C177, 'NFI 2020'!$C$3:$J$282, 7, FALSE)), "")</f>
        <v>269668.96171370102</v>
      </c>
      <c r="L177" s="14"/>
      <c r="M177" s="70"/>
      <c r="N177" s="70"/>
      <c r="R177" s="8"/>
      <c r="S177" s="8"/>
    </row>
    <row r="178" spans="1:19" x14ac:dyDescent="0.25">
      <c r="A178" s="26" t="s">
        <v>246</v>
      </c>
      <c r="B178" s="108" t="str">
        <f t="shared" si="7"/>
        <v>HU</v>
      </c>
      <c r="C178" s="216" t="s">
        <v>286</v>
      </c>
      <c r="D178" s="20">
        <f>+VLOOKUP(B178, 'NATIONAL 2020'!$A$3:$B$41, 2, FALSE)</f>
        <v>3</v>
      </c>
      <c r="E178" s="181">
        <f>+IFERROR(IF($D178=0, VLOOKUP($C178, 'NATIONAL 2020'!$A$3:$M$40, 7, FALSE), VLOOKUP($C178, 'NFI 2020'!$C$3:$J$282, 2, FALSE)), "")</f>
        <v>135534.27600373482</v>
      </c>
      <c r="F178" s="111">
        <f>+IFERROR(IF($D178=0, VLOOKUP($C178, 'NATIONAL 2020'!$A$3:$M$40, 8, FALSE), VLOOKUP($C178, 'NFI 2020'!$C$3:$J$282, 3, FALSE)), "")</f>
        <v>121098.67264239027</v>
      </c>
      <c r="G178" s="196">
        <f>+IFERROR(IF($D178=0, VLOOKUP($C178, 'NATIONAL 2020'!$A$3:$M$40, 9, FALSE), VLOOKUP($C178, 'NFI 2020'!$C$3:$J$282, 4, FALSE)), "")</f>
        <v>14435.603361344536</v>
      </c>
      <c r="H178" s="181">
        <f>+IFERROR(IF($D178=0, VLOOKUP($C178, 'NATIONAL 2020'!$A$3:$M$40, 10, FALSE), VLOOKUP($C178, 'NFI 2020'!$C$3:$J$282, 5, FALSE)), "")</f>
        <v>20877117.762614872</v>
      </c>
      <c r="I178" s="213">
        <f>+IFERROR(IF($D178=0, VLOOKUP($C178, 'NATIONAL 2020'!$A$3:$M$40, 13, FALSE), VLOOKUP($C178, 'NFI 2020'!$C$3:$J$282, 8, FALSE)), "")</f>
        <v>154.03570504954465</v>
      </c>
      <c r="J178" s="111">
        <f>+IFERROR(IF($D178=0, VLOOKUP($C178, 'NATIONAL 2020'!$A$3:$M$40, 11, FALSE), VLOOKUP($C178, 'NFI 2020'!$C$3:$J$282, 6, FALSE)), "")</f>
        <v>20366186.648333233</v>
      </c>
      <c r="K178" s="196">
        <f>+IFERROR(IF($D178=0, VLOOKUP($C178, 'NATIONAL 2020'!$A$3:$M$40, 12, FALSE), VLOOKUP($C178, 'NFI 2020'!$C$3:$J$282, 7, FALSE)), "")</f>
        <v>510931.11428164248</v>
      </c>
      <c r="L178" s="14"/>
      <c r="M178" s="70"/>
      <c r="N178" s="70"/>
      <c r="R178" s="8"/>
      <c r="S178" s="8"/>
    </row>
    <row r="179" spans="1:19" x14ac:dyDescent="0.25">
      <c r="A179" s="26" t="s">
        <v>246</v>
      </c>
      <c r="B179" s="108" t="str">
        <f t="shared" si="7"/>
        <v>HU</v>
      </c>
      <c r="C179" s="216" t="s">
        <v>287</v>
      </c>
      <c r="D179" s="20">
        <f>+VLOOKUP(B179, 'NATIONAL 2020'!$A$3:$B$41, 2, FALSE)</f>
        <v>3</v>
      </c>
      <c r="E179" s="181">
        <f>+IFERROR(IF($D179=0, VLOOKUP($C179, 'NATIONAL 2020'!$A$3:$M$40, 7, FALSE), VLOOKUP($C179, 'NFI 2020'!$C$3:$J$282, 2, FALSE)), "")</f>
        <v>196885.59028944912</v>
      </c>
      <c r="F179" s="111">
        <f>+IFERROR(IF($D179=0, VLOOKUP($C179, 'NATIONAL 2020'!$A$3:$M$40, 8, FALSE), VLOOKUP($C179, 'NFI 2020'!$C$3:$J$282, 3, FALSE)), "")</f>
        <v>185256.90980392156</v>
      </c>
      <c r="G179" s="196">
        <f>+IFERROR(IF($D179=0, VLOOKUP($C179, 'NATIONAL 2020'!$A$3:$M$40, 9, FALSE), VLOOKUP($C179, 'NFI 2020'!$C$3:$J$282, 4, FALSE)), "")</f>
        <v>11628.680485527544</v>
      </c>
      <c r="H179" s="181">
        <f>+IFERROR(IF($D179=0, VLOOKUP($C179, 'NATIONAL 2020'!$A$3:$M$40, 10, FALSE), VLOOKUP($C179, 'NFI 2020'!$C$3:$J$282, 5, FALSE)), "")</f>
        <v>33243135.114161756</v>
      </c>
      <c r="I179" s="213">
        <f>+IFERROR(IF($D179=0, VLOOKUP($C179, 'NATIONAL 2020'!$A$3:$M$40, 13, FALSE), VLOOKUP($C179, 'NFI 2020'!$C$3:$J$282, 8, FALSE)), "")</f>
        <v>168.8449371296789</v>
      </c>
      <c r="J179" s="111">
        <f>+IFERROR(IF($D179=0, VLOOKUP($C179, 'NATIONAL 2020'!$A$3:$M$40, 11, FALSE), VLOOKUP($C179, 'NFI 2020'!$C$3:$J$282, 6, FALSE)), "")</f>
        <v>32236204.523500863</v>
      </c>
      <c r="K179" s="196">
        <f>+IFERROR(IF($D179=0, VLOOKUP($C179, 'NATIONAL 2020'!$A$3:$M$40, 12, FALSE), VLOOKUP($C179, 'NFI 2020'!$C$3:$J$282, 7, FALSE)), "")</f>
        <v>1006930.5906608932</v>
      </c>
      <c r="L179" s="14"/>
      <c r="M179" s="70"/>
      <c r="N179" s="70"/>
      <c r="R179" s="8"/>
      <c r="S179" s="8"/>
    </row>
    <row r="180" spans="1:19" x14ac:dyDescent="0.25">
      <c r="A180" s="26" t="s">
        <v>246</v>
      </c>
      <c r="B180" s="108" t="str">
        <f t="shared" si="7"/>
        <v>HU</v>
      </c>
      <c r="C180" s="216" t="s">
        <v>288</v>
      </c>
      <c r="D180" s="20">
        <f>+VLOOKUP(B180, 'NATIONAL 2020'!$A$3:$B$41, 2, FALSE)</f>
        <v>3</v>
      </c>
      <c r="E180" s="181">
        <f>+IFERROR(IF($D180=0, VLOOKUP($C180, 'NATIONAL 2020'!$A$3:$M$40, 7, FALSE), VLOOKUP($C180, 'NFI 2020'!$C$3:$J$282, 2, FALSE)), "")</f>
        <v>80197.796451914095</v>
      </c>
      <c r="F180" s="111">
        <f>+IFERROR(IF($D180=0, VLOOKUP($C180, 'NATIONAL 2020'!$A$3:$M$40, 8, FALSE), VLOOKUP($C180, 'NFI 2020'!$C$3:$J$282, 3, FALSE)), "")</f>
        <v>77791.862558356661</v>
      </c>
      <c r="G180" s="196">
        <f>+IFERROR(IF($D180=0, VLOOKUP($C180, 'NATIONAL 2020'!$A$3:$M$40, 9, FALSE), VLOOKUP($C180, 'NFI 2020'!$C$3:$J$282, 4, FALSE)), "")</f>
        <v>2405.9338935574228</v>
      </c>
      <c r="H180" s="181">
        <f>+IFERROR(IF($D180=0, VLOOKUP($C180, 'NATIONAL 2020'!$A$3:$M$40, 10, FALSE), VLOOKUP($C180, 'NFI 2020'!$C$3:$J$282, 5, FALSE)), "")</f>
        <v>10391093.104123328</v>
      </c>
      <c r="I180" s="213">
        <f>+IFERROR(IF($D180=0, VLOOKUP($C180, 'NATIONAL 2020'!$A$3:$M$40, 13, FALSE), VLOOKUP($C180, 'NFI 2020'!$C$3:$J$282, 8, FALSE)), "")</f>
        <v>129.56831189687034</v>
      </c>
      <c r="J180" s="111">
        <f>+IFERROR(IF($D180=0, VLOOKUP($C180, 'NATIONAL 2020'!$A$3:$M$40, 11, FALSE), VLOOKUP($C180, 'NFI 2020'!$C$3:$J$282, 6, FALSE)), "")</f>
        <v>10219077.229760846</v>
      </c>
      <c r="K180" s="196">
        <f>+IFERROR(IF($D180=0, VLOOKUP($C180, 'NATIONAL 2020'!$A$3:$M$40, 12, FALSE), VLOOKUP($C180, 'NFI 2020'!$C$3:$J$282, 7, FALSE)), "")</f>
        <v>172015.87436248022</v>
      </c>
      <c r="L180" s="14"/>
      <c r="M180" s="70"/>
      <c r="N180" s="70"/>
      <c r="R180" s="8"/>
      <c r="S180" s="8"/>
    </row>
    <row r="181" spans="1:19" x14ac:dyDescent="0.25">
      <c r="A181" s="26" t="s">
        <v>246</v>
      </c>
      <c r="B181" s="108" t="str">
        <f t="shared" si="7"/>
        <v>HU</v>
      </c>
      <c r="C181" s="216" t="s">
        <v>289</v>
      </c>
      <c r="D181" s="20">
        <f>+VLOOKUP(B181, 'NATIONAL 2020'!$A$3:$B$41, 2, FALSE)</f>
        <v>3</v>
      </c>
      <c r="E181" s="181">
        <f>+IFERROR(IF($D181=0, VLOOKUP($C181, 'NATIONAL 2020'!$A$3:$M$40, 7, FALSE), VLOOKUP($C181, 'NFI 2020'!$C$3:$J$282, 2, FALSE)), "")</f>
        <v>240593.38935574229</v>
      </c>
      <c r="F181" s="111">
        <f>+IFERROR(IF($D181=0, VLOOKUP($C181, 'NATIONAL 2020'!$A$3:$M$40, 8, FALSE), VLOOKUP($C181, 'NFI 2020'!$C$3:$J$282, 3, FALSE)), "")</f>
        <v>207712.29281045753</v>
      </c>
      <c r="G181" s="196">
        <f>+IFERROR(IF($D181=0, VLOOKUP($C181, 'NATIONAL 2020'!$A$3:$M$40, 9, FALSE), VLOOKUP($C181, 'NFI 2020'!$C$3:$J$282, 4, FALSE)), "")</f>
        <v>32881.096545284781</v>
      </c>
      <c r="H181" s="181">
        <f>+IFERROR(IF($D181=0, VLOOKUP($C181, 'NATIONAL 2020'!$A$3:$M$40, 10, FALSE), VLOOKUP($C181, 'NFI 2020'!$C$3:$J$282, 5, FALSE)), "")</f>
        <v>41210018.998651266</v>
      </c>
      <c r="I181" s="213">
        <f>+IFERROR(IF($D181=0, VLOOKUP($C181, 'NATIONAL 2020'!$A$3:$M$40, 13, FALSE), VLOOKUP($C181, 'NFI 2020'!$C$3:$J$282, 8, FALSE)), "")</f>
        <v>171.2849181309715</v>
      </c>
      <c r="J181" s="111">
        <f>+IFERROR(IF($D181=0, VLOOKUP($C181, 'NATIONAL 2020'!$A$3:$M$40, 11, FALSE), VLOOKUP($C181, 'NFI 2020'!$C$3:$J$282, 6, FALSE)), "")</f>
        <v>38661897.172155499</v>
      </c>
      <c r="K181" s="196">
        <f>+IFERROR(IF($D181=0, VLOOKUP($C181, 'NATIONAL 2020'!$A$3:$M$40, 12, FALSE), VLOOKUP($C181, 'NFI 2020'!$C$3:$J$282, 7, FALSE)), "")</f>
        <v>2548121.8264957643</v>
      </c>
      <c r="L181" s="14"/>
      <c r="M181" s="70"/>
      <c r="N181" s="70"/>
      <c r="R181" s="8"/>
      <c r="S181" s="8"/>
    </row>
    <row r="182" spans="1:19" x14ac:dyDescent="0.25">
      <c r="A182" s="26" t="s">
        <v>246</v>
      </c>
      <c r="B182" s="108" t="str">
        <f t="shared" si="7"/>
        <v>HU</v>
      </c>
      <c r="C182" s="216" t="s">
        <v>290</v>
      </c>
      <c r="D182" s="20">
        <f>+VLOOKUP(B182, 'NATIONAL 2020'!$A$3:$B$41, 2, FALSE)</f>
        <v>3</v>
      </c>
      <c r="E182" s="181">
        <f>+IFERROR(IF($D182=0, VLOOKUP($C182, 'NATIONAL 2020'!$A$3:$M$40, 7, FALSE), VLOOKUP($C182, 'NFI 2020'!$C$3:$J$282, 2, FALSE)), "")</f>
        <v>93430.432866479925</v>
      </c>
      <c r="F182" s="111">
        <f>+IFERROR(IF($D182=0, VLOOKUP($C182, 'NATIONAL 2020'!$A$3:$M$40, 8, FALSE), VLOOKUP($C182, 'NFI 2020'!$C$3:$J$282, 3, FALSE)), "")</f>
        <v>79796.807469654523</v>
      </c>
      <c r="G182" s="196">
        <f>+IFERROR(IF($D182=0, VLOOKUP($C182, 'NATIONAL 2020'!$A$3:$M$40, 9, FALSE), VLOOKUP($C182, 'NFI 2020'!$C$3:$J$282, 4, FALSE)), "")</f>
        <v>13633.625396825397</v>
      </c>
      <c r="H182" s="181">
        <f>+IFERROR(IF($D182=0, VLOOKUP($C182, 'NATIONAL 2020'!$A$3:$M$40, 10, FALSE), VLOOKUP($C182, 'NFI 2020'!$C$3:$J$282, 5, FALSE)), "")</f>
        <v>16413169.34762061</v>
      </c>
      <c r="I182" s="213">
        <f>+IFERROR(IF($D182=0, VLOOKUP($C182, 'NATIONAL 2020'!$A$3:$M$40, 13, FALSE), VLOOKUP($C182, 'NFI 2020'!$C$3:$J$282, 8, FALSE)), "")</f>
        <v>175.67262447639982</v>
      </c>
      <c r="J182" s="111">
        <f>+IFERROR(IF($D182=0, VLOOKUP($C182, 'NATIONAL 2020'!$A$3:$M$40, 11, FALSE), VLOOKUP($C182, 'NFI 2020'!$C$3:$J$282, 6, FALSE)), "")</f>
        <v>14493771.14201927</v>
      </c>
      <c r="K182" s="196">
        <f>+IFERROR(IF($D182=0, VLOOKUP($C182, 'NATIONAL 2020'!$A$3:$M$40, 12, FALSE), VLOOKUP($C182, 'NFI 2020'!$C$3:$J$282, 7, FALSE)), "")</f>
        <v>1919398.2056013399</v>
      </c>
      <c r="L182" s="14"/>
      <c r="M182" s="70"/>
      <c r="N182" s="70"/>
      <c r="R182" s="8"/>
      <c r="S182" s="8"/>
    </row>
    <row r="183" spans="1:19" x14ac:dyDescent="0.25">
      <c r="A183" s="26" t="s">
        <v>246</v>
      </c>
      <c r="B183" s="108" t="str">
        <f t="shared" si="7"/>
        <v>HU</v>
      </c>
      <c r="C183" s="216" t="s">
        <v>291</v>
      </c>
      <c r="D183" s="20">
        <f>+VLOOKUP(B183, 'NATIONAL 2020'!$A$3:$B$41, 2, FALSE)</f>
        <v>3</v>
      </c>
      <c r="E183" s="181">
        <f>+IFERROR(IF($D183=0, VLOOKUP($C183, 'NATIONAL 2020'!$A$3:$M$40, 7, FALSE), VLOOKUP($C183, 'NFI 2020'!$C$3:$J$282, 2, FALSE)), "")</f>
        <v>113880.87096171801</v>
      </c>
      <c r="F183" s="111">
        <f>+IFERROR(IF($D183=0, VLOOKUP($C183, 'NATIONAL 2020'!$A$3:$M$40, 8, FALSE), VLOOKUP($C183, 'NFI 2020'!$C$3:$J$282, 3, FALSE)), "")</f>
        <v>103455.15742296918</v>
      </c>
      <c r="G183" s="196">
        <f>+IFERROR(IF($D183=0, VLOOKUP($C183, 'NATIONAL 2020'!$A$3:$M$40, 9, FALSE), VLOOKUP($C183, 'NFI 2020'!$C$3:$J$282, 4, FALSE)), "")</f>
        <v>10425.713538748832</v>
      </c>
      <c r="H183" s="181">
        <f>+IFERROR(IF($D183=0, VLOOKUP($C183, 'NATIONAL 2020'!$A$3:$M$40, 10, FALSE), VLOOKUP($C183, 'NFI 2020'!$C$3:$J$282, 5, FALSE)), "")</f>
        <v>15525580.025599288</v>
      </c>
      <c r="I183" s="213">
        <f>+IFERROR(IF($D183=0, VLOOKUP($C183, 'NATIONAL 2020'!$A$3:$M$40, 13, FALSE), VLOOKUP($C183, 'NFI 2020'!$C$3:$J$282, 8, FALSE)), "")</f>
        <v>136.33176401345173</v>
      </c>
      <c r="J183" s="111">
        <f>+IFERROR(IF($D183=0, VLOOKUP($C183, 'NATIONAL 2020'!$A$3:$M$40, 11, FALSE), VLOOKUP($C183, 'NFI 2020'!$C$3:$J$282, 6, FALSE)), "")</f>
        <v>14759581.530708361</v>
      </c>
      <c r="K183" s="196">
        <f>+IFERROR(IF($D183=0, VLOOKUP($C183, 'NATIONAL 2020'!$A$3:$M$40, 12, FALSE), VLOOKUP($C183, 'NFI 2020'!$C$3:$J$282, 7, FALSE)), "")</f>
        <v>765998.49489092582</v>
      </c>
      <c r="L183" s="14"/>
      <c r="M183" s="70"/>
      <c r="N183" s="70"/>
      <c r="R183" s="8"/>
      <c r="S183" s="8"/>
    </row>
    <row r="184" spans="1:19" x14ac:dyDescent="0.25">
      <c r="A184" s="26" t="s">
        <v>246</v>
      </c>
      <c r="B184" s="108" t="str">
        <f t="shared" si="7"/>
        <v>HU</v>
      </c>
      <c r="C184" s="216" t="s">
        <v>292</v>
      </c>
      <c r="D184" s="20">
        <f>+VLOOKUP(B184, 'NATIONAL 2020'!$A$3:$B$41, 2, FALSE)</f>
        <v>3</v>
      </c>
      <c r="E184" s="181">
        <f>+IFERROR(IF($D184=0, VLOOKUP($C184, 'NATIONAL 2020'!$A$3:$M$40, 7, FALSE), VLOOKUP($C184, 'NFI 2020'!$C$3:$J$282, 2, FALSE)), "")</f>
        <v>78994.829505135393</v>
      </c>
      <c r="F184" s="111">
        <f>+IFERROR(IF($D184=0, VLOOKUP($C184, 'NATIONAL 2020'!$A$3:$M$40, 8, FALSE), VLOOKUP($C184, 'NFI 2020'!$C$3:$J$282, 3, FALSE)), "")</f>
        <v>77390.873576097118</v>
      </c>
      <c r="G184" s="196">
        <f>+IFERROR(IF($D184=0, VLOOKUP($C184, 'NATIONAL 2020'!$A$3:$M$40, 9, FALSE), VLOOKUP($C184, 'NFI 2020'!$C$3:$J$282, 4, FALSE)), "")</f>
        <v>1603.955929038282</v>
      </c>
      <c r="H184" s="181">
        <f>+IFERROR(IF($D184=0, VLOOKUP($C184, 'NATIONAL 2020'!$A$3:$M$40, 10, FALSE), VLOOKUP($C184, 'NFI 2020'!$C$3:$J$282, 5, FALSE)), "")</f>
        <v>9440533.91764188</v>
      </c>
      <c r="I184" s="213">
        <f>+IFERROR(IF($D184=0, VLOOKUP($C184, 'NATIONAL 2020'!$A$3:$M$40, 13, FALSE), VLOOKUP($C184, 'NFI 2020'!$C$3:$J$282, 8, FALSE)), "")</f>
        <v>119.50825106886468</v>
      </c>
      <c r="J184" s="111">
        <f>+IFERROR(IF($D184=0, VLOOKUP($C184, 'NATIONAL 2020'!$A$3:$M$40, 11, FALSE), VLOOKUP($C184, 'NFI 2020'!$C$3:$J$282, 6, FALSE)), "")</f>
        <v>9180324.1979366858</v>
      </c>
      <c r="K184" s="196">
        <f>+IFERROR(IF($D184=0, VLOOKUP($C184, 'NATIONAL 2020'!$A$3:$M$40, 12, FALSE), VLOOKUP($C184, 'NFI 2020'!$C$3:$J$282, 7, FALSE)), "")</f>
        <v>260209.71970519371</v>
      </c>
      <c r="L184" s="14"/>
      <c r="M184" s="70"/>
      <c r="N184" s="70"/>
      <c r="R184" s="8"/>
      <c r="S184" s="8"/>
    </row>
    <row r="185" spans="1:19" x14ac:dyDescent="0.25">
      <c r="A185" s="26" t="s">
        <v>246</v>
      </c>
      <c r="B185" s="108" t="str">
        <f t="shared" si="7"/>
        <v>HU</v>
      </c>
      <c r="C185" s="216" t="s">
        <v>293</v>
      </c>
      <c r="D185" s="20">
        <f>+VLOOKUP(B185, 'NATIONAL 2020'!$A$3:$B$41, 2, FALSE)</f>
        <v>3</v>
      </c>
      <c r="E185" s="181">
        <f>+IFERROR(IF($D185=0, VLOOKUP($C185, 'NATIONAL 2020'!$A$3:$M$40, 7, FALSE), VLOOKUP($C185, 'NFI 2020'!$C$3:$J$282, 2, FALSE)), "")</f>
        <v>36890.986367880483</v>
      </c>
      <c r="F185" s="111">
        <f>+IFERROR(IF($D185=0, VLOOKUP($C185, 'NATIONAL 2020'!$A$3:$M$40, 8, FALSE), VLOOKUP($C185, 'NFI 2020'!$C$3:$J$282, 3, FALSE)), "")</f>
        <v>36890.986367880483</v>
      </c>
      <c r="G185" s="196">
        <f>+IFERROR(IF($D185=0, VLOOKUP($C185, 'NATIONAL 2020'!$A$3:$M$40, 9, FALSE), VLOOKUP($C185, 'NFI 2020'!$C$3:$J$282, 4, FALSE)), "")</f>
        <v>0</v>
      </c>
      <c r="H185" s="181">
        <f>+IFERROR(IF($D185=0, VLOOKUP($C185, 'NATIONAL 2020'!$A$3:$M$40, 10, FALSE), VLOOKUP($C185, 'NFI 2020'!$C$3:$J$282, 5, FALSE)), "")</f>
        <v>4360079.8073294964</v>
      </c>
      <c r="I185" s="213">
        <f>+IFERROR(IF($D185=0, VLOOKUP($C185, 'NATIONAL 2020'!$A$3:$M$40, 13, FALSE), VLOOKUP($C185, 'NFI 2020'!$C$3:$J$282, 8, FALSE)), "")</f>
        <v>118.18821442859671</v>
      </c>
      <c r="J185" s="111">
        <f>+IFERROR(IF($D185=0, VLOOKUP($C185, 'NATIONAL 2020'!$A$3:$M$40, 11, FALSE), VLOOKUP($C185, 'NFI 2020'!$C$3:$J$282, 6, FALSE)), "")</f>
        <v>4360079.8073294964</v>
      </c>
      <c r="K185" s="196">
        <f>+IFERROR(IF($D185=0, VLOOKUP($C185, 'NATIONAL 2020'!$A$3:$M$40, 12, FALSE), VLOOKUP($C185, 'NFI 2020'!$C$3:$J$282, 7, FALSE)), "")</f>
        <v>0</v>
      </c>
      <c r="L185" s="14"/>
      <c r="M185" s="70"/>
      <c r="N185" s="70"/>
      <c r="R185" s="8"/>
      <c r="S185" s="8"/>
    </row>
    <row r="186" spans="1:19" x14ac:dyDescent="0.25">
      <c r="A186" s="26" t="s">
        <v>246</v>
      </c>
      <c r="B186" s="108" t="str">
        <f t="shared" si="7"/>
        <v>HU</v>
      </c>
      <c r="C186" s="216" t="s">
        <v>294</v>
      </c>
      <c r="D186" s="20">
        <f>+VLOOKUP(B186, 'NATIONAL 2020'!$A$3:$B$41, 2, FALSE)</f>
        <v>3</v>
      </c>
      <c r="E186" s="181">
        <f>+IFERROR(IF($D186=0, VLOOKUP($C186, 'NATIONAL 2020'!$A$3:$M$40, 7, FALSE), VLOOKUP($C186, 'NFI 2020'!$C$3:$J$282, 2, FALSE)), "")</f>
        <v>133930.32007469656</v>
      </c>
      <c r="F186" s="111">
        <f>+IFERROR(IF($D186=0, VLOOKUP($C186, 'NATIONAL 2020'!$A$3:$M$40, 8, FALSE), VLOOKUP($C186, 'NFI 2020'!$C$3:$J$282, 3, FALSE)), "")</f>
        <v>133930.32007469656</v>
      </c>
      <c r="G186" s="196">
        <f>+IFERROR(IF($D186=0, VLOOKUP($C186, 'NATIONAL 2020'!$A$3:$M$40, 9, FALSE), VLOOKUP($C186, 'NFI 2020'!$C$3:$J$282, 4, FALSE)), "")</f>
        <v>0</v>
      </c>
      <c r="H186" s="181">
        <f>+IFERROR(IF($D186=0, VLOOKUP($C186, 'NATIONAL 2020'!$A$3:$M$40, 10, FALSE), VLOOKUP($C186, 'NFI 2020'!$C$3:$J$282, 5, FALSE)), "")</f>
        <v>15188984.579372779</v>
      </c>
      <c r="I186" s="213">
        <f>+IFERROR(IF($D186=0, VLOOKUP($C186, 'NATIONAL 2020'!$A$3:$M$40, 13, FALSE), VLOOKUP($C186, 'NFI 2020'!$C$3:$J$282, 8, FALSE)), "")</f>
        <v>113.40960412027293</v>
      </c>
      <c r="J186" s="111">
        <f>+IFERROR(IF($D186=0, VLOOKUP($C186, 'NATIONAL 2020'!$A$3:$M$40, 11, FALSE), VLOOKUP($C186, 'NFI 2020'!$C$3:$J$282, 6, FALSE)), "")</f>
        <v>15188984.579372779</v>
      </c>
      <c r="K186" s="196">
        <f>+IFERROR(IF($D186=0, VLOOKUP($C186, 'NATIONAL 2020'!$A$3:$M$40, 12, FALSE), VLOOKUP($C186, 'NFI 2020'!$C$3:$J$282, 7, FALSE)), "")</f>
        <v>0</v>
      </c>
      <c r="L186" s="14"/>
      <c r="M186" s="70"/>
      <c r="N186" s="70"/>
      <c r="R186" s="8"/>
      <c r="S186" s="8"/>
    </row>
    <row r="187" spans="1:19" x14ac:dyDescent="0.25">
      <c r="A187" s="26" t="s">
        <v>246</v>
      </c>
      <c r="B187" s="108" t="str">
        <f t="shared" si="7"/>
        <v>HU</v>
      </c>
      <c r="C187" s="216" t="s">
        <v>295</v>
      </c>
      <c r="D187" s="20">
        <f>+VLOOKUP(B187, 'NATIONAL 2020'!$A$3:$B$41, 2, FALSE)</f>
        <v>3</v>
      </c>
      <c r="E187" s="181">
        <f>+IFERROR(IF($D187=0, VLOOKUP($C187, 'NATIONAL 2020'!$A$3:$M$40, 7, FALSE), VLOOKUP($C187, 'NFI 2020'!$C$3:$J$282, 2, FALSE)), "")</f>
        <v>177237.13015873017</v>
      </c>
      <c r="F187" s="111">
        <f>+IFERROR(IF($D187=0, VLOOKUP($C187, 'NATIONAL 2020'!$A$3:$M$40, 8, FALSE), VLOOKUP($C187, 'NFI 2020'!$C$3:$J$282, 3, FALSE)), "")</f>
        <v>162801.52679738562</v>
      </c>
      <c r="G187" s="196">
        <f>+IFERROR(IF($D187=0, VLOOKUP($C187, 'NATIONAL 2020'!$A$3:$M$40, 9, FALSE), VLOOKUP($C187, 'NFI 2020'!$C$3:$J$282, 4, FALSE)), "")</f>
        <v>14435.60336134454</v>
      </c>
      <c r="H187" s="181">
        <f>+IFERROR(IF($D187=0, VLOOKUP($C187, 'NATIONAL 2020'!$A$3:$M$40, 10, FALSE), VLOOKUP($C187, 'NFI 2020'!$C$3:$J$282, 5, FALSE)), "")</f>
        <v>15296385.974783953</v>
      </c>
      <c r="I187" s="213">
        <f>+IFERROR(IF($D187=0, VLOOKUP($C187, 'NATIONAL 2020'!$A$3:$M$40, 13, FALSE), VLOOKUP($C187, 'NFI 2020'!$C$3:$J$282, 8, FALSE)), "")</f>
        <v>86.304635834967556</v>
      </c>
      <c r="J187" s="111">
        <f>+IFERROR(IF($D187=0, VLOOKUP($C187, 'NATIONAL 2020'!$A$3:$M$40, 11, FALSE), VLOOKUP($C187, 'NFI 2020'!$C$3:$J$282, 6, FALSE)), "")</f>
        <v>14664284.85069041</v>
      </c>
      <c r="K187" s="196">
        <f>+IFERROR(IF($D187=0, VLOOKUP($C187, 'NATIONAL 2020'!$A$3:$M$40, 12, FALSE), VLOOKUP($C187, 'NFI 2020'!$C$3:$J$282, 7, FALSE)), "")</f>
        <v>632101.12409354281</v>
      </c>
      <c r="L187" s="14"/>
      <c r="M187" s="70"/>
      <c r="N187" s="70"/>
      <c r="R187" s="8"/>
      <c r="S187" s="8"/>
    </row>
    <row r="188" spans="1:19" x14ac:dyDescent="0.25">
      <c r="A188" s="26" t="s">
        <v>246</v>
      </c>
      <c r="B188" s="108" t="str">
        <f t="shared" si="7"/>
        <v>HU</v>
      </c>
      <c r="C188" s="216" t="s">
        <v>296</v>
      </c>
      <c r="D188" s="20">
        <f>+VLOOKUP(B188, 'NATIONAL 2020'!$A$3:$B$41, 2, FALSE)</f>
        <v>3</v>
      </c>
      <c r="E188" s="181">
        <f>+IFERROR(IF($D188=0, VLOOKUP($C188, 'NATIONAL 2020'!$A$3:$M$40, 7, FALSE), VLOOKUP($C188, 'NFI 2020'!$C$3:$J$282, 2, FALSE)), "")</f>
        <v>23257.360971055088</v>
      </c>
      <c r="F188" s="111">
        <f>+IFERROR(IF($D188=0, VLOOKUP($C188, 'NATIONAL 2020'!$A$3:$M$40, 8, FALSE), VLOOKUP($C188, 'NFI 2020'!$C$3:$J$282, 3, FALSE)), "")</f>
        <v>22856.371988795519</v>
      </c>
      <c r="G188" s="196">
        <f>+IFERROR(IF($D188=0, VLOOKUP($C188, 'NATIONAL 2020'!$A$3:$M$40, 9, FALSE), VLOOKUP($C188, 'NFI 2020'!$C$3:$J$282, 4, FALSE)), "")</f>
        <v>400.98898225957043</v>
      </c>
      <c r="H188" s="181">
        <f>+IFERROR(IF($D188=0, VLOOKUP($C188, 'NATIONAL 2020'!$A$3:$M$40, 10, FALSE), VLOOKUP($C188, 'NFI 2020'!$C$3:$J$282, 5, FALSE)), "")</f>
        <v>2382663.110587216</v>
      </c>
      <c r="I188" s="213">
        <f>+IFERROR(IF($D188=0, VLOOKUP($C188, 'NATIONAL 2020'!$A$3:$M$40, 13, FALSE), VLOOKUP($C188, 'NFI 2020'!$C$3:$J$282, 8, FALSE)), "")</f>
        <v>102.44769875449565</v>
      </c>
      <c r="J188" s="111">
        <f>+IFERROR(IF($D188=0, VLOOKUP($C188, 'NATIONAL 2020'!$A$3:$M$40, 11, FALSE), VLOOKUP($C188, 'NFI 2020'!$C$3:$J$282, 6, FALSE)), "")</f>
        <v>2379720.2611936154</v>
      </c>
      <c r="K188" s="196">
        <f>+IFERROR(IF($D188=0, VLOOKUP($C188, 'NATIONAL 2020'!$A$3:$M$40, 12, FALSE), VLOOKUP($C188, 'NFI 2020'!$C$3:$J$282, 7, FALSE)), "")</f>
        <v>2942.8493936006457</v>
      </c>
      <c r="L188" s="14"/>
      <c r="M188" s="70"/>
      <c r="N188" s="70"/>
      <c r="R188" s="8"/>
      <c r="S188" s="8"/>
    </row>
    <row r="189" spans="1:19" x14ac:dyDescent="0.25">
      <c r="A189" s="26" t="s">
        <v>246</v>
      </c>
      <c r="B189" s="108" t="str">
        <f t="shared" si="7"/>
        <v>HU</v>
      </c>
      <c r="C189" s="216" t="s">
        <v>297</v>
      </c>
      <c r="D189" s="20">
        <f>+VLOOKUP(B189, 'NATIONAL 2020'!$A$3:$B$41, 2, FALSE)</f>
        <v>3</v>
      </c>
      <c r="E189" s="181">
        <f>+IFERROR(IF($D189=0, VLOOKUP($C189, 'NATIONAL 2020'!$A$3:$M$40, 7, FALSE), VLOOKUP($C189, 'NFI 2020'!$C$3:$J$282, 2, FALSE)), "")</f>
        <v>31678.129598506068</v>
      </c>
      <c r="F189" s="111">
        <f>+IFERROR(IF($D189=0, VLOOKUP($C189, 'NATIONAL 2020'!$A$3:$M$40, 8, FALSE), VLOOKUP($C189, 'NFI 2020'!$C$3:$J$282, 3, FALSE)), "")</f>
        <v>31678.129598506068</v>
      </c>
      <c r="G189" s="196">
        <f>+IFERROR(IF($D189=0, VLOOKUP($C189, 'NATIONAL 2020'!$A$3:$M$40, 9, FALSE), VLOOKUP($C189, 'NFI 2020'!$C$3:$J$282, 4, FALSE)), "")</f>
        <v>0</v>
      </c>
      <c r="H189" s="181">
        <f>+IFERROR(IF($D189=0, VLOOKUP($C189, 'NATIONAL 2020'!$A$3:$M$40, 10, FALSE), VLOOKUP($C189, 'NFI 2020'!$C$3:$J$282, 5, FALSE)), "")</f>
        <v>2704153.774898483</v>
      </c>
      <c r="I189" s="213">
        <f>+IFERROR(IF($D189=0, VLOOKUP($C189, 'NATIONAL 2020'!$A$3:$M$40, 13, FALSE), VLOOKUP($C189, 'NFI 2020'!$C$3:$J$282, 8, FALSE)), "")</f>
        <v>85.363429254548223</v>
      </c>
      <c r="J189" s="111">
        <f>+IFERROR(IF($D189=0, VLOOKUP($C189, 'NATIONAL 2020'!$A$3:$M$40, 11, FALSE), VLOOKUP($C189, 'NFI 2020'!$C$3:$J$282, 6, FALSE)), "")</f>
        <v>2704153.774898483</v>
      </c>
      <c r="K189" s="196">
        <f>+IFERROR(IF($D189=0, VLOOKUP($C189, 'NATIONAL 2020'!$A$3:$M$40, 12, FALSE), VLOOKUP($C189, 'NFI 2020'!$C$3:$J$282, 7, FALSE)), "")</f>
        <v>0</v>
      </c>
      <c r="L189" s="14"/>
      <c r="M189" s="70"/>
      <c r="N189" s="70"/>
      <c r="R189" s="8"/>
      <c r="S189" s="8"/>
    </row>
    <row r="190" spans="1:19" x14ac:dyDescent="0.25">
      <c r="A190" s="26" t="s">
        <v>139</v>
      </c>
      <c r="B190" t="s">
        <v>19</v>
      </c>
      <c r="C190" t="s">
        <v>19</v>
      </c>
      <c r="D190" s="20">
        <v>0</v>
      </c>
      <c r="E190" s="181">
        <f>+IFERROR(IF($D190=0, VLOOKUP($C190, 'NATIONAL 2020'!$A$3:$M$40, 7, FALSE), VLOOKUP($C190, 'NFI 2020'!$C$3:$J$282, 2, FALSE)), "")</f>
        <v>782020</v>
      </c>
      <c r="F190" s="111">
        <f>+IFERROR(IF($D190=0, VLOOKUP($C190, 'NATIONAL 2020'!$A$3:$M$40, 8, FALSE), VLOOKUP($C190, 'NFI 2020'!$C$3:$J$282, 3, FALSE)), "")</f>
        <v>607420</v>
      </c>
      <c r="G190" s="196">
        <f>+IFERROR(IF($D190=0, VLOOKUP($C190, 'NATIONAL 2020'!$A$3:$M$40, 9, FALSE), VLOOKUP($C190, 'NFI 2020'!$C$3:$J$282, 4, FALSE)), "")</f>
        <v>174600</v>
      </c>
      <c r="H190" s="181">
        <f>+IFERROR(IF($D190=0, VLOOKUP($C190, 'NATIONAL 2020'!$A$3:$M$40, 10, FALSE), VLOOKUP($C190, 'NFI 2020'!$C$3:$J$282, 5, FALSE)), "")</f>
        <v>91753624.534004793</v>
      </c>
      <c r="I190" s="213">
        <f>+IFERROR(IF($D190=0, VLOOKUP($C190, 'NATIONAL 2020'!$A$3:$M$40, 13, FALSE), VLOOKUP($C190, 'NFI 2020'!$C$3:$J$282, 8, FALSE)), "")</f>
        <v>117.32899994118411</v>
      </c>
      <c r="J190" s="111">
        <f>+IFERROR(IF($D190=0, VLOOKUP($C190, 'NATIONAL 2020'!$A$3:$M$40, 11, FALSE), VLOOKUP($C190, 'NFI 2020'!$C$3:$J$282, 6, FALSE)), "")</f>
        <v>71751537.003325105</v>
      </c>
      <c r="K190" s="196">
        <f>+IFERROR(IF($D190=0, VLOOKUP($C190, 'NATIONAL 2020'!$A$3:$M$40, 12, FALSE), VLOOKUP($C190, 'NFI 2020'!$C$3:$J$282, 7, FALSE)), "")</f>
        <v>20002087.53067968</v>
      </c>
      <c r="L190" s="14"/>
      <c r="M190" s="70"/>
      <c r="N190" s="70"/>
      <c r="O190" s="5"/>
      <c r="R190" s="8"/>
      <c r="S190" s="8"/>
    </row>
    <row r="191" spans="1:19" x14ac:dyDescent="0.25">
      <c r="A191" s="26" t="s">
        <v>139</v>
      </c>
      <c r="B191" s="108" t="str">
        <f>+LEFT(C191, 2)</f>
        <v>IE</v>
      </c>
      <c r="C191" s="108" t="s">
        <v>278</v>
      </c>
      <c r="D191" s="20">
        <f>+VLOOKUP(B191, 'NATIONAL 2020'!$A$3:$B$41, 2, FALSE)</f>
        <v>1</v>
      </c>
      <c r="E191" s="181">
        <f>+IFERROR(IF($D191=0, VLOOKUP($C191, 'NATIONAL 2020'!$A$3:$M$40, 7, FALSE), VLOOKUP($C191, 'NFI 2020'!$C$3:$J$282, 2, FALSE)), "")</f>
        <v>361571.06643356645</v>
      </c>
      <c r="F191" s="111">
        <f>+IFERROR(IF($D191=0, VLOOKUP($C191, 'NATIONAL 2020'!$A$3:$M$40, 8, FALSE), VLOOKUP($C191, 'NFI 2020'!$C$3:$J$282, 3, FALSE)), "")</f>
        <v>283145.36673010507</v>
      </c>
      <c r="G191" s="196">
        <f>+IFERROR(IF($D191=0, VLOOKUP($C191, 'NATIONAL 2020'!$A$3:$M$40, 9, FALSE), VLOOKUP($C191, 'NFI 2020'!$C$3:$J$282, 4, FALSE)), "")</f>
        <v>78425.699703461374</v>
      </c>
      <c r="H191" s="181">
        <f>+IFERROR(IF($D191=0, VLOOKUP($C191, 'NATIONAL 2020'!$A$3:$M$40, 10, FALSE), VLOOKUP($C191, 'NFI 2020'!$C$3:$J$282, 5, FALSE)), "")</f>
        <v>41662940.329138607</v>
      </c>
      <c r="I191" s="213">
        <f>+IFERROR(IF($D191=0, VLOOKUP($C191, 'NATIONAL 2020'!$A$3:$M$40, 13, FALSE), VLOOKUP($C191, 'NFI 2020'!$C$3:$J$282, 8, FALSE)), "")</f>
        <v>115.22752840842584</v>
      </c>
      <c r="J191" s="111">
        <f>+IFERROR(IF($D191=0, VLOOKUP($C191, 'NATIONAL 2020'!$A$3:$M$40, 11, FALSE), VLOOKUP($C191, 'NFI 2020'!$C$3:$J$282, 6, FALSE)), "")</f>
        <v>32580511.340842143</v>
      </c>
      <c r="K191" s="196">
        <f>+IFERROR(IF($D191=0, VLOOKUP($C191, 'NATIONAL 2020'!$A$3:$M$40, 12, FALSE), VLOOKUP($C191, 'NFI 2020'!$C$3:$J$282, 7, FALSE)), "")</f>
        <v>9082428.9882964641</v>
      </c>
      <c r="L191" s="14"/>
      <c r="M191" s="70"/>
      <c r="N191" s="70"/>
      <c r="R191" s="8"/>
      <c r="S191" s="8"/>
    </row>
    <row r="192" spans="1:19" x14ac:dyDescent="0.25">
      <c r="A192" s="26" t="s">
        <v>139</v>
      </c>
      <c r="B192" s="108" t="str">
        <f>+LEFT(C192, 2)</f>
        <v>IE</v>
      </c>
      <c r="C192" s="108" t="s">
        <v>279</v>
      </c>
      <c r="D192" s="20">
        <f>+VLOOKUP(B192, 'NATIONAL 2020'!$A$3:$B$41, 2, FALSE)</f>
        <v>1</v>
      </c>
      <c r="E192" s="181">
        <f>+IFERROR(IF($D192=0, VLOOKUP($C192, 'NATIONAL 2020'!$A$3:$M$40, 7, FALSE), VLOOKUP($C192, 'NFI 2020'!$C$3:$J$282, 2, FALSE)), "")</f>
        <v>420448.93356643355</v>
      </c>
      <c r="F192" s="111">
        <f>+IFERROR(IF($D192=0, VLOOKUP($C192, 'NATIONAL 2020'!$A$3:$M$40, 8, FALSE), VLOOKUP($C192, 'NFI 2020'!$C$3:$J$282, 3, FALSE)), "")</f>
        <v>324274.63326989493</v>
      </c>
      <c r="G192" s="196">
        <f>+IFERROR(IF($D192=0, VLOOKUP($C192, 'NATIONAL 2020'!$A$3:$M$40, 9, FALSE), VLOOKUP($C192, 'NFI 2020'!$C$3:$J$282, 4, FALSE)), "")</f>
        <v>96174.300296538626</v>
      </c>
      <c r="H192" s="181">
        <f>+IFERROR(IF($D192=0, VLOOKUP($C192, 'NATIONAL 2020'!$A$3:$M$40, 10, FALSE), VLOOKUP($C192, 'NFI 2020'!$C$3:$J$282, 5, FALSE)), "")</f>
        <v>50090684.204866186</v>
      </c>
      <c r="I192" s="213">
        <f>+IFERROR(IF($D192=0, VLOOKUP($C192, 'NATIONAL 2020'!$A$3:$M$40, 13, FALSE), VLOOKUP($C192, 'NFI 2020'!$C$3:$J$282, 8, FALSE)), "")</f>
        <v>119.13619040480107</v>
      </c>
      <c r="J192" s="111">
        <f>+IFERROR(IF($D192=0, VLOOKUP($C192, 'NATIONAL 2020'!$A$3:$M$40, 11, FALSE), VLOOKUP($C192, 'NFI 2020'!$C$3:$J$282, 6, FALSE)), "")</f>
        <v>39171025.662482969</v>
      </c>
      <c r="K192" s="196">
        <f>+IFERROR(IF($D192=0, VLOOKUP($C192, 'NATIONAL 2020'!$A$3:$M$40, 12, FALSE), VLOOKUP($C192, 'NFI 2020'!$C$3:$J$282, 7, FALSE)), "")</f>
        <v>10919658.542383216</v>
      </c>
      <c r="L192" s="14"/>
      <c r="M192" s="70"/>
      <c r="N192" s="70"/>
      <c r="R192" s="8"/>
      <c r="S192" s="8"/>
    </row>
    <row r="193" spans="1:19" x14ac:dyDescent="0.25">
      <c r="A193" s="26" t="s">
        <v>140</v>
      </c>
      <c r="B193" t="s">
        <v>20</v>
      </c>
      <c r="C193" t="s">
        <v>20</v>
      </c>
      <c r="D193" s="20">
        <v>0</v>
      </c>
      <c r="E193" s="181">
        <f>+IFERROR(IF($D193=0, VLOOKUP($C193, 'NATIONAL 2020'!$A$3:$M$40, 7, FALSE), VLOOKUP($C193, 'NFI 2020'!$C$3:$J$282, 2, FALSE)), "")</f>
        <v>42372.838070166501</v>
      </c>
      <c r="F193" s="111">
        <f>+IFERROR(IF($D193=0, VLOOKUP($C193, 'NATIONAL 2020'!$A$3:$M$40, 8, FALSE), VLOOKUP($C193, 'NFI 2020'!$C$3:$J$282, 3, FALSE)), "")</f>
        <v>27458.910992253241</v>
      </c>
      <c r="G193" s="196">
        <f>+IFERROR(IF($D193=0, VLOOKUP($C193, 'NATIONAL 2020'!$A$3:$M$40, 9, FALSE), VLOOKUP($C193, 'NFI 2020'!$C$3:$J$282, 4, FALSE)), "")</f>
        <v>14913.927077913257</v>
      </c>
      <c r="H193" s="181">
        <f>+IFERROR(IF($D193=0, VLOOKUP($C193, 'NATIONAL 2020'!$A$3:$M$40, 10, FALSE), VLOOKUP($C193, 'NFI 2020'!$C$3:$J$282, 5, FALSE)), "")</f>
        <v>885746.01660605567</v>
      </c>
      <c r="I193" s="213">
        <f>+IFERROR(IF($D193=0, VLOOKUP($C193, 'NATIONAL 2020'!$A$3:$M$40, 13, FALSE), VLOOKUP($C193, 'NFI 2020'!$C$3:$J$282, 8, FALSE)), "")</f>
        <v>20.903627345879482</v>
      </c>
      <c r="J193" s="111">
        <f>+IFERROR(IF($D193=0, VLOOKUP($C193, 'NATIONAL 2020'!$A$3:$M$40, 11, FALSE), VLOOKUP($C193, 'NFI 2020'!$C$3:$J$282, 6, FALSE)), "")</f>
        <v>556508.05936609651</v>
      </c>
      <c r="K193" s="196">
        <f>+IFERROR(IF($D193=0, VLOOKUP($C193, 'NATIONAL 2020'!$A$3:$M$40, 12, FALSE), VLOOKUP($C193, 'NFI 2020'!$C$3:$J$282, 7, FALSE)), "")</f>
        <v>329237.95723995916</v>
      </c>
      <c r="L193" s="14"/>
      <c r="M193" s="70"/>
      <c r="N193" s="70"/>
      <c r="O193" s="5"/>
      <c r="R193" s="8"/>
      <c r="S193" s="8"/>
    </row>
    <row r="194" spans="1:19" x14ac:dyDescent="0.25">
      <c r="A194" s="26" t="s">
        <v>141</v>
      </c>
      <c r="B194" t="s">
        <v>21</v>
      </c>
      <c r="C194" t="s">
        <v>21</v>
      </c>
      <c r="D194" s="20">
        <v>0</v>
      </c>
      <c r="E194" s="181">
        <f>+IFERROR(IF($D194=0, VLOOKUP($C194, 'NATIONAL 2020'!$A$3:$M$40, 7, FALSE), VLOOKUP($C194, 'NFI 2020'!$C$3:$J$282, 2, FALSE)), "")</f>
        <v>9566130</v>
      </c>
      <c r="F194" s="111">
        <f>+IFERROR(IF($D194=0, VLOOKUP($C194, 'NATIONAL 2020'!$A$3:$M$40, 8, FALSE), VLOOKUP($C194, 'NFI 2020'!$C$3:$J$282, 3, FALSE)), "")</f>
        <v>8454330</v>
      </c>
      <c r="G194" s="196">
        <f>+IFERROR(IF($D194=0, VLOOKUP($C194, 'NATIONAL 2020'!$A$3:$M$40, 9, FALSE), VLOOKUP($C194, 'NFI 2020'!$C$3:$J$282, 4, FALSE)), "")</f>
        <v>1111800</v>
      </c>
      <c r="H194" s="181">
        <f>+IFERROR(IF($D194=0, VLOOKUP($C194, 'NATIONAL 2020'!$A$3:$M$40, 10, FALSE), VLOOKUP($C194, 'NFI 2020'!$C$3:$J$282, 5, FALSE)), "")</f>
        <v>1032987622.5604783</v>
      </c>
      <c r="I194" s="213">
        <f>+IFERROR(IF($D194=0, VLOOKUP($C194, 'NATIONAL 2020'!$A$3:$M$40, 13, FALSE), VLOOKUP($C194, 'NFI 2020'!$C$3:$J$282, 8, FALSE)), "")</f>
        <v>107.98385789869867</v>
      </c>
      <c r="J194" s="111">
        <f>+IFERROR(IF($D194=0, VLOOKUP($C194, 'NATIONAL 2020'!$A$3:$M$40, 11, FALSE), VLOOKUP($C194, 'NFI 2020'!$C$3:$J$282, 6, FALSE)), "")</f>
        <v>959341337.42660594</v>
      </c>
      <c r="K194" s="196">
        <f>+IFERROR(IF($D194=0, VLOOKUP($C194, 'NATIONAL 2020'!$A$3:$M$40, 12, FALSE), VLOOKUP($C194, 'NFI 2020'!$C$3:$J$282, 7, FALSE)), "")</f>
        <v>73646285.13387239</v>
      </c>
      <c r="L194" s="14"/>
      <c r="M194" s="70"/>
      <c r="N194" s="70"/>
      <c r="O194" s="5"/>
      <c r="R194" s="8"/>
      <c r="S194" s="8"/>
    </row>
    <row r="195" spans="1:19" x14ac:dyDescent="0.25">
      <c r="A195" s="26" t="s">
        <v>141</v>
      </c>
      <c r="B195" s="108" t="str">
        <f t="shared" ref="B195:B215" si="8">+LEFT(C195, 2)</f>
        <v>IT</v>
      </c>
      <c r="C195" s="108" t="s">
        <v>224</v>
      </c>
      <c r="D195" s="20">
        <f>+VLOOKUP(B195, 'NATIONAL 2020'!$A$3:$B$41, 2, FALSE)</f>
        <v>2</v>
      </c>
      <c r="E195" s="181">
        <f>+IFERROR(IF($D195=0, VLOOKUP($C195, 'NATIONAL 2020'!$A$3:$M$40, 7, FALSE), VLOOKUP($C195, 'NFI 2020'!$C$3:$J$282, 2, FALSE)), "")</f>
        <v>950796.30570160283</v>
      </c>
      <c r="F195" s="111" t="str">
        <f>+IFERROR(IF($D195=0, VLOOKUP($C195, 'NATIONAL 2020'!$A$3:$M$40, 8, FALSE), VLOOKUP($C195, 'NFI 2020'!$C$3:$J$282, 3, FALSE)), "")</f>
        <v/>
      </c>
      <c r="G195" s="196" t="str">
        <f>+IFERROR(IF($D195=0, VLOOKUP($C195, 'NATIONAL 2020'!$A$3:$M$40, 9, FALSE), VLOOKUP($C195, 'NFI 2020'!$C$3:$J$282, 4, FALSE)), "")</f>
        <v/>
      </c>
      <c r="H195" s="181">
        <f>+IFERROR(IF($D195=0, VLOOKUP($C195, 'NATIONAL 2020'!$A$3:$M$40, 10, FALSE), VLOOKUP($C195, 'NFI 2020'!$C$3:$J$282, 5, FALSE)), "")</f>
        <v>101831103.48615913</v>
      </c>
      <c r="I195" s="213">
        <f>+IFERROR(IF($D195=0, VLOOKUP($C195, 'NATIONAL 2020'!$A$3:$M$40, 13, FALSE), VLOOKUP($C195, 'NFI 2020'!$C$3:$J$282, 8, FALSE)), "")</f>
        <v>107.10086153628549</v>
      </c>
      <c r="J195" s="111" t="str">
        <f>+IFERROR(IF($D195=0, VLOOKUP($C195, 'NATIONAL 2020'!$A$3:$M$40, 11, FALSE), VLOOKUP($C195, 'NFI 2020'!$C$3:$J$282, 6, FALSE)), "")</f>
        <v/>
      </c>
      <c r="K195" s="196" t="str">
        <f>+IFERROR(IF($D195=0, VLOOKUP($C195, 'NATIONAL 2020'!$A$3:$M$40, 12, FALSE), VLOOKUP($C195, 'NFI 2020'!$C$3:$J$282, 7, FALSE)), "")</f>
        <v/>
      </c>
      <c r="L195" s="14"/>
      <c r="M195" s="70"/>
      <c r="N195" s="70"/>
      <c r="R195" s="8"/>
      <c r="S195" s="8"/>
    </row>
    <row r="196" spans="1:19" x14ac:dyDescent="0.25">
      <c r="A196" s="26" t="s">
        <v>141</v>
      </c>
      <c r="B196" s="108" t="str">
        <f t="shared" si="8"/>
        <v>IT</v>
      </c>
      <c r="C196" s="108" t="s">
        <v>225</v>
      </c>
      <c r="D196" s="20">
        <f>+VLOOKUP(B196, 'NATIONAL 2020'!$A$3:$B$41, 2, FALSE)</f>
        <v>2</v>
      </c>
      <c r="E196" s="181">
        <f>+IFERROR(IF($D196=0, VLOOKUP($C196, 'NATIONAL 2020'!$A$3:$M$40, 7, FALSE), VLOOKUP($C196, 'NFI 2020'!$C$3:$J$282, 2, FALSE)), "")</f>
        <v>107507.67018448398</v>
      </c>
      <c r="F196" s="111" t="str">
        <f>+IFERROR(IF($D196=0, VLOOKUP($C196, 'NATIONAL 2020'!$A$3:$M$40, 8, FALSE), VLOOKUP($C196, 'NFI 2020'!$C$3:$J$282, 3, FALSE)), "")</f>
        <v/>
      </c>
      <c r="G196" s="196" t="str">
        <f>+IFERROR(IF($D196=0, VLOOKUP($C196, 'NATIONAL 2020'!$A$3:$M$40, 9, FALSE), VLOOKUP($C196, 'NFI 2020'!$C$3:$J$282, 4, FALSE)), "")</f>
        <v/>
      </c>
      <c r="H196" s="181">
        <f>+IFERROR(IF($D196=0, VLOOKUP($C196, 'NATIONAL 2020'!$A$3:$M$40, 10, FALSE), VLOOKUP($C196, 'NFI 2020'!$C$3:$J$282, 5, FALSE)), "")</f>
        <v>9903174.2839742769</v>
      </c>
      <c r="I196" s="213">
        <f>+IFERROR(IF($D196=0, VLOOKUP($C196, 'NATIONAL 2020'!$A$3:$M$40, 13, FALSE), VLOOKUP($C196, 'NFI 2020'!$C$3:$J$282, 8, FALSE)), "")</f>
        <v>92.115978952760798</v>
      </c>
      <c r="J196" s="111" t="str">
        <f>+IFERROR(IF($D196=0, VLOOKUP($C196, 'NATIONAL 2020'!$A$3:$M$40, 11, FALSE), VLOOKUP($C196, 'NFI 2020'!$C$3:$J$282, 6, FALSE)), "")</f>
        <v/>
      </c>
      <c r="K196" s="196" t="str">
        <f>+IFERROR(IF($D196=0, VLOOKUP($C196, 'NATIONAL 2020'!$A$3:$M$40, 12, FALSE), VLOOKUP($C196, 'NFI 2020'!$C$3:$J$282, 7, FALSE)), "")</f>
        <v/>
      </c>
      <c r="L196" s="14"/>
      <c r="M196" s="70"/>
      <c r="N196" s="70"/>
      <c r="R196" s="8"/>
      <c r="S196" s="8"/>
    </row>
    <row r="197" spans="1:19" x14ac:dyDescent="0.25">
      <c r="A197" s="26" t="s">
        <v>141</v>
      </c>
      <c r="B197" s="108" t="str">
        <f t="shared" si="8"/>
        <v>IT</v>
      </c>
      <c r="C197" s="108" t="s">
        <v>226</v>
      </c>
      <c r="D197" s="20">
        <f>+VLOOKUP(B197, 'NATIONAL 2020'!$A$3:$B$41, 2, FALSE)</f>
        <v>2</v>
      </c>
      <c r="E197" s="181">
        <f>+IFERROR(IF($D197=0, VLOOKUP($C197, 'NATIONAL 2020'!$A$3:$M$40, 7, FALSE), VLOOKUP($C197, 'NFI 2020'!$C$3:$J$282, 2, FALSE)), "")</f>
        <v>370346.34114068223</v>
      </c>
      <c r="F197" s="111" t="str">
        <f>+IFERROR(IF($D197=0, VLOOKUP($C197, 'NATIONAL 2020'!$A$3:$M$40, 8, FALSE), VLOOKUP($C197, 'NFI 2020'!$C$3:$J$282, 3, FALSE)), "")</f>
        <v/>
      </c>
      <c r="G197" s="196" t="str">
        <f>+IFERROR(IF($D197=0, VLOOKUP($C197, 'NATIONAL 2020'!$A$3:$M$40, 9, FALSE), VLOOKUP($C197, 'NFI 2020'!$C$3:$J$282, 4, FALSE)), "")</f>
        <v/>
      </c>
      <c r="H197" s="181">
        <f>+IFERROR(IF($D197=0, VLOOKUP($C197, 'NATIONAL 2020'!$A$3:$M$40, 10, FALSE), VLOOKUP($C197, 'NFI 2020'!$C$3:$J$282, 5, FALSE)), "")</f>
        <v>40597802.758919954</v>
      </c>
      <c r="I197" s="213">
        <f>+IFERROR(IF($D197=0, VLOOKUP($C197, 'NATIONAL 2020'!$A$3:$M$40, 13, FALSE), VLOOKUP($C197, 'NFI 2020'!$C$3:$J$282, 8, FALSE)), "")</f>
        <v>109.62117955283971</v>
      </c>
      <c r="J197" s="111" t="str">
        <f>+IFERROR(IF($D197=0, VLOOKUP($C197, 'NATIONAL 2020'!$A$3:$M$40, 11, FALSE), VLOOKUP($C197, 'NFI 2020'!$C$3:$J$282, 6, FALSE)), "")</f>
        <v/>
      </c>
      <c r="K197" s="196" t="str">
        <f>+IFERROR(IF($D197=0, VLOOKUP($C197, 'NATIONAL 2020'!$A$3:$M$40, 12, FALSE), VLOOKUP($C197, 'NFI 2020'!$C$3:$J$282, 7, FALSE)), "")</f>
        <v/>
      </c>
      <c r="L197" s="14"/>
      <c r="M197" s="70"/>
      <c r="N197" s="70"/>
      <c r="R197" s="8"/>
      <c r="S197" s="8"/>
    </row>
    <row r="198" spans="1:19" x14ac:dyDescent="0.25">
      <c r="A198" s="26" t="s">
        <v>141</v>
      </c>
      <c r="B198" s="108" t="str">
        <f t="shared" si="8"/>
        <v>IT</v>
      </c>
      <c r="C198" s="108" t="s">
        <v>227</v>
      </c>
      <c r="D198" s="20">
        <f>+VLOOKUP(B198, 'NATIONAL 2020'!$A$3:$B$41, 2, FALSE)</f>
        <v>2</v>
      </c>
      <c r="E198" s="181">
        <f>+IFERROR(IF($D198=0, VLOOKUP($C198, 'NATIONAL 2020'!$A$3:$M$40, 7, FALSE), VLOOKUP($C198, 'NFI 2020'!$C$3:$J$282, 2, FALSE)), "")</f>
        <v>661876.3019825418</v>
      </c>
      <c r="F198" s="111" t="str">
        <f>+IFERROR(IF($D198=0, VLOOKUP($C198, 'NATIONAL 2020'!$A$3:$M$40, 8, FALSE), VLOOKUP($C198, 'NFI 2020'!$C$3:$J$282, 3, FALSE)), "")</f>
        <v/>
      </c>
      <c r="G198" s="196" t="str">
        <f>+IFERROR(IF($D198=0, VLOOKUP($C198, 'NATIONAL 2020'!$A$3:$M$40, 9, FALSE), VLOOKUP($C198, 'NFI 2020'!$C$3:$J$282, 4, FALSE)), "")</f>
        <v/>
      </c>
      <c r="H198" s="181">
        <f>+IFERROR(IF($D198=0, VLOOKUP($C198, 'NATIONAL 2020'!$A$3:$M$40, 10, FALSE), VLOOKUP($C198, 'NFI 2020'!$C$3:$J$282, 5, FALSE)), "")</f>
        <v>79635272.681992874</v>
      </c>
      <c r="I198" s="213">
        <f>+IFERROR(IF($D198=0, VLOOKUP($C198, 'NATIONAL 2020'!$A$3:$M$40, 13, FALSE), VLOOKUP($C198, 'NFI 2020'!$C$3:$J$282, 8, FALSE)), "")</f>
        <v>120.31745575941983</v>
      </c>
      <c r="J198" s="111" t="str">
        <f>+IFERROR(IF($D198=0, VLOOKUP($C198, 'NATIONAL 2020'!$A$3:$M$40, 11, FALSE), VLOOKUP($C198, 'NFI 2020'!$C$3:$J$282, 6, FALSE)), "")</f>
        <v/>
      </c>
      <c r="K198" s="196" t="str">
        <f>+IFERROR(IF($D198=0, VLOOKUP($C198, 'NATIONAL 2020'!$A$3:$M$40, 12, FALSE), VLOOKUP($C198, 'NFI 2020'!$C$3:$J$282, 7, FALSE)), "")</f>
        <v/>
      </c>
      <c r="L198" s="14"/>
      <c r="M198" s="70"/>
      <c r="N198" s="70"/>
      <c r="R198" s="8"/>
      <c r="S198" s="8"/>
    </row>
    <row r="199" spans="1:19" x14ac:dyDescent="0.25">
      <c r="A199" s="26" t="s">
        <v>141</v>
      </c>
      <c r="B199" s="108" t="str">
        <f t="shared" si="8"/>
        <v>IT</v>
      </c>
      <c r="C199" s="108" t="s">
        <v>228</v>
      </c>
      <c r="D199" s="20">
        <f>+VLOOKUP(B199, 'NATIONAL 2020'!$A$3:$B$41, 2, FALSE)</f>
        <v>2</v>
      </c>
      <c r="E199" s="181">
        <f>+IFERROR(IF($D199=0, VLOOKUP($C199, 'NATIONAL 2020'!$A$3:$M$40, 7, FALSE), VLOOKUP($C199, 'NFI 2020'!$C$3:$J$282, 2, FALSE)), "")</f>
        <v>427557.12986027822</v>
      </c>
      <c r="F199" s="111" t="str">
        <f>+IFERROR(IF($D199=0, VLOOKUP($C199, 'NATIONAL 2020'!$A$3:$M$40, 8, FALSE), VLOOKUP($C199, 'NFI 2020'!$C$3:$J$282, 3, FALSE)), "")</f>
        <v/>
      </c>
      <c r="G199" s="196" t="str">
        <f>+IFERROR(IF($D199=0, VLOOKUP($C199, 'NATIONAL 2020'!$A$3:$M$40, 9, FALSE), VLOOKUP($C199, 'NFI 2020'!$C$3:$J$282, 4, FALSE)), "")</f>
        <v/>
      </c>
      <c r="H199" s="181">
        <f>+IFERROR(IF($D199=0, VLOOKUP($C199, 'NATIONAL 2020'!$A$3:$M$40, 10, FALSE), VLOOKUP($C199, 'NFI 2020'!$C$3:$J$282, 5, FALSE)), "")</f>
        <v>46999591.385813572</v>
      </c>
      <c r="I199" s="213">
        <f>+IFERROR(IF($D199=0, VLOOKUP($C199, 'NATIONAL 2020'!$A$3:$M$40, 13, FALSE), VLOOKUP($C199, 'NFI 2020'!$C$3:$J$282, 8, FALSE)), "")</f>
        <v>109.92587447009154</v>
      </c>
      <c r="J199" s="111" t="str">
        <f>+IFERROR(IF($D199=0, VLOOKUP($C199, 'NATIONAL 2020'!$A$3:$M$40, 11, FALSE), VLOOKUP($C199, 'NFI 2020'!$C$3:$J$282, 6, FALSE)), "")</f>
        <v/>
      </c>
      <c r="K199" s="196" t="str">
        <f>+IFERROR(IF($D199=0, VLOOKUP($C199, 'NATIONAL 2020'!$A$3:$M$40, 12, FALSE), VLOOKUP($C199, 'NFI 2020'!$C$3:$J$282, 7, FALSE)), "")</f>
        <v/>
      </c>
      <c r="L199" s="14"/>
      <c r="M199" s="70"/>
      <c r="N199" s="70"/>
      <c r="O199" s="16"/>
      <c r="Q199" s="36"/>
      <c r="R199" s="8"/>
      <c r="S199" s="8"/>
    </row>
    <row r="200" spans="1:19" x14ac:dyDescent="0.25">
      <c r="A200" s="26" t="s">
        <v>141</v>
      </c>
      <c r="B200" s="108" t="str">
        <f t="shared" si="8"/>
        <v>IT</v>
      </c>
      <c r="C200" s="108" t="s">
        <v>229</v>
      </c>
      <c r="D200" s="20">
        <f>+VLOOKUP(B200, 'NATIONAL 2020'!$A$3:$B$41, 2, FALSE)</f>
        <v>2</v>
      </c>
      <c r="E200" s="181">
        <f>+IFERROR(IF($D200=0, VLOOKUP($C200, 'NATIONAL 2020'!$A$3:$M$40, 7, FALSE), VLOOKUP($C200, 'NFI 2020'!$C$3:$J$282, 2, FALSE)), "")</f>
        <v>144774.20583652821</v>
      </c>
      <c r="F200" s="111" t="str">
        <f>+IFERROR(IF($D200=0, VLOOKUP($C200, 'NATIONAL 2020'!$A$3:$M$40, 8, FALSE), VLOOKUP($C200, 'NFI 2020'!$C$3:$J$282, 3, FALSE)), "")</f>
        <v/>
      </c>
      <c r="G200" s="196" t="str">
        <f>+IFERROR(IF($D200=0, VLOOKUP($C200, 'NATIONAL 2020'!$A$3:$M$40, 9, FALSE), VLOOKUP($C200, 'NFI 2020'!$C$3:$J$282, 4, FALSE)), "")</f>
        <v/>
      </c>
      <c r="H200" s="181">
        <f>+IFERROR(IF($D200=0, VLOOKUP($C200, 'NATIONAL 2020'!$A$3:$M$40, 10, FALSE), VLOOKUP($C200, 'NFI 2020'!$C$3:$J$282, 5, FALSE)), "")</f>
        <v>14259987.485940408</v>
      </c>
      <c r="I200" s="213">
        <f>+IFERROR(IF($D200=0, VLOOKUP($C200, 'NATIONAL 2020'!$A$3:$M$40, 13, FALSE), VLOOKUP($C200, 'NFI 2020'!$C$3:$J$282, 8, FALSE)), "")</f>
        <v>98.498122670015348</v>
      </c>
      <c r="J200" s="111" t="str">
        <f>+IFERROR(IF($D200=0, VLOOKUP($C200, 'NATIONAL 2020'!$A$3:$M$40, 11, FALSE), VLOOKUP($C200, 'NFI 2020'!$C$3:$J$282, 6, FALSE)), "")</f>
        <v/>
      </c>
      <c r="K200" s="196" t="str">
        <f>+IFERROR(IF($D200=0, VLOOKUP($C200, 'NATIONAL 2020'!$A$3:$M$40, 12, FALSE), VLOOKUP($C200, 'NFI 2020'!$C$3:$J$282, 7, FALSE)), "")</f>
        <v/>
      </c>
      <c r="L200" s="14"/>
      <c r="M200" s="70"/>
      <c r="N200" s="70"/>
      <c r="R200" s="8"/>
      <c r="S200" s="8"/>
    </row>
    <row r="201" spans="1:19" x14ac:dyDescent="0.25">
      <c r="A201" s="26" t="s">
        <v>141</v>
      </c>
      <c r="B201" s="108" t="str">
        <f t="shared" si="8"/>
        <v>IT</v>
      </c>
      <c r="C201" s="108" t="s">
        <v>230</v>
      </c>
      <c r="D201" s="20">
        <f>+VLOOKUP(B201, 'NATIONAL 2020'!$A$3:$B$41, 2, FALSE)</f>
        <v>2</v>
      </c>
      <c r="E201" s="181">
        <f>+IFERROR(IF($D201=0, VLOOKUP($C201, 'NATIONAL 2020'!$A$3:$M$40, 7, FALSE), VLOOKUP($C201, 'NFI 2020'!$C$3:$J$282, 2, FALSE)), "")</f>
        <v>419806.76509433449</v>
      </c>
      <c r="F201" s="111" t="str">
        <f>+IFERROR(IF($D201=0, VLOOKUP($C201, 'NATIONAL 2020'!$A$3:$M$40, 8, FALSE), VLOOKUP($C201, 'NFI 2020'!$C$3:$J$282, 3, FALSE)), "")</f>
        <v/>
      </c>
      <c r="G201" s="196" t="str">
        <f>+IFERROR(IF($D201=0, VLOOKUP($C201, 'NATIONAL 2020'!$A$3:$M$40, 9, FALSE), VLOOKUP($C201, 'NFI 2020'!$C$3:$J$282, 4, FALSE)), "")</f>
        <v/>
      </c>
      <c r="H201" s="181">
        <f>+IFERROR(IF($D201=0, VLOOKUP($C201, 'NATIONAL 2020'!$A$3:$M$40, 10, FALSE), VLOOKUP($C201, 'NFI 2020'!$C$3:$J$282, 5, FALSE)), "")</f>
        <v>41146190.403933495</v>
      </c>
      <c r="I201" s="213">
        <f>+IFERROR(IF($D201=0, VLOOKUP($C201, 'NATIONAL 2020'!$A$3:$M$40, 13, FALSE), VLOOKUP($C201, 'NFI 2020'!$C$3:$J$282, 8, FALSE)), "")</f>
        <v>98.01221377337157</v>
      </c>
      <c r="J201" s="111" t="str">
        <f>+IFERROR(IF($D201=0, VLOOKUP($C201, 'NATIONAL 2020'!$A$3:$M$40, 11, FALSE), VLOOKUP($C201, 'NFI 2020'!$C$3:$J$282, 6, FALSE)), "")</f>
        <v/>
      </c>
      <c r="K201" s="196" t="str">
        <f>+IFERROR(IF($D201=0, VLOOKUP($C201, 'NATIONAL 2020'!$A$3:$M$40, 12, FALSE), VLOOKUP($C201, 'NFI 2020'!$C$3:$J$282, 7, FALSE)), "")</f>
        <v/>
      </c>
      <c r="L201" s="14"/>
      <c r="M201" s="70"/>
      <c r="N201" s="70"/>
      <c r="R201" s="8"/>
      <c r="S201" s="8"/>
    </row>
    <row r="202" spans="1:19" x14ac:dyDescent="0.25">
      <c r="A202" s="26" t="s">
        <v>141</v>
      </c>
      <c r="B202" s="108" t="str">
        <f t="shared" si="8"/>
        <v>IT</v>
      </c>
      <c r="C202" s="108" t="s">
        <v>231</v>
      </c>
      <c r="D202" s="20">
        <f>+VLOOKUP(B202, 'NATIONAL 2020'!$A$3:$B$41, 2, FALSE)</f>
        <v>2</v>
      </c>
      <c r="E202" s="181">
        <f>+IFERROR(IF($D202=0, VLOOKUP($C202, 'NATIONAL 2020'!$A$3:$M$40, 7, FALSE), VLOOKUP($C202, 'NFI 2020'!$C$3:$J$282, 2, FALSE)), "")</f>
        <v>159329.2654911743</v>
      </c>
      <c r="F202" s="111" t="str">
        <f>+IFERROR(IF($D202=0, VLOOKUP($C202, 'NATIONAL 2020'!$A$3:$M$40, 8, FALSE), VLOOKUP($C202, 'NFI 2020'!$C$3:$J$282, 3, FALSE)), "")</f>
        <v/>
      </c>
      <c r="G202" s="196" t="str">
        <f>+IFERROR(IF($D202=0, VLOOKUP($C202, 'NATIONAL 2020'!$A$3:$M$40, 9, FALSE), VLOOKUP($C202, 'NFI 2020'!$C$3:$J$282, 4, FALSE)), "")</f>
        <v/>
      </c>
      <c r="H202" s="181">
        <f>+IFERROR(IF($D202=0, VLOOKUP($C202, 'NATIONAL 2020'!$A$3:$M$40, 10, FALSE), VLOOKUP($C202, 'NFI 2020'!$C$3:$J$282, 5, FALSE)), "")</f>
        <v>11018196.766750565</v>
      </c>
      <c r="I202" s="213">
        <f>+IFERROR(IF($D202=0, VLOOKUP($C202, 'NATIONAL 2020'!$A$3:$M$40, 13, FALSE), VLOOKUP($C202, 'NFI 2020'!$C$3:$J$282, 8, FALSE)), "")</f>
        <v>69.153628071930669</v>
      </c>
      <c r="J202" s="111" t="str">
        <f>+IFERROR(IF($D202=0, VLOOKUP($C202, 'NATIONAL 2020'!$A$3:$M$40, 11, FALSE), VLOOKUP($C202, 'NFI 2020'!$C$3:$J$282, 6, FALSE)), "")</f>
        <v/>
      </c>
      <c r="K202" s="196" t="str">
        <f>+IFERROR(IF($D202=0, VLOOKUP($C202, 'NATIONAL 2020'!$A$3:$M$40, 12, FALSE), VLOOKUP($C202, 'NFI 2020'!$C$3:$J$282, 7, FALSE)), "")</f>
        <v/>
      </c>
      <c r="L202" s="14"/>
      <c r="M202" s="70"/>
      <c r="N202" s="70"/>
      <c r="R202" s="8"/>
      <c r="S202" s="8"/>
    </row>
    <row r="203" spans="1:19" x14ac:dyDescent="0.25">
      <c r="A203" s="26" t="s">
        <v>141</v>
      </c>
      <c r="B203" s="108" t="str">
        <f t="shared" si="8"/>
        <v>IT</v>
      </c>
      <c r="C203" s="108" t="s">
        <v>232</v>
      </c>
      <c r="D203" s="20">
        <f>+VLOOKUP(B203, 'NATIONAL 2020'!$A$3:$B$41, 2, FALSE)</f>
        <v>2</v>
      </c>
      <c r="E203" s="181">
        <f>+IFERROR(IF($D203=0, VLOOKUP($C203, 'NATIONAL 2020'!$A$3:$M$40, 7, FALSE), VLOOKUP($C203, 'NFI 2020'!$C$3:$J$282, 2, FALSE)), "")</f>
        <v>287335.2230759557</v>
      </c>
      <c r="F203" s="111" t="str">
        <f>+IFERROR(IF($D203=0, VLOOKUP($C203, 'NATIONAL 2020'!$A$3:$M$40, 8, FALSE), VLOOKUP($C203, 'NFI 2020'!$C$3:$J$282, 3, FALSE)), "")</f>
        <v/>
      </c>
      <c r="G203" s="196" t="str">
        <f>+IFERROR(IF($D203=0, VLOOKUP($C203, 'NATIONAL 2020'!$A$3:$M$40, 9, FALSE), VLOOKUP($C203, 'NFI 2020'!$C$3:$J$282, 4, FALSE)), "")</f>
        <v/>
      </c>
      <c r="H203" s="181">
        <f>+IFERROR(IF($D203=0, VLOOKUP($C203, 'NATIONAL 2020'!$A$3:$M$40, 10, FALSE), VLOOKUP($C203, 'NFI 2020'!$C$3:$J$282, 5, FALSE)), "")</f>
        <v>26776584.179192152</v>
      </c>
      <c r="I203" s="213">
        <f>+IFERROR(IF($D203=0, VLOOKUP($C203, 'NATIONAL 2020'!$A$3:$M$40, 13, FALSE), VLOOKUP($C203, 'NFI 2020'!$C$3:$J$282, 8, FALSE)), "")</f>
        <v>93.189355250448671</v>
      </c>
      <c r="J203" s="111" t="str">
        <f>+IFERROR(IF($D203=0, VLOOKUP($C203, 'NATIONAL 2020'!$A$3:$M$40, 11, FALSE), VLOOKUP($C203, 'NFI 2020'!$C$3:$J$282, 6, FALSE)), "")</f>
        <v/>
      </c>
      <c r="K203" s="196" t="str">
        <f>+IFERROR(IF($D203=0, VLOOKUP($C203, 'NATIONAL 2020'!$A$3:$M$40, 12, FALSE), VLOOKUP($C203, 'NFI 2020'!$C$3:$J$282, 7, FALSE)), "")</f>
        <v/>
      </c>
      <c r="L203" s="14"/>
      <c r="M203" s="70"/>
      <c r="N203" s="70"/>
      <c r="R203" s="8"/>
      <c r="S203" s="8"/>
    </row>
    <row r="204" spans="1:19" x14ac:dyDescent="0.25">
      <c r="A204" s="26" t="s">
        <v>141</v>
      </c>
      <c r="B204" s="108" t="str">
        <f t="shared" si="8"/>
        <v>IT</v>
      </c>
      <c r="C204" s="108" t="s">
        <v>233</v>
      </c>
      <c r="D204" s="20">
        <f>+VLOOKUP(B204, 'NATIONAL 2020'!$A$3:$B$41, 2, FALSE)</f>
        <v>2</v>
      </c>
      <c r="E204" s="181">
        <f>+IFERROR(IF($D204=0, VLOOKUP($C204, 'NATIONAL 2020'!$A$3:$M$40, 7, FALSE), VLOOKUP($C204, 'NFI 2020'!$C$3:$J$282, 2, FALSE)), "")</f>
        <v>511278.34672877227</v>
      </c>
      <c r="F204" s="111" t="str">
        <f>+IFERROR(IF($D204=0, VLOOKUP($C204, 'NATIONAL 2020'!$A$3:$M$40, 8, FALSE), VLOOKUP($C204, 'NFI 2020'!$C$3:$J$282, 3, FALSE)), "")</f>
        <v/>
      </c>
      <c r="G204" s="196" t="str">
        <f>+IFERROR(IF($D204=0, VLOOKUP($C204, 'NATIONAL 2020'!$A$3:$M$40, 9, FALSE), VLOOKUP($C204, 'NFI 2020'!$C$3:$J$282, 4, FALSE)), "")</f>
        <v/>
      </c>
      <c r="H204" s="181">
        <f>+IFERROR(IF($D204=0, VLOOKUP($C204, 'NATIONAL 2020'!$A$3:$M$40, 10, FALSE), VLOOKUP($C204, 'NFI 2020'!$C$3:$J$282, 5, FALSE)), "")</f>
        <v>68048353.545397863</v>
      </c>
      <c r="I204" s="213">
        <f>+IFERROR(IF($D204=0, VLOOKUP($C204, 'NATIONAL 2020'!$A$3:$M$40, 13, FALSE), VLOOKUP($C204, 'NFI 2020'!$C$3:$J$282, 8, FALSE)), "")</f>
        <v>133.0945344757516</v>
      </c>
      <c r="J204" s="111" t="str">
        <f>+IFERROR(IF($D204=0, VLOOKUP($C204, 'NATIONAL 2020'!$A$3:$M$40, 11, FALSE), VLOOKUP($C204, 'NFI 2020'!$C$3:$J$282, 6, FALSE)), "")</f>
        <v/>
      </c>
      <c r="K204" s="196" t="str">
        <f>+IFERROR(IF($D204=0, VLOOKUP($C204, 'NATIONAL 2020'!$A$3:$M$40, 12, FALSE), VLOOKUP($C204, 'NFI 2020'!$C$3:$J$282, 7, FALSE)), "")</f>
        <v/>
      </c>
      <c r="L204" s="14"/>
      <c r="M204" s="70"/>
      <c r="N204" s="70"/>
      <c r="R204" s="8"/>
      <c r="S204" s="8"/>
    </row>
    <row r="205" spans="1:19" x14ac:dyDescent="0.25">
      <c r="A205" s="26" t="s">
        <v>141</v>
      </c>
      <c r="B205" s="108" t="str">
        <f t="shared" si="8"/>
        <v>IT</v>
      </c>
      <c r="C205" s="108" t="s">
        <v>234</v>
      </c>
      <c r="D205" s="20">
        <f>+VLOOKUP(B205, 'NATIONAL 2020'!$A$3:$B$41, 2, FALSE)</f>
        <v>2</v>
      </c>
      <c r="E205" s="181">
        <f>+IFERROR(IF($D205=0, VLOOKUP($C205, 'NATIONAL 2020'!$A$3:$M$40, 7, FALSE), VLOOKUP($C205, 'NFI 2020'!$C$3:$J$282, 2, FALSE)), "")</f>
        <v>279914.89808008051</v>
      </c>
      <c r="F205" s="111" t="str">
        <f>+IFERROR(IF($D205=0, VLOOKUP($C205, 'NATIONAL 2020'!$A$3:$M$40, 8, FALSE), VLOOKUP($C205, 'NFI 2020'!$C$3:$J$282, 3, FALSE)), "")</f>
        <v/>
      </c>
      <c r="G205" s="196" t="str">
        <f>+IFERROR(IF($D205=0, VLOOKUP($C205, 'NATIONAL 2020'!$A$3:$M$40, 9, FALSE), VLOOKUP($C205, 'NFI 2020'!$C$3:$J$282, 4, FALSE)), "")</f>
        <v/>
      </c>
      <c r="H205" s="181">
        <f>+IFERROR(IF($D205=0, VLOOKUP($C205, 'NATIONAL 2020'!$A$3:$M$40, 10, FALSE), VLOOKUP($C205, 'NFI 2020'!$C$3:$J$282, 5, FALSE)), "")</f>
        <v>19448122.085948247</v>
      </c>
      <c r="I205" s="213">
        <f>+IFERROR(IF($D205=0, VLOOKUP($C205, 'NATIONAL 2020'!$A$3:$M$40, 13, FALSE), VLOOKUP($C205, 'NFI 2020'!$C$3:$J$282, 8, FALSE)), "")</f>
        <v>69.4786959155863</v>
      </c>
      <c r="J205" s="111" t="str">
        <f>+IFERROR(IF($D205=0, VLOOKUP($C205, 'NATIONAL 2020'!$A$3:$M$40, 11, FALSE), VLOOKUP($C205, 'NFI 2020'!$C$3:$J$282, 6, FALSE)), "")</f>
        <v/>
      </c>
      <c r="K205" s="196" t="str">
        <f>+IFERROR(IF($D205=0, VLOOKUP($C205, 'NATIONAL 2020'!$A$3:$M$40, 12, FALSE), VLOOKUP($C205, 'NFI 2020'!$C$3:$J$282, 7, FALSE)), "")</f>
        <v/>
      </c>
      <c r="L205" s="14"/>
      <c r="M205" s="70"/>
      <c r="N205" s="70"/>
      <c r="R205" s="8"/>
      <c r="S205" s="8"/>
    </row>
    <row r="206" spans="1:19" x14ac:dyDescent="0.25">
      <c r="A206" s="26" t="s">
        <v>141</v>
      </c>
      <c r="B206" s="108" t="str">
        <f t="shared" si="8"/>
        <v>IT</v>
      </c>
      <c r="C206" s="108" t="s">
        <v>235</v>
      </c>
      <c r="D206" s="20">
        <f>+VLOOKUP(B206, 'NATIONAL 2020'!$A$3:$B$41, 2, FALSE)</f>
        <v>2</v>
      </c>
      <c r="E206" s="181">
        <f>+IFERROR(IF($D206=0, VLOOKUP($C206, 'NATIONAL 2020'!$A$3:$M$40, 7, FALSE), VLOOKUP($C206, 'NFI 2020'!$C$3:$J$282, 2, FALSE)), "")</f>
        <v>637223.68539176253</v>
      </c>
      <c r="F206" s="111" t="str">
        <f>+IFERROR(IF($D206=0, VLOOKUP($C206, 'NATIONAL 2020'!$A$3:$M$40, 8, FALSE), VLOOKUP($C206, 'NFI 2020'!$C$3:$J$282, 3, FALSE)), "")</f>
        <v/>
      </c>
      <c r="G206" s="196" t="str">
        <f>+IFERROR(IF($D206=0, VLOOKUP($C206, 'NATIONAL 2020'!$A$3:$M$40, 9, FALSE), VLOOKUP($C206, 'NFI 2020'!$C$3:$J$282, 4, FALSE)), "")</f>
        <v/>
      </c>
      <c r="H206" s="181">
        <f>+IFERROR(IF($D206=0, VLOOKUP($C206, 'NATIONAL 2020'!$A$3:$M$40, 10, FALSE), VLOOKUP($C206, 'NFI 2020'!$C$3:$J$282, 5, FALSE)), "")</f>
        <v>34217004.91389975</v>
      </c>
      <c r="I206" s="213">
        <f>+IFERROR(IF($D206=0, VLOOKUP($C206, 'NATIONAL 2020'!$A$3:$M$40, 13, FALSE), VLOOKUP($C206, 'NFI 2020'!$C$3:$J$282, 8, FALSE)), "")</f>
        <v>53.69700734344687</v>
      </c>
      <c r="J206" s="111" t="str">
        <f>+IFERROR(IF($D206=0, VLOOKUP($C206, 'NATIONAL 2020'!$A$3:$M$40, 11, FALSE), VLOOKUP($C206, 'NFI 2020'!$C$3:$J$282, 6, FALSE)), "")</f>
        <v/>
      </c>
      <c r="K206" s="196" t="str">
        <f>+IFERROR(IF($D206=0, VLOOKUP($C206, 'NATIONAL 2020'!$A$3:$M$40, 12, FALSE), VLOOKUP($C206, 'NFI 2020'!$C$3:$J$282, 7, FALSE)), "")</f>
        <v/>
      </c>
      <c r="L206" s="14"/>
      <c r="M206" s="70"/>
      <c r="N206" s="70"/>
      <c r="R206" s="8"/>
      <c r="S206" s="8"/>
    </row>
    <row r="207" spans="1:19" x14ac:dyDescent="0.25">
      <c r="A207" s="26" t="s">
        <v>141</v>
      </c>
      <c r="B207" s="108" t="str">
        <f t="shared" si="8"/>
        <v>IT</v>
      </c>
      <c r="C207" s="108" t="s">
        <v>253</v>
      </c>
      <c r="D207" s="20">
        <f>+VLOOKUP(B207, 'NATIONAL 2020'!$A$3:$B$41, 2, FALSE)</f>
        <v>2</v>
      </c>
      <c r="E207" s="181">
        <f>+IFERROR(IF($D207=0, VLOOKUP($C207, 'NATIONAL 2020'!$A$3:$M$40, 7, FALSE), VLOOKUP($C207, 'NFI 2020'!$C$3:$J$282, 2, FALSE)), "")</f>
        <v>367705.47691830416</v>
      </c>
      <c r="F207" s="111" t="str">
        <f>+IFERROR(IF($D207=0, VLOOKUP($C207, 'NATIONAL 2020'!$A$3:$M$40, 8, FALSE), VLOOKUP($C207, 'NFI 2020'!$C$3:$J$282, 3, FALSE)), "")</f>
        <v/>
      </c>
      <c r="G207" s="196" t="str">
        <f>+IFERROR(IF($D207=0, VLOOKUP($C207, 'NATIONAL 2020'!$A$3:$M$40, 9, FALSE), VLOOKUP($C207, 'NFI 2020'!$C$3:$J$282, 4, FALSE)), "")</f>
        <v/>
      </c>
      <c r="H207" s="181">
        <f>+IFERROR(IF($D207=0, VLOOKUP($C207, 'NATIONAL 2020'!$A$3:$M$40, 10, FALSE), VLOOKUP($C207, 'NFI 2020'!$C$3:$J$282, 5, FALSE)), "")</f>
        <v>63283474.180555806</v>
      </c>
      <c r="I207" s="213">
        <f>+IFERROR(IF($D207=0, VLOOKUP($C207, 'NATIONAL 2020'!$A$3:$M$40, 13, FALSE), VLOOKUP($C207, 'NFI 2020'!$C$3:$J$282, 8, FALSE)), "")</f>
        <v>172.10370297153872</v>
      </c>
      <c r="J207" s="111" t="str">
        <f>+IFERROR(IF($D207=0, VLOOKUP($C207, 'NATIONAL 2020'!$A$3:$M$40, 11, FALSE), VLOOKUP($C207, 'NFI 2020'!$C$3:$J$282, 6, FALSE)), "")</f>
        <v/>
      </c>
      <c r="K207" s="196" t="str">
        <f>+IFERROR(IF($D207=0, VLOOKUP($C207, 'NATIONAL 2020'!$A$3:$M$40, 12, FALSE), VLOOKUP($C207, 'NFI 2020'!$C$3:$J$282, 7, FALSE)), "")</f>
        <v/>
      </c>
      <c r="L207" s="14"/>
      <c r="M207" s="70"/>
      <c r="N207" s="70"/>
      <c r="R207" s="8"/>
      <c r="S207" s="8"/>
    </row>
    <row r="208" spans="1:19" x14ac:dyDescent="0.25">
      <c r="A208" s="26" t="s">
        <v>141</v>
      </c>
      <c r="B208" s="108" t="str">
        <f t="shared" si="8"/>
        <v>IT</v>
      </c>
      <c r="C208" s="108" t="s">
        <v>254</v>
      </c>
      <c r="D208" s="20">
        <f>+VLOOKUP(B208, 'NATIONAL 2020'!$A$3:$B$41, 2, FALSE)</f>
        <v>2</v>
      </c>
      <c r="E208" s="181">
        <f>+IFERROR(IF($D208=0, VLOOKUP($C208, 'NATIONAL 2020'!$A$3:$M$40, 7, FALSE), VLOOKUP($C208, 'NFI 2020'!$C$3:$J$282, 2, FALSE)), "")</f>
        <v>409984.96938236512</v>
      </c>
      <c r="F208" s="111" t="str">
        <f>+IFERROR(IF($D208=0, VLOOKUP($C208, 'NATIONAL 2020'!$A$3:$M$40, 8, FALSE), VLOOKUP($C208, 'NFI 2020'!$C$3:$J$282, 3, FALSE)), "")</f>
        <v/>
      </c>
      <c r="G208" s="196" t="str">
        <f>+IFERROR(IF($D208=0, VLOOKUP($C208, 'NATIONAL 2020'!$A$3:$M$40, 9, FALSE), VLOOKUP($C208, 'NFI 2020'!$C$3:$J$282, 4, FALSE)), "")</f>
        <v/>
      </c>
      <c r="H208" s="181">
        <f>+IFERROR(IF($D208=0, VLOOKUP($C208, 'NATIONAL 2020'!$A$3:$M$40, 10, FALSE), VLOOKUP($C208, 'NFI 2020'!$C$3:$J$282, 5, FALSE)), "")</f>
        <v>67115815.506268889</v>
      </c>
      <c r="I208" s="213">
        <f>+IFERROR(IF($D208=0, VLOOKUP($C208, 'NATIONAL 2020'!$A$3:$M$40, 13, FALSE), VLOOKUP($C208, 'NFI 2020'!$C$3:$J$282, 8, FALSE)), "")</f>
        <v>163.7031123540398</v>
      </c>
      <c r="J208" s="111" t="str">
        <f>+IFERROR(IF($D208=0, VLOOKUP($C208, 'NATIONAL 2020'!$A$3:$M$40, 11, FALSE), VLOOKUP($C208, 'NFI 2020'!$C$3:$J$282, 6, FALSE)), "")</f>
        <v/>
      </c>
      <c r="K208" s="196" t="str">
        <f>+IFERROR(IF($D208=0, VLOOKUP($C208, 'NATIONAL 2020'!$A$3:$M$40, 12, FALSE), VLOOKUP($C208, 'NFI 2020'!$C$3:$J$282, 7, FALSE)), "")</f>
        <v/>
      </c>
      <c r="L208" s="14"/>
      <c r="M208" s="70"/>
      <c r="N208" s="70"/>
      <c r="R208" s="8"/>
      <c r="S208" s="8"/>
    </row>
    <row r="209" spans="1:19" x14ac:dyDescent="0.25">
      <c r="A209" s="26" t="s">
        <v>141</v>
      </c>
      <c r="B209" s="108" t="str">
        <f t="shared" si="8"/>
        <v>IT</v>
      </c>
      <c r="C209" s="108" t="s">
        <v>236</v>
      </c>
      <c r="D209" s="20">
        <f>+VLOOKUP(B209, 'NATIONAL 2020'!$A$3:$B$41, 2, FALSE)</f>
        <v>2</v>
      </c>
      <c r="E209" s="181">
        <f>+IFERROR(IF($D209=0, VLOOKUP($C209, 'NATIONAL 2020'!$A$3:$M$40, 7, FALSE), VLOOKUP($C209, 'NFI 2020'!$C$3:$J$282, 2, FALSE)), "")</f>
        <v>434543.55412601365</v>
      </c>
      <c r="F209" s="111" t="str">
        <f>+IFERROR(IF($D209=0, VLOOKUP($C209, 'NATIONAL 2020'!$A$3:$M$40, 8, FALSE), VLOOKUP($C209, 'NFI 2020'!$C$3:$J$282, 3, FALSE)), "")</f>
        <v/>
      </c>
      <c r="G209" s="196" t="str">
        <f>+IFERROR(IF($D209=0, VLOOKUP($C209, 'NATIONAL 2020'!$A$3:$M$40, 9, FALSE), VLOOKUP($C209, 'NFI 2020'!$C$3:$J$282, 4, FALSE)), "")</f>
        <v/>
      </c>
      <c r="H209" s="181">
        <f>+IFERROR(IF($D209=0, VLOOKUP($C209, 'NATIONAL 2020'!$A$3:$M$40, 10, FALSE), VLOOKUP($C209, 'NFI 2020'!$C$3:$J$282, 5, FALSE)), "")</f>
        <v>59386089.952713549</v>
      </c>
      <c r="I209" s="213">
        <f>+IFERROR(IF($D209=0, VLOOKUP($C209, 'NATIONAL 2020'!$A$3:$M$40, 13, FALSE), VLOOKUP($C209, 'NFI 2020'!$C$3:$J$282, 8, FALSE)), "")</f>
        <v>136.66314777618845</v>
      </c>
      <c r="J209" s="111" t="str">
        <f>+IFERROR(IF($D209=0, VLOOKUP($C209, 'NATIONAL 2020'!$A$3:$M$40, 11, FALSE), VLOOKUP($C209, 'NFI 2020'!$C$3:$J$282, 6, FALSE)), "")</f>
        <v/>
      </c>
      <c r="K209" s="196" t="str">
        <f>+IFERROR(IF($D209=0, VLOOKUP($C209, 'NATIONAL 2020'!$A$3:$M$40, 12, FALSE), VLOOKUP($C209, 'NFI 2020'!$C$3:$J$282, 7, FALSE)), "")</f>
        <v/>
      </c>
      <c r="L209" s="14"/>
      <c r="M209" s="70"/>
      <c r="N209" s="70"/>
      <c r="R209" s="8"/>
      <c r="S209" s="8"/>
    </row>
    <row r="210" spans="1:19" x14ac:dyDescent="0.25">
      <c r="A210" s="26" t="s">
        <v>141</v>
      </c>
      <c r="B210" s="108" t="str">
        <f t="shared" si="8"/>
        <v>IT</v>
      </c>
      <c r="C210" s="108" t="s">
        <v>237</v>
      </c>
      <c r="D210" s="20">
        <f>+VLOOKUP(B210, 'NATIONAL 2020'!$A$3:$B$41, 2, FALSE)</f>
        <v>2</v>
      </c>
      <c r="E210" s="181">
        <f>+IFERROR(IF($D210=0, VLOOKUP($C210, 'NATIONAL 2020'!$A$3:$M$40, 7, FALSE), VLOOKUP($C210, 'NFI 2020'!$C$3:$J$282, 2, FALSE)), "")</f>
        <v>353664.1522333477</v>
      </c>
      <c r="F210" s="111" t="str">
        <f>+IFERROR(IF($D210=0, VLOOKUP($C210, 'NATIONAL 2020'!$A$3:$M$40, 8, FALSE), VLOOKUP($C210, 'NFI 2020'!$C$3:$J$282, 3, FALSE)), "")</f>
        <v/>
      </c>
      <c r="G210" s="196" t="str">
        <f>+IFERROR(IF($D210=0, VLOOKUP($C210, 'NATIONAL 2020'!$A$3:$M$40, 9, FALSE), VLOOKUP($C210, 'NFI 2020'!$C$3:$J$282, 4, FALSE)), "")</f>
        <v/>
      </c>
      <c r="H210" s="181">
        <f>+IFERROR(IF($D210=0, VLOOKUP($C210, 'NATIONAL 2020'!$A$3:$M$40, 10, FALSE), VLOOKUP($C210, 'NFI 2020'!$C$3:$J$282, 5, FALSE)), "")</f>
        <v>52669541.526352458</v>
      </c>
      <c r="I210" s="213">
        <f>+IFERROR(IF($D210=0, VLOOKUP($C210, 'NATIONAL 2020'!$A$3:$M$40, 13, FALSE), VLOOKUP($C210, 'NFI 2020'!$C$3:$J$282, 8, FALSE)), "")</f>
        <v>148.92530439896288</v>
      </c>
      <c r="J210" s="111" t="str">
        <f>+IFERROR(IF($D210=0, VLOOKUP($C210, 'NATIONAL 2020'!$A$3:$M$40, 11, FALSE), VLOOKUP($C210, 'NFI 2020'!$C$3:$J$282, 6, FALSE)), "")</f>
        <v/>
      </c>
      <c r="K210" s="196" t="str">
        <f>+IFERROR(IF($D210=0, VLOOKUP($C210, 'NATIONAL 2020'!$A$3:$M$40, 12, FALSE), VLOOKUP($C210, 'NFI 2020'!$C$3:$J$282, 7, FALSE)), "")</f>
        <v/>
      </c>
      <c r="L210" s="14"/>
      <c r="M210" s="70"/>
      <c r="N210" s="70"/>
      <c r="R210" s="8"/>
      <c r="S210" s="8"/>
    </row>
    <row r="211" spans="1:19" x14ac:dyDescent="0.25">
      <c r="A211" s="26" t="s">
        <v>141</v>
      </c>
      <c r="B211" s="108" t="str">
        <f t="shared" si="8"/>
        <v>IT</v>
      </c>
      <c r="C211" s="108" t="s">
        <v>238</v>
      </c>
      <c r="D211" s="20">
        <f>+VLOOKUP(B211, 'NATIONAL 2020'!$A$3:$B$41, 2, FALSE)</f>
        <v>2</v>
      </c>
      <c r="E211" s="181">
        <f>+IFERROR(IF($D211=0, VLOOKUP($C211, 'NATIONAL 2020'!$A$3:$M$40, 7, FALSE), VLOOKUP($C211, 'NFI 2020'!$C$3:$J$282, 2, FALSE)), "")</f>
        <v>615152.52149625449</v>
      </c>
      <c r="F211" s="111" t="str">
        <f>+IFERROR(IF($D211=0, VLOOKUP($C211, 'NATIONAL 2020'!$A$3:$M$40, 8, FALSE), VLOOKUP($C211, 'NFI 2020'!$C$3:$J$282, 3, FALSE)), "")</f>
        <v/>
      </c>
      <c r="G211" s="196" t="str">
        <f>+IFERROR(IF($D211=0, VLOOKUP($C211, 'NATIONAL 2020'!$A$3:$M$40, 9, FALSE), VLOOKUP($C211, 'NFI 2020'!$C$3:$J$282, 4, FALSE)), "")</f>
        <v/>
      </c>
      <c r="H211" s="181">
        <f>+IFERROR(IF($D211=0, VLOOKUP($C211, 'NATIONAL 2020'!$A$3:$M$40, 10, FALSE), VLOOKUP($C211, 'NFI 2020'!$C$3:$J$282, 5, FALSE)), "")</f>
        <v>66367527.247032657</v>
      </c>
      <c r="I211" s="213">
        <f>+IFERROR(IF($D211=0, VLOOKUP($C211, 'NATIONAL 2020'!$A$3:$M$40, 13, FALSE), VLOOKUP($C211, 'NFI 2020'!$C$3:$J$282, 8, FALSE)), "")</f>
        <v>107.88792198332354</v>
      </c>
      <c r="J211" s="111" t="str">
        <f>+IFERROR(IF($D211=0, VLOOKUP($C211, 'NATIONAL 2020'!$A$3:$M$40, 11, FALSE), VLOOKUP($C211, 'NFI 2020'!$C$3:$J$282, 6, FALSE)), "")</f>
        <v/>
      </c>
      <c r="K211" s="196" t="str">
        <f>+IFERROR(IF($D211=0, VLOOKUP($C211, 'NATIONAL 2020'!$A$3:$M$40, 12, FALSE), VLOOKUP($C211, 'NFI 2020'!$C$3:$J$282, 7, FALSE)), "")</f>
        <v/>
      </c>
      <c r="L211" s="14"/>
      <c r="M211" s="70"/>
      <c r="N211" s="70"/>
      <c r="R211" s="8"/>
      <c r="S211" s="8"/>
    </row>
    <row r="212" spans="1:19" x14ac:dyDescent="0.25">
      <c r="A212" s="26" t="s">
        <v>141</v>
      </c>
      <c r="B212" s="108" t="str">
        <f t="shared" si="8"/>
        <v>IT</v>
      </c>
      <c r="C212" s="108" t="s">
        <v>239</v>
      </c>
      <c r="D212" s="20">
        <f>+VLOOKUP(B212, 'NATIONAL 2020'!$A$3:$B$41, 2, FALSE)</f>
        <v>2</v>
      </c>
      <c r="E212" s="181">
        <f>+IFERROR(IF($D212=0, VLOOKUP($C212, 'NATIONAL 2020'!$A$3:$M$40, 7, FALSE), VLOOKUP($C212, 'NFI 2020'!$C$3:$J$282, 2, FALSE)), "")</f>
        <v>1109300.7994047038</v>
      </c>
      <c r="F212" s="111" t="str">
        <f>+IFERROR(IF($D212=0, VLOOKUP($C212, 'NATIONAL 2020'!$A$3:$M$40, 8, FALSE), VLOOKUP($C212, 'NFI 2020'!$C$3:$J$282, 3, FALSE)), "")</f>
        <v/>
      </c>
      <c r="G212" s="196" t="str">
        <f>+IFERROR(IF($D212=0, VLOOKUP($C212, 'NATIONAL 2020'!$A$3:$M$40, 9, FALSE), VLOOKUP($C212, 'NFI 2020'!$C$3:$J$282, 4, FALSE)), "")</f>
        <v/>
      </c>
      <c r="H212" s="181">
        <f>+IFERROR(IF($D212=0, VLOOKUP($C212, 'NATIONAL 2020'!$A$3:$M$40, 10, FALSE), VLOOKUP($C212, 'NFI 2020'!$C$3:$J$282, 5, FALSE)), "")</f>
        <v>116411207.16712995</v>
      </c>
      <c r="I212" s="213">
        <f>+IFERROR(IF($D212=0, VLOOKUP($C212, 'NATIONAL 2020'!$A$3:$M$40, 13, FALSE), VLOOKUP($C212, 'NFI 2020'!$C$3:$J$282, 8, FALSE)), "")</f>
        <v>104.94106488483644</v>
      </c>
      <c r="J212" s="111" t="str">
        <f>+IFERROR(IF($D212=0, VLOOKUP($C212, 'NATIONAL 2020'!$A$3:$M$40, 11, FALSE), VLOOKUP($C212, 'NFI 2020'!$C$3:$J$282, 6, FALSE)), "")</f>
        <v/>
      </c>
      <c r="K212" s="196" t="str">
        <f>+IFERROR(IF($D212=0, VLOOKUP($C212, 'NATIONAL 2020'!$A$3:$M$40, 12, FALSE), VLOOKUP($C212, 'NFI 2020'!$C$3:$J$282, 7, FALSE)), "")</f>
        <v/>
      </c>
      <c r="L212" s="14"/>
      <c r="M212" s="70"/>
      <c r="N212" s="70"/>
      <c r="R212" s="8"/>
      <c r="S212" s="8"/>
    </row>
    <row r="213" spans="1:19" x14ac:dyDescent="0.25">
      <c r="A213" s="26" t="s">
        <v>141</v>
      </c>
      <c r="B213" s="108" t="str">
        <f t="shared" si="8"/>
        <v>IT</v>
      </c>
      <c r="C213" s="108" t="s">
        <v>240</v>
      </c>
      <c r="D213" s="20">
        <f>+VLOOKUP(B213, 'NATIONAL 2020'!$A$3:$B$41, 2, FALSE)</f>
        <v>2</v>
      </c>
      <c r="E213" s="181">
        <f>+IFERROR(IF($D213=0, VLOOKUP($C213, 'NATIONAL 2020'!$A$3:$M$40, 7, FALSE), VLOOKUP($C213, 'NFI 2020'!$C$3:$J$282, 2, FALSE)), "")</f>
        <v>405805.08449823805</v>
      </c>
      <c r="F213" s="111" t="str">
        <f>+IFERROR(IF($D213=0, VLOOKUP($C213, 'NATIONAL 2020'!$A$3:$M$40, 8, FALSE), VLOOKUP($C213, 'NFI 2020'!$C$3:$J$282, 3, FALSE)), "")</f>
        <v/>
      </c>
      <c r="G213" s="196" t="str">
        <f>+IFERROR(IF($D213=0, VLOOKUP($C213, 'NATIONAL 2020'!$A$3:$M$40, 9, FALSE), VLOOKUP($C213, 'NFI 2020'!$C$3:$J$282, 4, FALSE)), "")</f>
        <v/>
      </c>
      <c r="H213" s="181">
        <f>+IFERROR(IF($D213=0, VLOOKUP($C213, 'NATIONAL 2020'!$A$3:$M$40, 10, FALSE), VLOOKUP($C213, 'NFI 2020'!$C$3:$J$282, 5, FALSE)), "")</f>
        <v>32368628.036359407</v>
      </c>
      <c r="I213" s="213">
        <f>+IFERROR(IF($D213=0, VLOOKUP($C213, 'NATIONAL 2020'!$A$3:$M$40, 13, FALSE), VLOOKUP($C213, 'NFI 2020'!$C$3:$J$282, 8, FALSE)), "")</f>
        <v>79.763978503083408</v>
      </c>
      <c r="J213" s="111" t="str">
        <f>+IFERROR(IF($D213=0, VLOOKUP($C213, 'NATIONAL 2020'!$A$3:$M$40, 11, FALSE), VLOOKUP($C213, 'NFI 2020'!$C$3:$J$282, 6, FALSE)), "")</f>
        <v/>
      </c>
      <c r="K213" s="196" t="str">
        <f>+IFERROR(IF($D213=0, VLOOKUP($C213, 'NATIONAL 2020'!$A$3:$M$40, 12, FALSE), VLOOKUP($C213, 'NFI 2020'!$C$3:$J$282, 7, FALSE)), "")</f>
        <v/>
      </c>
      <c r="L213" s="14"/>
      <c r="M213" s="70"/>
      <c r="N213" s="70"/>
      <c r="R213" s="8"/>
      <c r="S213" s="8"/>
    </row>
    <row r="214" spans="1:19" x14ac:dyDescent="0.25">
      <c r="A214" s="26" t="s">
        <v>141</v>
      </c>
      <c r="B214" s="108" t="str">
        <f t="shared" si="8"/>
        <v>IT</v>
      </c>
      <c r="C214" s="108" t="s">
        <v>241</v>
      </c>
      <c r="D214" s="20">
        <f>+VLOOKUP(B214, 'NATIONAL 2020'!$A$3:$B$41, 2, FALSE)</f>
        <v>2</v>
      </c>
      <c r="E214" s="181">
        <f>+IFERROR(IF($D214=0, VLOOKUP($C214, 'NATIONAL 2020'!$A$3:$M$40, 7, FALSE), VLOOKUP($C214, 'NFI 2020'!$C$3:$J$282, 2, FALSE)), "")</f>
        <v>318238.60943505762</v>
      </c>
      <c r="F214" s="111" t="str">
        <f>+IFERROR(IF($D214=0, VLOOKUP($C214, 'NATIONAL 2020'!$A$3:$M$40, 8, FALSE), VLOOKUP($C214, 'NFI 2020'!$C$3:$J$282, 3, FALSE)), "")</f>
        <v/>
      </c>
      <c r="G214" s="196" t="str">
        <f>+IFERROR(IF($D214=0, VLOOKUP($C214, 'NATIONAL 2020'!$A$3:$M$40, 9, FALSE), VLOOKUP($C214, 'NFI 2020'!$C$3:$J$282, 4, FALSE)), "")</f>
        <v/>
      </c>
      <c r="H214" s="181">
        <f>+IFERROR(IF($D214=0, VLOOKUP($C214, 'NATIONAL 2020'!$A$3:$M$40, 10, FALSE), VLOOKUP($C214, 'NFI 2020'!$C$3:$J$282, 5, FALSE)), "")</f>
        <v>25495498.681237362</v>
      </c>
      <c r="I214" s="213">
        <f>+IFERROR(IF($D214=0, VLOOKUP($C214, 'NATIONAL 2020'!$A$3:$M$40, 13, FALSE), VLOOKUP($C214, 'NFI 2020'!$C$3:$J$282, 8, FALSE)), "")</f>
        <v>80.11441077654716</v>
      </c>
      <c r="J214" s="111" t="str">
        <f>+IFERROR(IF($D214=0, VLOOKUP($C214, 'NATIONAL 2020'!$A$3:$M$40, 11, FALSE), VLOOKUP($C214, 'NFI 2020'!$C$3:$J$282, 6, FALSE)), "")</f>
        <v/>
      </c>
      <c r="K214" s="196" t="str">
        <f>+IFERROR(IF($D214=0, VLOOKUP($C214, 'NATIONAL 2020'!$A$3:$M$40, 12, FALSE), VLOOKUP($C214, 'NFI 2020'!$C$3:$J$282, 7, FALSE)), "")</f>
        <v/>
      </c>
      <c r="L214" s="14"/>
      <c r="M214" s="70"/>
      <c r="N214" s="70"/>
      <c r="R214" s="8"/>
      <c r="S214" s="8"/>
    </row>
    <row r="215" spans="1:19" x14ac:dyDescent="0.25">
      <c r="A215" s="26" t="s">
        <v>141</v>
      </c>
      <c r="B215" s="108" t="str">
        <f t="shared" si="8"/>
        <v>IT</v>
      </c>
      <c r="C215" s="108" t="s">
        <v>242</v>
      </c>
      <c r="D215" s="20">
        <f>+VLOOKUP(B215, 'NATIONAL 2020'!$A$3:$B$41, 2, FALSE)</f>
        <v>2</v>
      </c>
      <c r="E215" s="181">
        <f>+IFERROR(IF($D215=0, VLOOKUP($C215, 'NATIONAL 2020'!$A$3:$M$40, 7, FALSE), VLOOKUP($C215, 'NFI 2020'!$C$3:$J$282, 2, FALSE)), "")</f>
        <v>593988.6939375198</v>
      </c>
      <c r="F215" s="111" t="str">
        <f>+IFERROR(IF($D215=0, VLOOKUP($C215, 'NATIONAL 2020'!$A$3:$M$40, 8, FALSE), VLOOKUP($C215, 'NFI 2020'!$C$3:$J$282, 3, FALSE)), "")</f>
        <v/>
      </c>
      <c r="G215" s="196" t="str">
        <f>+IFERROR(IF($D215=0, VLOOKUP($C215, 'NATIONAL 2020'!$A$3:$M$40, 9, FALSE), VLOOKUP($C215, 'NFI 2020'!$C$3:$J$282, 4, FALSE)), "")</f>
        <v/>
      </c>
      <c r="H215" s="181">
        <f>+IFERROR(IF($D215=0, VLOOKUP($C215, 'NATIONAL 2020'!$A$3:$M$40, 10, FALSE), VLOOKUP($C215, 'NFI 2020'!$C$3:$J$282, 5, FALSE)), "")</f>
        <v>56008456.284906082</v>
      </c>
      <c r="I215" s="213">
        <f>+IFERROR(IF($D215=0, VLOOKUP($C215, 'NATIONAL 2020'!$A$3:$M$40, 13, FALSE), VLOOKUP($C215, 'NFI 2020'!$C$3:$J$282, 8, FALSE)), "")</f>
        <v>94.292125181085467</v>
      </c>
      <c r="J215" s="111" t="str">
        <f>+IFERROR(IF($D215=0, VLOOKUP($C215, 'NATIONAL 2020'!$A$3:$M$40, 11, FALSE), VLOOKUP($C215, 'NFI 2020'!$C$3:$J$282, 6, FALSE)), "")</f>
        <v/>
      </c>
      <c r="K215" s="196" t="str">
        <f>+IFERROR(IF($D215=0, VLOOKUP($C215, 'NATIONAL 2020'!$A$3:$M$40, 12, FALSE), VLOOKUP($C215, 'NFI 2020'!$C$3:$J$282, 7, FALSE)), "")</f>
        <v/>
      </c>
      <c r="L215" s="14"/>
      <c r="M215" s="70"/>
      <c r="N215" s="70"/>
      <c r="O215" s="5"/>
      <c r="R215" s="8"/>
      <c r="S215" s="8"/>
    </row>
    <row r="216" spans="1:19" x14ac:dyDescent="0.25">
      <c r="A216" s="26" t="s">
        <v>508</v>
      </c>
      <c r="B216" t="s">
        <v>22</v>
      </c>
      <c r="C216" t="s">
        <v>22</v>
      </c>
      <c r="D216" s="20">
        <f>+VLOOKUP(B216, 'NATIONAL 2020'!$A$3:$B$41, 2, FALSE)</f>
        <v>0</v>
      </c>
      <c r="E216" s="181">
        <f>+IFERROR(IF($D216=0, VLOOKUP($C216, 'NATIONAL 2020'!$A$3:$M$40, 7, FALSE), VLOOKUP($C216, 'NFI 2020'!$C$3:$J$282, 2, FALSE)), "")</f>
        <v>6700</v>
      </c>
      <c r="F216" s="111">
        <f>+IFERROR(IF($D216=0, VLOOKUP($C216, 'NATIONAL 2020'!$A$3:$M$40, 8, FALSE), VLOOKUP($C216, 'NFI 2020'!$C$3:$J$282, 3, FALSE)), "")</f>
        <v>4000</v>
      </c>
      <c r="G216" s="196">
        <f>+IFERROR(IF($D216=0, VLOOKUP($C216, 'NATIONAL 2020'!$A$3:$M$40, 9, FALSE), VLOOKUP($C216, 'NFI 2020'!$C$3:$J$282, 4, FALSE)), "")</f>
        <v>2700</v>
      </c>
      <c r="H216" s="181">
        <f>+IFERROR(IF($D216=0, VLOOKUP($C216, 'NATIONAL 2020'!$A$3:$M$40, 10, FALSE), VLOOKUP($C216, 'NFI 2020'!$C$3:$J$282, 5, FALSE)), "")</f>
        <v>1520000</v>
      </c>
      <c r="I216" s="213">
        <f>+IFERROR(IF($D216=0, VLOOKUP($C216, 'NATIONAL 2020'!$A$3:$M$40, 13, FALSE), VLOOKUP($C216, 'NFI 2020'!$C$3:$J$282, 8, FALSE)), "")</f>
        <v>226.86567164179104</v>
      </c>
      <c r="J216" s="111">
        <f>+IFERROR(IF($D216=0, VLOOKUP($C216, 'NATIONAL 2020'!$A$3:$M$40, 11, FALSE), VLOOKUP($C216, 'NFI 2020'!$C$3:$J$282, 6, FALSE)), "")</f>
        <v>776642.33576642338</v>
      </c>
      <c r="K216" s="196">
        <f>+IFERROR(IF($D216=0, VLOOKUP($C216, 'NATIONAL 2020'!$A$3:$M$40, 12, FALSE), VLOOKUP($C216, 'NFI 2020'!$C$3:$J$282, 7, FALSE)), "")</f>
        <v>743357.66423357662</v>
      </c>
      <c r="L216" s="14"/>
      <c r="M216" s="70"/>
      <c r="N216" s="70"/>
      <c r="O216" s="5"/>
      <c r="R216" s="8"/>
      <c r="S216" s="8"/>
    </row>
    <row r="217" spans="1:19" x14ac:dyDescent="0.25">
      <c r="A217" s="26" t="s">
        <v>248</v>
      </c>
      <c r="B217" t="s">
        <v>23</v>
      </c>
      <c r="C217" t="s">
        <v>23</v>
      </c>
      <c r="D217" s="20">
        <v>0</v>
      </c>
      <c r="E217" s="181">
        <f>+IFERROR(IF($D217=0, VLOOKUP($C217, 'NATIONAL 2020'!$A$3:$M$40, 7, FALSE), VLOOKUP($C217, 'NFI 2020'!$C$3:$J$282, 2, FALSE)), "")</f>
        <v>2201000</v>
      </c>
      <c r="F217" s="111">
        <f>+IFERROR(IF($D217=0, VLOOKUP($C217, 'NATIONAL 2020'!$A$3:$M$40, 8, FALSE), VLOOKUP($C217, 'NFI 2020'!$C$3:$J$282, 3, FALSE)), "")</f>
        <v>1800380.2615087046</v>
      </c>
      <c r="G217" s="196">
        <f>+IFERROR(IF($D217=0, VLOOKUP($C217, 'NATIONAL 2020'!$A$3:$M$40, 9, FALSE), VLOOKUP($C217, 'NFI 2020'!$C$3:$J$282, 4, FALSE)), "")</f>
        <v>400619.73849129525</v>
      </c>
      <c r="H217" s="181">
        <f>+IFERROR(IF($D217=0, VLOOKUP($C217, 'NATIONAL 2020'!$A$3:$M$40, 10, FALSE), VLOOKUP($C217, 'NFI 2020'!$C$3:$J$282, 5, FALSE)), "")</f>
        <v>318420060.18872505</v>
      </c>
      <c r="I217" s="213">
        <f>+IFERROR(IF($D217=0, VLOOKUP($C217, 'NATIONAL 2020'!$A$3:$M$40, 13, FALSE), VLOOKUP($C217, 'NFI 2020'!$C$3:$J$282, 8, FALSE)), "")</f>
        <v>144.67063161686735</v>
      </c>
      <c r="J217" s="111">
        <f>+IFERROR(IF($D217=0, VLOOKUP($C217, 'NATIONAL 2020'!$A$3:$M$40, 11, FALSE), VLOOKUP($C217, 'NFI 2020'!$C$3:$J$282, 6, FALSE)), "")</f>
        <v>249552833.87847441</v>
      </c>
      <c r="K217" s="196">
        <f>+IFERROR(IF($D217=0, VLOOKUP($C217, 'NATIONAL 2020'!$A$3:$M$40, 12, FALSE), VLOOKUP($C217, 'NFI 2020'!$C$3:$J$282, 7, FALSE)), "")</f>
        <v>68867226.310250625</v>
      </c>
      <c r="L217" s="14"/>
      <c r="M217" s="70"/>
      <c r="N217" s="70"/>
      <c r="O217" s="5"/>
      <c r="R217" s="8"/>
      <c r="S217" s="8"/>
    </row>
    <row r="218" spans="1:19" x14ac:dyDescent="0.25">
      <c r="A218" s="26" t="s">
        <v>248</v>
      </c>
      <c r="B218" s="108" t="str">
        <f t="shared" ref="B218:B227" si="9">+LEFT(C218, 2)</f>
        <v>LT</v>
      </c>
      <c r="C218" s="108" t="s">
        <v>142</v>
      </c>
      <c r="D218" s="20">
        <f>+VLOOKUP(B218, 'NATIONAL 2020'!$A$3:$B$41, 2, FALSE)</f>
        <v>3</v>
      </c>
      <c r="E218" s="181">
        <f>+IFERROR(IF($D218=0, VLOOKUP($C218, 'NATIONAL 2020'!$A$3:$M$40, 7, FALSE), VLOOKUP($C218, 'NFI 2020'!$C$3:$J$282, 2, FALSE)), "")</f>
        <v>272683.06213017751</v>
      </c>
      <c r="F218" s="111">
        <f>+IFERROR(IF($D218=0, VLOOKUP($C218, 'NATIONAL 2020'!$A$3:$M$40, 8, FALSE), VLOOKUP($C218, 'NFI 2020'!$C$3:$J$282, 3, FALSE)), "")</f>
        <v>205235.92563120378</v>
      </c>
      <c r="G218" s="196">
        <f>+IFERROR(IF($D218=0, VLOOKUP($C218, 'NATIONAL 2020'!$A$3:$M$40, 9, FALSE), VLOOKUP($C218, 'NFI 2020'!$C$3:$J$282, 4, FALSE)), "")</f>
        <v>67447.136498973749</v>
      </c>
      <c r="H218" s="181">
        <f>+IFERROR(IF($D218=0, VLOOKUP($C218, 'NATIONAL 2020'!$A$3:$M$40, 10, FALSE), VLOOKUP($C218, 'NFI 2020'!$C$3:$J$282, 5, FALSE)), "")</f>
        <v>41302161.807152487</v>
      </c>
      <c r="I218" s="213">
        <f>+IFERROR(IF($D218=0, VLOOKUP($C218, 'NATIONAL 2020'!$A$3:$M$40, 13, FALSE), VLOOKUP($C218, 'NFI 2020'!$C$3:$J$282, 8, FALSE)), "")</f>
        <v>151.46581340440957</v>
      </c>
      <c r="J218" s="111">
        <f>+IFERROR(IF($D218=0, VLOOKUP($C218, 'NATIONAL 2020'!$A$3:$M$40, 11, FALSE), VLOOKUP($C218, 'NFI 2020'!$C$3:$J$282, 6, FALSE)), "")</f>
        <v>30100835.648558538</v>
      </c>
      <c r="K218" s="196">
        <f>+IFERROR(IF($D218=0, VLOOKUP($C218, 'NATIONAL 2020'!$A$3:$M$40, 12, FALSE), VLOOKUP($C218, 'NFI 2020'!$C$3:$J$282, 7, FALSE)), "")</f>
        <v>11201326.158593949</v>
      </c>
      <c r="L218" s="14"/>
      <c r="M218" s="70"/>
      <c r="N218" s="70"/>
      <c r="O218" s="5"/>
      <c r="R218" s="8"/>
      <c r="S218" s="8"/>
    </row>
    <row r="219" spans="1:19" x14ac:dyDescent="0.25">
      <c r="A219" s="26" t="s">
        <v>248</v>
      </c>
      <c r="B219" s="108" t="str">
        <f t="shared" si="9"/>
        <v>LT</v>
      </c>
      <c r="C219" s="108" t="s">
        <v>143</v>
      </c>
      <c r="D219" s="20">
        <f>+VLOOKUP(B219, 'NATIONAL 2020'!$A$3:$B$41, 2, FALSE)</f>
        <v>3</v>
      </c>
      <c r="E219" s="181">
        <f>+IFERROR(IF($D219=0, VLOOKUP($C219, 'NATIONAL 2020'!$A$3:$M$40, 7, FALSE), VLOOKUP($C219, 'NFI 2020'!$C$3:$J$282, 2, FALSE)), "")</f>
        <v>232798.07692307694</v>
      </c>
      <c r="F219" s="111">
        <f>+IFERROR(IF($D219=0, VLOOKUP($C219, 'NATIONAL 2020'!$A$3:$M$40, 8, FALSE), VLOOKUP($C219, 'NFI 2020'!$C$3:$J$282, 3, FALSE)), "")</f>
        <v>199480.81672282732</v>
      </c>
      <c r="G219" s="196">
        <f>+IFERROR(IF($D219=0, VLOOKUP($C219, 'NATIONAL 2020'!$A$3:$M$40, 9, FALSE), VLOOKUP($C219, 'NFI 2020'!$C$3:$J$282, 4, FALSE)), "")</f>
        <v>33317.260200249635</v>
      </c>
      <c r="H219" s="181">
        <f>+IFERROR(IF($D219=0, VLOOKUP($C219, 'NATIONAL 2020'!$A$3:$M$40, 10, FALSE), VLOOKUP($C219, 'NFI 2020'!$C$3:$J$282, 5, FALSE)), "")</f>
        <v>33389939.997966889</v>
      </c>
      <c r="I219" s="213">
        <f>+IFERROR(IF($D219=0, VLOOKUP($C219, 'NATIONAL 2020'!$A$3:$M$40, 13, FALSE), VLOOKUP($C219, 'NFI 2020'!$C$3:$J$282, 8, FALSE)), "")</f>
        <v>143.42876212418142</v>
      </c>
      <c r="J219" s="111">
        <f>+IFERROR(IF($D219=0, VLOOKUP($C219, 'NATIONAL 2020'!$A$3:$M$40, 11, FALSE), VLOOKUP($C219, 'NFI 2020'!$C$3:$J$282, 6, FALSE)), "")</f>
        <v>27498921.455205847</v>
      </c>
      <c r="K219" s="196">
        <f>+IFERROR(IF($D219=0, VLOOKUP($C219, 'NATIONAL 2020'!$A$3:$M$40, 12, FALSE), VLOOKUP($C219, 'NFI 2020'!$C$3:$J$282, 7, FALSE)), "")</f>
        <v>5891018.5427610455</v>
      </c>
      <c r="L219" s="14"/>
      <c r="M219" s="70"/>
      <c r="N219" s="70"/>
      <c r="O219" s="5"/>
      <c r="R219" s="8"/>
      <c r="S219" s="8"/>
    </row>
    <row r="220" spans="1:19" x14ac:dyDescent="0.25">
      <c r="A220" s="26" t="s">
        <v>248</v>
      </c>
      <c r="B220" s="108" t="str">
        <f t="shared" si="9"/>
        <v>LT</v>
      </c>
      <c r="C220" s="108" t="s">
        <v>144</v>
      </c>
      <c r="D220" s="20">
        <f>+VLOOKUP(B220, 'NATIONAL 2020'!$A$3:$B$41, 2, FALSE)</f>
        <v>3</v>
      </c>
      <c r="E220" s="181">
        <f>+IFERROR(IF($D220=0, VLOOKUP($C220, 'NATIONAL 2020'!$A$3:$M$40, 7, FALSE), VLOOKUP($C220, 'NFI 2020'!$C$3:$J$282, 2, FALSE)), "")</f>
        <v>139597.44822485207</v>
      </c>
      <c r="F220" s="111">
        <f>+IFERROR(IF($D220=0, VLOOKUP($C220, 'NATIONAL 2020'!$A$3:$M$40, 8, FALSE), VLOOKUP($C220, 'NFI 2020'!$C$3:$J$282, 3, FALSE)), "")</f>
        <v>109124.34437943788</v>
      </c>
      <c r="G220" s="196">
        <f>+IFERROR(IF($D220=0, VLOOKUP($C220, 'NATIONAL 2020'!$A$3:$M$40, 9, FALSE), VLOOKUP($C220, 'NFI 2020'!$C$3:$J$282, 4, FALSE)), "")</f>
        <v>30473.103845414196</v>
      </c>
      <c r="H220" s="181">
        <f>+IFERROR(IF($D220=0, VLOOKUP($C220, 'NATIONAL 2020'!$A$3:$M$40, 10, FALSE), VLOOKUP($C220, 'NFI 2020'!$C$3:$J$282, 5, FALSE)), "")</f>
        <v>20669764.660515085</v>
      </c>
      <c r="I220" s="213">
        <f>+IFERROR(IF($D220=0, VLOOKUP($C220, 'NATIONAL 2020'!$A$3:$M$40, 13, FALSE), VLOOKUP($C220, 'NFI 2020'!$C$3:$J$282, 8, FALSE)), "")</f>
        <v>148.06692330952879</v>
      </c>
      <c r="J220" s="111">
        <f>+IFERROR(IF($D220=0, VLOOKUP($C220, 'NATIONAL 2020'!$A$3:$M$40, 11, FALSE), VLOOKUP($C220, 'NFI 2020'!$C$3:$J$282, 6, FALSE)), "")</f>
        <v>15199554.170150926</v>
      </c>
      <c r="K220" s="196">
        <f>+IFERROR(IF($D220=0, VLOOKUP($C220, 'NATIONAL 2020'!$A$3:$M$40, 12, FALSE), VLOOKUP($C220, 'NFI 2020'!$C$3:$J$282, 7, FALSE)), "")</f>
        <v>5470210.4903641585</v>
      </c>
      <c r="L220" s="14"/>
      <c r="M220" s="70"/>
      <c r="N220" s="70"/>
      <c r="R220" s="8"/>
      <c r="S220" s="8"/>
    </row>
    <row r="221" spans="1:19" x14ac:dyDescent="0.25">
      <c r="A221" s="26" t="s">
        <v>248</v>
      </c>
      <c r="B221" s="108" t="str">
        <f t="shared" si="9"/>
        <v>LT</v>
      </c>
      <c r="C221" s="108" t="s">
        <v>145</v>
      </c>
      <c r="D221" s="20">
        <f>+VLOOKUP(B221, 'NATIONAL 2020'!$A$3:$B$41, 2, FALSE)</f>
        <v>3</v>
      </c>
      <c r="E221" s="181">
        <f>+IFERROR(IF($D221=0, VLOOKUP($C221, 'NATIONAL 2020'!$A$3:$M$40, 7, FALSE), VLOOKUP($C221, 'NFI 2020'!$C$3:$J$282, 2, FALSE)), "")</f>
        <v>100119.45266272189</v>
      </c>
      <c r="F221" s="111">
        <f>+IFERROR(IF($D221=0, VLOOKUP($C221, 'NATIONAL 2020'!$A$3:$M$40, 8, FALSE), VLOOKUP($C221, 'NFI 2020'!$C$3:$J$282, 3, FALSE)), "")</f>
        <v>87117.595026081719</v>
      </c>
      <c r="G221" s="196">
        <f>+IFERROR(IF($D221=0, VLOOKUP($C221, 'NATIONAL 2020'!$A$3:$M$40, 9, FALSE), VLOOKUP($C221, 'NFI 2020'!$C$3:$J$282, 4, FALSE)), "")</f>
        <v>13001.857636640161</v>
      </c>
      <c r="H221" s="181">
        <f>+IFERROR(IF($D221=0, VLOOKUP($C221, 'NATIONAL 2020'!$A$3:$M$40, 10, FALSE), VLOOKUP($C221, 'NFI 2020'!$C$3:$J$282, 5, FALSE)), "")</f>
        <v>16952624.624214862</v>
      </c>
      <c r="I221" s="213">
        <f>+IFERROR(IF($D221=0, VLOOKUP($C221, 'NATIONAL 2020'!$A$3:$M$40, 13, FALSE), VLOOKUP($C221, 'NFI 2020'!$C$3:$J$282, 8, FALSE)), "")</f>
        <v>169.3239842343539</v>
      </c>
      <c r="J221" s="111">
        <f>+IFERROR(IF($D221=0, VLOOKUP($C221, 'NATIONAL 2020'!$A$3:$M$40, 11, FALSE), VLOOKUP($C221, 'NFI 2020'!$C$3:$J$282, 6, FALSE)), "")</f>
        <v>14349420.695436394</v>
      </c>
      <c r="K221" s="196">
        <f>+IFERROR(IF($D221=0, VLOOKUP($C221, 'NATIONAL 2020'!$A$3:$M$40, 12, FALSE), VLOOKUP($C221, 'NFI 2020'!$C$3:$J$282, 7, FALSE)), "")</f>
        <v>2603203.9287784691</v>
      </c>
      <c r="L221" s="14"/>
      <c r="M221" s="70"/>
      <c r="N221" s="70"/>
      <c r="R221" s="8"/>
      <c r="S221" s="8"/>
    </row>
    <row r="222" spans="1:19" x14ac:dyDescent="0.25">
      <c r="A222" s="26" t="s">
        <v>248</v>
      </c>
      <c r="B222" s="108" t="str">
        <f t="shared" si="9"/>
        <v>LT</v>
      </c>
      <c r="C222" s="108" t="s">
        <v>146</v>
      </c>
      <c r="D222" s="20">
        <f>+VLOOKUP(B222, 'NATIONAL 2020'!$A$3:$B$41, 2, FALSE)</f>
        <v>3</v>
      </c>
      <c r="E222" s="181">
        <f>+IFERROR(IF($D222=0, VLOOKUP($C222, 'NATIONAL 2020'!$A$3:$M$40, 7, FALSE), VLOOKUP($C222, 'NFI 2020'!$C$3:$J$282, 2, FALSE)), "")</f>
        <v>225472.26331360947</v>
      </c>
      <c r="F222" s="111">
        <f>+IFERROR(IF($D222=0, VLOOKUP($C222, 'NATIONAL 2020'!$A$3:$M$40, 8, FALSE), VLOOKUP($C222, 'NFI 2020'!$C$3:$J$282, 3, FALSE)), "")</f>
        <v>203125.32049363904</v>
      </c>
      <c r="G222" s="196">
        <f>+IFERROR(IF($D222=0, VLOOKUP($C222, 'NATIONAL 2020'!$A$3:$M$40, 9, FALSE), VLOOKUP($C222, 'NFI 2020'!$C$3:$J$282, 4, FALSE)), "")</f>
        <v>22346.942819970413</v>
      </c>
      <c r="H222" s="181">
        <f>+IFERROR(IF($D222=0, VLOOKUP($C222, 'NATIONAL 2020'!$A$3:$M$40, 10, FALSE), VLOOKUP($C222, 'NFI 2020'!$C$3:$J$282, 5, FALSE)), "")</f>
        <v>30700786.420063179</v>
      </c>
      <c r="I222" s="213">
        <f>+IFERROR(IF($D222=0, VLOOKUP($C222, 'NATIONAL 2020'!$A$3:$M$40, 13, FALSE), VLOOKUP($C222, 'NFI 2020'!$C$3:$J$282, 8, FALSE)), "")</f>
        <v>136.16214238006492</v>
      </c>
      <c r="J222" s="111">
        <f>+IFERROR(IF($D222=0, VLOOKUP($C222, 'NATIONAL 2020'!$A$3:$M$40, 11, FALSE), VLOOKUP($C222, 'NFI 2020'!$C$3:$J$282, 6, FALSE)), "")</f>
        <v>27205437.70189945</v>
      </c>
      <c r="K222" s="196">
        <f>+IFERROR(IF($D222=0, VLOOKUP($C222, 'NATIONAL 2020'!$A$3:$M$40, 12, FALSE), VLOOKUP($C222, 'NFI 2020'!$C$3:$J$282, 7, FALSE)), "")</f>
        <v>3495348.7181637245</v>
      </c>
      <c r="L222" s="14"/>
      <c r="M222" s="70"/>
      <c r="N222" s="70"/>
      <c r="R222" s="8"/>
      <c r="S222" s="8"/>
    </row>
    <row r="223" spans="1:19" x14ac:dyDescent="0.25">
      <c r="A223" s="26" t="s">
        <v>248</v>
      </c>
      <c r="B223" s="108" t="str">
        <f t="shared" si="9"/>
        <v>LT</v>
      </c>
      <c r="C223" s="108" t="s">
        <v>147</v>
      </c>
      <c r="D223" s="20">
        <f>+VLOOKUP(B223, 'NATIONAL 2020'!$A$3:$B$41, 2, FALSE)</f>
        <v>3</v>
      </c>
      <c r="E223" s="181">
        <f>+IFERROR(IF($D223=0, VLOOKUP($C223, 'NATIONAL 2020'!$A$3:$M$40, 7, FALSE), VLOOKUP($C223, 'NFI 2020'!$C$3:$J$282, 2, FALSE)), "")</f>
        <v>232798.07692307694</v>
      </c>
      <c r="F223" s="111">
        <f>+IFERROR(IF($D223=0, VLOOKUP($C223, 'NATIONAL 2020'!$A$3:$M$40, 8, FALSE), VLOOKUP($C223, 'NFI 2020'!$C$3:$J$282, 3, FALSE)), "")</f>
        <v>192573.57985526999</v>
      </c>
      <c r="G223" s="196">
        <f>+IFERROR(IF($D223=0, VLOOKUP($C223, 'NATIONAL 2020'!$A$3:$M$40, 9, FALSE), VLOOKUP($C223, 'NFI 2020'!$C$3:$J$282, 4, FALSE)), "")</f>
        <v>40224.497067806951</v>
      </c>
      <c r="H223" s="181">
        <f>+IFERROR(IF($D223=0, VLOOKUP($C223, 'NATIONAL 2020'!$A$3:$M$40, 10, FALSE), VLOOKUP($C223, 'NFI 2020'!$C$3:$J$282, 5, FALSE)), "")</f>
        <v>27894488.596867204</v>
      </c>
      <c r="I223" s="213">
        <f>+IFERROR(IF($D223=0, VLOOKUP($C223, 'NATIONAL 2020'!$A$3:$M$40, 13, FALSE), VLOOKUP($C223, 'NFI 2020'!$C$3:$J$282, 8, FALSE)), "")</f>
        <v>119.82267622461646</v>
      </c>
      <c r="J223" s="111">
        <f>+IFERROR(IF($D223=0, VLOOKUP($C223, 'NATIONAL 2020'!$A$3:$M$40, 11, FALSE), VLOOKUP($C223, 'NFI 2020'!$C$3:$J$282, 6, FALSE)), "")</f>
        <v>22220448.303209092</v>
      </c>
      <c r="K223" s="196">
        <f>+IFERROR(IF($D223=0, VLOOKUP($C223, 'NATIONAL 2020'!$A$3:$M$40, 12, FALSE), VLOOKUP($C223, 'NFI 2020'!$C$3:$J$282, 7, FALSE)), "")</f>
        <v>5674040.2936581122</v>
      </c>
      <c r="L223" s="14"/>
      <c r="M223" s="70"/>
      <c r="N223" s="70"/>
      <c r="R223" s="8"/>
      <c r="S223" s="8"/>
    </row>
    <row r="224" spans="1:19" x14ac:dyDescent="0.25">
      <c r="A224" s="26" t="s">
        <v>248</v>
      </c>
      <c r="B224" s="108" t="str">
        <f t="shared" si="9"/>
        <v>LT</v>
      </c>
      <c r="C224" s="108" t="s">
        <v>148</v>
      </c>
      <c r="D224" s="20">
        <f>+VLOOKUP(B224, 'NATIONAL 2020'!$A$3:$B$41, 2, FALSE)</f>
        <v>3</v>
      </c>
      <c r="E224" s="181">
        <f>+IFERROR(IF($D224=0, VLOOKUP($C224, 'NATIONAL 2020'!$A$3:$M$40, 7, FALSE), VLOOKUP($C224, 'NFI 2020'!$C$3:$J$282, 2, FALSE)), "")</f>
        <v>157911.98224852071</v>
      </c>
      <c r="F224" s="111">
        <f>+IFERROR(IF($D224=0, VLOOKUP($C224, 'NATIONAL 2020'!$A$3:$M$40, 8, FALSE), VLOOKUP($C224, 'NFI 2020'!$C$3:$J$282, 3, FALSE)), "")</f>
        <v>137190.27163567397</v>
      </c>
      <c r="G224" s="196">
        <f>+IFERROR(IF($D224=0, VLOOKUP($C224, 'NATIONAL 2020'!$A$3:$M$40, 9, FALSE), VLOOKUP($C224, 'NFI 2020'!$C$3:$J$282, 4, FALSE)), "")</f>
        <v>20721.710612846709</v>
      </c>
      <c r="H224" s="181">
        <f>+IFERROR(IF($D224=0, VLOOKUP($C224, 'NATIONAL 2020'!$A$3:$M$40, 10, FALSE), VLOOKUP($C224, 'NFI 2020'!$C$3:$J$282, 5, FALSE)), "")</f>
        <v>21658603.446352109</v>
      </c>
      <c r="I224" s="213">
        <f>+IFERROR(IF($D224=0, VLOOKUP($C224, 'NATIONAL 2020'!$A$3:$M$40, 13, FALSE), VLOOKUP($C224, 'NFI 2020'!$C$3:$J$282, 8, FALSE)), "")</f>
        <v>137.15617483837266</v>
      </c>
      <c r="J224" s="111">
        <f>+IFERROR(IF($D224=0, VLOOKUP($C224, 'NATIONAL 2020'!$A$3:$M$40, 11, FALSE), VLOOKUP($C224, 'NFI 2020'!$C$3:$J$282, 6, FALSE)), "")</f>
        <v>18248457.811049432</v>
      </c>
      <c r="K224" s="196">
        <f>+IFERROR(IF($D224=0, VLOOKUP($C224, 'NATIONAL 2020'!$A$3:$M$40, 12, FALSE), VLOOKUP($C224, 'NFI 2020'!$C$3:$J$282, 7, FALSE)), "")</f>
        <v>3410145.6353026805</v>
      </c>
      <c r="L224" s="14"/>
      <c r="M224" s="70"/>
      <c r="N224" s="70"/>
      <c r="R224" s="8"/>
      <c r="S224" s="8"/>
    </row>
    <row r="225" spans="1:19" x14ac:dyDescent="0.25">
      <c r="A225" s="26" t="s">
        <v>248</v>
      </c>
      <c r="B225" s="108" t="str">
        <f t="shared" si="9"/>
        <v>LT</v>
      </c>
      <c r="C225" s="108" t="s">
        <v>149</v>
      </c>
      <c r="D225" s="20">
        <f>+VLOOKUP(B225, 'NATIONAL 2020'!$A$3:$B$41, 2, FALSE)</f>
        <v>3</v>
      </c>
      <c r="E225" s="181">
        <f>+IFERROR(IF($D225=0, VLOOKUP($C225, 'NATIONAL 2020'!$A$3:$M$40, 7, FALSE), VLOOKUP($C225, 'NFI 2020'!$C$3:$J$282, 2, FALSE)), "")</f>
        <v>156284.02366863904</v>
      </c>
      <c r="F225" s="111">
        <f>+IFERROR(IF($D225=0, VLOOKUP($C225, 'NATIONAL 2020'!$A$3:$M$40, 8, FALSE), VLOOKUP($C225, 'NFI 2020'!$C$3:$J$282, 3, FALSE)), "")</f>
        <v>129874.00033594672</v>
      </c>
      <c r="G225" s="196">
        <f>+IFERROR(IF($D225=0, VLOOKUP($C225, 'NATIONAL 2020'!$A$3:$M$40, 9, FALSE), VLOOKUP($C225, 'NFI 2020'!$C$3:$J$282, 4, FALSE)), "")</f>
        <v>26410.023332692304</v>
      </c>
      <c r="H225" s="181">
        <f>+IFERROR(IF($D225=0, VLOOKUP($C225, 'NATIONAL 2020'!$A$3:$M$40, 10, FALSE), VLOOKUP($C225, 'NFI 2020'!$C$3:$J$282, 5, FALSE)), "")</f>
        <v>20570053.714081749</v>
      </c>
      <c r="I225" s="213">
        <f>+IFERROR(IF($D225=0, VLOOKUP($C225, 'NATIONAL 2020'!$A$3:$M$40, 13, FALSE), VLOOKUP($C225, 'NFI 2020'!$C$3:$J$282, 8, FALSE)), "")</f>
        <v>131.61968338936151</v>
      </c>
      <c r="J225" s="111">
        <f>+IFERROR(IF($D225=0, VLOOKUP($C225, 'NATIONAL 2020'!$A$3:$M$40, 11, FALSE), VLOOKUP($C225, 'NFI 2020'!$C$3:$J$282, 6, FALSE)), "")</f>
        <v>16272071.984984061</v>
      </c>
      <c r="K225" s="196">
        <f>+IFERROR(IF($D225=0, VLOOKUP($C225, 'NATIONAL 2020'!$A$3:$M$40, 12, FALSE), VLOOKUP($C225, 'NFI 2020'!$C$3:$J$282, 7, FALSE)), "")</f>
        <v>4297981.7290976876</v>
      </c>
      <c r="L225" s="14"/>
      <c r="M225" s="70"/>
      <c r="N225" s="70"/>
      <c r="R225" s="8"/>
      <c r="S225" s="8"/>
    </row>
    <row r="226" spans="1:19" x14ac:dyDescent="0.25">
      <c r="A226" s="26" t="s">
        <v>248</v>
      </c>
      <c r="B226" s="108" t="str">
        <f t="shared" si="9"/>
        <v>LT</v>
      </c>
      <c r="C226" s="108" t="s">
        <v>150</v>
      </c>
      <c r="D226" s="20">
        <f>+VLOOKUP(B226, 'NATIONAL 2020'!$A$3:$B$41, 2, FALSE)</f>
        <v>3</v>
      </c>
      <c r="E226" s="181">
        <f>+IFERROR(IF($D226=0, VLOOKUP($C226, 'NATIONAL 2020'!$A$3:$M$40, 7, FALSE), VLOOKUP($C226, 'NFI 2020'!$C$3:$J$282, 2, FALSE)), "")</f>
        <v>272276.07248520711</v>
      </c>
      <c r="F226" s="111">
        <f>+IFERROR(IF($D226=0, VLOOKUP($C226, 'NATIONAL 2020'!$A$3:$M$40, 8, FALSE), VLOOKUP($C226, 'NFI 2020'!$C$3:$J$282, 3, FALSE)), "")</f>
        <v>219049.71778075999</v>
      </c>
      <c r="G226" s="196">
        <f>+IFERROR(IF($D226=0, VLOOKUP($C226, 'NATIONAL 2020'!$A$3:$M$40, 9, FALSE), VLOOKUP($C226, 'NFI 2020'!$C$3:$J$282, 4, FALSE)), "")</f>
        <v>53226.354704447112</v>
      </c>
      <c r="H226" s="181">
        <f>+IFERROR(IF($D226=0, VLOOKUP($C226, 'NATIONAL 2020'!$A$3:$M$40, 10, FALSE), VLOOKUP($C226, 'NFI 2020'!$C$3:$J$282, 5, FALSE)), "")</f>
        <v>42302371.18798124</v>
      </c>
      <c r="I226" s="213">
        <f>+IFERROR(IF($D226=0, VLOOKUP($C226, 'NATIONAL 2020'!$A$3:$M$40, 13, FALSE), VLOOKUP($C226, 'NFI 2020'!$C$3:$J$282, 8, FALSE)), "")</f>
        <v>155.36573156012284</v>
      </c>
      <c r="J226" s="111">
        <f>+IFERROR(IF($D226=0, VLOOKUP($C226, 'NATIONAL 2020'!$A$3:$M$40, 11, FALSE), VLOOKUP($C226, 'NFI 2020'!$C$3:$J$282, 6, FALSE)), "")</f>
        <v>32083319.411185235</v>
      </c>
      <c r="K226" s="196">
        <f>+IFERROR(IF($D226=0, VLOOKUP($C226, 'NATIONAL 2020'!$A$3:$M$40, 12, FALSE), VLOOKUP($C226, 'NFI 2020'!$C$3:$J$282, 7, FALSE)), "")</f>
        <v>10219051.776796008</v>
      </c>
      <c r="L226" s="14"/>
      <c r="M226" s="70"/>
      <c r="N226" s="70"/>
      <c r="R226" s="8"/>
      <c r="S226" s="8"/>
    </row>
    <row r="227" spans="1:19" x14ac:dyDescent="0.25">
      <c r="A227" s="26" t="s">
        <v>248</v>
      </c>
      <c r="B227" s="108" t="str">
        <f t="shared" si="9"/>
        <v>LT</v>
      </c>
      <c r="C227" s="108" t="s">
        <v>151</v>
      </c>
      <c r="D227" s="20">
        <f>+VLOOKUP(B227, 'NATIONAL 2020'!$A$3:$B$41, 2, FALSE)</f>
        <v>3</v>
      </c>
      <c r="E227" s="181">
        <f>+IFERROR(IF($D227=0, VLOOKUP($C227, 'NATIONAL 2020'!$A$3:$M$40, 7, FALSE), VLOOKUP($C227, 'NFI 2020'!$C$3:$J$282, 2, FALSE)), "")</f>
        <v>411059.54142011836</v>
      </c>
      <c r="F227" s="111">
        <f>+IFERROR(IF($D227=0, VLOOKUP($C227, 'NATIONAL 2020'!$A$3:$M$40, 8, FALSE), VLOOKUP($C227, 'NFI 2020'!$C$3:$J$282, 3, FALSE)), "")</f>
        <v>317608.68964786432</v>
      </c>
      <c r="G227" s="196">
        <f>+IFERROR(IF($D227=0, VLOOKUP($C227, 'NATIONAL 2020'!$A$3:$M$40, 9, FALSE), VLOOKUP($C227, 'NFI 2020'!$C$3:$J$282, 4, FALSE)), "")</f>
        <v>93450.851772254071</v>
      </c>
      <c r="H227" s="181">
        <f>+IFERROR(IF($D227=0, VLOOKUP($C227, 'NATIONAL 2020'!$A$3:$M$40, 10, FALSE), VLOOKUP($C227, 'NFI 2020'!$C$3:$J$282, 5, FALSE)), "")</f>
        <v>62979265.733530238</v>
      </c>
      <c r="I227" s="213">
        <f>+IFERROR(IF($D227=0, VLOOKUP($C227, 'NATIONAL 2020'!$A$3:$M$40, 13, FALSE), VLOOKUP($C227, 'NFI 2020'!$C$3:$J$282, 8, FALSE)), "")</f>
        <v>153.21202742539688</v>
      </c>
      <c r="J227" s="111">
        <f>+IFERROR(IF($D227=0, VLOOKUP($C227, 'NATIONAL 2020'!$A$3:$M$40, 11, FALSE), VLOOKUP($C227, 'NFI 2020'!$C$3:$J$282, 6, FALSE)), "")</f>
        <v>46374366.696795441</v>
      </c>
      <c r="K227" s="196">
        <f>+IFERROR(IF($D227=0, VLOOKUP($C227, 'NATIONAL 2020'!$A$3:$M$40, 12, FALSE), VLOOKUP($C227, 'NFI 2020'!$C$3:$J$282, 7, FALSE)), "")</f>
        <v>16604899.036734799</v>
      </c>
      <c r="L227" s="14"/>
      <c r="M227" s="70"/>
      <c r="N227" s="70"/>
      <c r="R227" s="8"/>
      <c r="S227" s="8"/>
    </row>
    <row r="228" spans="1:19" x14ac:dyDescent="0.25">
      <c r="A228" s="26" t="s">
        <v>509</v>
      </c>
      <c r="B228" t="s">
        <v>24</v>
      </c>
      <c r="C228" t="s">
        <v>24</v>
      </c>
      <c r="D228" s="20">
        <f>+VLOOKUP(B228, 'NATIONAL 2020'!$A$3:$B$41, 2, FALSE)</f>
        <v>0</v>
      </c>
      <c r="E228" s="181">
        <f>+IFERROR(IF($D228=0, VLOOKUP($C228, 'NATIONAL 2020'!$A$3:$M$40, 7, FALSE), VLOOKUP($C228, 'NFI 2020'!$C$3:$J$282, 2, FALSE)), "")</f>
        <v>88700</v>
      </c>
      <c r="F228" s="111">
        <f>+IFERROR(IF($D228=0, VLOOKUP($C228, 'NATIONAL 2020'!$A$3:$M$40, 8, FALSE), VLOOKUP($C228, 'NFI 2020'!$C$3:$J$282, 3, FALSE)), "")</f>
        <v>86100</v>
      </c>
      <c r="G228" s="196">
        <f>+IFERROR(IF($D228=0, VLOOKUP($C228, 'NATIONAL 2020'!$A$3:$M$40, 9, FALSE), VLOOKUP($C228, 'NFI 2020'!$C$3:$J$282, 4, FALSE)), "")</f>
        <v>2600</v>
      </c>
      <c r="H228" s="181">
        <f>+IFERROR(IF($D228=0, VLOOKUP($C228, 'NATIONAL 2020'!$A$3:$M$40, 10, FALSE), VLOOKUP($C228, 'NFI 2020'!$C$3:$J$282, 5, FALSE)), "")</f>
        <v>15060000</v>
      </c>
      <c r="I228" s="213">
        <f>+IFERROR(IF($D228=0, VLOOKUP($C228, 'NATIONAL 2020'!$A$3:$M$40, 13, FALSE), VLOOKUP($C228, 'NFI 2020'!$C$3:$J$282, 8, FALSE)), "")</f>
        <v>169.78579481397972</v>
      </c>
      <c r="J228" s="111">
        <f>+IFERROR(IF($D228=0, VLOOKUP($C228, 'NATIONAL 2020'!$A$3:$M$40, 11, FALSE), VLOOKUP($C228, 'NFI 2020'!$C$3:$J$282, 6, FALSE)), "")</f>
        <v>14618556.933483653</v>
      </c>
      <c r="K228" s="196">
        <f>+IFERROR(IF($D228=0, VLOOKUP($C228, 'NATIONAL 2020'!$A$3:$M$40, 12, FALSE), VLOOKUP($C228, 'NFI 2020'!$C$3:$J$282, 7, FALSE)), "")</f>
        <v>441443.06651634723</v>
      </c>
      <c r="L228" s="14"/>
      <c r="M228" s="70"/>
      <c r="N228" s="70"/>
      <c r="O228" s="5"/>
      <c r="R228" s="8"/>
      <c r="S228" s="8"/>
    </row>
    <row r="229" spans="1:19" x14ac:dyDescent="0.25">
      <c r="A229" s="26" t="s">
        <v>247</v>
      </c>
      <c r="B229" t="s">
        <v>25</v>
      </c>
      <c r="C229" t="s">
        <v>25</v>
      </c>
      <c r="D229" s="20">
        <f>+VLOOKUP(B229, 'NATIONAL 2020'!$A$3:$B$41, 2, FALSE)</f>
        <v>0</v>
      </c>
      <c r="E229" s="181">
        <f>+IFERROR(IF($D229=0, VLOOKUP($C229, 'NATIONAL 2020'!$A$3:$M$40, 7, FALSE), VLOOKUP($C229, 'NFI 2020'!$C$3:$J$282, 2, FALSE)), "")</f>
        <v>3410790</v>
      </c>
      <c r="F229" s="111">
        <f>+IFERROR(IF($D229=0, VLOOKUP($C229, 'NATIONAL 2020'!$A$3:$M$40, 8, FALSE), VLOOKUP($C229, 'NFI 2020'!$C$3:$J$282, 3, FALSE)), "")</f>
        <v>3011042.0070705446</v>
      </c>
      <c r="G229" s="196">
        <f>+IFERROR(IF($D229=0, VLOOKUP($C229, 'NATIONAL 2020'!$A$3:$M$40, 9, FALSE), VLOOKUP($C229, 'NFI 2020'!$C$3:$J$282, 4, FALSE)), "")</f>
        <v>399747.99292945588</v>
      </c>
      <c r="H229" s="181">
        <f>+IFERROR(IF($D229=0, VLOOKUP($C229, 'NATIONAL 2020'!$A$3:$M$40, 10, FALSE), VLOOKUP($C229, 'NFI 2020'!$C$3:$J$282, 5, FALSE)), "")</f>
        <v>448846949.56899929</v>
      </c>
      <c r="I229" s="213">
        <f>+IFERROR(IF($D229=0, VLOOKUP($C229, 'NATIONAL 2020'!$A$3:$M$40, 13, FALSE), VLOOKUP($C229, 'NFI 2020'!$C$3:$J$282, 8, FALSE)), "")</f>
        <v>131.59618433530042</v>
      </c>
      <c r="J229" s="111">
        <f>+IFERROR(IF($D229=0, VLOOKUP($C229, 'NATIONAL 2020'!$A$3:$M$40, 11, FALSE), VLOOKUP($C229, 'NFI 2020'!$C$3:$J$282, 6, FALSE)), "")</f>
        <v>373772614.98354948</v>
      </c>
      <c r="K229" s="196">
        <f>+IFERROR(IF($D229=0, VLOOKUP($C229, 'NATIONAL 2020'!$A$3:$M$40, 12, FALSE), VLOOKUP($C229, 'NFI 2020'!$C$3:$J$282, 7, FALSE)), "")</f>
        <v>75074334.585449815</v>
      </c>
      <c r="L229" s="14"/>
      <c r="M229" s="70"/>
      <c r="N229" s="70"/>
      <c r="O229" s="5"/>
      <c r="R229" s="8"/>
      <c r="S229" s="8"/>
    </row>
    <row r="230" spans="1:19" x14ac:dyDescent="0.25">
      <c r="A230" s="26" t="s">
        <v>511</v>
      </c>
      <c r="B230" t="s">
        <v>26</v>
      </c>
      <c r="C230" t="s">
        <v>26</v>
      </c>
      <c r="D230" s="20">
        <f>+VLOOKUP(B230, 'NATIONAL 2020'!$A$3:$B$41, 2, FALSE)</f>
        <v>0</v>
      </c>
      <c r="E230" s="181">
        <f>+IFERROR(IF($D230=0, VLOOKUP($C230, 'NATIONAL 2020'!$A$3:$M$40, 7, FALSE), VLOOKUP($C230, 'NFI 2020'!$C$3:$J$282, 2, FALSE)), "")</f>
        <v>826780</v>
      </c>
      <c r="F230" s="111">
        <f>+IFERROR(IF($D230=0, VLOOKUP($C230, 'NATIONAL 2020'!$A$3:$M$40, 8, FALSE), VLOOKUP($C230, 'NFI 2020'!$C$3:$J$282, 3, FALSE)), "")</f>
        <v>728130</v>
      </c>
      <c r="G230" s="196">
        <f>+IFERROR(IF($D230=0, VLOOKUP($C230, 'NATIONAL 2020'!$A$3:$M$40, 9, FALSE), VLOOKUP($C230, 'NFI 2020'!$C$3:$J$282, 4, FALSE)), "")</f>
        <v>98650</v>
      </c>
      <c r="H230" s="181">
        <f>+IFERROR(IF($D230=0, VLOOKUP($C230, 'NATIONAL 2020'!$A$3:$M$40, 10, FALSE), VLOOKUP($C230, 'NFI 2020'!$C$3:$J$282, 5, FALSE)), "")</f>
        <v>96860000</v>
      </c>
      <c r="I230" s="213">
        <f>+IFERROR(IF($D230=0, VLOOKUP($C230, 'NATIONAL 2020'!$A$3:$M$40, 13, FALSE), VLOOKUP($C230, 'NFI 2020'!$C$3:$J$282, 8, FALSE)), "")</f>
        <v>117.15329350008467</v>
      </c>
      <c r="J230" s="111">
        <f>+IFERROR(IF($D230=0, VLOOKUP($C230, 'NATIONAL 2020'!$A$3:$M$40, 11, FALSE), VLOOKUP($C230, 'NFI 2020'!$C$3:$J$282, 6, FALSE)), "")</f>
        <v>92727093.904448107</v>
      </c>
      <c r="K230" s="196">
        <f>+IFERROR(IF($D230=0, VLOOKUP($C230, 'NATIONAL 2020'!$A$3:$M$40, 12, FALSE), VLOOKUP($C230, 'NFI 2020'!$C$3:$J$282, 7, FALSE)), "")</f>
        <v>4132906.0955518931</v>
      </c>
      <c r="L230" s="14"/>
      <c r="M230" s="70"/>
      <c r="N230" s="70"/>
      <c r="R230" s="8"/>
      <c r="S230" s="8"/>
    </row>
    <row r="231" spans="1:19" x14ac:dyDescent="0.25">
      <c r="A231" s="26" t="s">
        <v>516</v>
      </c>
      <c r="B231" t="s">
        <v>27</v>
      </c>
      <c r="C231" t="s">
        <v>27</v>
      </c>
      <c r="D231" s="20">
        <f>+VLOOKUP(B231, 'NATIONAL 2020'!$A$3:$B$41, 2, FALSE)</f>
        <v>0</v>
      </c>
      <c r="E231" s="181">
        <f>+IFERROR(IF($D231=0, VLOOKUP($C231, 'NATIONAL 2020'!$A$3:$M$40, 7, FALSE), VLOOKUP($C231, 'NFI 2020'!$C$3:$J$282, 2, FALSE)), "")</f>
        <v>1001490</v>
      </c>
      <c r="F231" s="111">
        <f>+IFERROR(IF($D231=0, VLOOKUP($C231, 'NATIONAL 2020'!$A$3:$M$40, 8, FALSE), VLOOKUP($C231, 'NFI 2020'!$C$3:$J$282, 3, FALSE)), "")</f>
        <v>804000</v>
      </c>
      <c r="G231" s="196">
        <f>+IFERROR(IF($D231=0, VLOOKUP($C231, 'NATIONAL 2020'!$A$3:$M$40, 9, FALSE), VLOOKUP($C231, 'NFI 2020'!$C$3:$J$282, 4, FALSE)), "")</f>
        <v>197490</v>
      </c>
      <c r="H231" s="181">
        <f>+IFERROR(IF($D231=0, VLOOKUP($C231, 'NATIONAL 2020'!$A$3:$M$40, 10, FALSE), VLOOKUP($C231, 'NFI 2020'!$C$3:$J$282, 5, FALSE)), "")</f>
        <v>95800000</v>
      </c>
      <c r="I231" s="213">
        <f>+IFERROR(IF($D231=0, VLOOKUP($C231, 'NATIONAL 2020'!$A$3:$M$40, 13, FALSE), VLOOKUP($C231, 'NFI 2020'!$C$3:$J$282, 8, FALSE)), "")</f>
        <v>95.657470369149962</v>
      </c>
      <c r="J231" s="111">
        <f>+IFERROR(IF($D231=0, VLOOKUP($C231, 'NATIONAL 2020'!$A$3:$M$40, 11, FALSE), VLOOKUP($C231, 'NFI 2020'!$C$3:$J$282, 6, FALSE)), "")</f>
        <v>82748331.370239496</v>
      </c>
      <c r="K231" s="196">
        <f>+IFERROR(IF($D231=0, VLOOKUP($C231, 'NATIONAL 2020'!$A$3:$M$40, 12, FALSE), VLOOKUP($C231, 'NFI 2020'!$C$3:$J$282, 7, FALSE)), "")</f>
        <v>13051668.629760504</v>
      </c>
      <c r="L231" s="14"/>
      <c r="M231" s="70"/>
      <c r="N231" s="70"/>
      <c r="R231" s="8"/>
      <c r="S231" s="8"/>
    </row>
    <row r="232" spans="1:19" x14ac:dyDescent="0.25">
      <c r="A232" s="26" t="s">
        <v>510</v>
      </c>
      <c r="B232" t="s">
        <v>28</v>
      </c>
      <c r="C232" t="s">
        <v>28</v>
      </c>
      <c r="D232" s="20">
        <f>+VLOOKUP(B232, 'NATIONAL 2020'!$A$3:$B$41, 2, FALSE)</f>
        <v>0</v>
      </c>
      <c r="E232" s="181">
        <f>+IFERROR(IF($D232=0, VLOOKUP($C232, 'NATIONAL 2020'!$A$3:$M$40, 7, FALSE), VLOOKUP($C232, 'NFI 2020'!$C$3:$J$282, 2, FALSE)), "")</f>
        <v>350</v>
      </c>
      <c r="F232" s="111">
        <f>+IFERROR(IF($D232=0, VLOOKUP($C232, 'NATIONAL 2020'!$A$3:$M$40, 8, FALSE), VLOOKUP($C232, 'NFI 2020'!$C$3:$J$282, 3, FALSE)), "")</f>
        <v>322.34973097617217</v>
      </c>
      <c r="G232" s="196">
        <f>+IFERROR(IF($D232=0, VLOOKUP($C232, 'NATIONAL 2020'!$A$3:$M$40, 9, FALSE), VLOOKUP($C232, 'NFI 2020'!$C$3:$J$282, 4, FALSE)), "")</f>
        <v>27.650269023827832</v>
      </c>
      <c r="H232" s="181">
        <f>+IFERROR(IF($D232=0, VLOOKUP($C232, 'NATIONAL 2020'!$A$3:$M$40, 10, FALSE), VLOOKUP($C232, 'NFI 2020'!$C$3:$J$282, 5, FALSE)), "")</f>
        <v>11119.651550089675</v>
      </c>
      <c r="I232" s="213">
        <f>+IFERROR(IF($D232=0, VLOOKUP($C232, 'NATIONAL 2020'!$A$3:$M$40, 13, FALSE), VLOOKUP($C232, 'NFI 2020'!$C$3:$J$282, 8, FALSE)), "")</f>
        <v>31.770433000256215</v>
      </c>
      <c r="J232" s="111">
        <f>+IFERROR(IF($D232=0, VLOOKUP($C232, 'NATIONAL 2020'!$A$3:$M$40, 11, FALSE), VLOOKUP($C232, 'NFI 2020'!$C$3:$J$282, 6, FALSE)), "")</f>
        <v>10241.190530629092</v>
      </c>
      <c r="K232" s="196">
        <f>+IFERROR(IF($D232=0, VLOOKUP($C232, 'NATIONAL 2020'!$A$3:$M$40, 12, FALSE), VLOOKUP($C232, 'NFI 2020'!$C$3:$J$282, 7, FALSE)), "")</f>
        <v>878.46101946058297</v>
      </c>
      <c r="L232" s="14"/>
      <c r="M232" s="70"/>
      <c r="N232" s="70"/>
      <c r="O232" s="5"/>
      <c r="R232" s="8"/>
      <c r="S232" s="8"/>
    </row>
    <row r="233" spans="1:19" x14ac:dyDescent="0.25">
      <c r="A233" s="26" t="s">
        <v>152</v>
      </c>
      <c r="B233" t="s">
        <v>29</v>
      </c>
      <c r="C233" t="s">
        <v>29</v>
      </c>
      <c r="D233" s="20">
        <v>0</v>
      </c>
      <c r="E233" s="181">
        <f>+IFERROR(IF($D233=0, VLOOKUP($C233, 'NATIONAL 2020'!$A$3:$M$40, 7, FALSE), VLOOKUP($C233, 'NFI 2020'!$C$3:$J$282, 2, FALSE)), "")</f>
        <v>369500</v>
      </c>
      <c r="F233" s="111">
        <f>+IFERROR(IF($D233=0, VLOOKUP($C233, 'NATIONAL 2020'!$A$3:$M$40, 8, FALSE), VLOOKUP($C233, 'NFI 2020'!$C$3:$J$282, 3, FALSE)), "")</f>
        <v>309985.75183321774</v>
      </c>
      <c r="G233" s="196">
        <f>+IFERROR(IF($D233=0, VLOOKUP($C233, 'NATIONAL 2020'!$A$3:$M$40, 9, FALSE), VLOOKUP($C233, 'NFI 2020'!$C$3:$J$282, 4, FALSE)), "")</f>
        <v>59514.24816678225</v>
      </c>
      <c r="H233" s="181">
        <f>+IFERROR(IF($D233=0, VLOOKUP($C233, 'NATIONAL 2020'!$A$3:$M$40, 10, FALSE), VLOOKUP($C233, 'NFI 2020'!$C$3:$J$282, 5, FALSE)), "")</f>
        <v>71246386.70157136</v>
      </c>
      <c r="I233" s="213">
        <f>+IFERROR(IF($D233=0, VLOOKUP($C233, 'NATIONAL 2020'!$A$3:$M$40, 13, FALSE), VLOOKUP($C233, 'NFI 2020'!$C$3:$J$282, 8, FALSE)), "")</f>
        <v>192.81836725729733</v>
      </c>
      <c r="J233" s="111">
        <f>+IFERROR(IF($D233=0, VLOOKUP($C233, 'NATIONAL 2020'!$A$3:$M$40, 11, FALSE), VLOOKUP($C233, 'NFI 2020'!$C$3:$J$282, 6, FALSE)), "")</f>
        <v>55224950.756604724</v>
      </c>
      <c r="K233" s="196">
        <f>+IFERROR(IF($D233=0, VLOOKUP($C233, 'NATIONAL 2020'!$A$3:$M$40, 12, FALSE), VLOOKUP($C233, 'NFI 2020'!$C$3:$J$282, 7, FALSE)), "")</f>
        <v>16021435.944966633</v>
      </c>
      <c r="L233" s="14"/>
      <c r="M233" s="70"/>
      <c r="N233" s="70"/>
      <c r="O233" s="5"/>
      <c r="R233" s="8"/>
      <c r="S233" s="8"/>
    </row>
    <row r="234" spans="1:19" x14ac:dyDescent="0.25">
      <c r="A234" s="26" t="s">
        <v>152</v>
      </c>
      <c r="B234" s="108" t="str">
        <f t="shared" ref="B234:B245" si="10">+LEFT(C234, 2)</f>
        <v>NL</v>
      </c>
      <c r="C234" s="108" t="s">
        <v>153</v>
      </c>
      <c r="D234" s="20">
        <f>+VLOOKUP(B234, 'NATIONAL 2020'!$A$3:$B$41, 2, FALSE)</f>
        <v>2</v>
      </c>
      <c r="E234" s="181">
        <f>+IFERROR(IF($D234=0, VLOOKUP($C234, 'NATIONAL 2020'!$A$3:$M$40, 7, FALSE), VLOOKUP($C234, 'NFI 2020'!$C$3:$J$282, 2, FALSE)), "")</f>
        <v>8530.0965778714308</v>
      </c>
      <c r="F234" s="111">
        <f>+IFERROR(IF($D234=0, VLOOKUP($C234, 'NATIONAL 2020'!$A$3:$M$40, 8, FALSE), VLOOKUP($C234, 'NFI 2020'!$C$3:$J$282, 3, FALSE)), "")</f>
        <v>5451.7733971380067</v>
      </c>
      <c r="G234" s="196">
        <f>+IFERROR(IF($D234=0, VLOOKUP($C234, 'NATIONAL 2020'!$A$3:$M$40, 9, FALSE), VLOOKUP($C234, 'NFI 2020'!$C$3:$J$282, 4, FALSE)), "")</f>
        <v>3078.3231807334241</v>
      </c>
      <c r="H234" s="181">
        <f>+IFERROR(IF($D234=0, VLOOKUP($C234, 'NATIONAL 2020'!$A$3:$M$40, 10, FALSE), VLOOKUP($C234, 'NFI 2020'!$C$3:$J$282, 5, FALSE)), "")</f>
        <v>1462700.8708013629</v>
      </c>
      <c r="I234" s="213">
        <f>+IFERROR(IF($D234=0, VLOOKUP($C234, 'NATIONAL 2020'!$A$3:$M$40, 13, FALSE), VLOOKUP($C234, 'NFI 2020'!$C$3:$J$282, 8, FALSE)), "")</f>
        <v>171.47530012683163</v>
      </c>
      <c r="J234" s="111">
        <f>+IFERROR(IF($D234=0, VLOOKUP($C234, 'NATIONAL 2020'!$A$3:$M$40, 11, FALSE), VLOOKUP($C234, 'NFI 2020'!$C$3:$J$282, 6, FALSE)), "")</f>
        <v>759926.20326380583</v>
      </c>
      <c r="K234" s="196">
        <f>+IFERROR(IF($D234=0, VLOOKUP($C234, 'NATIONAL 2020'!$A$3:$M$40, 12, FALSE), VLOOKUP($C234, 'NFI 2020'!$C$3:$J$282, 7, FALSE)), "")</f>
        <v>702774.66753755719</v>
      </c>
      <c r="L234" s="14"/>
      <c r="M234" s="70"/>
      <c r="N234" s="70"/>
      <c r="R234" s="8"/>
      <c r="S234" s="8"/>
    </row>
    <row r="235" spans="1:19" x14ac:dyDescent="0.25">
      <c r="A235" s="26" t="s">
        <v>152</v>
      </c>
      <c r="B235" s="108" t="str">
        <f t="shared" si="10"/>
        <v>NL</v>
      </c>
      <c r="C235" s="108" t="s">
        <v>154</v>
      </c>
      <c r="D235" s="20">
        <f>+VLOOKUP(B235, 'NATIONAL 2020'!$A$3:$B$41, 2, FALSE)</f>
        <v>2</v>
      </c>
      <c r="E235" s="181">
        <f>+IFERROR(IF($D235=0, VLOOKUP($C235, 'NATIONAL 2020'!$A$3:$M$40, 7, FALSE), VLOOKUP($C235, 'NFI 2020'!$C$3:$J$282, 2, FALSE)), "")</f>
        <v>12511.204050540724</v>
      </c>
      <c r="F235" s="111">
        <f>+IFERROR(IF($D235=0, VLOOKUP($C235, 'NATIONAL 2020'!$A$3:$M$40, 8, FALSE), VLOOKUP($C235, 'NFI 2020'!$C$3:$J$282, 3, FALSE)), "")</f>
        <v>9546.8928386946063</v>
      </c>
      <c r="G235" s="196">
        <f>+IFERROR(IF($D235=0, VLOOKUP($C235, 'NATIONAL 2020'!$A$3:$M$40, 9, FALSE), VLOOKUP($C235, 'NFI 2020'!$C$3:$J$282, 4, FALSE)), "")</f>
        <v>2964.3112118461177</v>
      </c>
      <c r="H235" s="181">
        <f>+IFERROR(IF($D235=0, VLOOKUP($C235, 'NATIONAL 2020'!$A$3:$M$40, 10, FALSE), VLOOKUP($C235, 'NFI 2020'!$C$3:$J$282, 5, FALSE)), "")</f>
        <v>2361386.5881404686</v>
      </c>
      <c r="I235" s="213">
        <f>+IFERROR(IF($D235=0, VLOOKUP($C235, 'NATIONAL 2020'!$A$3:$M$40, 13, FALSE), VLOOKUP($C235, 'NFI 2020'!$C$3:$J$282, 8, FALSE)), "")</f>
        <v>188.74175327980615</v>
      </c>
      <c r="J235" s="111">
        <f>+IFERROR(IF($D235=0, VLOOKUP($C235, 'NATIONAL 2020'!$A$3:$M$40, 11, FALSE), VLOOKUP($C235, 'NFI 2020'!$C$3:$J$282, 6, FALSE)), "")</f>
        <v>1819614.6221897164</v>
      </c>
      <c r="K235" s="196">
        <f>+IFERROR(IF($D235=0, VLOOKUP($C235, 'NATIONAL 2020'!$A$3:$M$40, 12, FALSE), VLOOKUP($C235, 'NFI 2020'!$C$3:$J$282, 7, FALSE)), "")</f>
        <v>541771.96595075203</v>
      </c>
      <c r="L235" s="14"/>
      <c r="M235" s="70"/>
      <c r="N235" s="70"/>
      <c r="R235" s="8"/>
      <c r="S235" s="8"/>
    </row>
    <row r="236" spans="1:19" x14ac:dyDescent="0.25">
      <c r="A236" s="26" t="s">
        <v>152</v>
      </c>
      <c r="B236" s="108" t="str">
        <f t="shared" si="10"/>
        <v>NL</v>
      </c>
      <c r="C236" s="108" t="s">
        <v>155</v>
      </c>
      <c r="D236" s="20">
        <f>+VLOOKUP(B236, 'NATIONAL 2020'!$A$3:$B$41, 2, FALSE)</f>
        <v>2</v>
      </c>
      <c r="E236" s="181">
        <f>+IFERROR(IF($D236=0, VLOOKUP($C236, 'NATIONAL 2020'!$A$3:$M$40, 7, FALSE), VLOOKUP($C236, 'NFI 2020'!$C$3:$J$282, 2, FALSE)), "")</f>
        <v>34973.198101108224</v>
      </c>
      <c r="F236" s="111">
        <f>+IFERROR(IF($D236=0, VLOOKUP($C236, 'NATIONAL 2020'!$A$3:$M$40, 8, FALSE), VLOOKUP($C236, 'NFI 2020'!$C$3:$J$282, 3, FALSE)), "")</f>
        <v>29386.611587045929</v>
      </c>
      <c r="G236" s="196">
        <f>+IFERROR(IF($D236=0, VLOOKUP($C236, 'NATIONAL 2020'!$A$3:$M$40, 9, FALSE), VLOOKUP($C236, 'NFI 2020'!$C$3:$J$282, 4, FALSE)), "")</f>
        <v>5586.5865140622955</v>
      </c>
      <c r="H236" s="181">
        <f>+IFERROR(IF($D236=0, VLOOKUP($C236, 'NATIONAL 2020'!$A$3:$M$40, 10, FALSE), VLOOKUP($C236, 'NFI 2020'!$C$3:$J$282, 5, FALSE)), "")</f>
        <v>7478496.9028724171</v>
      </c>
      <c r="I236" s="213">
        <f>+IFERROR(IF($D236=0, VLOOKUP($C236, 'NATIONAL 2020'!$A$3:$M$40, 13, FALSE), VLOOKUP($C236, 'NFI 2020'!$C$3:$J$282, 8, FALSE)), "")</f>
        <v>213.83508826536055</v>
      </c>
      <c r="J236" s="111">
        <f>+IFERROR(IF($D236=0, VLOOKUP($C236, 'NATIONAL 2020'!$A$3:$M$40, 11, FALSE), VLOOKUP($C236, 'NFI 2020'!$C$3:$J$282, 6, FALSE)), "")</f>
        <v>6063514.4143132996</v>
      </c>
      <c r="K236" s="196">
        <f>+IFERROR(IF($D236=0, VLOOKUP($C236, 'NATIONAL 2020'!$A$3:$M$40, 12, FALSE), VLOOKUP($C236, 'NFI 2020'!$C$3:$J$282, 7, FALSE)), "")</f>
        <v>1414982.4885591175</v>
      </c>
      <c r="L236" s="14"/>
      <c r="M236" s="70"/>
      <c r="N236" s="70"/>
      <c r="R236" s="8"/>
      <c r="S236" s="8"/>
    </row>
    <row r="237" spans="1:19" x14ac:dyDescent="0.25">
      <c r="A237" s="26" t="s">
        <v>152</v>
      </c>
      <c r="B237" s="108" t="str">
        <f t="shared" si="10"/>
        <v>NL</v>
      </c>
      <c r="C237" s="108" t="s">
        <v>156</v>
      </c>
      <c r="D237" s="20">
        <f>+VLOOKUP(B237, 'NATIONAL 2020'!$A$3:$B$41, 2, FALSE)</f>
        <v>2</v>
      </c>
      <c r="E237" s="181">
        <f>+IFERROR(IF($D237=0, VLOOKUP($C237, 'NATIONAL 2020'!$A$3:$M$40, 7, FALSE), VLOOKUP($C237, 'NFI 2020'!$C$3:$J$282, 2, FALSE)), "")</f>
        <v>38208.342593063637</v>
      </c>
      <c r="F237" s="111">
        <f>+IFERROR(IF($D237=0, VLOOKUP($C237, 'NATIONAL 2020'!$A$3:$M$40, 8, FALSE), VLOOKUP($C237, 'NFI 2020'!$C$3:$J$282, 3, FALSE)), "")</f>
        <v>33305.827897271884</v>
      </c>
      <c r="G237" s="196">
        <f>+IFERROR(IF($D237=0, VLOOKUP($C237, 'NATIONAL 2020'!$A$3:$M$40, 9, FALSE), VLOOKUP($C237, 'NFI 2020'!$C$3:$J$282, 4, FALSE)), "")</f>
        <v>4902.5146957917541</v>
      </c>
      <c r="H237" s="181">
        <f>+IFERROR(IF($D237=0, VLOOKUP($C237, 'NATIONAL 2020'!$A$3:$M$40, 10, FALSE), VLOOKUP($C237, 'NFI 2020'!$C$3:$J$282, 5, FALSE)), "")</f>
        <v>8352390.4501301339</v>
      </c>
      <c r="I237" s="213">
        <f>+IFERROR(IF($D237=0, VLOOKUP($C237, 'NATIONAL 2020'!$A$3:$M$40, 13, FALSE), VLOOKUP($C237, 'NFI 2020'!$C$3:$J$282, 8, FALSE)), "")</f>
        <v>218.60122379782135</v>
      </c>
      <c r="J237" s="111">
        <f>+IFERROR(IF($D237=0, VLOOKUP($C237, 'NATIONAL 2020'!$A$3:$M$40, 11, FALSE), VLOOKUP($C237, 'NFI 2020'!$C$3:$J$282, 6, FALSE)), "")</f>
        <v>6888770.7861888856</v>
      </c>
      <c r="K237" s="196">
        <f>+IFERROR(IF($D237=0, VLOOKUP($C237, 'NATIONAL 2020'!$A$3:$M$40, 12, FALSE), VLOOKUP($C237, 'NFI 2020'!$C$3:$J$282, 7, FALSE)), "")</f>
        <v>1463619.6639412483</v>
      </c>
      <c r="L237" s="14"/>
      <c r="M237" s="70"/>
      <c r="N237" s="70"/>
      <c r="O237" s="5"/>
      <c r="R237" s="8"/>
      <c r="S237" s="8"/>
    </row>
    <row r="238" spans="1:19" x14ac:dyDescent="0.25">
      <c r="A238" s="26" t="s">
        <v>152</v>
      </c>
      <c r="B238" s="108" t="str">
        <f t="shared" si="10"/>
        <v>NL</v>
      </c>
      <c r="C238" s="108" t="s">
        <v>157</v>
      </c>
      <c r="D238" s="20">
        <f>+VLOOKUP(B238, 'NATIONAL 2020'!$A$3:$B$41, 2, FALSE)</f>
        <v>2</v>
      </c>
      <c r="E238" s="181">
        <f>+IFERROR(IF($D238=0, VLOOKUP($C238, 'NATIONAL 2020'!$A$3:$M$40, 7, FALSE), VLOOKUP($C238, 'NFI 2020'!$C$3:$J$282, 2, FALSE)), "")</f>
        <v>97799.308398553068</v>
      </c>
      <c r="F238" s="111">
        <f>+IFERROR(IF($D238=0, VLOOKUP($C238, 'NATIONAL 2020'!$A$3:$M$40, 8, FALSE), VLOOKUP($C238, 'NFI 2020'!$C$3:$J$282, 3, FALSE)), "")</f>
        <v>86854.159312160453</v>
      </c>
      <c r="G238" s="196">
        <f>+IFERROR(IF($D238=0, VLOOKUP($C238, 'NATIONAL 2020'!$A$3:$M$40, 9, FALSE), VLOOKUP($C238, 'NFI 2020'!$C$3:$J$282, 4, FALSE)), "")</f>
        <v>10945.149086392614</v>
      </c>
      <c r="H238" s="181">
        <f>+IFERROR(IF($D238=0, VLOOKUP($C238, 'NATIONAL 2020'!$A$3:$M$40, 10, FALSE), VLOOKUP($C238, 'NFI 2020'!$C$3:$J$282, 5, FALSE)), "")</f>
        <v>20672640.958852727</v>
      </c>
      <c r="I238" s="213">
        <f>+IFERROR(IF($D238=0, VLOOKUP($C238, 'NATIONAL 2020'!$A$3:$M$40, 13, FALSE), VLOOKUP($C238, 'NFI 2020'!$C$3:$J$282, 8, FALSE)), "")</f>
        <v>211.37819170057216</v>
      </c>
      <c r="J238" s="111">
        <f>+IFERROR(IF($D238=0, VLOOKUP($C238, 'NATIONAL 2020'!$A$3:$M$40, 11, FALSE), VLOOKUP($C238, 'NFI 2020'!$C$3:$J$282, 6, FALSE)), "")</f>
        <v>17243268.120086264</v>
      </c>
      <c r="K238" s="196">
        <f>+IFERROR(IF($D238=0, VLOOKUP($C238, 'NATIONAL 2020'!$A$3:$M$40, 12, FALSE), VLOOKUP($C238, 'NFI 2020'!$C$3:$J$282, 7, FALSE)), "")</f>
        <v>3429372.838766465</v>
      </c>
      <c r="L238" s="14"/>
      <c r="M238" s="70"/>
      <c r="N238" s="70"/>
      <c r="R238" s="8"/>
      <c r="S238" s="8"/>
    </row>
    <row r="239" spans="1:19" x14ac:dyDescent="0.25">
      <c r="A239" s="26" t="s">
        <v>152</v>
      </c>
      <c r="B239" s="108" t="str">
        <f t="shared" si="10"/>
        <v>NL</v>
      </c>
      <c r="C239" s="108" t="s">
        <v>158</v>
      </c>
      <c r="D239" s="20">
        <f>+VLOOKUP(B239, 'NATIONAL 2020'!$A$3:$B$41, 2, FALSE)</f>
        <v>2</v>
      </c>
      <c r="E239" s="181">
        <f>+IFERROR(IF($D239=0, VLOOKUP($C239, 'NATIONAL 2020'!$A$3:$M$40, 7, FALSE), VLOOKUP($C239, 'NFI 2020'!$C$3:$J$282, 2, FALSE)), "")</f>
        <v>16261.795111397902</v>
      </c>
      <c r="F239" s="111">
        <f>+IFERROR(IF($D239=0, VLOOKUP($C239, 'NATIONAL 2020'!$A$3:$M$40, 8, FALSE), VLOOKUP($C239, 'NFI 2020'!$C$3:$J$282, 3, FALSE)), "")</f>
        <v>13069.45996078783</v>
      </c>
      <c r="G239" s="196">
        <f>+IFERROR(IF($D239=0, VLOOKUP($C239, 'NATIONAL 2020'!$A$3:$M$40, 9, FALSE), VLOOKUP($C239, 'NFI 2020'!$C$3:$J$282, 4, FALSE)), "")</f>
        <v>3192.3351506100712</v>
      </c>
      <c r="H239" s="181">
        <f>+IFERROR(IF($D239=0, VLOOKUP($C239, 'NATIONAL 2020'!$A$3:$M$40, 10, FALSE), VLOOKUP($C239, 'NFI 2020'!$C$3:$J$282, 5, FALSE)), "")</f>
        <v>2995803.0686444929</v>
      </c>
      <c r="I239" s="213">
        <f>+IFERROR(IF($D239=0, VLOOKUP($C239, 'NATIONAL 2020'!$A$3:$M$40, 13, FALSE), VLOOKUP($C239, 'NFI 2020'!$C$3:$J$282, 8, FALSE)), "")</f>
        <v>184.22339281256427</v>
      </c>
      <c r="J239" s="111">
        <f>+IFERROR(IF($D239=0, VLOOKUP($C239, 'NATIONAL 2020'!$A$3:$M$40, 11, FALSE), VLOOKUP($C239, 'NFI 2020'!$C$3:$J$282, 6, FALSE)), "")</f>
        <v>2181485.1466637058</v>
      </c>
      <c r="K239" s="196">
        <f>+IFERROR(IF($D239=0, VLOOKUP($C239, 'NATIONAL 2020'!$A$3:$M$40, 12, FALSE), VLOOKUP($C239, 'NFI 2020'!$C$3:$J$282, 7, FALSE)), "")</f>
        <v>814317.92198078695</v>
      </c>
      <c r="L239" s="14"/>
      <c r="M239" s="70"/>
      <c r="N239" s="70"/>
      <c r="R239" s="8"/>
      <c r="S239" s="8"/>
    </row>
    <row r="240" spans="1:19" x14ac:dyDescent="0.25">
      <c r="A240" s="26" t="s">
        <v>152</v>
      </c>
      <c r="B240" s="108" t="str">
        <f t="shared" si="10"/>
        <v>NL</v>
      </c>
      <c r="C240" s="108" t="s">
        <v>159</v>
      </c>
      <c r="D240" s="20">
        <f>+VLOOKUP(B240, 'NATIONAL 2020'!$A$3:$B$41, 2, FALSE)</f>
        <v>2</v>
      </c>
      <c r="E240" s="181">
        <f>+IFERROR(IF($D240=0, VLOOKUP($C240, 'NATIONAL 2020'!$A$3:$M$40, 7, FALSE), VLOOKUP($C240, 'NFI 2020'!$C$3:$J$282, 2, FALSE)), "")</f>
        <v>19966.876494386594</v>
      </c>
      <c r="F240" s="111">
        <f>+IFERROR(IF($D240=0, VLOOKUP($C240, 'NATIONAL 2020'!$A$3:$M$40, 8, FALSE), VLOOKUP($C240, 'NFI 2020'!$C$3:$J$282, 3, FALSE)), "")</f>
        <v>16318.493465259276</v>
      </c>
      <c r="G240" s="196">
        <f>+IFERROR(IF($D240=0, VLOOKUP($C240, 'NATIONAL 2020'!$A$3:$M$40, 9, FALSE), VLOOKUP($C240, 'NFI 2020'!$C$3:$J$282, 4, FALSE)), "")</f>
        <v>3648.383029127318</v>
      </c>
      <c r="H240" s="181">
        <f>+IFERROR(IF($D240=0, VLOOKUP($C240, 'NATIONAL 2020'!$A$3:$M$40, 10, FALSE), VLOOKUP($C240, 'NFI 2020'!$C$3:$J$282, 5, FALSE)), "")</f>
        <v>3817394.8121706699</v>
      </c>
      <c r="I240" s="213">
        <f>+IFERROR(IF($D240=0, VLOOKUP($C240, 'NATIONAL 2020'!$A$3:$M$40, 13, FALSE), VLOOKUP($C240, 'NFI 2020'!$C$3:$J$282, 8, FALSE)), "")</f>
        <v>191.18637876304172</v>
      </c>
      <c r="J240" s="111">
        <f>+IFERROR(IF($D240=0, VLOOKUP($C240, 'NATIONAL 2020'!$A$3:$M$40, 11, FALSE), VLOOKUP($C240, 'NFI 2020'!$C$3:$J$282, 6, FALSE)), "")</f>
        <v>2883828.7589620086</v>
      </c>
      <c r="K240" s="196">
        <f>+IFERROR(IF($D240=0, VLOOKUP($C240, 'NATIONAL 2020'!$A$3:$M$40, 12, FALSE), VLOOKUP($C240, 'NFI 2020'!$C$3:$J$282, 7, FALSE)), "")</f>
        <v>933566.05320866103</v>
      </c>
      <c r="L240" s="14"/>
      <c r="M240" s="70"/>
      <c r="N240" s="70"/>
      <c r="R240" s="8"/>
      <c r="S240" s="8"/>
    </row>
    <row r="241" spans="1:19" x14ac:dyDescent="0.25">
      <c r="A241" s="26" t="s">
        <v>152</v>
      </c>
      <c r="B241" s="108" t="str">
        <f t="shared" si="10"/>
        <v>NL</v>
      </c>
      <c r="C241" s="108" t="s">
        <v>160</v>
      </c>
      <c r="D241" s="20">
        <f>+VLOOKUP(B241, 'NATIONAL 2020'!$A$3:$B$41, 2, FALSE)</f>
        <v>2</v>
      </c>
      <c r="E241" s="181">
        <f>+IFERROR(IF($D241=0, VLOOKUP($C241, 'NATIONAL 2020'!$A$3:$M$40, 7, FALSE), VLOOKUP($C241, 'NFI 2020'!$C$3:$J$282, 2, FALSE)), "")</f>
        <v>15674.126662400497</v>
      </c>
      <c r="F241" s="111">
        <f>+IFERROR(IF($D241=0, VLOOKUP($C241, 'NATIONAL 2020'!$A$3:$M$40, 8, FALSE), VLOOKUP($C241, 'NFI 2020'!$C$3:$J$282, 3, FALSE)), "")</f>
        <v>10657.599996732095</v>
      </c>
      <c r="G241" s="196">
        <f>+IFERROR(IF($D241=0, VLOOKUP($C241, 'NATIONAL 2020'!$A$3:$M$40, 9, FALSE), VLOOKUP($C241, 'NFI 2020'!$C$3:$J$282, 4, FALSE)), "")</f>
        <v>5016.5266656684007</v>
      </c>
      <c r="H241" s="181">
        <f>+IFERROR(IF($D241=0, VLOOKUP($C241, 'NATIONAL 2020'!$A$3:$M$40, 10, FALSE), VLOOKUP($C241, 'NFI 2020'!$C$3:$J$282, 5, FALSE)), "")</f>
        <v>3331870.1264011138</v>
      </c>
      <c r="I241" s="213">
        <f>+IFERROR(IF($D241=0, VLOOKUP($C241, 'NATIONAL 2020'!$A$3:$M$40, 13, FALSE), VLOOKUP($C241, 'NFI 2020'!$C$3:$J$282, 8, FALSE)), "")</f>
        <v>212.5713411767745</v>
      </c>
      <c r="J241" s="111">
        <f>+IFERROR(IF($D241=0, VLOOKUP($C241, 'NATIONAL 2020'!$A$3:$M$40, 11, FALSE), VLOOKUP($C241, 'NFI 2020'!$C$3:$J$282, 6, FALSE)), "")</f>
        <v>1885909.3210805224</v>
      </c>
      <c r="K241" s="196">
        <f>+IFERROR(IF($D241=0, VLOOKUP($C241, 'NATIONAL 2020'!$A$3:$M$40, 12, FALSE), VLOOKUP($C241, 'NFI 2020'!$C$3:$J$282, 7, FALSE)), "")</f>
        <v>1445960.8053205914</v>
      </c>
      <c r="L241" s="14"/>
      <c r="M241" s="70"/>
      <c r="N241" s="70"/>
      <c r="R241" s="8"/>
      <c r="S241" s="8"/>
    </row>
    <row r="242" spans="1:19" x14ac:dyDescent="0.25">
      <c r="A242" s="26" t="s">
        <v>152</v>
      </c>
      <c r="B242" s="108" t="str">
        <f t="shared" si="10"/>
        <v>NL</v>
      </c>
      <c r="C242" s="108" t="s">
        <v>161</v>
      </c>
      <c r="D242" s="20">
        <f>+VLOOKUP(B242, 'NATIONAL 2020'!$A$3:$B$41, 2, FALSE)</f>
        <v>2</v>
      </c>
      <c r="E242" s="181">
        <f>+IFERROR(IF($D242=0, VLOOKUP($C242, 'NATIONAL 2020'!$A$3:$M$40, 7, FALSE), VLOOKUP($C242, 'NFI 2020'!$C$3:$J$282, 2, FALSE)), "")</f>
        <v>10759.081452604014</v>
      </c>
      <c r="F242" s="111">
        <f>+IFERROR(IF($D242=0, VLOOKUP($C242, 'NATIONAL 2020'!$A$3:$M$40, 8, FALSE), VLOOKUP($C242, 'NFI 2020'!$C$3:$J$282, 3, FALSE)), "")</f>
        <v>6654.6505439701077</v>
      </c>
      <c r="G242" s="196">
        <f>+IFERROR(IF($D242=0, VLOOKUP($C242, 'NATIONAL 2020'!$A$3:$M$40, 9, FALSE), VLOOKUP($C242, 'NFI 2020'!$C$3:$J$282, 4, FALSE)), "")</f>
        <v>4104.4309086339053</v>
      </c>
      <c r="H242" s="181">
        <f>+IFERROR(IF($D242=0, VLOOKUP($C242, 'NATIONAL 2020'!$A$3:$M$40, 10, FALSE), VLOOKUP($C242, 'NFI 2020'!$C$3:$J$282, 5, FALSE)), "")</f>
        <v>1924539.2751225224</v>
      </c>
      <c r="I242" s="213">
        <f>+IFERROR(IF($D242=0, VLOOKUP($C242, 'NATIONAL 2020'!$A$3:$M$40, 13, FALSE), VLOOKUP($C242, 'NFI 2020'!$C$3:$J$282, 8, FALSE)), "")</f>
        <v>178.87579749261283</v>
      </c>
      <c r="J242" s="111">
        <f>+IFERROR(IF($D242=0, VLOOKUP($C242, 'NATIONAL 2020'!$A$3:$M$40, 11, FALSE), VLOOKUP($C242, 'NFI 2020'!$C$3:$J$282, 6, FALSE)), "")</f>
        <v>813535.41989759228</v>
      </c>
      <c r="K242" s="196">
        <f>+IFERROR(IF($D242=0, VLOOKUP($C242, 'NATIONAL 2020'!$A$3:$M$40, 12, FALSE), VLOOKUP($C242, 'NFI 2020'!$C$3:$J$282, 7, FALSE)), "")</f>
        <v>1111003.8552249302</v>
      </c>
      <c r="L242" s="14"/>
      <c r="M242" s="70"/>
      <c r="N242" s="70"/>
      <c r="R242" s="8"/>
      <c r="S242" s="8"/>
    </row>
    <row r="243" spans="1:19" x14ac:dyDescent="0.25">
      <c r="A243" s="26" t="s">
        <v>152</v>
      </c>
      <c r="B243" s="108" t="str">
        <f t="shared" si="10"/>
        <v>NL</v>
      </c>
      <c r="C243" s="108" t="s">
        <v>162</v>
      </c>
      <c r="D243" s="20">
        <f>+VLOOKUP(B243, 'NATIONAL 2020'!$A$3:$B$41, 2, FALSE)</f>
        <v>2</v>
      </c>
      <c r="E243" s="181">
        <f>+IFERROR(IF($D243=0, VLOOKUP($C243, 'NATIONAL 2020'!$A$3:$M$40, 7, FALSE), VLOOKUP($C243, 'NFI 2020'!$C$3:$J$282, 2, FALSE)), "")</f>
        <v>4659.7952774036694</v>
      </c>
      <c r="F243" s="111">
        <f>+IFERROR(IF($D243=0, VLOOKUP($C243, 'NATIONAL 2020'!$A$3:$M$40, 8, FALSE), VLOOKUP($C243, 'NFI 2020'!$C$3:$J$282, 3, FALSE)), "")</f>
        <v>3291.6516408625876</v>
      </c>
      <c r="G243" s="196">
        <f>+IFERROR(IF($D243=0, VLOOKUP($C243, 'NATIONAL 2020'!$A$3:$M$40, 9, FALSE), VLOOKUP($C243, 'NFI 2020'!$C$3:$J$282, 4, FALSE)), "")</f>
        <v>1368.1436365410823</v>
      </c>
      <c r="H243" s="181">
        <f>+IFERROR(IF($D243=0, VLOOKUP($C243, 'NATIONAL 2020'!$A$3:$M$40, 10, FALSE), VLOOKUP($C243, 'NFI 2020'!$C$3:$J$282, 5, FALSE)), "")</f>
        <v>529308.56310832733</v>
      </c>
      <c r="I243" s="213">
        <f>+IFERROR(IF($D243=0, VLOOKUP($C243, 'NATIONAL 2020'!$A$3:$M$40, 13, FALSE), VLOOKUP($C243, 'NFI 2020'!$C$3:$J$282, 8, FALSE)), "")</f>
        <v>113.59051880992632</v>
      </c>
      <c r="J243" s="111">
        <f>+IFERROR(IF($D243=0, VLOOKUP($C243, 'NATIONAL 2020'!$A$3:$M$40, 11, FALSE), VLOOKUP($C243, 'NFI 2020'!$C$3:$J$282, 6, FALSE)), "")</f>
        <v>278388.9729409992</v>
      </c>
      <c r="K243" s="196">
        <f>+IFERROR(IF($D243=0, VLOOKUP($C243, 'NATIONAL 2020'!$A$3:$M$40, 12, FALSE), VLOOKUP($C243, 'NFI 2020'!$C$3:$J$282, 7, FALSE)), "")</f>
        <v>250919.5901673281</v>
      </c>
      <c r="L243" s="14"/>
      <c r="M243" s="70"/>
      <c r="N243" s="70"/>
      <c r="R243" s="8"/>
      <c r="S243" s="8"/>
    </row>
    <row r="244" spans="1:19" x14ac:dyDescent="0.25">
      <c r="A244" s="26" t="s">
        <v>152</v>
      </c>
      <c r="B244" s="108" t="str">
        <f t="shared" si="10"/>
        <v>NL</v>
      </c>
      <c r="C244" s="108" t="s">
        <v>163</v>
      </c>
      <c r="D244" s="20">
        <f>+VLOOKUP(B244, 'NATIONAL 2020'!$A$3:$B$41, 2, FALSE)</f>
        <v>2</v>
      </c>
      <c r="E244" s="181">
        <f>+IFERROR(IF($D244=0, VLOOKUP($C244, 'NATIONAL 2020'!$A$3:$M$40, 7, FALSE), VLOOKUP($C244, 'NFI 2020'!$C$3:$J$282, 2, FALSE)), "")</f>
        <v>75925.97213780621</v>
      </c>
      <c r="F244" s="111">
        <f>+IFERROR(IF($D244=0, VLOOKUP($C244, 'NATIONAL 2020'!$A$3:$M$40, 8, FALSE), VLOOKUP($C244, 'NFI 2020'!$C$3:$J$282, 3, FALSE)), "")</f>
        <v>66691.002594616599</v>
      </c>
      <c r="G244" s="196">
        <f>+IFERROR(IF($D244=0, VLOOKUP($C244, 'NATIONAL 2020'!$A$3:$M$40, 9, FALSE), VLOOKUP($C244, 'NFI 2020'!$C$3:$J$282, 4, FALSE)), "")</f>
        <v>9234.9695431896143</v>
      </c>
      <c r="H244" s="181">
        <f>+IFERROR(IF($D244=0, VLOOKUP($C244, 'NATIONAL 2020'!$A$3:$M$40, 10, FALSE), VLOOKUP($C244, 'NFI 2020'!$C$3:$J$282, 5, FALSE)), "")</f>
        <v>12112561.41858265</v>
      </c>
      <c r="I244" s="213">
        <f>+IFERROR(IF($D244=0, VLOOKUP($C244, 'NATIONAL 2020'!$A$3:$M$40, 13, FALSE), VLOOKUP($C244, 'NFI 2020'!$C$3:$J$282, 8, FALSE)), "")</f>
        <v>159.53119963480032</v>
      </c>
      <c r="J244" s="111">
        <f>+IFERROR(IF($D244=0, VLOOKUP($C244, 'NATIONAL 2020'!$A$3:$M$40, 11, FALSE), VLOOKUP($C244, 'NFI 2020'!$C$3:$J$282, 6, FALSE)), "")</f>
        <v>9624977.3525591735</v>
      </c>
      <c r="K244" s="196">
        <f>+IFERROR(IF($D244=0, VLOOKUP($C244, 'NATIONAL 2020'!$A$3:$M$40, 12, FALSE), VLOOKUP($C244, 'NFI 2020'!$C$3:$J$282, 7, FALSE)), "")</f>
        <v>2487584.0660234764</v>
      </c>
      <c r="L244" s="14"/>
      <c r="M244" s="70"/>
      <c r="N244" s="70"/>
      <c r="R244" s="8"/>
      <c r="S244" s="8"/>
    </row>
    <row r="245" spans="1:19" x14ac:dyDescent="0.25">
      <c r="A245" s="26" t="s">
        <v>152</v>
      </c>
      <c r="B245" s="108" t="str">
        <f t="shared" si="10"/>
        <v>NL</v>
      </c>
      <c r="C245" s="108" t="s">
        <v>164</v>
      </c>
      <c r="D245" s="20">
        <f>+VLOOKUP(B245, 'NATIONAL 2020'!$A$3:$B$41, 2, FALSE)</f>
        <v>2</v>
      </c>
      <c r="E245" s="181">
        <f>+IFERROR(IF($D245=0, VLOOKUP($C245, 'NATIONAL 2020'!$A$3:$M$40, 7, FALSE), VLOOKUP($C245, 'NFI 2020'!$C$3:$J$282, 2, FALSE)), "")</f>
        <v>34230.203142864026</v>
      </c>
      <c r="F245" s="111">
        <f>+IFERROR(IF($D245=0, VLOOKUP($C245, 'NATIONAL 2020'!$A$3:$M$40, 8, FALSE), VLOOKUP($C245, 'NFI 2020'!$C$3:$J$282, 3, FALSE)), "")</f>
        <v>28757.628598678381</v>
      </c>
      <c r="G245" s="196">
        <f>+IFERROR(IF($D245=0, VLOOKUP($C245, 'NATIONAL 2020'!$A$3:$M$40, 9, FALSE), VLOOKUP($C245, 'NFI 2020'!$C$3:$J$282, 4, FALSE)), "")</f>
        <v>5472.5745441856479</v>
      </c>
      <c r="H245" s="181">
        <f>+IFERROR(IF($D245=0, VLOOKUP($C245, 'NATIONAL 2020'!$A$3:$M$40, 10, FALSE), VLOOKUP($C245, 'NFI 2020'!$C$3:$J$282, 5, FALSE)), "")</f>
        <v>6207293.6667444799</v>
      </c>
      <c r="I245" s="213">
        <f>+IFERROR(IF($D245=0, VLOOKUP($C245, 'NATIONAL 2020'!$A$3:$M$40, 13, FALSE), VLOOKUP($C245, 'NFI 2020'!$C$3:$J$282, 8, FALSE)), "")</f>
        <v>181.33966780265851</v>
      </c>
      <c r="J245" s="111">
        <f>+IFERROR(IF($D245=0, VLOOKUP($C245, 'NATIONAL 2020'!$A$3:$M$40, 11, FALSE), VLOOKUP($C245, 'NFI 2020'!$C$3:$J$282, 6, FALSE)), "")</f>
        <v>4781731.6384587614</v>
      </c>
      <c r="K245" s="196">
        <f>+IFERROR(IF($D245=0, VLOOKUP($C245, 'NATIONAL 2020'!$A$3:$M$40, 12, FALSE), VLOOKUP($C245, 'NFI 2020'!$C$3:$J$282, 7, FALSE)), "")</f>
        <v>1425562.0282857185</v>
      </c>
      <c r="L245" s="14"/>
      <c r="M245" s="70"/>
      <c r="N245" s="70"/>
      <c r="R245" s="8"/>
      <c r="S245" s="8"/>
    </row>
    <row r="246" spans="1:19" x14ac:dyDescent="0.25">
      <c r="A246" s="26" t="s">
        <v>165</v>
      </c>
      <c r="B246" t="s">
        <v>30</v>
      </c>
      <c r="C246" t="s">
        <v>30</v>
      </c>
      <c r="D246" s="20">
        <v>0</v>
      </c>
      <c r="E246" s="181">
        <f>+IFERROR(IF($D246=0, VLOOKUP($C246, 'NATIONAL 2020'!$A$3:$M$40, 7, FALSE), VLOOKUP($C246, 'NFI 2020'!$C$3:$J$282, 2, FALSE)), "")</f>
        <v>12180000</v>
      </c>
      <c r="F246" s="111">
        <f>+IFERROR(IF($D246=0, VLOOKUP($C246, 'NATIONAL 2020'!$A$3:$M$40, 8, FALSE), VLOOKUP($C246, 'NFI 2020'!$C$3:$J$282, 3, FALSE)), "")</f>
        <v>7229787.1342341984</v>
      </c>
      <c r="G246" s="196">
        <f>+IFERROR(IF($D246=0, VLOOKUP($C246, 'NATIONAL 2020'!$A$3:$M$40, 9, FALSE), VLOOKUP($C246, 'NFI 2020'!$C$3:$J$282, 4, FALSE)), "")</f>
        <v>4950212.8657658035</v>
      </c>
      <c r="H246" s="181">
        <f>+IFERROR(IF($D246=0, VLOOKUP($C246, 'NATIONAL 2020'!$A$3:$M$40, 10, FALSE), VLOOKUP($C246, 'NFI 2020'!$C$3:$J$282, 5, FALSE)), "")</f>
        <v>807928483.82340813</v>
      </c>
      <c r="I246" s="213">
        <f>+IFERROR(IF($D246=0, VLOOKUP($C246, 'NATIONAL 2020'!$A$3:$M$40, 13, FALSE), VLOOKUP($C246, 'NFI 2020'!$C$3:$J$282, 8, FALSE)), "")</f>
        <v>66.332387834434158</v>
      </c>
      <c r="J246" s="111">
        <f>+IFERROR(IF($D246=0, VLOOKUP($C246, 'NATIONAL 2020'!$A$3:$M$40, 11, FALSE), VLOOKUP($C246, 'NFI 2020'!$C$3:$J$282, 6, FALSE)), "")</f>
        <v>632583450.09420335</v>
      </c>
      <c r="K246" s="196">
        <f>+IFERROR(IF($D246=0, VLOOKUP($C246, 'NATIONAL 2020'!$A$3:$M$40, 12, FALSE), VLOOKUP($C246, 'NFI 2020'!$C$3:$J$282, 7, FALSE)), "")</f>
        <v>175345033.72920462</v>
      </c>
      <c r="L246" s="14"/>
      <c r="M246" s="70"/>
      <c r="N246" s="70"/>
      <c r="O246" s="5"/>
      <c r="R246" s="8"/>
      <c r="S246" s="8"/>
    </row>
    <row r="247" spans="1:19" x14ac:dyDescent="0.25">
      <c r="A247" s="26" t="s">
        <v>165</v>
      </c>
      <c r="B247" s="108" t="str">
        <f t="shared" ref="B247:B264" si="11">+LEFT(C247, 2)</f>
        <v>NO</v>
      </c>
      <c r="C247" s="108" t="s">
        <v>166</v>
      </c>
      <c r="D247" s="20">
        <f>+VLOOKUP(B247, 'NATIONAL 2020'!$A$3:$B$41, 2, FALSE)</f>
        <v>3</v>
      </c>
      <c r="E247" s="181">
        <f>+IFERROR(IF($D247=0, VLOOKUP($C247, 'NATIONAL 2020'!$A$3:$M$40, 7, FALSE), VLOOKUP($C247, 'NFI 2020'!$C$3:$J$282, 2, FALSE)), "")</f>
        <v>29990.727892650822</v>
      </c>
      <c r="F247" s="111">
        <f>+IFERROR(IF($D247=0, VLOOKUP($C247, 'NATIONAL 2020'!$A$3:$M$40, 8, FALSE), VLOOKUP($C247, 'NFI 2020'!$C$3:$J$282, 3, FALSE)), "")</f>
        <v>24570.767315464091</v>
      </c>
      <c r="G247" s="196">
        <f>+IFERROR(IF($D247=0, VLOOKUP($C247, 'NATIONAL 2020'!$A$3:$M$40, 9, FALSE), VLOOKUP($C247, 'NFI 2020'!$C$3:$J$282, 4, FALSE)), "")</f>
        <v>5419.96057718673</v>
      </c>
      <c r="H247" s="181">
        <f>+IFERROR(IF($D247=0, VLOOKUP($C247, 'NATIONAL 2020'!$A$3:$M$40, 10, FALSE), VLOOKUP($C247, 'NFI 2020'!$C$3:$J$282, 5, FALSE)), "")</f>
        <v>4372224.9057535715</v>
      </c>
      <c r="I247" s="213">
        <f>+IFERROR(IF($D247=0, VLOOKUP($C247, 'NATIONAL 2020'!$A$3:$M$40, 13, FALSE), VLOOKUP($C247, 'NFI 2020'!$C$3:$J$282, 8, FALSE)), "")</f>
        <v>145.78588827198749</v>
      </c>
      <c r="J247" s="111">
        <f>+IFERROR(IF($D247=0, VLOOKUP($C247, 'NATIONAL 2020'!$A$3:$M$40, 11, FALSE), VLOOKUP($C247, 'NFI 2020'!$C$3:$J$282, 6, FALSE)), "")</f>
        <v>3801765.5127792782</v>
      </c>
      <c r="K247" s="196">
        <f>+IFERROR(IF($D247=0, VLOOKUP($C247, 'NATIONAL 2020'!$A$3:$M$40, 12, FALSE), VLOOKUP($C247, 'NFI 2020'!$C$3:$J$282, 7, FALSE)), "")</f>
        <v>570459.39297429344</v>
      </c>
      <c r="L247" s="14"/>
      <c r="M247" s="70"/>
      <c r="N247" s="70"/>
      <c r="R247" s="8"/>
      <c r="S247" s="8"/>
    </row>
    <row r="248" spans="1:19" x14ac:dyDescent="0.25">
      <c r="A248" s="26" t="s">
        <v>165</v>
      </c>
      <c r="B248" s="108" t="str">
        <f t="shared" si="11"/>
        <v>NO</v>
      </c>
      <c r="C248" s="108" t="s">
        <v>167</v>
      </c>
      <c r="D248" s="20">
        <f>+VLOOKUP(B248, 'NATIONAL 2020'!$A$3:$B$41, 2, FALSE)</f>
        <v>3</v>
      </c>
      <c r="E248" s="181">
        <f>+IFERROR(IF($D248=0, VLOOKUP($C248, 'NATIONAL 2020'!$A$3:$M$40, 7, FALSE), VLOOKUP($C248, 'NFI 2020'!$C$3:$J$282, 2, FALSE)), "")</f>
        <v>318425.65006504266</v>
      </c>
      <c r="F248" s="111">
        <f>+IFERROR(IF($D248=0, VLOOKUP($C248, 'NATIONAL 2020'!$A$3:$M$40, 8, FALSE), VLOOKUP($C248, 'NFI 2020'!$C$3:$J$282, 3, FALSE)), "")</f>
        <v>289519.19365338009</v>
      </c>
      <c r="G248" s="196">
        <f>+IFERROR(IF($D248=0, VLOOKUP($C248, 'NATIONAL 2020'!$A$3:$M$40, 9, FALSE), VLOOKUP($C248, 'NFI 2020'!$C$3:$J$282, 4, FALSE)), "")</f>
        <v>28906.456411662581</v>
      </c>
      <c r="H248" s="181">
        <f>+IFERROR(IF($D248=0, VLOOKUP($C248, 'NATIONAL 2020'!$A$3:$M$40, 10, FALSE), VLOOKUP($C248, 'NFI 2020'!$C$3:$J$282, 5, FALSE)), "")</f>
        <v>38449950.249789886</v>
      </c>
      <c r="I248" s="213">
        <f>+IFERROR(IF($D248=0, VLOOKUP($C248, 'NATIONAL 2020'!$A$3:$M$40, 13, FALSE), VLOOKUP($C248, 'NFI 2020'!$C$3:$J$282, 8, FALSE)), "")</f>
        <v>120.75016645780883</v>
      </c>
      <c r="J248" s="111">
        <f>+IFERROR(IF($D248=0, VLOOKUP($C248, 'NATIONAL 2020'!$A$3:$M$40, 11, FALSE), VLOOKUP($C248, 'NFI 2020'!$C$3:$J$282, 6, FALSE)), "")</f>
        <v>35667004.698196046</v>
      </c>
      <c r="K248" s="196">
        <f>+IFERROR(IF($D248=0, VLOOKUP($C248, 'NATIONAL 2020'!$A$3:$M$40, 12, FALSE), VLOOKUP($C248, 'NFI 2020'!$C$3:$J$282, 7, FALSE)), "")</f>
        <v>2782945.5515938401</v>
      </c>
      <c r="L248" s="14"/>
      <c r="M248" s="70"/>
      <c r="N248" s="70"/>
      <c r="R248" s="8"/>
      <c r="S248" s="8"/>
    </row>
    <row r="249" spans="1:19" x14ac:dyDescent="0.25">
      <c r="A249" s="26" t="s">
        <v>165</v>
      </c>
      <c r="B249" s="108" t="str">
        <f t="shared" si="11"/>
        <v>NO</v>
      </c>
      <c r="C249" s="108" t="s">
        <v>168</v>
      </c>
      <c r="D249" s="20">
        <f>+VLOOKUP(B249, 'NATIONAL 2020'!$A$3:$B$41, 2, FALSE)</f>
        <v>3</v>
      </c>
      <c r="E249" s="181">
        <f>+IFERROR(IF($D249=0, VLOOKUP($C249, 'NATIONAL 2020'!$A$3:$M$40, 7, FALSE), VLOOKUP($C249, 'NFI 2020'!$C$3:$J$282, 2, FALSE)), "")</f>
        <v>1726048.080794394</v>
      </c>
      <c r="F249" s="111">
        <f>+IFERROR(IF($D249=0, VLOOKUP($C249, 'NATIONAL 2020'!$A$3:$M$40, 8, FALSE), VLOOKUP($C249, 'NFI 2020'!$C$3:$J$282, 3, FALSE)), "")</f>
        <v>1285677.9629266986</v>
      </c>
      <c r="G249" s="196">
        <f>+IFERROR(IF($D249=0, VLOOKUP($C249, 'NATIONAL 2020'!$A$3:$M$40, 9, FALSE), VLOOKUP($C249, 'NFI 2020'!$C$3:$J$282, 4, FALSE)), "")</f>
        <v>440370.11786769528</v>
      </c>
      <c r="H249" s="181">
        <f>+IFERROR(IF($D249=0, VLOOKUP($C249, 'NATIONAL 2020'!$A$3:$M$40, 10, FALSE), VLOOKUP($C249, 'NFI 2020'!$C$3:$J$282, 5, FALSE)), "")</f>
        <v>125100200.98047489</v>
      </c>
      <c r="I249" s="213">
        <f>+IFERROR(IF($D249=0, VLOOKUP($C249, 'NATIONAL 2020'!$A$3:$M$40, 13, FALSE), VLOOKUP($C249, 'NFI 2020'!$C$3:$J$282, 8, FALSE)), "")</f>
        <v>72.477819344927482</v>
      </c>
      <c r="J249" s="111">
        <f>+IFERROR(IF($D249=0, VLOOKUP($C249, 'NATIONAL 2020'!$A$3:$M$40, 11, FALSE), VLOOKUP($C249, 'NFI 2020'!$C$3:$J$282, 6, FALSE)), "")</f>
        <v>107945120.3994291</v>
      </c>
      <c r="K249" s="196">
        <f>+IFERROR(IF($D249=0, VLOOKUP($C249, 'NATIONAL 2020'!$A$3:$M$40, 12, FALSE), VLOOKUP($C249, 'NFI 2020'!$C$3:$J$282, 7, FALSE)), "")</f>
        <v>17155080.581045795</v>
      </c>
      <c r="L249" s="14"/>
      <c r="M249" s="70"/>
      <c r="N249" s="70"/>
      <c r="R249" s="8"/>
      <c r="S249" s="8"/>
    </row>
    <row r="250" spans="1:19" x14ac:dyDescent="0.25">
      <c r="A250" s="26" t="s">
        <v>165</v>
      </c>
      <c r="B250" s="108" t="str">
        <f t="shared" si="11"/>
        <v>NO</v>
      </c>
      <c r="C250" s="108" t="s">
        <v>169</v>
      </c>
      <c r="D250" s="20">
        <f>+VLOOKUP(B250, 'NATIONAL 2020'!$A$3:$B$41, 2, FALSE)</f>
        <v>3</v>
      </c>
      <c r="E250" s="181">
        <f>+IFERROR(IF($D250=0, VLOOKUP($C250, 'NATIONAL 2020'!$A$3:$M$40, 7, FALSE), VLOOKUP($C250, 'NFI 2020'!$C$3:$J$282, 2, FALSE)), "")</f>
        <v>1000475.2396708553</v>
      </c>
      <c r="F250" s="111">
        <f>+IFERROR(IF($D250=0, VLOOKUP($C250, 'NATIONAL 2020'!$A$3:$M$40, 8, FALSE), VLOOKUP($C250, 'NFI 2020'!$C$3:$J$282, 3, FALSE)), "")</f>
        <v>753255.86064365157</v>
      </c>
      <c r="G250" s="196">
        <f>+IFERROR(IF($D250=0, VLOOKUP($C250, 'NATIONAL 2020'!$A$3:$M$40, 9, FALSE), VLOOKUP($C250, 'NFI 2020'!$C$3:$J$282, 4, FALSE)), "")</f>
        <v>247219.3790272038</v>
      </c>
      <c r="H250" s="181">
        <f>+IFERROR(IF($D250=0, VLOOKUP($C250, 'NATIONAL 2020'!$A$3:$M$40, 10, FALSE), VLOOKUP($C250, 'NFI 2020'!$C$3:$J$282, 5, FALSE)), "")</f>
        <v>80883565.038821682</v>
      </c>
      <c r="I250" s="213">
        <f>+IFERROR(IF($D250=0, VLOOKUP($C250, 'NATIONAL 2020'!$A$3:$M$40, 13, FALSE), VLOOKUP($C250, 'NFI 2020'!$C$3:$J$282, 8, FALSE)), "")</f>
        <v>80.845144219092745</v>
      </c>
      <c r="J250" s="111">
        <f>+IFERROR(IF($D250=0, VLOOKUP($C250, 'NATIONAL 2020'!$A$3:$M$40, 11, FALSE), VLOOKUP($C250, 'NFI 2020'!$C$3:$J$282, 6, FALSE)), "")</f>
        <v>69036166.910594627</v>
      </c>
      <c r="K250" s="196">
        <f>+IFERROR(IF($D250=0, VLOOKUP($C250, 'NATIONAL 2020'!$A$3:$M$40, 12, FALSE), VLOOKUP($C250, 'NFI 2020'!$C$3:$J$282, 7, FALSE)), "")</f>
        <v>11847398.128227051</v>
      </c>
      <c r="L250" s="14"/>
      <c r="M250" s="70"/>
      <c r="N250" s="70"/>
      <c r="R250" s="8"/>
      <c r="S250" s="8"/>
    </row>
    <row r="251" spans="1:19" x14ac:dyDescent="0.25">
      <c r="A251" s="26" t="s">
        <v>165</v>
      </c>
      <c r="B251" s="108" t="str">
        <f t="shared" si="11"/>
        <v>NO</v>
      </c>
      <c r="C251" s="108" t="s">
        <v>170</v>
      </c>
      <c r="D251" s="20">
        <f>+VLOOKUP(B251, 'NATIONAL 2020'!$A$3:$B$41, 2, FALSE)</f>
        <v>3</v>
      </c>
      <c r="E251" s="181">
        <f>+IFERROR(IF($D251=0, VLOOKUP($C251, 'NATIONAL 2020'!$A$3:$M$40, 7, FALSE), VLOOKUP($C251, 'NFI 2020'!$C$3:$J$282, 2, FALSE)), "")</f>
        <v>273800.89229706221</v>
      </c>
      <c r="F251" s="111">
        <f>+IFERROR(IF($D251=0, VLOOKUP($C251, 'NATIONAL 2020'!$A$3:$M$40, 8, FALSE), VLOOKUP($C251, 'NFI 2020'!$C$3:$J$282, 3, FALSE)), "")</f>
        <v>239474.47530821286</v>
      </c>
      <c r="G251" s="196">
        <f>+IFERROR(IF($D251=0, VLOOKUP($C251, 'NATIONAL 2020'!$A$3:$M$40, 9, FALSE), VLOOKUP($C251, 'NFI 2020'!$C$3:$J$282, 4, FALSE)), "")</f>
        <v>34326.416988849327</v>
      </c>
      <c r="H251" s="181">
        <f>+IFERROR(IF($D251=0, VLOOKUP($C251, 'NATIONAL 2020'!$A$3:$M$40, 10, FALSE), VLOOKUP($C251, 'NFI 2020'!$C$3:$J$282, 5, FALSE)), "")</f>
        <v>30770036.600754812</v>
      </c>
      <c r="I251" s="213">
        <f>+IFERROR(IF($D251=0, VLOOKUP($C251, 'NATIONAL 2020'!$A$3:$M$40, 13, FALSE), VLOOKUP($C251, 'NFI 2020'!$C$3:$J$282, 8, FALSE)), "")</f>
        <v>112.38106765324433</v>
      </c>
      <c r="J251" s="111">
        <f>+IFERROR(IF($D251=0, VLOOKUP($C251, 'NATIONAL 2020'!$A$3:$M$40, 11, FALSE), VLOOKUP($C251, 'NFI 2020'!$C$3:$J$282, 6, FALSE)), "")</f>
        <v>28365829.413150359</v>
      </c>
      <c r="K251" s="196">
        <f>+IFERROR(IF($D251=0, VLOOKUP($C251, 'NATIONAL 2020'!$A$3:$M$40, 12, FALSE), VLOOKUP($C251, 'NFI 2020'!$C$3:$J$282, 7, FALSE)), "")</f>
        <v>2404207.1876044553</v>
      </c>
      <c r="L251" s="14"/>
      <c r="M251" s="70"/>
      <c r="N251" s="70"/>
      <c r="R251" s="8"/>
      <c r="S251" s="8"/>
    </row>
    <row r="252" spans="1:19" x14ac:dyDescent="0.25">
      <c r="A252" s="26" t="s">
        <v>165</v>
      </c>
      <c r="B252" s="108" t="str">
        <f t="shared" si="11"/>
        <v>NO</v>
      </c>
      <c r="C252" s="108" t="s">
        <v>171</v>
      </c>
      <c r="D252" s="20">
        <f>+VLOOKUP(B252, 'NATIONAL 2020'!$A$3:$B$41, 2, FALSE)</f>
        <v>3</v>
      </c>
      <c r="E252" s="181">
        <f>+IFERROR(IF($D252=0, VLOOKUP($C252, 'NATIONAL 2020'!$A$3:$M$40, 7, FALSE), VLOOKUP($C252, 'NFI 2020'!$C$3:$J$282, 2, FALSE)), "")</f>
        <v>769125.15411019512</v>
      </c>
      <c r="F252" s="111">
        <f>+IFERROR(IF($D252=0, VLOOKUP($C252, 'NATIONAL 2020'!$A$3:$M$40, 8, FALSE), VLOOKUP($C252, 'NFI 2020'!$C$3:$J$282, 3, FALSE)), "")</f>
        <v>539008.53792272834</v>
      </c>
      <c r="G252" s="196">
        <f>+IFERROR(IF($D252=0, VLOOKUP($C252, 'NATIONAL 2020'!$A$3:$M$40, 9, FALSE), VLOOKUP($C252, 'NFI 2020'!$C$3:$J$282, 4, FALSE)), "")</f>
        <v>230116.6161874668</v>
      </c>
      <c r="H252" s="181">
        <f>+IFERROR(IF($D252=0, VLOOKUP($C252, 'NATIONAL 2020'!$A$3:$M$40, 10, FALSE), VLOOKUP($C252, 'NFI 2020'!$C$3:$J$282, 5, FALSE)), "")</f>
        <v>63181654.823582947</v>
      </c>
      <c r="I252" s="213">
        <f>+IFERROR(IF($D252=0, VLOOKUP($C252, 'NATIONAL 2020'!$A$3:$M$40, 13, FALSE), VLOOKUP($C252, 'NFI 2020'!$C$3:$J$282, 8, FALSE)), "")</f>
        <v>82.147430084611045</v>
      </c>
      <c r="J252" s="111">
        <f>+IFERROR(IF($D252=0, VLOOKUP($C252, 'NATIONAL 2020'!$A$3:$M$40, 11, FALSE), VLOOKUP($C252, 'NFI 2020'!$C$3:$J$282, 6, FALSE)), "")</f>
        <v>51734445.340126753</v>
      </c>
      <c r="K252" s="196">
        <f>+IFERROR(IF($D252=0, VLOOKUP($C252, 'NATIONAL 2020'!$A$3:$M$40, 12, FALSE), VLOOKUP($C252, 'NFI 2020'!$C$3:$J$282, 7, FALSE)), "")</f>
        <v>11447209.483456202</v>
      </c>
      <c r="L252" s="14"/>
      <c r="M252" s="70"/>
      <c r="N252" s="70"/>
      <c r="R252" s="8"/>
      <c r="S252" s="8"/>
    </row>
    <row r="253" spans="1:19" x14ac:dyDescent="0.25">
      <c r="A253" s="26" t="s">
        <v>165</v>
      </c>
      <c r="B253" s="108" t="str">
        <f t="shared" si="11"/>
        <v>NO</v>
      </c>
      <c r="C253" s="108" t="s">
        <v>172</v>
      </c>
      <c r="D253" s="20">
        <f>+VLOOKUP(B253, 'NATIONAL 2020'!$A$3:$B$41, 2, FALSE)</f>
        <v>3</v>
      </c>
      <c r="E253" s="181">
        <f>+IFERROR(IF($D253=0, VLOOKUP($C253, 'NATIONAL 2020'!$A$3:$M$40, 7, FALSE), VLOOKUP($C253, 'NFI 2020'!$C$3:$J$282, 2, FALSE)), "")</f>
        <v>141913.95638359772</v>
      </c>
      <c r="F253" s="111">
        <f>+IFERROR(IF($D253=0, VLOOKUP($C253, 'NATIONAL 2020'!$A$3:$M$40, 8, FALSE), VLOOKUP($C253, 'NFI 2020'!$C$3:$J$282, 3, FALSE)), "")</f>
        <v>124750.74788917306</v>
      </c>
      <c r="G253" s="196">
        <f>+IFERROR(IF($D253=0, VLOOKUP($C253, 'NATIONAL 2020'!$A$3:$M$40, 9, FALSE), VLOOKUP($C253, 'NFI 2020'!$C$3:$J$282, 4, FALSE)), "")</f>
        <v>17163.20849442466</v>
      </c>
      <c r="H253" s="181">
        <f>+IFERROR(IF($D253=0, VLOOKUP($C253, 'NATIONAL 2020'!$A$3:$M$40, 10, FALSE), VLOOKUP($C253, 'NFI 2020'!$C$3:$J$282, 5, FALSE)), "")</f>
        <v>15862478.920381252</v>
      </c>
      <c r="I253" s="213">
        <f>+IFERROR(IF($D253=0, VLOOKUP($C253, 'NATIONAL 2020'!$A$3:$M$40, 13, FALSE), VLOOKUP($C253, 'NFI 2020'!$C$3:$J$282, 8, FALSE)), "")</f>
        <v>111.77532728003503</v>
      </c>
      <c r="J253" s="111">
        <f>+IFERROR(IF($D253=0, VLOOKUP($C253, 'NATIONAL 2020'!$A$3:$M$40, 11, FALSE), VLOOKUP($C253, 'NFI 2020'!$C$3:$J$282, 6, FALSE)), "")</f>
        <v>13970530.043258065</v>
      </c>
      <c r="K253" s="196">
        <f>+IFERROR(IF($D253=0, VLOOKUP($C253, 'NATIONAL 2020'!$A$3:$M$40, 12, FALSE), VLOOKUP($C253, 'NFI 2020'!$C$3:$J$282, 7, FALSE)), "")</f>
        <v>1891948.8771231861</v>
      </c>
      <c r="L253" s="14"/>
      <c r="M253" s="70"/>
      <c r="N253" s="70"/>
      <c r="R253" s="8"/>
      <c r="S253" s="8"/>
    </row>
    <row r="254" spans="1:19" x14ac:dyDescent="0.25">
      <c r="A254" s="26" t="s">
        <v>165</v>
      </c>
      <c r="B254" s="108" t="str">
        <f t="shared" si="11"/>
        <v>NO</v>
      </c>
      <c r="C254" s="108" t="s">
        <v>173</v>
      </c>
      <c r="D254" s="20">
        <f>+VLOOKUP(B254, 'NATIONAL 2020'!$A$3:$B$41, 2, FALSE)</f>
        <v>3</v>
      </c>
      <c r="E254" s="181">
        <f>+IFERROR(IF($D254=0, VLOOKUP($C254, 'NATIONAL 2020'!$A$3:$M$40, 7, FALSE), VLOOKUP($C254, 'NFI 2020'!$C$3:$J$282, 2, FALSE)), "")</f>
        <v>817629.20341797313</v>
      </c>
      <c r="F254" s="111">
        <f>+IFERROR(IF($D254=0, VLOOKUP($C254, 'NATIONAL 2020'!$A$3:$M$40, 8, FALSE), VLOOKUP($C254, 'NFI 2020'!$C$3:$J$282, 3, FALSE)), "")</f>
        <v>502589.79724546737</v>
      </c>
      <c r="G254" s="196">
        <f>+IFERROR(IF($D254=0, VLOOKUP($C254, 'NATIONAL 2020'!$A$3:$M$40, 9, FALSE), VLOOKUP($C254, 'NFI 2020'!$C$3:$J$282, 4, FALSE)), "")</f>
        <v>315039.40617250575</v>
      </c>
      <c r="H254" s="181">
        <f>+IFERROR(IF($D254=0, VLOOKUP($C254, 'NATIONAL 2020'!$A$3:$M$40, 10, FALSE), VLOOKUP($C254, 'NFI 2020'!$C$3:$J$282, 5, FALSE)), "")</f>
        <v>64831209.083993003</v>
      </c>
      <c r="I254" s="213">
        <f>+IFERROR(IF($D254=0, VLOOKUP($C254, 'NATIONAL 2020'!$A$3:$M$40, 13, FALSE), VLOOKUP($C254, 'NFI 2020'!$C$3:$J$282, 8, FALSE)), "")</f>
        <v>79.291699480615549</v>
      </c>
      <c r="J254" s="111">
        <f>+IFERROR(IF($D254=0, VLOOKUP($C254, 'NATIONAL 2020'!$A$3:$M$40, 11, FALSE), VLOOKUP($C254, 'NFI 2020'!$C$3:$J$282, 6, FALSE)), "")</f>
        <v>48663114.918001913</v>
      </c>
      <c r="K254" s="196">
        <f>+IFERROR(IF($D254=0, VLOOKUP($C254, 'NATIONAL 2020'!$A$3:$M$40, 12, FALSE), VLOOKUP($C254, 'NFI 2020'!$C$3:$J$282, 7, FALSE)), "")</f>
        <v>16168094.165991079</v>
      </c>
      <c r="L254" s="14"/>
      <c r="M254" s="70"/>
      <c r="N254" s="70"/>
      <c r="R254" s="8"/>
      <c r="S254" s="8"/>
    </row>
    <row r="255" spans="1:19" x14ac:dyDescent="0.25">
      <c r="A255" s="26" t="s">
        <v>165</v>
      </c>
      <c r="B255" s="108" t="str">
        <f t="shared" si="11"/>
        <v>NO</v>
      </c>
      <c r="C255" s="108" t="s">
        <v>174</v>
      </c>
      <c r="D255" s="20">
        <f>+VLOOKUP(B255, 'NATIONAL 2020'!$A$3:$B$41, 2, FALSE)</f>
        <v>3</v>
      </c>
      <c r="E255" s="181">
        <f>+IFERROR(IF($D255=0, VLOOKUP($C255, 'NATIONAL 2020'!$A$3:$M$40, 7, FALSE), VLOOKUP($C255, 'NFI 2020'!$C$3:$J$282, 2, FALSE)), "")</f>
        <v>485441.66343244992</v>
      </c>
      <c r="F255" s="111">
        <f>+IFERROR(IF($D255=0, VLOOKUP($C255, 'NATIONAL 2020'!$A$3:$M$40, 8, FALSE), VLOOKUP($C255, 'NFI 2020'!$C$3:$J$282, 3, FALSE)), "")</f>
        <v>291317.07789862383</v>
      </c>
      <c r="G255" s="196">
        <f>+IFERROR(IF($D255=0, VLOOKUP($C255, 'NATIONAL 2020'!$A$3:$M$40, 9, FALSE), VLOOKUP($C255, 'NFI 2020'!$C$3:$J$282, 4, FALSE)), "")</f>
        <v>194124.58553382609</v>
      </c>
      <c r="H255" s="181">
        <f>+IFERROR(IF($D255=0, VLOOKUP($C255, 'NATIONAL 2020'!$A$3:$M$40, 10, FALSE), VLOOKUP($C255, 'NFI 2020'!$C$3:$J$282, 5, FALSE)), "")</f>
        <v>38584717.544700898</v>
      </c>
      <c r="I255" s="213">
        <f>+IFERROR(IF($D255=0, VLOOKUP($C255, 'NATIONAL 2020'!$A$3:$M$40, 13, FALSE), VLOOKUP($C255, 'NFI 2020'!$C$3:$J$282, 8, FALSE)), "")</f>
        <v>79.48373708156187</v>
      </c>
      <c r="J255" s="111">
        <f>+IFERROR(IF($D255=0, VLOOKUP($C255, 'NATIONAL 2020'!$A$3:$M$40, 11, FALSE), VLOOKUP($C255, 'NFI 2020'!$C$3:$J$282, 6, FALSE)), "")</f>
        <v>30047479.470286522</v>
      </c>
      <c r="K255" s="196">
        <f>+IFERROR(IF($D255=0, VLOOKUP($C255, 'NATIONAL 2020'!$A$3:$M$40, 12, FALSE), VLOOKUP($C255, 'NFI 2020'!$C$3:$J$282, 7, FALSE)), "")</f>
        <v>8537238.0744143743</v>
      </c>
      <c r="L255" s="14"/>
      <c r="M255" s="70"/>
      <c r="N255" s="70"/>
      <c r="R255" s="8"/>
      <c r="S255" s="8"/>
    </row>
    <row r="256" spans="1:19" x14ac:dyDescent="0.25">
      <c r="A256" s="26" t="s">
        <v>165</v>
      </c>
      <c r="B256" s="108" t="str">
        <f t="shared" si="11"/>
        <v>NO</v>
      </c>
      <c r="C256" s="108" t="s">
        <v>175</v>
      </c>
      <c r="D256" s="20">
        <f>+VLOOKUP(B256, 'NATIONAL 2020'!$A$3:$B$41, 2, FALSE)</f>
        <v>3</v>
      </c>
      <c r="E256" s="181">
        <f>+IFERROR(IF($D256=0, VLOOKUP($C256, 'NATIONAL 2020'!$A$3:$M$40, 7, FALSE), VLOOKUP($C256, 'NFI 2020'!$C$3:$J$282, 2, FALSE)), "")</f>
        <v>404607.75271377998</v>
      </c>
      <c r="F256" s="111">
        <f>+IFERROR(IF($D256=0, VLOOKUP($C256, 'NATIONAL 2020'!$A$3:$M$40, 8, FALSE), VLOOKUP($C256, 'NFI 2020'!$C$3:$J$282, 3, FALSE)), "")</f>
        <v>250289.9904006767</v>
      </c>
      <c r="G256" s="196">
        <f>+IFERROR(IF($D256=0, VLOOKUP($C256, 'NATIONAL 2020'!$A$3:$M$40, 9, FALSE), VLOOKUP($C256, 'NFI 2020'!$C$3:$J$282, 4, FALSE)), "")</f>
        <v>154317.76231310327</v>
      </c>
      <c r="H256" s="181">
        <f>+IFERROR(IF($D256=0, VLOOKUP($C256, 'NATIONAL 2020'!$A$3:$M$40, 10, FALSE), VLOOKUP($C256, 'NFI 2020'!$C$3:$J$282, 5, FALSE)), "")</f>
        <v>33884597.176939309</v>
      </c>
      <c r="I256" s="213">
        <f>+IFERROR(IF($D256=0, VLOOKUP($C256, 'NATIONAL 2020'!$A$3:$M$40, 13, FALSE), VLOOKUP($C256, 'NFI 2020'!$C$3:$J$282, 8, FALSE)), "")</f>
        <v>83.74678178969377</v>
      </c>
      <c r="J256" s="111">
        <f>+IFERROR(IF($D256=0, VLOOKUP($C256, 'NATIONAL 2020'!$A$3:$M$40, 11, FALSE), VLOOKUP($C256, 'NFI 2020'!$C$3:$J$282, 6, FALSE)), "")</f>
        <v>27193079.379689723</v>
      </c>
      <c r="K256" s="196">
        <f>+IFERROR(IF($D256=0, VLOOKUP($C256, 'NATIONAL 2020'!$A$3:$M$40, 12, FALSE), VLOOKUP($C256, 'NFI 2020'!$C$3:$J$282, 7, FALSE)), "")</f>
        <v>6691517.7972495873</v>
      </c>
      <c r="L256" s="14"/>
      <c r="M256" s="70"/>
      <c r="N256" s="70"/>
      <c r="R256" s="8"/>
      <c r="S256" s="8"/>
    </row>
    <row r="257" spans="1:19" x14ac:dyDescent="0.25">
      <c r="A257" s="26" t="s">
        <v>165</v>
      </c>
      <c r="B257" s="108" t="str">
        <f t="shared" si="11"/>
        <v>NO</v>
      </c>
      <c r="C257" s="108" t="s">
        <v>176</v>
      </c>
      <c r="D257" s="20">
        <f>+VLOOKUP(B257, 'NATIONAL 2020'!$A$3:$B$41, 2, FALSE)</f>
        <v>3</v>
      </c>
      <c r="E257" s="181">
        <f>+IFERROR(IF($D257=0, VLOOKUP($C257, 'NATIONAL 2020'!$A$3:$M$40, 7, FALSE), VLOOKUP($C257, 'NFI 2020'!$C$3:$J$282, 2, FALSE)), "")</f>
        <v>258421.86243426346</v>
      </c>
      <c r="F257" s="111">
        <f>+IFERROR(IF($D257=0, VLOOKUP($C257, 'NATIONAL 2020'!$A$3:$M$40, 8, FALSE), VLOOKUP($C257, 'NFI 2020'!$C$3:$J$282, 3, FALSE)), "")</f>
        <v>136644.0121358438</v>
      </c>
      <c r="G257" s="196">
        <f>+IFERROR(IF($D257=0, VLOOKUP($C257, 'NATIONAL 2020'!$A$3:$M$40, 9, FALSE), VLOOKUP($C257, 'NFI 2020'!$C$3:$J$282, 4, FALSE)), "")</f>
        <v>121777.85029841967</v>
      </c>
      <c r="H257" s="181">
        <f>+IFERROR(IF($D257=0, VLOOKUP($C257, 'NATIONAL 2020'!$A$3:$M$40, 10, FALSE), VLOOKUP($C257, 'NFI 2020'!$C$3:$J$282, 5, FALSE)), "")</f>
        <v>20119826.031841729</v>
      </c>
      <c r="I257" s="213">
        <f>+IFERROR(IF($D257=0, VLOOKUP($C257, 'NATIONAL 2020'!$A$3:$M$40, 13, FALSE), VLOOKUP($C257, 'NFI 2020'!$C$3:$J$282, 8, FALSE)), "")</f>
        <v>77.856516636473614</v>
      </c>
      <c r="J257" s="111">
        <f>+IFERROR(IF($D257=0, VLOOKUP($C257, 'NATIONAL 2020'!$A$3:$M$40, 11, FALSE), VLOOKUP($C257, 'NFI 2020'!$C$3:$J$282, 6, FALSE)), "")</f>
        <v>14251978.178997373</v>
      </c>
      <c r="K257" s="196">
        <f>+IFERROR(IF($D257=0, VLOOKUP($C257, 'NATIONAL 2020'!$A$3:$M$40, 12, FALSE), VLOOKUP($C257, 'NFI 2020'!$C$3:$J$282, 7, FALSE)), "")</f>
        <v>5867847.8528443566</v>
      </c>
      <c r="L257" s="14"/>
      <c r="M257" s="70"/>
      <c r="N257" s="70"/>
      <c r="O257" s="5"/>
      <c r="R257" s="8"/>
      <c r="S257" s="8"/>
    </row>
    <row r="258" spans="1:19" x14ac:dyDescent="0.25">
      <c r="A258" s="26" t="s">
        <v>165</v>
      </c>
      <c r="B258" s="108" t="str">
        <f t="shared" si="11"/>
        <v>NO</v>
      </c>
      <c r="C258" s="108" t="s">
        <v>177</v>
      </c>
      <c r="D258" s="20">
        <f>+VLOOKUP(B258, 'NATIONAL 2020'!$A$3:$B$41, 2, FALSE)</f>
        <v>3</v>
      </c>
      <c r="E258" s="181">
        <f>+IFERROR(IF($D258=0, VLOOKUP($C258, 'NATIONAL 2020'!$A$3:$M$40, 7, FALSE), VLOOKUP($C258, 'NFI 2020'!$C$3:$J$282, 2, FALSE)), "")</f>
        <v>451636.72890071385</v>
      </c>
      <c r="F258" s="111">
        <f>+IFERROR(IF($D258=0, VLOOKUP($C258, 'NATIONAL 2020'!$A$3:$M$40, 8, FALSE), VLOOKUP($C258, 'NFI 2020'!$C$3:$J$282, 3, FALSE)), "")</f>
        <v>227722.50874392374</v>
      </c>
      <c r="G258" s="196">
        <f>+IFERROR(IF($D258=0, VLOOKUP($C258, 'NATIONAL 2020'!$A$3:$M$40, 9, FALSE), VLOOKUP($C258, 'NFI 2020'!$C$3:$J$282, 4, FALSE)), "")</f>
        <v>223914.22015679014</v>
      </c>
      <c r="H258" s="181">
        <f>+IFERROR(IF($D258=0, VLOOKUP($C258, 'NATIONAL 2020'!$A$3:$M$40, 10, FALSE), VLOOKUP($C258, 'NFI 2020'!$C$3:$J$282, 5, FALSE)), "")</f>
        <v>35076371.390095606</v>
      </c>
      <c r="I258" s="213">
        <f>+IFERROR(IF($D258=0, VLOOKUP($C258, 'NATIONAL 2020'!$A$3:$M$40, 13, FALSE), VLOOKUP($C258, 'NFI 2020'!$C$3:$J$282, 8, FALSE)), "")</f>
        <v>77.66501071662546</v>
      </c>
      <c r="J258" s="111">
        <f>+IFERROR(IF($D258=0, VLOOKUP($C258, 'NATIONAL 2020'!$A$3:$M$40, 11, FALSE), VLOOKUP($C258, 'NFI 2020'!$C$3:$J$282, 6, FALSE)), "")</f>
        <v>25228925.55170038</v>
      </c>
      <c r="K258" s="196">
        <f>+IFERROR(IF($D258=0, VLOOKUP($C258, 'NATIONAL 2020'!$A$3:$M$40, 12, FALSE), VLOOKUP($C258, 'NFI 2020'!$C$3:$J$282, 7, FALSE)), "")</f>
        <v>9847445.8383952249</v>
      </c>
      <c r="L258" s="14"/>
      <c r="M258" s="70"/>
      <c r="N258" s="70"/>
      <c r="R258" s="8"/>
      <c r="S258" s="8"/>
    </row>
    <row r="259" spans="1:19" x14ac:dyDescent="0.25">
      <c r="A259" s="26" t="s">
        <v>165</v>
      </c>
      <c r="B259" s="108" t="str">
        <f t="shared" si="11"/>
        <v>NO</v>
      </c>
      <c r="C259" s="108" t="s">
        <v>178</v>
      </c>
      <c r="D259" s="20">
        <f>+VLOOKUP(B259, 'NATIONAL 2020'!$A$3:$B$41, 2, FALSE)</f>
        <v>3</v>
      </c>
      <c r="E259" s="181">
        <f>+IFERROR(IF($D259=0, VLOOKUP($C259, 'NATIONAL 2020'!$A$3:$M$40, 7, FALSE), VLOOKUP($C259, 'NFI 2020'!$C$3:$J$282, 2, FALSE)), "")</f>
        <v>432777.67102591123</v>
      </c>
      <c r="F259" s="111">
        <f>+IFERROR(IF($D259=0, VLOOKUP($C259, 'NATIONAL 2020'!$A$3:$M$40, 8, FALSE), VLOOKUP($C259, 'NFI 2020'!$C$3:$J$282, 3, FALSE)), "")</f>
        <v>240510.11039672029</v>
      </c>
      <c r="G259" s="196">
        <f>+IFERROR(IF($D259=0, VLOOKUP($C259, 'NATIONAL 2020'!$A$3:$M$40, 9, FALSE), VLOOKUP($C259, 'NFI 2020'!$C$3:$J$282, 4, FALSE)), "")</f>
        <v>192267.56062919094</v>
      </c>
      <c r="H259" s="181">
        <f>+IFERROR(IF($D259=0, VLOOKUP($C259, 'NATIONAL 2020'!$A$3:$M$40, 10, FALSE), VLOOKUP($C259, 'NFI 2020'!$C$3:$J$282, 5, FALSE)), "")</f>
        <v>31172792.837227721</v>
      </c>
      <c r="I259" s="213">
        <f>+IFERROR(IF($D259=0, VLOOKUP($C259, 'NATIONAL 2020'!$A$3:$M$40, 13, FALSE), VLOOKUP($C259, 'NFI 2020'!$C$3:$J$282, 8, FALSE)), "")</f>
        <v>72.029577596579244</v>
      </c>
      <c r="J259" s="111">
        <f>+IFERROR(IF($D259=0, VLOOKUP($C259, 'NATIONAL 2020'!$A$3:$M$40, 11, FALSE), VLOOKUP($C259, 'NFI 2020'!$C$3:$J$282, 6, FALSE)), "")</f>
        <v>22018427.137009248</v>
      </c>
      <c r="K259" s="196">
        <f>+IFERROR(IF($D259=0, VLOOKUP($C259, 'NATIONAL 2020'!$A$3:$M$40, 12, FALSE), VLOOKUP($C259, 'NFI 2020'!$C$3:$J$282, 7, FALSE)), "")</f>
        <v>9154365.7002184745</v>
      </c>
      <c r="L259" s="14"/>
      <c r="M259" s="70"/>
      <c r="N259" s="70"/>
      <c r="R259" s="8"/>
      <c r="S259" s="8"/>
    </row>
    <row r="260" spans="1:19" x14ac:dyDescent="0.25">
      <c r="A260" s="26" t="s">
        <v>165</v>
      </c>
      <c r="B260" s="108" t="str">
        <f t="shared" si="11"/>
        <v>NO</v>
      </c>
      <c r="C260" s="108" t="s">
        <v>179</v>
      </c>
      <c r="D260" s="20">
        <f>+VLOOKUP(B260, 'NATIONAL 2020'!$A$3:$B$41, 2, FALSE)</f>
        <v>3</v>
      </c>
      <c r="E260" s="181">
        <f>+IFERROR(IF($D260=0, VLOOKUP($C260, 'NATIONAL 2020'!$A$3:$M$40, 7, FALSE), VLOOKUP($C260, 'NFI 2020'!$C$3:$J$282, 2, FALSE)), "")</f>
        <v>450267.02540535573</v>
      </c>
      <c r="F260" s="111">
        <f>+IFERROR(IF($D260=0, VLOOKUP($C260, 'NATIONAL 2020'!$A$3:$M$40, 8, FALSE), VLOOKUP($C260, 'NFI 2020'!$C$3:$J$282, 3, FALSE)), "")</f>
        <v>304069.12968225195</v>
      </c>
      <c r="G260" s="196">
        <f>+IFERROR(IF($D260=0, VLOOKUP($C260, 'NATIONAL 2020'!$A$3:$M$40, 9, FALSE), VLOOKUP($C260, 'NFI 2020'!$C$3:$J$282, 4, FALSE)), "")</f>
        <v>146197.89572310378</v>
      </c>
      <c r="H260" s="181">
        <f>+IFERROR(IF($D260=0, VLOOKUP($C260, 'NATIONAL 2020'!$A$3:$M$40, 10, FALSE), VLOOKUP($C260, 'NFI 2020'!$C$3:$J$282, 5, FALSE)), "")</f>
        <v>32643048.566421021</v>
      </c>
      <c r="I260" s="213">
        <f>+IFERROR(IF($D260=0, VLOOKUP($C260, 'NATIONAL 2020'!$A$3:$M$40, 13, FALSE), VLOOKUP($C260, 'NFI 2020'!$C$3:$J$282, 8, FALSE)), "")</f>
        <v>72.497088893049437</v>
      </c>
      <c r="J260" s="111">
        <f>+IFERROR(IF($D260=0, VLOOKUP($C260, 'NATIONAL 2020'!$A$3:$M$40, 11, FALSE), VLOOKUP($C260, 'NFI 2020'!$C$3:$J$282, 6, FALSE)), "")</f>
        <v>26998327.819634482</v>
      </c>
      <c r="K260" s="196">
        <f>+IFERROR(IF($D260=0, VLOOKUP($C260, 'NATIONAL 2020'!$A$3:$M$40, 12, FALSE), VLOOKUP($C260, 'NFI 2020'!$C$3:$J$282, 7, FALSE)), "")</f>
        <v>5644720.7467865404</v>
      </c>
      <c r="L260" s="14"/>
      <c r="M260" s="70"/>
      <c r="N260" s="70"/>
      <c r="R260" s="8"/>
      <c r="S260" s="8"/>
    </row>
    <row r="261" spans="1:19" x14ac:dyDescent="0.25">
      <c r="A261" s="26" t="s">
        <v>165</v>
      </c>
      <c r="B261" s="108" t="str">
        <f t="shared" si="11"/>
        <v>NO</v>
      </c>
      <c r="C261" s="108" t="s">
        <v>256</v>
      </c>
      <c r="D261" s="20">
        <f>+VLOOKUP(B261, 'NATIONAL 2020'!$A$3:$B$41, 2, FALSE)</f>
        <v>3</v>
      </c>
      <c r="E261" s="181">
        <f>+IFERROR(IF($D261=0, VLOOKUP($C261, 'NATIONAL 2020'!$A$3:$M$40, 7, FALSE), VLOOKUP($C261, 'NFI 2020'!$C$3:$J$282, 2, FALSE)), "")</f>
        <v>1651546.6054193529</v>
      </c>
      <c r="F261" s="111">
        <f>+IFERROR(IF($D261=0, VLOOKUP($C261, 'NATIONAL 2020'!$A$3:$M$40, 8, FALSE), VLOOKUP($C261, 'NFI 2020'!$C$3:$J$282, 3, FALSE)), "")</f>
        <v>916762.48278831539</v>
      </c>
      <c r="G261" s="196">
        <f>+IFERROR(IF($D261=0, VLOOKUP($C261, 'NATIONAL 2020'!$A$3:$M$40, 9, FALSE), VLOOKUP($C261, 'NFI 2020'!$C$3:$J$282, 4, FALSE)), "")</f>
        <v>734784.12263103749</v>
      </c>
      <c r="H261" s="181">
        <f>+IFERROR(IF($D261=0, VLOOKUP($C261, 'NATIONAL 2020'!$A$3:$M$40, 10, FALSE), VLOOKUP($C261, 'NFI 2020'!$C$3:$J$282, 5, FALSE)), "")</f>
        <v>103422810.33336949</v>
      </c>
      <c r="I261" s="213">
        <f>+IFERROR(IF($D261=0, VLOOKUP($C261, 'NATIONAL 2020'!$A$3:$M$40, 13, FALSE), VLOOKUP($C261, 'NFI 2020'!$C$3:$J$282, 8, FALSE)), "")</f>
        <v>62.621793411097151</v>
      </c>
      <c r="J261" s="111">
        <f>+IFERROR(IF($D261=0, VLOOKUP($C261, 'NATIONAL 2020'!$A$3:$M$40, 11, FALSE), VLOOKUP($C261, 'NFI 2020'!$C$3:$J$282, 6, FALSE)), "")</f>
        <v>73310866.129413277</v>
      </c>
      <c r="K261" s="196">
        <f>+IFERROR(IF($D261=0, VLOOKUP($C261, 'NATIONAL 2020'!$A$3:$M$40, 12, FALSE), VLOOKUP($C261, 'NFI 2020'!$C$3:$J$282, 7, FALSE)), "")</f>
        <v>30111944.20395622</v>
      </c>
      <c r="L261" s="14"/>
      <c r="M261" s="70"/>
      <c r="N261" s="70"/>
      <c r="R261" s="8"/>
      <c r="S261" s="8"/>
    </row>
    <row r="262" spans="1:19" x14ac:dyDescent="0.25">
      <c r="A262" s="26" t="s">
        <v>165</v>
      </c>
      <c r="B262" s="108" t="str">
        <f t="shared" si="11"/>
        <v>NO</v>
      </c>
      <c r="C262" s="108" t="s">
        <v>180</v>
      </c>
      <c r="D262" s="20">
        <f>+VLOOKUP(B262, 'NATIONAL 2020'!$A$3:$B$41, 2, FALSE)</f>
        <v>3</v>
      </c>
      <c r="E262" s="181">
        <f>+IFERROR(IF($D262=0, VLOOKUP($C262, 'NATIONAL 2020'!$A$3:$M$40, 7, FALSE), VLOOKUP($C262, 'NFI 2020'!$C$3:$J$282, 2, FALSE)), "")</f>
        <v>1161975.632607199</v>
      </c>
      <c r="F262" s="111">
        <f>+IFERROR(IF($D262=0, VLOOKUP($C262, 'NATIONAL 2020'!$A$3:$M$40, 8, FALSE), VLOOKUP($C262, 'NFI 2020'!$C$3:$J$282, 3, FALSE)), "")</f>
        <v>539405.51408698049</v>
      </c>
      <c r="G262" s="196">
        <f>+IFERROR(IF($D262=0, VLOOKUP($C262, 'NATIONAL 2020'!$A$3:$M$40, 9, FALSE), VLOOKUP($C262, 'NFI 2020'!$C$3:$J$282, 4, FALSE)), "")</f>
        <v>622570.11852021853</v>
      </c>
      <c r="H262" s="181">
        <f>+IFERROR(IF($D262=0, VLOOKUP($C262, 'NATIONAL 2020'!$A$3:$M$40, 10, FALSE), VLOOKUP($C262, 'NFI 2020'!$C$3:$J$282, 5, FALSE)), "")</f>
        <v>48177114.628471829</v>
      </c>
      <c r="I262" s="213">
        <f>+IFERROR(IF($D262=0, VLOOKUP($C262, 'NATIONAL 2020'!$A$3:$M$40, 13, FALSE), VLOOKUP($C262, 'NFI 2020'!$C$3:$J$282, 8, FALSE)), "")</f>
        <v>41.461381182644729</v>
      </c>
      <c r="J262" s="111">
        <f>+IFERROR(IF($D262=0, VLOOKUP($C262, 'NATIONAL 2020'!$A$3:$M$40, 11, FALSE), VLOOKUP($C262, 'NFI 2020'!$C$3:$J$282, 6, FALSE)), "")</f>
        <v>32261749.218197014</v>
      </c>
      <c r="K262" s="196">
        <f>+IFERROR(IF($D262=0, VLOOKUP($C262, 'NATIONAL 2020'!$A$3:$M$40, 12, FALSE), VLOOKUP($C262, 'NFI 2020'!$C$3:$J$282, 7, FALSE)), "")</f>
        <v>15915365.410274817</v>
      </c>
      <c r="L262" s="14"/>
      <c r="M262" s="70"/>
      <c r="N262" s="70"/>
      <c r="R262" s="8"/>
      <c r="S262" s="8"/>
    </row>
    <row r="263" spans="1:19" x14ac:dyDescent="0.25">
      <c r="A263" s="26" t="s">
        <v>165</v>
      </c>
      <c r="B263" s="108" t="str">
        <f t="shared" si="11"/>
        <v>NO</v>
      </c>
      <c r="C263" s="108" t="s">
        <v>181</v>
      </c>
      <c r="D263" s="20">
        <f>+VLOOKUP(B263, 'NATIONAL 2020'!$A$3:$B$41, 2, FALSE)</f>
        <v>3</v>
      </c>
      <c r="E263" s="181">
        <f>+IFERROR(IF($D263=0, VLOOKUP($C263, 'NATIONAL 2020'!$A$3:$M$40, 7, FALSE), VLOOKUP($C263, 'NFI 2020'!$C$3:$J$282, 2, FALSE)), "")</f>
        <v>751631.64688953955</v>
      </c>
      <c r="F263" s="111">
        <f>+IFERROR(IF($D263=0, VLOOKUP($C263, 'NATIONAL 2020'!$A$3:$M$40, 8, FALSE), VLOOKUP($C263, 'NFI 2020'!$C$3:$J$282, 3, FALSE)), "")</f>
        <v>353536.54991241085</v>
      </c>
      <c r="G263" s="196">
        <f>+IFERROR(IF($D263=0, VLOOKUP($C263, 'NATIONAL 2020'!$A$3:$M$40, 9, FALSE), VLOOKUP($C263, 'NFI 2020'!$C$3:$J$282, 4, FALSE)), "")</f>
        <v>398095.09697712865</v>
      </c>
      <c r="H263" s="181">
        <f>+IFERROR(IF($D263=0, VLOOKUP($C263, 'NATIONAL 2020'!$A$3:$M$40, 10, FALSE), VLOOKUP($C263, 'NFI 2020'!$C$3:$J$282, 5, FALSE)), "")</f>
        <v>24728196.578704804</v>
      </c>
      <c r="I263" s="213">
        <f>+IFERROR(IF($D263=0, VLOOKUP($C263, 'NATIONAL 2020'!$A$3:$M$40, 13, FALSE), VLOOKUP($C263, 'NFI 2020'!$C$3:$J$282, 8, FALSE)), "")</f>
        <v>32.8993552640272</v>
      </c>
      <c r="J263" s="111">
        <f>+IFERROR(IF($D263=0, VLOOKUP($C263, 'NATIONAL 2020'!$A$3:$M$40, 11, FALSE), VLOOKUP($C263, 'NFI 2020'!$C$3:$J$282, 6, FALSE)), "")</f>
        <v>16560748.051481761</v>
      </c>
      <c r="K263" s="196">
        <f>+IFERROR(IF($D263=0, VLOOKUP($C263, 'NATIONAL 2020'!$A$3:$M$40, 12, FALSE), VLOOKUP($C263, 'NFI 2020'!$C$3:$J$282, 7, FALSE)), "")</f>
        <v>8167448.5272230431</v>
      </c>
      <c r="L263" s="14"/>
      <c r="M263" s="70"/>
      <c r="N263" s="70"/>
      <c r="R263" s="8"/>
      <c r="S263" s="8"/>
    </row>
    <row r="264" spans="1:19" x14ac:dyDescent="0.25">
      <c r="A264" s="26" t="s">
        <v>165</v>
      </c>
      <c r="B264" s="108" t="str">
        <f t="shared" si="11"/>
        <v>NO</v>
      </c>
      <c r="C264" s="108" t="s">
        <v>182</v>
      </c>
      <c r="D264" s="20">
        <f>+VLOOKUP(B264, 'NATIONAL 2020'!$A$3:$B$41, 2, FALSE)</f>
        <v>3</v>
      </c>
      <c r="E264" s="181">
        <f>+IFERROR(IF($D264=0, VLOOKUP($C264, 'NATIONAL 2020'!$A$3:$M$40, 7, FALSE), VLOOKUP($C264, 'NFI 2020'!$C$3:$J$282, 2, FALSE)), "")</f>
        <v>1054284.5065396649</v>
      </c>
      <c r="F264" s="111">
        <f>+IFERROR(IF($D264=0, VLOOKUP($C264, 'NATIONAL 2020'!$A$3:$M$40, 8, FALSE), VLOOKUP($C264, 'NFI 2020'!$C$3:$J$282, 3, FALSE)), "")</f>
        <v>210682.4152836744</v>
      </c>
      <c r="G264" s="196">
        <f>+IFERROR(IF($D264=0, VLOOKUP($C264, 'NATIONAL 2020'!$A$3:$M$40, 9, FALSE), VLOOKUP($C264, 'NFI 2020'!$C$3:$J$282, 4, FALSE)), "")</f>
        <v>843602.09125599044</v>
      </c>
      <c r="H264" s="181">
        <f>+IFERROR(IF($D264=0, VLOOKUP($C264, 'NATIONAL 2020'!$A$3:$M$40, 10, FALSE), VLOOKUP($C264, 'NFI 2020'!$C$3:$J$282, 5, FALSE)), "")</f>
        <v>16667688.132083481</v>
      </c>
      <c r="I264" s="213">
        <f>+IFERROR(IF($D264=0, VLOOKUP($C264, 'NATIONAL 2020'!$A$3:$M$40, 13, FALSE), VLOOKUP($C264, 'NFI 2020'!$C$3:$J$282, 8, FALSE)), "")</f>
        <v>15.809478398567739</v>
      </c>
      <c r="J264" s="111">
        <f>+IFERROR(IF($D264=0, VLOOKUP($C264, 'NATIONAL 2020'!$A$3:$M$40, 11, FALSE), VLOOKUP($C264, 'NFI 2020'!$C$3:$J$282, 6, FALSE)), "")</f>
        <v>5527891.9222573722</v>
      </c>
      <c r="K264" s="196">
        <f>+IFERROR(IF($D264=0, VLOOKUP($C264, 'NATIONAL 2020'!$A$3:$M$40, 12, FALSE), VLOOKUP($C264, 'NFI 2020'!$C$3:$J$282, 7, FALSE)), "")</f>
        <v>11139796.209826108</v>
      </c>
      <c r="L264" s="14"/>
      <c r="M264" s="70"/>
      <c r="N264" s="70"/>
      <c r="R264" s="8"/>
      <c r="S264" s="8"/>
    </row>
    <row r="265" spans="1:19" x14ac:dyDescent="0.25">
      <c r="A265" s="26" t="s">
        <v>249</v>
      </c>
      <c r="B265" t="s">
        <v>31</v>
      </c>
      <c r="C265" t="s">
        <v>31</v>
      </c>
      <c r="D265" s="20">
        <v>0</v>
      </c>
      <c r="E265" s="181">
        <f>+IFERROR(IF($D265=0, VLOOKUP($C265, 'NATIONAL 2020'!$A$3:$M$40, 7, FALSE), VLOOKUP($C265, 'NFI 2020'!$C$3:$J$282, 2, FALSE)), "")</f>
        <v>9483000</v>
      </c>
      <c r="F265" s="111">
        <f>+IFERROR(IF($D265=0, VLOOKUP($C265, 'NATIONAL 2020'!$A$3:$M$40, 8, FALSE), VLOOKUP($C265, 'NFI 2020'!$C$3:$J$282, 3, FALSE)), "")</f>
        <v>8976660.9371550661</v>
      </c>
      <c r="G265" s="196">
        <f>+IFERROR(IF($D265=0, VLOOKUP($C265, 'NATIONAL 2020'!$A$3:$M$40, 9, FALSE), VLOOKUP($C265, 'NFI 2020'!$C$3:$J$282, 4, FALSE)), "")</f>
        <v>506339.06284493417</v>
      </c>
      <c r="H265" s="181">
        <f>+IFERROR(IF($D265=0, VLOOKUP($C265, 'NATIONAL 2020'!$A$3:$M$40, 10, FALSE), VLOOKUP($C265, 'NFI 2020'!$C$3:$J$282, 5, FALSE)), "")</f>
        <v>1725120378.9946263</v>
      </c>
      <c r="I265" s="213">
        <f>+IFERROR(IF($D265=0, VLOOKUP($C265, 'NATIONAL 2020'!$A$3:$M$40, 13, FALSE), VLOOKUP($C265, 'NFI 2020'!$C$3:$J$282, 8, FALSE)), "")</f>
        <v>181.91715480276562</v>
      </c>
      <c r="J265" s="111">
        <f>+IFERROR(IF($D265=0, VLOOKUP($C265, 'NATIONAL 2020'!$A$3:$M$40, 11, FALSE), VLOOKUP($C265, 'NFI 2020'!$C$3:$J$282, 6, FALSE)), "")</f>
        <v>1618239310.6714005</v>
      </c>
      <c r="K265" s="196">
        <f>+IFERROR(IF($D265=0, VLOOKUP($C265, 'NATIONAL 2020'!$A$3:$M$40, 12, FALSE), VLOOKUP($C265, 'NFI 2020'!$C$3:$J$282, 7, FALSE)), "")</f>
        <v>106881068.32322529</v>
      </c>
      <c r="L265" s="14"/>
      <c r="M265" s="70"/>
      <c r="N265" s="70"/>
      <c r="O265" s="5"/>
      <c r="R265" s="8"/>
      <c r="S265" s="8"/>
    </row>
    <row r="266" spans="1:19" x14ac:dyDescent="0.25">
      <c r="A266" s="26" t="s">
        <v>249</v>
      </c>
      <c r="B266" s="108" t="str">
        <f t="shared" ref="B266:B281" si="12">+LEFT(C266, 2)</f>
        <v>PL</v>
      </c>
      <c r="C266" s="108" t="s">
        <v>183</v>
      </c>
      <c r="D266" s="20">
        <f>+VLOOKUP(B266, 'NATIONAL 2020'!$A$3:$B$41, 2, FALSE)</f>
        <v>2</v>
      </c>
      <c r="E266" s="181">
        <f>+IFERROR(IF($D266=0, VLOOKUP($C266, 'NATIONAL 2020'!$A$3:$M$40, 7, FALSE), VLOOKUP($C266, 'NFI 2020'!$C$3:$J$282, 2, FALSE)), "")</f>
        <v>400413.50149223191</v>
      </c>
      <c r="F266" s="111">
        <f>+IFERROR(IF($D266=0, VLOOKUP($C266, 'NATIONAL 2020'!$A$3:$M$40, 8, FALSE), VLOOKUP($C266, 'NFI 2020'!$C$3:$J$282, 3, FALSE)), "")</f>
        <v>392238.06832755369</v>
      </c>
      <c r="G266" s="196">
        <f>+IFERROR(IF($D266=0, VLOOKUP($C266, 'NATIONAL 2020'!$A$3:$M$40, 9, FALSE), VLOOKUP($C266, 'NFI 2020'!$C$3:$J$282, 4, FALSE)), "")</f>
        <v>8175.4331646782339</v>
      </c>
      <c r="H266" s="181">
        <f>+IFERROR(IF($D266=0, VLOOKUP($C266, 'NATIONAL 2020'!$A$3:$M$40, 10, FALSE), VLOOKUP($C266, 'NFI 2020'!$C$3:$J$282, 5, FALSE)), "")</f>
        <v>70069994.2371241</v>
      </c>
      <c r="I266" s="213">
        <f>+IFERROR(IF($D266=0, VLOOKUP($C266, 'NATIONAL 2020'!$A$3:$M$40, 13, FALSE), VLOOKUP($C266, 'NFI 2020'!$C$3:$J$282, 8, FALSE)), "")</f>
        <v>174.99408480481389</v>
      </c>
      <c r="J266" s="111">
        <f>+IFERROR(IF($D266=0, VLOOKUP($C266, 'NATIONAL 2020'!$A$3:$M$40, 11, FALSE), VLOOKUP($C266, 'NFI 2020'!$C$3:$J$282, 6, FALSE)), "")</f>
        <v>68040673.247886598</v>
      </c>
      <c r="K266" s="196">
        <f>+IFERROR(IF($D266=0, VLOOKUP($C266, 'NATIONAL 2020'!$A$3:$M$40, 12, FALSE), VLOOKUP($C266, 'NFI 2020'!$C$3:$J$282, 7, FALSE)), "")</f>
        <v>2029320.9892374969</v>
      </c>
      <c r="L266" s="14"/>
      <c r="M266" s="70"/>
      <c r="N266" s="70"/>
      <c r="R266" s="8"/>
      <c r="S266" s="8"/>
    </row>
    <row r="267" spans="1:19" x14ac:dyDescent="0.25">
      <c r="A267" s="26" t="s">
        <v>249</v>
      </c>
      <c r="B267" s="108" t="str">
        <f t="shared" si="12"/>
        <v>PL</v>
      </c>
      <c r="C267" s="108" t="s">
        <v>184</v>
      </c>
      <c r="D267" s="20">
        <f>+VLOOKUP(B267, 'NATIONAL 2020'!$A$3:$B$41, 2, FALSE)</f>
        <v>2</v>
      </c>
      <c r="E267" s="181">
        <f>+IFERROR(IF($D267=0, VLOOKUP($C267, 'NATIONAL 2020'!$A$3:$M$40, 7, FALSE), VLOOKUP($C267, 'NFI 2020'!$C$3:$J$282, 2, FALSE)), "")</f>
        <v>844626.44372849085</v>
      </c>
      <c r="F267" s="111">
        <f>+IFERROR(IF($D267=0, VLOOKUP($C267, 'NATIONAL 2020'!$A$3:$M$40, 8, FALSE), VLOOKUP($C267, 'NFI 2020'!$C$3:$J$282, 3, FALSE)), "")</f>
        <v>805419.93474874622</v>
      </c>
      <c r="G267" s="196">
        <f>+IFERROR(IF($D267=0, VLOOKUP($C267, 'NATIONAL 2020'!$A$3:$M$40, 9, FALSE), VLOOKUP($C267, 'NFI 2020'!$C$3:$J$282, 4, FALSE)), "")</f>
        <v>39206.5089797447</v>
      </c>
      <c r="H267" s="181">
        <f>+IFERROR(IF($D267=0, VLOOKUP($C267, 'NATIONAL 2020'!$A$3:$M$40, 10, FALSE), VLOOKUP($C267, 'NFI 2020'!$C$3:$J$282, 5, FALSE)), "")</f>
        <v>148177761.6457459</v>
      </c>
      <c r="I267" s="213">
        <f>+IFERROR(IF($D267=0, VLOOKUP($C267, 'NATIONAL 2020'!$A$3:$M$40, 13, FALSE), VLOOKUP($C267, 'NFI 2020'!$C$3:$J$282, 8, FALSE)), "")</f>
        <v>175.43585421223011</v>
      </c>
      <c r="J267" s="111">
        <f>+IFERROR(IF($D267=0, VLOOKUP($C267, 'NATIONAL 2020'!$A$3:$M$40, 11, FALSE), VLOOKUP($C267, 'NFI 2020'!$C$3:$J$282, 6, FALSE)), "")</f>
        <v>140444801.97559676</v>
      </c>
      <c r="K267" s="196">
        <f>+IFERROR(IF($D267=0, VLOOKUP($C267, 'NATIONAL 2020'!$A$3:$M$40, 12, FALSE), VLOOKUP($C267, 'NFI 2020'!$C$3:$J$282, 7, FALSE)), "")</f>
        <v>7732959.6701491317</v>
      </c>
      <c r="L267" s="14"/>
      <c r="M267" s="70"/>
      <c r="N267" s="70"/>
      <c r="R267" s="8"/>
      <c r="S267" s="8"/>
    </row>
    <row r="268" spans="1:19" x14ac:dyDescent="0.25">
      <c r="A268" s="26" t="s">
        <v>249</v>
      </c>
      <c r="B268" s="108" t="str">
        <f t="shared" si="12"/>
        <v>PL</v>
      </c>
      <c r="C268" s="108" t="s">
        <v>185</v>
      </c>
      <c r="D268" s="20">
        <f>+VLOOKUP(B268, 'NATIONAL 2020'!$A$3:$B$41, 2, FALSE)</f>
        <v>2</v>
      </c>
      <c r="E268" s="181">
        <f>+IFERROR(IF($D268=0, VLOOKUP($C268, 'NATIONAL 2020'!$A$3:$M$40, 7, FALSE), VLOOKUP($C268, 'NFI 2020'!$C$3:$J$282, 2, FALSE)), "")</f>
        <v>449364.0548912941</v>
      </c>
      <c r="F268" s="111">
        <f>+IFERROR(IF($D268=0, VLOOKUP($C268, 'NATIONAL 2020'!$A$3:$M$40, 8, FALSE), VLOOKUP($C268, 'NFI 2020'!$C$3:$J$282, 3, FALSE)), "")</f>
        <v>418894.86504829518</v>
      </c>
      <c r="G268" s="196">
        <f>+IFERROR(IF($D268=0, VLOOKUP($C268, 'NATIONAL 2020'!$A$3:$M$40, 9, FALSE), VLOOKUP($C268, 'NFI 2020'!$C$3:$J$282, 4, FALSE)), "")</f>
        <v>30469.189842998894</v>
      </c>
      <c r="H268" s="181">
        <f>+IFERROR(IF($D268=0, VLOOKUP($C268, 'NATIONAL 2020'!$A$3:$M$40, 10, FALSE), VLOOKUP($C268, 'NFI 2020'!$C$3:$J$282, 5, FALSE)), "")</f>
        <v>89862481.415981516</v>
      </c>
      <c r="I268" s="213">
        <f>+IFERROR(IF($D268=0, VLOOKUP($C268, 'NATIONAL 2020'!$A$3:$M$40, 13, FALSE), VLOOKUP($C268, 'NFI 2020'!$C$3:$J$282, 8, FALSE)), "")</f>
        <v>199.97701293157547</v>
      </c>
      <c r="J268" s="111">
        <f>+IFERROR(IF($D268=0, VLOOKUP($C268, 'NATIONAL 2020'!$A$3:$M$40, 11, FALSE), VLOOKUP($C268, 'NFI 2020'!$C$3:$J$282, 6, FALSE)), "")</f>
        <v>82511362.916253403</v>
      </c>
      <c r="K268" s="196">
        <f>+IFERROR(IF($D268=0, VLOOKUP($C268, 'NATIONAL 2020'!$A$3:$M$40, 12, FALSE), VLOOKUP($C268, 'NFI 2020'!$C$3:$J$282, 7, FALSE)), "")</f>
        <v>7351118.4997281106</v>
      </c>
      <c r="L268" s="14"/>
      <c r="M268" s="70"/>
      <c r="N268" s="70"/>
      <c r="R268" s="8"/>
      <c r="S268" s="8"/>
    </row>
    <row r="269" spans="1:19" x14ac:dyDescent="0.25">
      <c r="A269" s="26" t="s">
        <v>249</v>
      </c>
      <c r="B269" s="108" t="str">
        <f t="shared" si="12"/>
        <v>PL</v>
      </c>
      <c r="C269" s="108" t="s">
        <v>186</v>
      </c>
      <c r="D269" s="20">
        <f>+VLOOKUP(B269, 'NATIONAL 2020'!$A$3:$B$41, 2, FALSE)</f>
        <v>2</v>
      </c>
      <c r="E269" s="181">
        <f>+IFERROR(IF($D269=0, VLOOKUP($C269, 'NATIONAL 2020'!$A$3:$M$40, 7, FALSE), VLOOKUP($C269, 'NFI 2020'!$C$3:$J$282, 2, FALSE)), "")</f>
        <v>406054.40901155723</v>
      </c>
      <c r="F269" s="111">
        <f>+IFERROR(IF($D269=0, VLOOKUP($C269, 'NATIONAL 2020'!$A$3:$M$40, 8, FALSE), VLOOKUP($C269, 'NFI 2020'!$C$3:$J$282, 3, FALSE)), "")</f>
        <v>399167.84743415058</v>
      </c>
      <c r="G269" s="196">
        <f>+IFERROR(IF($D269=0, VLOOKUP($C269, 'NATIONAL 2020'!$A$3:$M$40, 9, FALSE), VLOOKUP($C269, 'NFI 2020'!$C$3:$J$282, 4, FALSE)), "")</f>
        <v>6886.5615774066437</v>
      </c>
      <c r="H269" s="181">
        <f>+IFERROR(IF($D269=0, VLOOKUP($C269, 'NATIONAL 2020'!$A$3:$M$40, 10, FALSE), VLOOKUP($C269, 'NFI 2020'!$C$3:$J$282, 5, FALSE)), "")</f>
        <v>73514131.448127821</v>
      </c>
      <c r="I269" s="213">
        <f>+IFERROR(IF($D269=0, VLOOKUP($C269, 'NATIONAL 2020'!$A$3:$M$40, 13, FALSE), VLOOKUP($C269, 'NFI 2020'!$C$3:$J$282, 8, FALSE)), "")</f>
        <v>181.0450270127111</v>
      </c>
      <c r="J269" s="111">
        <f>+IFERROR(IF($D269=0, VLOOKUP($C269, 'NATIONAL 2020'!$A$3:$M$40, 11, FALSE), VLOOKUP($C269, 'NFI 2020'!$C$3:$J$282, 6, FALSE)), "")</f>
        <v>71945464.833483472</v>
      </c>
      <c r="K269" s="196">
        <f>+IFERROR(IF($D269=0, VLOOKUP($C269, 'NATIONAL 2020'!$A$3:$M$40, 12, FALSE), VLOOKUP($C269, 'NFI 2020'!$C$3:$J$282, 7, FALSE)), "")</f>
        <v>1568666.6146443442</v>
      </c>
      <c r="L269" s="14"/>
      <c r="M269" s="70"/>
      <c r="N269" s="70"/>
      <c r="R269" s="8"/>
      <c r="S269" s="8"/>
    </row>
    <row r="270" spans="1:19" x14ac:dyDescent="0.25">
      <c r="A270" s="26" t="s">
        <v>249</v>
      </c>
      <c r="B270" s="108" t="str">
        <f t="shared" si="12"/>
        <v>PL</v>
      </c>
      <c r="C270" s="108" t="s">
        <v>187</v>
      </c>
      <c r="D270" s="20">
        <f>+VLOOKUP(B270, 'NATIONAL 2020'!$A$3:$B$41, 2, FALSE)</f>
        <v>2</v>
      </c>
      <c r="E270" s="181">
        <f>+IFERROR(IF($D270=0, VLOOKUP($C270, 'NATIONAL 2020'!$A$3:$M$40, 7, FALSE), VLOOKUP($C270, 'NFI 2020'!$C$3:$J$282, 2, FALSE)), "")</f>
        <v>598676.05595741526</v>
      </c>
      <c r="F270" s="111">
        <f>+IFERROR(IF($D270=0, VLOOKUP($C270, 'NATIONAL 2020'!$A$3:$M$40, 8, FALSE), VLOOKUP($C270, 'NFI 2020'!$C$3:$J$282, 3, FALSE)), "")</f>
        <v>567321.20643258875</v>
      </c>
      <c r="G270" s="196">
        <f>+IFERROR(IF($D270=0, VLOOKUP($C270, 'NATIONAL 2020'!$A$3:$M$40, 9, FALSE), VLOOKUP($C270, 'NFI 2020'!$C$3:$J$282, 4, FALSE)), "")</f>
        <v>31354.849524826568</v>
      </c>
      <c r="H270" s="181">
        <f>+IFERROR(IF($D270=0, VLOOKUP($C270, 'NATIONAL 2020'!$A$3:$M$40, 10, FALSE), VLOOKUP($C270, 'NFI 2020'!$C$3:$J$282, 5, FALSE)), "")</f>
        <v>105872001.91586065</v>
      </c>
      <c r="I270" s="213">
        <f>+IFERROR(IF($D270=0, VLOOKUP($C270, 'NATIONAL 2020'!$A$3:$M$40, 13, FALSE), VLOOKUP($C270, 'NFI 2020'!$C$3:$J$282, 8, FALSE)), "")</f>
        <v>176.84355481120409</v>
      </c>
      <c r="J270" s="111">
        <f>+IFERROR(IF($D270=0, VLOOKUP($C270, 'NATIONAL 2020'!$A$3:$M$40, 11, FALSE), VLOOKUP($C270, 'NFI 2020'!$C$3:$J$282, 6, FALSE)), "")</f>
        <v>99211611.941688865</v>
      </c>
      <c r="K270" s="196">
        <f>+IFERROR(IF($D270=0, VLOOKUP($C270, 'NATIONAL 2020'!$A$3:$M$40, 12, FALSE), VLOOKUP($C270, 'NFI 2020'!$C$3:$J$282, 7, FALSE)), "")</f>
        <v>6660389.9741717754</v>
      </c>
      <c r="L270" s="14"/>
      <c r="M270" s="70"/>
      <c r="N270" s="70"/>
      <c r="R270" s="8"/>
      <c r="S270" s="8"/>
    </row>
    <row r="271" spans="1:19" x14ac:dyDescent="0.25">
      <c r="A271" s="26" t="s">
        <v>249</v>
      </c>
      <c r="B271" s="108" t="str">
        <f t="shared" si="12"/>
        <v>PL</v>
      </c>
      <c r="C271" s="108" t="s">
        <v>188</v>
      </c>
      <c r="D271" s="20">
        <f>+VLOOKUP(B271, 'NATIONAL 2020'!$A$3:$B$41, 2, FALSE)</f>
        <v>2</v>
      </c>
      <c r="E271" s="181">
        <f>+IFERROR(IF($D271=0, VLOOKUP($C271, 'NATIONAL 2020'!$A$3:$M$40, 7, FALSE), VLOOKUP($C271, 'NFI 2020'!$C$3:$J$282, 2, FALSE)), "")</f>
        <v>698146.77963076509</v>
      </c>
      <c r="F271" s="111">
        <f>+IFERROR(IF($D271=0, VLOOKUP($C271, 'NATIONAL 2020'!$A$3:$M$40, 8, FALSE), VLOOKUP($C271, 'NFI 2020'!$C$3:$J$282, 3, FALSE)), "")</f>
        <v>631055.16616506118</v>
      </c>
      <c r="G271" s="196">
        <f>+IFERROR(IF($D271=0, VLOOKUP($C271, 'NATIONAL 2020'!$A$3:$M$40, 9, FALSE), VLOOKUP($C271, 'NFI 2020'!$C$3:$J$282, 4, FALSE)), "")</f>
        <v>67091.613465703806</v>
      </c>
      <c r="H271" s="181">
        <f>+IFERROR(IF($D271=0, VLOOKUP($C271, 'NATIONAL 2020'!$A$3:$M$40, 10, FALSE), VLOOKUP($C271, 'NFI 2020'!$C$3:$J$282, 5, FALSE)), "")</f>
        <v>144546001.63166711</v>
      </c>
      <c r="I271" s="213">
        <f>+IFERROR(IF($D271=0, VLOOKUP($C271, 'NATIONAL 2020'!$A$3:$M$40, 13, FALSE), VLOOKUP($C271, 'NFI 2020'!$C$3:$J$282, 8, FALSE)), "")</f>
        <v>207.04242409900451</v>
      </c>
      <c r="J271" s="111">
        <f>+IFERROR(IF($D271=0, VLOOKUP($C271, 'NATIONAL 2020'!$A$3:$M$40, 11, FALSE), VLOOKUP($C271, 'NFI 2020'!$C$3:$J$282, 6, FALSE)), "")</f>
        <v>127077894.1779788</v>
      </c>
      <c r="K271" s="196">
        <f>+IFERROR(IF($D271=0, VLOOKUP($C271, 'NATIONAL 2020'!$A$3:$M$40, 12, FALSE), VLOOKUP($C271, 'NFI 2020'!$C$3:$J$282, 7, FALSE)), "")</f>
        <v>17468107.453688305</v>
      </c>
      <c r="L271" s="14"/>
      <c r="M271" s="70"/>
      <c r="N271" s="70"/>
      <c r="R271" s="8"/>
      <c r="S271" s="8"/>
    </row>
    <row r="272" spans="1:19" x14ac:dyDescent="0.25">
      <c r="A272" s="26" t="s">
        <v>249</v>
      </c>
      <c r="B272" s="108" t="str">
        <f t="shared" si="12"/>
        <v>PL</v>
      </c>
      <c r="C272" s="108" t="s">
        <v>189</v>
      </c>
      <c r="D272" s="20">
        <f>+VLOOKUP(B272, 'NATIONAL 2020'!$A$3:$B$41, 2, FALSE)</f>
        <v>2</v>
      </c>
      <c r="E272" s="181">
        <f>+IFERROR(IF($D272=0, VLOOKUP($C272, 'NATIONAL 2020'!$A$3:$M$40, 7, FALSE), VLOOKUP($C272, 'NFI 2020'!$C$3:$J$282, 2, FALSE)), "")</f>
        <v>340431.19709915656</v>
      </c>
      <c r="F272" s="111">
        <f>+IFERROR(IF($D272=0, VLOOKUP($C272, 'NATIONAL 2020'!$A$3:$M$40, 8, FALSE), VLOOKUP($C272, 'NFI 2020'!$C$3:$J$282, 3, FALSE)), "")</f>
        <v>329497.8331519604</v>
      </c>
      <c r="G272" s="196">
        <f>+IFERROR(IF($D272=0, VLOOKUP($C272, 'NATIONAL 2020'!$A$3:$M$40, 9, FALSE), VLOOKUP($C272, 'NFI 2020'!$C$3:$J$282, 4, FALSE)), "")</f>
        <v>10933.363947196201</v>
      </c>
      <c r="H272" s="181">
        <f>+IFERROR(IF($D272=0, VLOOKUP($C272, 'NATIONAL 2020'!$A$3:$M$40, 10, FALSE), VLOOKUP($C272, 'NFI 2020'!$C$3:$J$282, 5, FALSE)), "")</f>
        <v>57540610.510229982</v>
      </c>
      <c r="I272" s="213">
        <f>+IFERROR(IF($D272=0, VLOOKUP($C272, 'NATIONAL 2020'!$A$3:$M$40, 13, FALSE), VLOOKUP($C272, 'NFI 2020'!$C$3:$J$282, 8, FALSE)), "")</f>
        <v>169.02273058561747</v>
      </c>
      <c r="J272" s="111">
        <f>+IFERROR(IF($D272=0, VLOOKUP($C272, 'NATIONAL 2020'!$A$3:$M$40, 11, FALSE), VLOOKUP($C272, 'NFI 2020'!$C$3:$J$282, 6, FALSE)), "")</f>
        <v>54603228.090600379</v>
      </c>
      <c r="K272" s="196">
        <f>+IFERROR(IF($D272=0, VLOOKUP($C272, 'NATIONAL 2020'!$A$3:$M$40, 12, FALSE), VLOOKUP($C272, 'NFI 2020'!$C$3:$J$282, 7, FALSE)), "")</f>
        <v>2937382.419629606</v>
      </c>
      <c r="L272" s="14"/>
      <c r="M272" s="70"/>
      <c r="N272" s="70"/>
      <c r="R272" s="8"/>
      <c r="S272" s="8"/>
    </row>
    <row r="273" spans="1:19" x14ac:dyDescent="0.25">
      <c r="A273" s="26" t="s">
        <v>249</v>
      </c>
      <c r="B273" s="108" t="str">
        <f t="shared" si="12"/>
        <v>PL</v>
      </c>
      <c r="C273" s="108" t="s">
        <v>190</v>
      </c>
      <c r="D273" s="20">
        <f>+VLOOKUP(B273, 'NATIONAL 2020'!$A$3:$B$41, 2, FALSE)</f>
        <v>2</v>
      </c>
      <c r="E273" s="181">
        <f>+IFERROR(IF($D273=0, VLOOKUP($C273, 'NATIONAL 2020'!$A$3:$M$40, 7, FALSE), VLOOKUP($C273, 'NFI 2020'!$C$3:$J$282, 2, FALSE)), "")</f>
        <v>639737.19208041066</v>
      </c>
      <c r="F273" s="111">
        <f>+IFERROR(IF($D273=0, VLOOKUP($C273, 'NATIONAL 2020'!$A$3:$M$40, 8, FALSE), VLOOKUP($C273, 'NFI 2020'!$C$3:$J$282, 3, FALSE)), "")</f>
        <v>566238.56269420986</v>
      </c>
      <c r="G273" s="196">
        <f>+IFERROR(IF($D273=0, VLOOKUP($C273, 'NATIONAL 2020'!$A$3:$M$40, 9, FALSE), VLOOKUP($C273, 'NFI 2020'!$C$3:$J$282, 4, FALSE)), "")</f>
        <v>73498.629386200817</v>
      </c>
      <c r="H273" s="181">
        <f>+IFERROR(IF($D273=0, VLOOKUP($C273, 'NATIONAL 2020'!$A$3:$M$40, 10, FALSE), VLOOKUP($C273, 'NFI 2020'!$C$3:$J$282, 5, FALSE)), "")</f>
        <v>114858630.86162648</v>
      </c>
      <c r="I273" s="213">
        <f>+IFERROR(IF($D273=0, VLOOKUP($C273, 'NATIONAL 2020'!$A$3:$M$40, 13, FALSE), VLOOKUP($C273, 'NFI 2020'!$C$3:$J$282, 8, FALSE)), "")</f>
        <v>179.54033669374269</v>
      </c>
      <c r="J273" s="111">
        <f>+IFERROR(IF($D273=0, VLOOKUP($C273, 'NATIONAL 2020'!$A$3:$M$40, 11, FALSE), VLOOKUP($C273, 'NFI 2020'!$C$3:$J$282, 6, FALSE)), "")</f>
        <v>101519223.78190005</v>
      </c>
      <c r="K273" s="196">
        <f>+IFERROR(IF($D273=0, VLOOKUP($C273, 'NATIONAL 2020'!$A$3:$M$40, 12, FALSE), VLOOKUP($C273, 'NFI 2020'!$C$3:$J$282, 7, FALSE)), "")</f>
        <v>13339407.079726417</v>
      </c>
      <c r="L273" s="14"/>
      <c r="M273" s="70"/>
      <c r="N273" s="70"/>
      <c r="R273" s="8"/>
      <c r="S273" s="8"/>
    </row>
    <row r="274" spans="1:19" x14ac:dyDescent="0.25">
      <c r="A274" s="26" t="s">
        <v>249</v>
      </c>
      <c r="B274" s="108" t="str">
        <f t="shared" si="12"/>
        <v>PL</v>
      </c>
      <c r="C274" s="108" t="s">
        <v>191</v>
      </c>
      <c r="D274" s="20">
        <f>+VLOOKUP(B274, 'NATIONAL 2020'!$A$3:$B$41, 2, FALSE)</f>
        <v>2</v>
      </c>
      <c r="E274" s="181">
        <f>+IFERROR(IF($D274=0, VLOOKUP($C274, 'NATIONAL 2020'!$A$3:$M$40, 7, FALSE), VLOOKUP($C274, 'NFI 2020'!$C$3:$J$282, 2, FALSE)), "")</f>
        <v>792123.32757957687</v>
      </c>
      <c r="F274" s="111">
        <f>+IFERROR(IF($D274=0, VLOOKUP($C274, 'NATIONAL 2020'!$A$3:$M$40, 8, FALSE), VLOOKUP($C274, 'NFI 2020'!$C$3:$J$282, 3, FALSE)), "")</f>
        <v>767997.92670475971</v>
      </c>
      <c r="G274" s="196">
        <f>+IFERROR(IF($D274=0, VLOOKUP($C274, 'NATIONAL 2020'!$A$3:$M$40, 9, FALSE), VLOOKUP($C274, 'NFI 2020'!$C$3:$J$282, 4, FALSE)), "")</f>
        <v>24125.400874817165</v>
      </c>
      <c r="H274" s="181">
        <f>+IFERROR(IF($D274=0, VLOOKUP($C274, 'NATIONAL 2020'!$A$3:$M$40, 10, FALSE), VLOOKUP($C274, 'NFI 2020'!$C$3:$J$282, 5, FALSE)), "")</f>
        <v>135230583.99055648</v>
      </c>
      <c r="I274" s="213">
        <f>+IFERROR(IF($D274=0, VLOOKUP($C274, 'NATIONAL 2020'!$A$3:$M$40, 13, FALSE), VLOOKUP($C274, 'NFI 2020'!$C$3:$J$282, 8, FALSE)), "")</f>
        <v>170.71910305150203</v>
      </c>
      <c r="J274" s="111">
        <f>+IFERROR(IF($D274=0, VLOOKUP($C274, 'NATIONAL 2020'!$A$3:$M$40, 11, FALSE), VLOOKUP($C274, 'NFI 2020'!$C$3:$J$282, 6, FALSE)), "")</f>
        <v>130650294.4894831</v>
      </c>
      <c r="K274" s="196">
        <f>+IFERROR(IF($D274=0, VLOOKUP($C274, 'NATIONAL 2020'!$A$3:$M$40, 12, FALSE), VLOOKUP($C274, 'NFI 2020'!$C$3:$J$282, 7, FALSE)), "")</f>
        <v>4580289.5010733763</v>
      </c>
      <c r="L274" s="14"/>
      <c r="M274" s="70"/>
      <c r="N274" s="70"/>
      <c r="R274" s="8"/>
      <c r="S274" s="8"/>
    </row>
    <row r="275" spans="1:19" x14ac:dyDescent="0.25">
      <c r="A275" s="26" t="s">
        <v>249</v>
      </c>
      <c r="B275" s="108" t="str">
        <f t="shared" si="12"/>
        <v>PL</v>
      </c>
      <c r="C275" s="108" t="s">
        <v>192</v>
      </c>
      <c r="D275" s="20">
        <f>+VLOOKUP(B275, 'NATIONAL 2020'!$A$3:$B$41, 2, FALSE)</f>
        <v>2</v>
      </c>
      <c r="E275" s="181">
        <f>+IFERROR(IF($D275=0, VLOOKUP($C275, 'NATIONAL 2020'!$A$3:$M$40, 7, FALSE), VLOOKUP($C275, 'NFI 2020'!$C$3:$J$282, 2, FALSE)), "")</f>
        <v>837082.15616692381</v>
      </c>
      <c r="F275" s="111">
        <f>+IFERROR(IF($D275=0, VLOOKUP($C275, 'NATIONAL 2020'!$A$3:$M$40, 8, FALSE), VLOOKUP($C275, 'NFI 2020'!$C$3:$J$282, 3, FALSE)), "")</f>
        <v>786481.00972165994</v>
      </c>
      <c r="G275" s="196">
        <f>+IFERROR(IF($D275=0, VLOOKUP($C275, 'NATIONAL 2020'!$A$3:$M$40, 9, FALSE), VLOOKUP($C275, 'NFI 2020'!$C$3:$J$282, 4, FALSE)), "")</f>
        <v>50601.146445263927</v>
      </c>
      <c r="H275" s="181">
        <f>+IFERROR(IF($D275=0, VLOOKUP($C275, 'NATIONAL 2020'!$A$3:$M$40, 10, FALSE), VLOOKUP($C275, 'NFI 2020'!$C$3:$J$282, 5, FALSE)), "")</f>
        <v>156720627.05695796</v>
      </c>
      <c r="I275" s="213">
        <f>+IFERROR(IF($D275=0, VLOOKUP($C275, 'NATIONAL 2020'!$A$3:$M$40, 13, FALSE), VLOOKUP($C275, 'NFI 2020'!$C$3:$J$282, 8, FALSE)), "")</f>
        <v>187.22251561853395</v>
      </c>
      <c r="J275" s="111">
        <f>+IFERROR(IF($D275=0, VLOOKUP($C275, 'NATIONAL 2020'!$A$3:$M$40, 11, FALSE), VLOOKUP($C275, 'NFI 2020'!$C$3:$J$282, 6, FALSE)), "")</f>
        <v>145084316.58533946</v>
      </c>
      <c r="K275" s="196">
        <f>+IFERROR(IF($D275=0, VLOOKUP($C275, 'NATIONAL 2020'!$A$3:$M$40, 12, FALSE), VLOOKUP($C275, 'NFI 2020'!$C$3:$J$282, 7, FALSE)), "")</f>
        <v>11636310.471618501</v>
      </c>
      <c r="L275" s="14"/>
      <c r="M275" s="70"/>
      <c r="N275" s="70"/>
      <c r="O275" s="5"/>
      <c r="R275" s="8"/>
      <c r="S275" s="8"/>
    </row>
    <row r="276" spans="1:19" x14ac:dyDescent="0.25">
      <c r="A276" s="26" t="s">
        <v>249</v>
      </c>
      <c r="B276" s="108" t="str">
        <f t="shared" si="12"/>
        <v>PL</v>
      </c>
      <c r="C276" s="108" t="s">
        <v>193</v>
      </c>
      <c r="D276" s="20">
        <f>+VLOOKUP(B276, 'NATIONAL 2020'!$A$3:$B$41, 2, FALSE)</f>
        <v>2</v>
      </c>
      <c r="E276" s="181">
        <f>+IFERROR(IF($D276=0, VLOOKUP($C276, 'NATIONAL 2020'!$A$3:$M$40, 7, FALSE), VLOOKUP($C276, 'NFI 2020'!$C$3:$J$282, 2, FALSE)), "")</f>
        <v>710577.6492877506</v>
      </c>
      <c r="F276" s="111">
        <f>+IFERROR(IF($D276=0, VLOOKUP($C276, 'NATIONAL 2020'!$A$3:$M$40, 8, FALSE), VLOOKUP($C276, 'NFI 2020'!$C$3:$J$282, 3, FALSE)), "")</f>
        <v>686607.02124252648</v>
      </c>
      <c r="G276" s="196">
        <f>+IFERROR(IF($D276=0, VLOOKUP($C276, 'NATIONAL 2020'!$A$3:$M$40, 9, FALSE), VLOOKUP($C276, 'NFI 2020'!$C$3:$J$282, 4, FALSE)), "")</f>
        <v>23970.628045224115</v>
      </c>
      <c r="H276" s="181">
        <f>+IFERROR(IF($D276=0, VLOOKUP($C276, 'NATIONAL 2020'!$A$3:$M$40, 10, FALSE), VLOOKUP($C276, 'NFI 2020'!$C$3:$J$282, 5, FALSE)), "")</f>
        <v>125688402.71361968</v>
      </c>
      <c r="I276" s="213">
        <f>+IFERROR(IF($D276=0, VLOOKUP($C276, 'NATIONAL 2020'!$A$3:$M$40, 13, FALSE), VLOOKUP($C276, 'NFI 2020'!$C$3:$J$282, 8, FALSE)), "")</f>
        <v>176.88200978401696</v>
      </c>
      <c r="J276" s="111">
        <f>+IFERROR(IF($D276=0, VLOOKUP($C276, 'NATIONAL 2020'!$A$3:$M$40, 11, FALSE), VLOOKUP($C276, 'NFI 2020'!$C$3:$J$282, 6, FALSE)), "")</f>
        <v>119899375.29212612</v>
      </c>
      <c r="K276" s="196">
        <f>+IFERROR(IF($D276=0, VLOOKUP($C276, 'NATIONAL 2020'!$A$3:$M$40, 12, FALSE), VLOOKUP($C276, 'NFI 2020'!$C$3:$J$282, 7, FALSE)), "")</f>
        <v>5789027.4214935657</v>
      </c>
      <c r="L276" s="14"/>
      <c r="M276" s="70"/>
      <c r="N276" s="70"/>
      <c r="R276" s="8"/>
      <c r="S276" s="8"/>
    </row>
    <row r="277" spans="1:19" x14ac:dyDescent="0.25">
      <c r="A277" s="26" t="s">
        <v>249</v>
      </c>
      <c r="B277" s="108" t="str">
        <f t="shared" si="12"/>
        <v>PL</v>
      </c>
      <c r="C277" s="108" t="s">
        <v>194</v>
      </c>
      <c r="D277" s="20">
        <f>+VLOOKUP(B277, 'NATIONAL 2020'!$A$3:$B$41, 2, FALSE)</f>
        <v>2</v>
      </c>
      <c r="E277" s="181">
        <f>+IFERROR(IF($D277=0, VLOOKUP($C277, 'NATIONAL 2020'!$A$3:$M$40, 7, FALSE), VLOOKUP($C277, 'NFI 2020'!$C$3:$J$282, 2, FALSE)), "")</f>
        <v>611570.88741622842</v>
      </c>
      <c r="F277" s="111">
        <f>+IFERROR(IF($D277=0, VLOOKUP($C277, 'NATIONAL 2020'!$A$3:$M$40, 8, FALSE), VLOOKUP($C277, 'NFI 2020'!$C$3:$J$282, 3, FALSE)), "")</f>
        <v>575414.58833440882</v>
      </c>
      <c r="G277" s="196">
        <f>+IFERROR(IF($D277=0, VLOOKUP($C277, 'NATIONAL 2020'!$A$3:$M$40, 9, FALSE), VLOOKUP($C277, 'NFI 2020'!$C$3:$J$282, 4, FALSE)), "")</f>
        <v>36156.299081819685</v>
      </c>
      <c r="H277" s="181">
        <f>+IFERROR(IF($D277=0, VLOOKUP($C277, 'NATIONAL 2020'!$A$3:$M$40, 10, FALSE), VLOOKUP($C277, 'NFI 2020'!$C$3:$J$282, 5, FALSE)), "")</f>
        <v>109810787.24373452</v>
      </c>
      <c r="I277" s="213">
        <f>+IFERROR(IF($D277=0, VLOOKUP($C277, 'NATIONAL 2020'!$A$3:$M$40, 13, FALSE), VLOOKUP($C277, 'NFI 2020'!$C$3:$J$282, 8, FALSE)), "")</f>
        <v>179.55528868887853</v>
      </c>
      <c r="J277" s="111">
        <f>+IFERROR(IF($D277=0, VLOOKUP($C277, 'NATIONAL 2020'!$A$3:$M$40, 11, FALSE), VLOOKUP($C277, 'NFI 2020'!$C$3:$J$282, 6, FALSE)), "")</f>
        <v>102924584.830044</v>
      </c>
      <c r="K277" s="196">
        <f>+IFERROR(IF($D277=0, VLOOKUP($C277, 'NATIONAL 2020'!$A$3:$M$40, 12, FALSE), VLOOKUP($C277, 'NFI 2020'!$C$3:$J$282, 7, FALSE)), "")</f>
        <v>6886202.4136905242</v>
      </c>
      <c r="L277" s="14"/>
      <c r="M277" s="70"/>
      <c r="N277" s="70"/>
      <c r="R277" s="8"/>
      <c r="S277" s="8"/>
    </row>
    <row r="278" spans="1:19" x14ac:dyDescent="0.25">
      <c r="A278" s="26" t="s">
        <v>249</v>
      </c>
      <c r="B278" s="108" t="str">
        <f t="shared" si="12"/>
        <v>PL</v>
      </c>
      <c r="C278" s="108" t="s">
        <v>195</v>
      </c>
      <c r="D278" s="20">
        <f>+VLOOKUP(B278, 'NATIONAL 2020'!$A$3:$B$41, 2, FALSE)</f>
        <v>2</v>
      </c>
      <c r="E278" s="181">
        <f>+IFERROR(IF($D278=0, VLOOKUP($C278, 'NATIONAL 2020'!$A$3:$M$40, 7, FALSE), VLOOKUP($C278, 'NFI 2020'!$C$3:$J$282, 2, FALSE)), "")</f>
        <v>258317.1914331539</v>
      </c>
      <c r="F278" s="111">
        <f>+IFERROR(IF($D278=0, VLOOKUP($C278, 'NATIONAL 2020'!$A$3:$M$40, 8, FALSE), VLOOKUP($C278, 'NFI 2020'!$C$3:$J$282, 3, FALSE)), "")</f>
        <v>246831.55393000937</v>
      </c>
      <c r="G278" s="196">
        <f>+IFERROR(IF($D278=0, VLOOKUP($C278, 'NATIONAL 2020'!$A$3:$M$40, 9, FALSE), VLOOKUP($C278, 'NFI 2020'!$C$3:$J$282, 4, FALSE)), "")</f>
        <v>11485.637503144533</v>
      </c>
      <c r="H278" s="181">
        <f>+IFERROR(IF($D278=0, VLOOKUP($C278, 'NATIONAL 2020'!$A$3:$M$40, 10, FALSE), VLOOKUP($C278, 'NFI 2020'!$C$3:$J$282, 5, FALSE)), "")</f>
        <v>48201810.382097147</v>
      </c>
      <c r="I278" s="213">
        <f>+IFERROR(IF($D278=0, VLOOKUP($C278, 'NATIONAL 2020'!$A$3:$M$40, 13, FALSE), VLOOKUP($C278, 'NFI 2020'!$C$3:$J$282, 8, FALSE)), "")</f>
        <v>186.59931270803779</v>
      </c>
      <c r="J278" s="111">
        <f>+IFERROR(IF($D278=0, VLOOKUP($C278, 'NATIONAL 2020'!$A$3:$M$40, 11, FALSE), VLOOKUP($C278, 'NFI 2020'!$C$3:$J$282, 6, FALSE)), "")</f>
        <v>46087767.351114415</v>
      </c>
      <c r="K278" s="196">
        <f>+IFERROR(IF($D278=0, VLOOKUP($C278, 'NATIONAL 2020'!$A$3:$M$40, 12, FALSE), VLOOKUP($C278, 'NFI 2020'!$C$3:$J$282, 7, FALSE)), "")</f>
        <v>2114043.0309827412</v>
      </c>
      <c r="L278" s="14"/>
      <c r="M278" s="70"/>
      <c r="N278" s="70"/>
      <c r="R278" s="8"/>
      <c r="S278" s="8"/>
    </row>
    <row r="279" spans="1:19" x14ac:dyDescent="0.25">
      <c r="A279" s="26" t="s">
        <v>249</v>
      </c>
      <c r="B279" s="108" t="str">
        <f t="shared" si="12"/>
        <v>PL</v>
      </c>
      <c r="C279" s="108" t="s">
        <v>196</v>
      </c>
      <c r="D279" s="20">
        <f>+VLOOKUP(B279, 'NATIONAL 2020'!$A$3:$B$41, 2, FALSE)</f>
        <v>2</v>
      </c>
      <c r="E279" s="181">
        <f>+IFERROR(IF($D279=0, VLOOKUP($C279, 'NATIONAL 2020'!$A$3:$M$40, 7, FALSE), VLOOKUP($C279, 'NFI 2020'!$C$3:$J$282, 2, FALSE)), "")</f>
        <v>435148.63727939466</v>
      </c>
      <c r="F279" s="111">
        <f>+IFERROR(IF($D279=0, VLOOKUP($C279, 'NATIONAL 2020'!$A$3:$M$40, 8, FALSE), VLOOKUP($C279, 'NFI 2020'!$C$3:$J$282, 3, FALSE)), "")</f>
        <v>426340.33198636572</v>
      </c>
      <c r="G279" s="196">
        <f>+IFERROR(IF($D279=0, VLOOKUP($C279, 'NATIONAL 2020'!$A$3:$M$40, 9, FALSE), VLOOKUP($C279, 'NFI 2020'!$C$3:$J$282, 4, FALSE)), "")</f>
        <v>8808.3052930289414</v>
      </c>
      <c r="H279" s="181">
        <f>+IFERROR(IF($D279=0, VLOOKUP($C279, 'NATIONAL 2020'!$A$3:$M$40, 10, FALSE), VLOOKUP($C279, 'NFI 2020'!$C$3:$J$282, 5, FALSE)), "")</f>
        <v>77174048.121207163</v>
      </c>
      <c r="I279" s="213">
        <f>+IFERROR(IF($D279=0, VLOOKUP($C279, 'NATIONAL 2020'!$A$3:$M$40, 13, FALSE), VLOOKUP($C279, 'NFI 2020'!$C$3:$J$282, 8, FALSE)), "")</f>
        <v>177.35100494329765</v>
      </c>
      <c r="J279" s="111">
        <f>+IFERROR(IF($D279=0, VLOOKUP($C279, 'NATIONAL 2020'!$A$3:$M$40, 11, FALSE), VLOOKUP($C279, 'NFI 2020'!$C$3:$J$282, 6, FALSE)), "")</f>
        <v>75489717.513937473</v>
      </c>
      <c r="K279" s="196">
        <f>+IFERROR(IF($D279=0, VLOOKUP($C279, 'NATIONAL 2020'!$A$3:$M$40, 12, FALSE), VLOOKUP($C279, 'NFI 2020'!$C$3:$J$282, 7, FALSE)), "")</f>
        <v>1684330.6072696834</v>
      </c>
      <c r="L279" s="14"/>
      <c r="M279" s="70"/>
      <c r="N279" s="70"/>
      <c r="R279" s="8"/>
      <c r="S279" s="8"/>
    </row>
    <row r="280" spans="1:19" x14ac:dyDescent="0.25">
      <c r="A280" s="26" t="s">
        <v>249</v>
      </c>
      <c r="B280" s="108" t="str">
        <f t="shared" si="12"/>
        <v>PL</v>
      </c>
      <c r="C280" s="108" t="s">
        <v>197</v>
      </c>
      <c r="D280" s="20">
        <f>+VLOOKUP(B280, 'NATIONAL 2020'!$A$3:$B$41, 2, FALSE)</f>
        <v>2</v>
      </c>
      <c r="E280" s="181">
        <f>+IFERROR(IF($D280=0, VLOOKUP($C280, 'NATIONAL 2020'!$A$3:$M$40, 7, FALSE), VLOOKUP($C280, 'NFI 2020'!$C$3:$J$282, 2, FALSE)), "")</f>
        <v>773325.12468681869</v>
      </c>
      <c r="F280" s="111">
        <f>+IFERROR(IF($D280=0, VLOOKUP($C280, 'NATIONAL 2020'!$A$3:$M$40, 8, FALSE), VLOOKUP($C280, 'NFI 2020'!$C$3:$J$282, 3, FALSE)), "")</f>
        <v>727189.90492234018</v>
      </c>
      <c r="G280" s="196">
        <f>+IFERROR(IF($D280=0, VLOOKUP($C280, 'NATIONAL 2020'!$A$3:$M$40, 9, FALSE), VLOOKUP($C280, 'NFI 2020'!$C$3:$J$282, 4, FALSE)), "")</f>
        <v>46135.219764478446</v>
      </c>
      <c r="H280" s="181">
        <f>+IFERROR(IF($D280=0, VLOOKUP($C280, 'NATIONAL 2020'!$A$3:$M$40, 10, FALSE), VLOOKUP($C280, 'NFI 2020'!$C$3:$J$282, 5, FALSE)), "")</f>
        <v>144355688.16460949</v>
      </c>
      <c r="I280" s="213">
        <f>+IFERROR(IF($D280=0, VLOOKUP($C280, 'NATIONAL 2020'!$A$3:$M$40, 13, FALSE), VLOOKUP($C280, 'NFI 2020'!$C$3:$J$282, 8, FALSE)), "")</f>
        <v>186.66881956417836</v>
      </c>
      <c r="J280" s="111">
        <f>+IFERROR(IF($D280=0, VLOOKUP($C280, 'NATIONAL 2020'!$A$3:$M$40, 11, FALSE), VLOOKUP($C280, 'NFI 2020'!$C$3:$J$282, 6, FALSE)), "")</f>
        <v>135815442.79874963</v>
      </c>
      <c r="K280" s="196">
        <f>+IFERROR(IF($D280=0, VLOOKUP($C280, 'NATIONAL 2020'!$A$3:$M$40, 12, FALSE), VLOOKUP($C280, 'NFI 2020'!$C$3:$J$282, 7, FALSE)), "")</f>
        <v>8540245.3658598419</v>
      </c>
      <c r="L280" s="14"/>
      <c r="M280" s="70"/>
      <c r="N280" s="70"/>
      <c r="R280" s="8"/>
      <c r="S280" s="8"/>
    </row>
    <row r="281" spans="1:19" x14ac:dyDescent="0.25">
      <c r="A281" s="26" t="s">
        <v>249</v>
      </c>
      <c r="B281" s="108" t="str">
        <f t="shared" si="12"/>
        <v>PL</v>
      </c>
      <c r="C281" s="108" t="s">
        <v>198</v>
      </c>
      <c r="D281" s="20">
        <f>+VLOOKUP(B281, 'NATIONAL 2020'!$A$3:$B$41, 2, FALSE)</f>
        <v>2</v>
      </c>
      <c r="E281" s="181">
        <f>+IFERROR(IF($D281=0, VLOOKUP($C281, 'NATIONAL 2020'!$A$3:$M$40, 7, FALSE), VLOOKUP($C281, 'NFI 2020'!$C$3:$J$282, 2, FALSE)), "")</f>
        <v>687405.39225883118</v>
      </c>
      <c r="F281" s="111">
        <f>+IFERROR(IF($D281=0, VLOOKUP($C281, 'NATIONAL 2020'!$A$3:$M$40, 8, FALSE), VLOOKUP($C281, 'NFI 2020'!$C$3:$J$282, 3, FALSE)), "")</f>
        <v>649965.11631042953</v>
      </c>
      <c r="G281" s="196">
        <f>+IFERROR(IF($D281=0, VLOOKUP($C281, 'NATIONAL 2020'!$A$3:$M$40, 9, FALSE), VLOOKUP($C281, 'NFI 2020'!$C$3:$J$282, 4, FALSE)), "")</f>
        <v>37440.275948401548</v>
      </c>
      <c r="H281" s="181">
        <f>+IFERROR(IF($D281=0, VLOOKUP($C281, 'NATIONAL 2020'!$A$3:$M$40, 10, FALSE), VLOOKUP($C281, 'NFI 2020'!$C$3:$J$282, 5, FALSE)), "")</f>
        <v>123496817.65547988</v>
      </c>
      <c r="I281" s="213">
        <f>+IFERROR(IF($D281=0, VLOOKUP($C281, 'NATIONAL 2020'!$A$3:$M$40, 13, FALSE), VLOOKUP($C281, 'NFI 2020'!$C$3:$J$282, 8, FALSE)), "")</f>
        <v>179.65645752307276</v>
      </c>
      <c r="J281" s="111">
        <f>+IFERROR(IF($D281=0, VLOOKUP($C281, 'NATIONAL 2020'!$A$3:$M$40, 11, FALSE), VLOOKUP($C281, 'NFI 2020'!$C$3:$J$282, 6, FALSE)), "")</f>
        <v>116933550.845218</v>
      </c>
      <c r="K281" s="196">
        <f>+IFERROR(IF($D281=0, VLOOKUP($C281, 'NATIONAL 2020'!$A$3:$M$40, 12, FALSE), VLOOKUP($C281, 'NFI 2020'!$C$3:$J$282, 7, FALSE)), "")</f>
        <v>6563266.810261881</v>
      </c>
      <c r="L281" s="14"/>
      <c r="M281" s="70"/>
      <c r="N281" s="70"/>
      <c r="R281" s="8"/>
      <c r="S281" s="8"/>
    </row>
    <row r="282" spans="1:19" x14ac:dyDescent="0.25">
      <c r="A282" s="26" t="s">
        <v>199</v>
      </c>
      <c r="B282" t="s">
        <v>32</v>
      </c>
      <c r="C282" t="s">
        <v>32</v>
      </c>
      <c r="D282" s="20">
        <v>0</v>
      </c>
      <c r="E282" s="181">
        <f>+IFERROR(IF($D282=0, VLOOKUP($C282, 'NATIONAL 2020'!$A$3:$M$40, 7, FALSE), VLOOKUP($C282, 'NFI 2020'!$C$3:$J$282, 2, FALSE)), "")</f>
        <v>3230950</v>
      </c>
      <c r="F282" s="111">
        <f>+IFERROR(IF($D282=0, VLOOKUP($C282, 'NATIONAL 2020'!$A$3:$M$40, 8, FALSE), VLOOKUP($C282, 'NFI 2020'!$C$3:$J$282, 3, FALSE)), "")</f>
        <v>2159277.9271734748</v>
      </c>
      <c r="G282" s="196">
        <f>+IFERROR(IF($D282=0, VLOOKUP($C282, 'NATIONAL 2020'!$A$3:$M$40, 9, FALSE), VLOOKUP($C282, 'NFI 2020'!$C$3:$J$282, 4, FALSE)), "")</f>
        <v>1071672.0728265252</v>
      </c>
      <c r="H282" s="181">
        <f>+IFERROR(IF($D282=0, VLOOKUP($C282, 'NATIONAL 2020'!$A$3:$M$40, 10, FALSE), VLOOKUP($C282, 'NFI 2020'!$C$3:$J$282, 5, FALSE)), "")</f>
        <v>138718107.41913277</v>
      </c>
      <c r="I282" s="213">
        <f>+IFERROR(IF($D282=0, VLOOKUP($C282, 'NATIONAL 2020'!$A$3:$M$40, 13, FALSE), VLOOKUP($C282, 'NFI 2020'!$C$3:$J$282, 8, FALSE)), "")</f>
        <v>42.934154790118313</v>
      </c>
      <c r="J282" s="111">
        <f>+IFERROR(IF($D282=0, VLOOKUP($C282, 'NATIONAL 2020'!$A$3:$M$40, 11, FALSE), VLOOKUP($C282, 'NFI 2020'!$C$3:$J$282, 6, FALSE)), "")</f>
        <v>100293230.64175636</v>
      </c>
      <c r="K282" s="196">
        <f>+IFERROR(IF($D282=0, VLOOKUP($C282, 'NATIONAL 2020'!$A$3:$M$40, 12, FALSE), VLOOKUP($C282, 'NFI 2020'!$C$3:$J$282, 7, FALSE)), "")</f>
        <v>38424876.777376398</v>
      </c>
      <c r="L282" s="14"/>
      <c r="M282" s="70"/>
      <c r="N282" s="70"/>
      <c r="O282" s="5"/>
      <c r="R282" s="8"/>
      <c r="S282" s="8"/>
    </row>
    <row r="283" spans="1:19" x14ac:dyDescent="0.25">
      <c r="A283" s="26" t="s">
        <v>199</v>
      </c>
      <c r="B283" s="108" t="str">
        <f>+LEFT(C283, 2)</f>
        <v>PT</v>
      </c>
      <c r="C283" s="108" t="s">
        <v>200</v>
      </c>
      <c r="D283" s="20">
        <f>+VLOOKUP(B283, 'NATIONAL 2020'!$A$3:$B$41, 2, FALSE)</f>
        <v>2</v>
      </c>
      <c r="E283" s="181">
        <f>+IFERROR(IF($D283=0, VLOOKUP($C283, 'NATIONAL 2020'!$A$3:$M$40, 7, FALSE), VLOOKUP($C283, 'NFI 2020'!$C$3:$J$282, 2, FALSE)), "")</f>
        <v>586142.69253435067</v>
      </c>
      <c r="F283" s="111">
        <f>+IFERROR(IF($D283=0, VLOOKUP($C283, 'NATIONAL 2020'!$A$3:$M$40, 8, FALSE), VLOOKUP($C283, 'NFI 2020'!$C$3:$J$282, 3, FALSE)), "")</f>
        <v>567302.74960454076</v>
      </c>
      <c r="G283" s="196">
        <f>+IFERROR(IF($D283=0, VLOOKUP($C283, 'NATIONAL 2020'!$A$3:$M$40, 9, FALSE), VLOOKUP($C283, 'NFI 2020'!$C$3:$J$282, 4, FALSE)), "")</f>
        <v>18839.942929809869</v>
      </c>
      <c r="H283" s="181">
        <f>+IFERROR(IF($D283=0, VLOOKUP($C283, 'NATIONAL 2020'!$A$3:$M$40, 10, FALSE), VLOOKUP($C283, 'NFI 2020'!$C$3:$J$282, 5, FALSE)), "")</f>
        <v>31962369.564828016</v>
      </c>
      <c r="I283" s="213">
        <f>+IFERROR(IF($D283=0, VLOOKUP($C283, 'NATIONAL 2020'!$A$3:$M$40, 13, FALSE), VLOOKUP($C283, 'NFI 2020'!$C$3:$J$282, 8, FALSE)), "")</f>
        <v>54.530014571417475</v>
      </c>
      <c r="J283" s="111">
        <f>+IFERROR(IF($D283=0, VLOOKUP($C283, 'NATIONAL 2020'!$A$3:$M$40, 11, FALSE), VLOOKUP($C283, 'NFI 2020'!$C$3:$J$282, 6, FALSE)), "")</f>
        <v>30313864.451994628</v>
      </c>
      <c r="K283" s="196">
        <f>+IFERROR(IF($D283=0, VLOOKUP($C283, 'NATIONAL 2020'!$A$3:$M$40, 12, FALSE), VLOOKUP($C283, 'NFI 2020'!$C$3:$J$282, 7, FALSE)), "")</f>
        <v>1648505.1128333912</v>
      </c>
      <c r="L283" s="14"/>
      <c r="M283" s="70"/>
      <c r="N283" s="70"/>
      <c r="O283" s="5"/>
      <c r="R283" s="8"/>
      <c r="S283" s="8"/>
    </row>
    <row r="284" spans="1:19" x14ac:dyDescent="0.25">
      <c r="A284" s="26" t="s">
        <v>199</v>
      </c>
      <c r="B284" s="108" t="str">
        <f>+LEFT(C284, 2)</f>
        <v>PT</v>
      </c>
      <c r="C284" s="108" t="s">
        <v>201</v>
      </c>
      <c r="D284" s="20">
        <f>+VLOOKUP(B284, 'NATIONAL 2020'!$A$3:$B$41, 2, FALSE)</f>
        <v>2</v>
      </c>
      <c r="E284" s="181">
        <f>+IFERROR(IF($D284=0, VLOOKUP($C284, 'NATIONAL 2020'!$A$3:$M$40, 7, FALSE), VLOOKUP($C284, 'NFI 2020'!$C$3:$J$282, 2, FALSE)), "")</f>
        <v>145608.70785645608</v>
      </c>
      <c r="F284" s="111">
        <f>+IFERROR(IF($D284=0, VLOOKUP($C284, 'NATIONAL 2020'!$A$3:$M$40, 8, FALSE), VLOOKUP($C284, 'NFI 2020'!$C$3:$J$282, 3, FALSE)), "")</f>
        <v>101715.64932849478</v>
      </c>
      <c r="G284" s="196">
        <f>+IFERROR(IF($D284=0, VLOOKUP($C284, 'NATIONAL 2020'!$A$3:$M$40, 9, FALSE), VLOOKUP($C284, 'NFI 2020'!$C$3:$J$282, 4, FALSE)), "")</f>
        <v>43893.058527961301</v>
      </c>
      <c r="H284" s="181">
        <f>+IFERROR(IF($D284=0, VLOOKUP($C284, 'NATIONAL 2020'!$A$3:$M$40, 10, FALSE), VLOOKUP($C284, 'NFI 2020'!$C$3:$J$282, 5, FALSE)), "")</f>
        <v>2853546.1560718818</v>
      </c>
      <c r="I284" s="213">
        <f>+IFERROR(IF($D284=0, VLOOKUP($C284, 'NATIONAL 2020'!$A$3:$M$40, 13, FALSE), VLOOKUP($C284, 'NFI 2020'!$C$3:$J$282, 8, FALSE)), "")</f>
        <v>19.597359238191739</v>
      </c>
      <c r="J284" s="111">
        <f>+IFERROR(IF($D284=0, VLOOKUP($C284, 'NATIONAL 2020'!$A$3:$M$40, 11, FALSE), VLOOKUP($C284, 'NFI 2020'!$C$3:$J$282, 6, FALSE)), "")</f>
        <v>1720509.300128262</v>
      </c>
      <c r="K284" s="196">
        <f>+IFERROR(IF($D284=0, VLOOKUP($C284, 'NATIONAL 2020'!$A$3:$M$40, 12, FALSE), VLOOKUP($C284, 'NFI 2020'!$C$3:$J$282, 7, FALSE)), "")</f>
        <v>1133036.8559436197</v>
      </c>
      <c r="L284" s="14"/>
      <c r="M284" s="70"/>
      <c r="N284" s="70"/>
      <c r="R284" s="8"/>
      <c r="S284" s="8"/>
    </row>
    <row r="285" spans="1:19" x14ac:dyDescent="0.25">
      <c r="A285" s="26" t="s">
        <v>199</v>
      </c>
      <c r="B285" s="108" t="str">
        <f>+LEFT(C285, 2)</f>
        <v>PT</v>
      </c>
      <c r="C285" s="108" t="s">
        <v>202</v>
      </c>
      <c r="D285" s="20">
        <f>+VLOOKUP(B285, 'NATIONAL 2020'!$A$3:$B$41, 2, FALSE)</f>
        <v>2</v>
      </c>
      <c r="E285" s="181">
        <f>+IFERROR(IF($D285=0, VLOOKUP($C285, 'NATIONAL 2020'!$A$3:$M$40, 7, FALSE), VLOOKUP($C285, 'NFI 2020'!$C$3:$J$282, 2, FALSE)), "")</f>
        <v>1095422.4264135729</v>
      </c>
      <c r="F285" s="111">
        <f>+IFERROR(IF($D285=0, VLOOKUP($C285, 'NATIONAL 2020'!$A$3:$M$40, 8, FALSE), VLOOKUP($C285, 'NFI 2020'!$C$3:$J$282, 3, FALSE)), "")</f>
        <v>1034693.6742036537</v>
      </c>
      <c r="G285" s="196">
        <f>+IFERROR(IF($D285=0, VLOOKUP($C285, 'NATIONAL 2020'!$A$3:$M$40, 9, FALSE), VLOOKUP($C285, 'NFI 2020'!$C$3:$J$282, 4, FALSE)), "")</f>
        <v>60728.752209919054</v>
      </c>
      <c r="H285" s="181">
        <f>+IFERROR(IF($D285=0, VLOOKUP($C285, 'NATIONAL 2020'!$A$3:$M$40, 10, FALSE), VLOOKUP($C285, 'NFI 2020'!$C$3:$J$282, 5, FALSE)), "")</f>
        <v>54077537.436736196</v>
      </c>
      <c r="I285" s="213">
        <f>+IFERROR(IF($D285=0, VLOOKUP($C285, 'NATIONAL 2020'!$A$3:$M$40, 13, FALSE), VLOOKUP($C285, 'NFI 2020'!$C$3:$J$282, 8, FALSE)), "")</f>
        <v>49.366834321428627</v>
      </c>
      <c r="J285" s="111">
        <f>+IFERROR(IF($D285=0, VLOOKUP($C285, 'NATIONAL 2020'!$A$3:$M$40, 11, FALSE), VLOOKUP($C285, 'NFI 2020'!$C$3:$J$282, 6, FALSE)), "")</f>
        <v>51053518.366360463</v>
      </c>
      <c r="K285" s="196">
        <f>+IFERROR(IF($D285=0, VLOOKUP($C285, 'NATIONAL 2020'!$A$3:$M$40, 12, FALSE), VLOOKUP($C285, 'NFI 2020'!$C$3:$J$282, 7, FALSE)), "")</f>
        <v>3024019.0703757284</v>
      </c>
      <c r="L285" s="14"/>
      <c r="M285" s="70"/>
      <c r="N285" s="70"/>
      <c r="R285" s="8"/>
      <c r="S285" s="8"/>
    </row>
    <row r="286" spans="1:19" x14ac:dyDescent="0.25">
      <c r="A286" s="26" t="s">
        <v>199</v>
      </c>
      <c r="B286" s="108" t="str">
        <f>+LEFT(C286, 2)</f>
        <v>PT</v>
      </c>
      <c r="C286" s="108" t="s">
        <v>203</v>
      </c>
      <c r="D286" s="20">
        <f>+VLOOKUP(B286, 'NATIONAL 2020'!$A$3:$B$41, 2, FALSE)</f>
        <v>2</v>
      </c>
      <c r="E286" s="181">
        <f>+IFERROR(IF($D286=0, VLOOKUP($C286, 'NATIONAL 2020'!$A$3:$M$40, 7, FALSE), VLOOKUP($C286, 'NFI 2020'!$C$3:$J$282, 2, FALSE)), "")</f>
        <v>66340.650103904962</v>
      </c>
      <c r="F286" s="111">
        <f>+IFERROR(IF($D286=0, VLOOKUP($C286, 'NATIONAL 2020'!$A$3:$M$40, 8, FALSE), VLOOKUP($C286, 'NFI 2020'!$C$3:$J$282, 3, FALSE)), "")</f>
        <v>46999.644862132067</v>
      </c>
      <c r="G286" s="196">
        <f>+IFERROR(IF($D286=0, VLOOKUP($C286, 'NATIONAL 2020'!$A$3:$M$40, 9, FALSE), VLOOKUP($C286, 'NFI 2020'!$C$3:$J$282, 4, FALSE)), "")</f>
        <v>19341.005241772898</v>
      </c>
      <c r="H286" s="181">
        <f>+IFERROR(IF($D286=0, VLOOKUP($C286, 'NATIONAL 2020'!$A$3:$M$40, 10, FALSE), VLOOKUP($C286, 'NFI 2020'!$C$3:$J$282, 5, FALSE)), "")</f>
        <v>3786549.2385904528</v>
      </c>
      <c r="I286" s="213">
        <f>+IFERROR(IF($D286=0, VLOOKUP($C286, 'NATIONAL 2020'!$A$3:$M$40, 13, FALSE), VLOOKUP($C286, 'NFI 2020'!$C$3:$J$282, 8, FALSE)), "")</f>
        <v>57.077361054795695</v>
      </c>
      <c r="J286" s="111">
        <f>+IFERROR(IF($D286=0, VLOOKUP($C286, 'NATIONAL 2020'!$A$3:$M$40, 11, FALSE), VLOOKUP($C286, 'NFI 2020'!$C$3:$J$282, 6, FALSE)), "")</f>
        <v>2734531.4981156355</v>
      </c>
      <c r="K286" s="196">
        <f>+IFERROR(IF($D286=0, VLOOKUP($C286, 'NATIONAL 2020'!$A$3:$M$40, 12, FALSE), VLOOKUP($C286, 'NFI 2020'!$C$3:$J$282, 7, FALSE)), "")</f>
        <v>1052017.7404748173</v>
      </c>
      <c r="L286" s="14"/>
      <c r="M286" s="70"/>
      <c r="N286" s="70"/>
      <c r="R286" s="8"/>
      <c r="S286" s="8"/>
    </row>
    <row r="287" spans="1:19" x14ac:dyDescent="0.25">
      <c r="A287" s="26" t="s">
        <v>199</v>
      </c>
      <c r="B287" s="108" t="str">
        <f>+LEFT(C287, 2)</f>
        <v>PT</v>
      </c>
      <c r="C287" s="108" t="s">
        <v>204</v>
      </c>
      <c r="D287" s="20">
        <f>+VLOOKUP(B287, 'NATIONAL 2020'!$A$3:$B$41, 2, FALSE)</f>
        <v>2</v>
      </c>
      <c r="E287" s="181">
        <f>+IFERROR(IF($D287=0, VLOOKUP($C287, 'NATIONAL 2020'!$A$3:$M$40, 7, FALSE), VLOOKUP($C287, 'NFI 2020'!$C$3:$J$282, 2, FALSE)), "")</f>
        <v>1337435.5230917155</v>
      </c>
      <c r="F287" s="111">
        <f>+IFERROR(IF($D287=0, VLOOKUP($C287, 'NATIONAL 2020'!$A$3:$M$40, 8, FALSE), VLOOKUP($C287, 'NFI 2020'!$C$3:$J$282, 3, FALSE)), "")</f>
        <v>408566.2091746534</v>
      </c>
      <c r="G287" s="196">
        <f>+IFERROR(IF($D287=0, VLOOKUP($C287, 'NATIONAL 2020'!$A$3:$M$40, 9, FALSE), VLOOKUP($C287, 'NFI 2020'!$C$3:$J$282, 4, FALSE)), "")</f>
        <v>928869.31391706213</v>
      </c>
      <c r="H287" s="181">
        <f>+IFERROR(IF($D287=0, VLOOKUP($C287, 'NATIONAL 2020'!$A$3:$M$40, 10, FALSE), VLOOKUP($C287, 'NFI 2020'!$C$3:$J$282, 5, FALSE)), "")</f>
        <v>46038105.022906229</v>
      </c>
      <c r="I287" s="213">
        <f>+IFERROR(IF($D287=0, VLOOKUP($C287, 'NATIONAL 2020'!$A$3:$M$40, 13, FALSE), VLOOKUP($C287, 'NFI 2020'!$C$3:$J$282, 8, FALSE)), "")</f>
        <v>34.422672516190623</v>
      </c>
      <c r="J287" s="111">
        <f>+IFERROR(IF($D287=0, VLOOKUP($C287, 'NATIONAL 2020'!$A$3:$M$40, 11, FALSE), VLOOKUP($C287, 'NFI 2020'!$C$3:$J$282, 6, FALSE)), "")</f>
        <v>14470807.025157385</v>
      </c>
      <c r="K287" s="196">
        <f>+IFERROR(IF($D287=0, VLOOKUP($C287, 'NATIONAL 2020'!$A$3:$M$40, 12, FALSE), VLOOKUP($C287, 'NFI 2020'!$C$3:$J$282, 7, FALSE)), "")</f>
        <v>31567297.997748844</v>
      </c>
      <c r="L287" s="14"/>
      <c r="M287" s="70"/>
      <c r="N287" s="70"/>
      <c r="R287" s="8"/>
      <c r="S287" s="8"/>
    </row>
    <row r="288" spans="1:19" x14ac:dyDescent="0.25">
      <c r="A288" s="26" t="s">
        <v>205</v>
      </c>
      <c r="B288" t="s">
        <v>33</v>
      </c>
      <c r="C288" t="s">
        <v>33</v>
      </c>
      <c r="D288" s="20">
        <v>0</v>
      </c>
      <c r="E288" s="181">
        <f>+IFERROR(IF($D288=0, VLOOKUP($C288, 'NATIONAL 2020'!$A$3:$M$40, 7, FALSE), VLOOKUP($C288, 'NFI 2020'!$C$3:$J$282, 2, FALSE)), "")</f>
        <v>6929050</v>
      </c>
      <c r="F288" s="111">
        <f>+IFERROR(IF($D288=0, VLOOKUP($C288, 'NATIONAL 2020'!$A$3:$M$40, 8, FALSE), VLOOKUP($C288, 'NFI 2020'!$C$3:$J$282, 3, FALSE)), "")</f>
        <v>6009193.0980287418</v>
      </c>
      <c r="G288" s="196">
        <f>+IFERROR(IF($D288=0, VLOOKUP($C288, 'NATIONAL 2020'!$A$3:$M$40, 9, FALSE), VLOOKUP($C288, 'NFI 2020'!$C$3:$J$282, 4, FALSE)), "")</f>
        <v>919856.90197125857</v>
      </c>
      <c r="H288" s="181">
        <f>+IFERROR(IF($D288=0, VLOOKUP($C288, 'NATIONAL 2020'!$A$3:$M$40, 10, FALSE), VLOOKUP($C288, 'NFI 2020'!$C$3:$J$282, 5, FALSE)), "")</f>
        <v>1368382251.6882358</v>
      </c>
      <c r="I288" s="213">
        <f>+IFERROR(IF($D288=0, VLOOKUP($C288, 'NATIONAL 2020'!$A$3:$M$40, 13, FALSE), VLOOKUP($C288, 'NFI 2020'!$C$3:$J$282, 8, FALSE)), "")</f>
        <v>197.4848286111712</v>
      </c>
      <c r="J288" s="111">
        <f>+IFERROR(IF($D288=0, VLOOKUP($C288, 'NATIONAL 2020'!$A$3:$M$40, 11, FALSE), VLOOKUP($C288, 'NFI 2020'!$C$3:$J$282, 6, FALSE)), "")</f>
        <v>1183799308.9040821</v>
      </c>
      <c r="K288" s="196">
        <f>+IFERROR(IF($D288=0, VLOOKUP($C288, 'NATIONAL 2020'!$A$3:$M$40, 12, FALSE), VLOOKUP($C288, 'NFI 2020'!$C$3:$J$282, 7, FALSE)), "")</f>
        <v>184582942.7841537</v>
      </c>
      <c r="L288" s="14"/>
      <c r="M288" s="70"/>
      <c r="N288" s="70"/>
      <c r="O288" s="5"/>
      <c r="R288" s="8"/>
      <c r="S288" s="8"/>
    </row>
    <row r="289" spans="1:19" x14ac:dyDescent="0.25">
      <c r="A289" s="26" t="s">
        <v>205</v>
      </c>
      <c r="B289" s="108" t="str">
        <f>+LEFT(C289, 2)</f>
        <v>RO</v>
      </c>
      <c r="C289" s="108" t="s">
        <v>206</v>
      </c>
      <c r="D289" s="20">
        <f>+VLOOKUP(B289, 'NATIONAL 2020'!$A$3:$B$41, 2, FALSE)</f>
        <v>1</v>
      </c>
      <c r="E289" s="181">
        <f>+IFERROR(IF($D289=0, VLOOKUP($C289, 'NATIONAL 2020'!$A$3:$M$40, 7, FALSE), VLOOKUP($C289, 'NFI 2020'!$C$3:$J$282, 2, FALSE)), "")</f>
        <v>2481540.9155764901</v>
      </c>
      <c r="F289" s="111">
        <f>+IFERROR(IF($D289=0, VLOOKUP($C289, 'NATIONAL 2020'!$A$3:$M$40, 8, FALSE), VLOOKUP($C289, 'NFI 2020'!$C$3:$J$282, 3, FALSE)), "")</f>
        <v>2208335.2354074591</v>
      </c>
      <c r="G289" s="196">
        <f>+IFERROR(IF($D289=0, VLOOKUP($C289, 'NATIONAL 2020'!$A$3:$M$40, 9, FALSE), VLOOKUP($C289, 'NFI 2020'!$C$3:$J$282, 4, FALSE)), "")</f>
        <v>273205.68016903132</v>
      </c>
      <c r="H289" s="181">
        <f>+IFERROR(IF($D289=0, VLOOKUP($C289, 'NATIONAL 2020'!$A$3:$M$40, 10, FALSE), VLOOKUP($C289, 'NFI 2020'!$C$3:$J$282, 5, FALSE)), "")</f>
        <v>466679890.24892163</v>
      </c>
      <c r="I289" s="213">
        <f>+IFERROR(IF($D289=0, VLOOKUP($C289, 'NATIONAL 2020'!$A$3:$M$40, 13, FALSE), VLOOKUP($C289, 'NFI 2020'!$C$3:$J$282, 8, FALSE)), "")</f>
        <v>188.06052615115016</v>
      </c>
      <c r="J289" s="111">
        <f>+IFERROR(IF($D289=0, VLOOKUP($C289, 'NATIONAL 2020'!$A$3:$M$40, 11, FALSE), VLOOKUP($C289, 'NFI 2020'!$C$3:$J$282, 6, FALSE)), "")</f>
        <v>419851673.93669653</v>
      </c>
      <c r="K289" s="196">
        <f>+IFERROR(IF($D289=0, VLOOKUP($C289, 'NATIONAL 2020'!$A$3:$M$40, 12, FALSE), VLOOKUP($C289, 'NFI 2020'!$C$3:$J$282, 7, FALSE)), "")</f>
        <v>46828216.312225088</v>
      </c>
      <c r="L289" s="14"/>
      <c r="M289" s="70"/>
      <c r="N289" s="70"/>
      <c r="O289" s="5"/>
      <c r="R289" s="8"/>
      <c r="S289" s="8"/>
    </row>
    <row r="290" spans="1:19" x14ac:dyDescent="0.25">
      <c r="A290" s="26" t="s">
        <v>205</v>
      </c>
      <c r="B290" s="108" t="str">
        <f>+LEFT(C290, 2)</f>
        <v>RO</v>
      </c>
      <c r="C290" s="108" t="s">
        <v>207</v>
      </c>
      <c r="D290" s="20">
        <f>+VLOOKUP(B290, 'NATIONAL 2020'!$A$3:$B$41, 2, FALSE)</f>
        <v>1</v>
      </c>
      <c r="E290" s="181">
        <f>+IFERROR(IF($D290=0, VLOOKUP($C290, 'NATIONAL 2020'!$A$3:$M$40, 7, FALSE), VLOOKUP($C290, 'NFI 2020'!$C$3:$J$282, 2, FALSE)), "")</f>
        <v>1751753.958916747</v>
      </c>
      <c r="F290" s="111">
        <f>+IFERROR(IF($D290=0, VLOOKUP($C290, 'NATIONAL 2020'!$A$3:$M$40, 8, FALSE), VLOOKUP($C290, 'NFI 2020'!$C$3:$J$282, 3, FALSE)), "")</f>
        <v>1496998.2463699086</v>
      </c>
      <c r="G290" s="196">
        <f>+IFERROR(IF($D290=0, VLOOKUP($C290, 'NATIONAL 2020'!$A$3:$M$40, 9, FALSE), VLOOKUP($C290, 'NFI 2020'!$C$3:$J$282, 4, FALSE)), "")</f>
        <v>254755.71254683859</v>
      </c>
      <c r="H290" s="181">
        <f>+IFERROR(IF($D290=0, VLOOKUP($C290, 'NATIONAL 2020'!$A$3:$M$40, 10, FALSE), VLOOKUP($C290, 'NFI 2020'!$C$3:$J$282, 5, FALSE)), "")</f>
        <v>344527216.32070023</v>
      </c>
      <c r="I290" s="213">
        <f>+IFERROR(IF($D290=0, VLOOKUP($C290, 'NATIONAL 2020'!$A$3:$M$40, 13, FALSE), VLOOKUP($C290, 'NFI 2020'!$C$3:$J$282, 8, FALSE)), "")</f>
        <v>196.67557453887511</v>
      </c>
      <c r="J290" s="111">
        <f>+IFERROR(IF($D290=0, VLOOKUP($C290, 'NATIONAL 2020'!$A$3:$M$40, 11, FALSE), VLOOKUP($C290, 'NFI 2020'!$C$3:$J$282, 6, FALSE)), "")</f>
        <v>293243832.8664124</v>
      </c>
      <c r="K290" s="196">
        <f>+IFERROR(IF($D290=0, VLOOKUP($C290, 'NATIONAL 2020'!$A$3:$M$40, 12, FALSE), VLOOKUP($C290, 'NFI 2020'!$C$3:$J$282, 7, FALSE)), "")</f>
        <v>51283383.454287849</v>
      </c>
      <c r="L290" s="14"/>
      <c r="M290" s="70"/>
      <c r="N290" s="70"/>
      <c r="R290" s="8"/>
      <c r="S290" s="8"/>
    </row>
    <row r="291" spans="1:19" x14ac:dyDescent="0.25">
      <c r="A291" s="26" t="s">
        <v>205</v>
      </c>
      <c r="B291" s="108" t="str">
        <f>+LEFT(C291, 2)</f>
        <v>RO</v>
      </c>
      <c r="C291" s="108" t="s">
        <v>208</v>
      </c>
      <c r="D291" s="20">
        <f>+VLOOKUP(B291, 'NATIONAL 2020'!$A$3:$B$41, 2, FALSE)</f>
        <v>1</v>
      </c>
      <c r="E291" s="181">
        <f>+IFERROR(IF($D291=0, VLOOKUP($C291, 'NATIONAL 2020'!$A$3:$M$40, 7, FALSE), VLOOKUP($C291, 'NFI 2020'!$C$3:$J$282, 2, FALSE)), "")</f>
        <v>665521.66399990756</v>
      </c>
      <c r="F291" s="111">
        <f>+IFERROR(IF($D291=0, VLOOKUP($C291, 'NATIONAL 2020'!$A$3:$M$40, 8, FALSE), VLOOKUP($C291, 'NFI 2020'!$C$3:$J$282, 3, FALSE)), "")</f>
        <v>600888.88794982515</v>
      </c>
      <c r="G291" s="196">
        <f>+IFERROR(IF($D291=0, VLOOKUP($C291, 'NATIONAL 2020'!$A$3:$M$40, 9, FALSE), VLOOKUP($C291, 'NFI 2020'!$C$3:$J$282, 4, FALSE)), "")</f>
        <v>64632.776050082459</v>
      </c>
      <c r="H291" s="181">
        <f>+IFERROR(IF($D291=0, VLOOKUP($C291, 'NATIONAL 2020'!$A$3:$M$40, 10, FALSE), VLOOKUP($C291, 'NFI 2020'!$C$3:$J$282, 5, FALSE)), "")</f>
        <v>133333617.39625373</v>
      </c>
      <c r="I291" s="213">
        <f>+IFERROR(IF($D291=0, VLOOKUP($C291, 'NATIONAL 2020'!$A$3:$M$40, 13, FALSE), VLOOKUP($C291, 'NFI 2020'!$C$3:$J$282, 8, FALSE)), "")</f>
        <v>200.3445186064931</v>
      </c>
      <c r="J291" s="111">
        <f>+IFERROR(IF($D291=0, VLOOKUP($C291, 'NATIONAL 2020'!$A$3:$M$40, 11, FALSE), VLOOKUP($C291, 'NFI 2020'!$C$3:$J$282, 6, FALSE)), "")</f>
        <v>120457127.90970795</v>
      </c>
      <c r="K291" s="196">
        <f>+IFERROR(IF($D291=0, VLOOKUP($C291, 'NATIONAL 2020'!$A$3:$M$40, 12, FALSE), VLOOKUP($C291, 'NFI 2020'!$C$3:$J$282, 7, FALSE)), "")</f>
        <v>12876489.486545783</v>
      </c>
      <c r="L291" s="14"/>
      <c r="M291" s="70"/>
      <c r="N291" s="70"/>
      <c r="R291" s="8"/>
      <c r="S291" s="8"/>
    </row>
    <row r="292" spans="1:19" x14ac:dyDescent="0.25">
      <c r="A292" s="26" t="s">
        <v>205</v>
      </c>
      <c r="B292" s="108" t="str">
        <f>+LEFT(C292, 2)</f>
        <v>RO</v>
      </c>
      <c r="C292" s="108" t="s">
        <v>209</v>
      </c>
      <c r="D292" s="20">
        <f>+VLOOKUP(B292, 'NATIONAL 2020'!$A$3:$B$41, 2, FALSE)</f>
        <v>1</v>
      </c>
      <c r="E292" s="181">
        <f>+IFERROR(IF($D292=0, VLOOKUP($C292, 'NATIONAL 2020'!$A$3:$M$40, 7, FALSE), VLOOKUP($C292, 'NFI 2020'!$C$3:$J$282, 2, FALSE)), "")</f>
        <v>2030233.4615068552</v>
      </c>
      <c r="F292" s="111">
        <f>+IFERROR(IF($D292=0, VLOOKUP($C292, 'NATIONAL 2020'!$A$3:$M$40, 8, FALSE), VLOOKUP($C292, 'NFI 2020'!$C$3:$J$282, 3, FALSE)), "")</f>
        <v>1702970.7283015491</v>
      </c>
      <c r="G292" s="196">
        <f>+IFERROR(IF($D292=0, VLOOKUP($C292, 'NATIONAL 2020'!$A$3:$M$40, 9, FALSE), VLOOKUP($C292, 'NFI 2020'!$C$3:$J$282, 4, FALSE)), "")</f>
        <v>327262.73320530623</v>
      </c>
      <c r="H292" s="181">
        <f>+IFERROR(IF($D292=0, VLOOKUP($C292, 'NATIONAL 2020'!$A$3:$M$40, 10, FALSE), VLOOKUP($C292, 'NFI 2020'!$C$3:$J$282, 5, FALSE)), "")</f>
        <v>423841527.72236019</v>
      </c>
      <c r="I292" s="213">
        <f>+IFERROR(IF($D292=0, VLOOKUP($C292, 'NATIONAL 2020'!$A$3:$M$40, 13, FALSE), VLOOKUP($C292, 'NFI 2020'!$C$3:$J$282, 8, FALSE)), "")</f>
        <v>208.76492076324152</v>
      </c>
      <c r="J292" s="111">
        <f>+IFERROR(IF($D292=0, VLOOKUP($C292, 'NATIONAL 2020'!$A$3:$M$40, 11, FALSE), VLOOKUP($C292, 'NFI 2020'!$C$3:$J$282, 6, FALSE)), "")</f>
        <v>350246674.19126517</v>
      </c>
      <c r="K292" s="196">
        <f>+IFERROR(IF($D292=0, VLOOKUP($C292, 'NATIONAL 2020'!$A$3:$M$40, 12, FALSE), VLOOKUP($C292, 'NFI 2020'!$C$3:$J$282, 7, FALSE)), "")</f>
        <v>73594853.531094998</v>
      </c>
      <c r="L292" s="14"/>
      <c r="M292" s="70"/>
      <c r="N292" s="70"/>
      <c r="R292" s="8"/>
      <c r="S292" s="8"/>
    </row>
    <row r="293" spans="1:19" x14ac:dyDescent="0.25">
      <c r="A293" s="26" t="s">
        <v>327</v>
      </c>
      <c r="B293" t="s">
        <v>37</v>
      </c>
      <c r="C293" t="s">
        <v>37</v>
      </c>
      <c r="D293" s="20">
        <v>0</v>
      </c>
      <c r="E293" s="181">
        <f>+IFERROR(IF($D293=0, VLOOKUP($C293, 'NATIONAL 2020'!$A$3:$M$40, 7, FALSE), VLOOKUP($C293, 'NFI 2020'!$C$3:$J$282, 2, FALSE)), "")</f>
        <v>2881756.8998089889</v>
      </c>
      <c r="F293" s="111">
        <f>+IFERROR(IF($D293=0, VLOOKUP($C293, 'NATIONAL 2020'!$A$3:$M$40, 8, FALSE), VLOOKUP($C293, 'NFI 2020'!$C$3:$J$282, 3, FALSE)), "")</f>
        <v>2662743.3754235059</v>
      </c>
      <c r="G293" s="196">
        <f>+IFERROR(IF($D293=0, VLOOKUP($C293, 'NATIONAL 2020'!$A$3:$M$40, 9, FALSE), VLOOKUP($C293, 'NFI 2020'!$C$3:$J$282, 4, FALSE)), "")</f>
        <v>219013.524385483</v>
      </c>
      <c r="H293" s="181">
        <f>+IFERROR(IF($D293=0, VLOOKUP($C293, 'NATIONAL 2020'!$A$3:$M$40, 10, FALSE), VLOOKUP($C293, 'NFI 2020'!$C$3:$J$282, 5, FALSE)), "")</f>
        <v>338748358.60701978</v>
      </c>
      <c r="I293" s="213">
        <f>+IFERROR(IF($D293=0, VLOOKUP($C293, 'NATIONAL 2020'!$A$3:$M$40, 13, FALSE), VLOOKUP($C293, 'NFI 2020'!$C$3:$J$282, 8, FALSE)), "")</f>
        <v>117.54924873415693</v>
      </c>
      <c r="J293" s="111">
        <f>+IFERROR(IF($D293=0, VLOOKUP($C293, 'NATIONAL 2020'!$A$3:$M$40, 11, FALSE), VLOOKUP($C293, 'NFI 2020'!$C$3:$J$282, 6, FALSE)), "")</f>
        <v>285666977.05496287</v>
      </c>
      <c r="K293" s="196">
        <f>+IFERROR(IF($D293=0, VLOOKUP($C293, 'NATIONAL 2020'!$A$3:$M$40, 12, FALSE), VLOOKUP($C293, 'NFI 2020'!$C$3:$J$282, 7, FALSE)), "")</f>
        <v>53081381.552056909</v>
      </c>
      <c r="L293" s="14"/>
      <c r="M293" s="70"/>
      <c r="N293" s="70"/>
      <c r="O293" s="5"/>
      <c r="R293" s="8"/>
      <c r="S293" s="8"/>
    </row>
    <row r="294" spans="1:19" x14ac:dyDescent="0.25">
      <c r="A294" s="26" t="s">
        <v>327</v>
      </c>
      <c r="B294" s="108" t="str">
        <f>+LEFT(C294, 2)</f>
        <v>RS</v>
      </c>
      <c r="C294" s="216" t="s">
        <v>425</v>
      </c>
      <c r="D294" s="20">
        <f>+VLOOKUP(B294, 'NATIONAL 2020'!$A$3:$B$41, 2, FALSE)</f>
        <v>2</v>
      </c>
      <c r="E294" s="181">
        <f>+IFERROR(IF($D294=0, VLOOKUP($C294, 'NATIONAL 2020'!$A$3:$M$40, 7, FALSE), VLOOKUP($C294, 'NFI 2020'!$C$3:$J$282, 2, FALSE)), "")</f>
        <v>50747.588565092032</v>
      </c>
      <c r="F294" s="111" t="str">
        <f>+IFERROR(IF($D294=0, VLOOKUP($C294, 'NATIONAL 2020'!$A$3:$M$40, 8, FALSE), VLOOKUP($C294, 'NFI 2020'!$C$3:$J$282, 3, FALSE)), "")</f>
        <v/>
      </c>
      <c r="G294" s="196" t="str">
        <f>+IFERROR(IF($D294=0, VLOOKUP($C294, 'NATIONAL 2020'!$A$3:$M$40, 9, FALSE), VLOOKUP($C294, 'NFI 2020'!$C$3:$J$282, 4, FALSE)), "")</f>
        <v/>
      </c>
      <c r="H294" s="181">
        <f>+IFERROR(IF($D294=0, VLOOKUP($C294, 'NATIONAL 2020'!$A$3:$M$40, 10, FALSE), VLOOKUP($C294, 'NFI 2020'!$C$3:$J$282, 5, FALSE)), "")</f>
        <v>5271140.400278938</v>
      </c>
      <c r="I294" s="213">
        <f>+IFERROR(IF($D294=0, VLOOKUP($C294, 'NATIONAL 2020'!$A$3:$M$40, 13, FALSE), VLOOKUP($C294, 'NFI 2020'!$C$3:$J$282, 8, FALSE)), "")</f>
        <v>103.8697709452311</v>
      </c>
      <c r="J294" s="111" t="str">
        <f>+IFERROR(IF($D294=0, VLOOKUP($C294, 'NATIONAL 2020'!$A$3:$M$40, 11, FALSE), VLOOKUP($C294, 'NFI 2020'!$C$3:$J$282, 6, FALSE)), "")</f>
        <v/>
      </c>
      <c r="K294" s="196" t="str">
        <f>+IFERROR(IF($D294=0, VLOOKUP($C294, 'NATIONAL 2020'!$A$3:$M$40, 12, FALSE), VLOOKUP($C294, 'NFI 2020'!$C$3:$J$282, 7, FALSE)), "")</f>
        <v/>
      </c>
      <c r="L294" s="14"/>
      <c r="M294" s="70"/>
      <c r="N294" s="70"/>
      <c r="R294" s="8"/>
      <c r="S294" s="8"/>
    </row>
    <row r="295" spans="1:19" x14ac:dyDescent="0.25">
      <c r="A295" s="26" t="s">
        <v>327</v>
      </c>
      <c r="B295" s="108" t="str">
        <f>+LEFT(C295, 2)</f>
        <v>RS</v>
      </c>
      <c r="C295" s="216" t="s">
        <v>424</v>
      </c>
      <c r="D295" s="20">
        <f>+VLOOKUP(B295, 'NATIONAL 2020'!$A$3:$B$41, 2, FALSE)</f>
        <v>2</v>
      </c>
      <c r="E295" s="181">
        <f>+IFERROR(IF($D295=0, VLOOKUP($C295, 'NATIONAL 2020'!$A$3:$M$40, 7, FALSE), VLOOKUP($C295, 'NFI 2020'!$C$3:$J$282, 2, FALSE)), "")</f>
        <v>151805.28648350737</v>
      </c>
      <c r="F295" s="111" t="str">
        <f>+IFERROR(IF($D295=0, VLOOKUP($C295, 'NATIONAL 2020'!$A$3:$M$40, 8, FALSE), VLOOKUP($C295, 'NFI 2020'!$C$3:$J$282, 3, FALSE)), "")</f>
        <v/>
      </c>
      <c r="G295" s="196" t="str">
        <f>+IFERROR(IF($D295=0, VLOOKUP($C295, 'NATIONAL 2020'!$A$3:$M$40, 9, FALSE), VLOOKUP($C295, 'NFI 2020'!$C$3:$J$282, 4, FALSE)), "")</f>
        <v/>
      </c>
      <c r="H295" s="181">
        <f>+IFERROR(IF($D295=0, VLOOKUP($C295, 'NATIONAL 2020'!$A$3:$M$40, 10, FALSE), VLOOKUP($C295, 'NFI 2020'!$C$3:$J$282, 5, FALSE)), "")</f>
        <v>20750790.559222285</v>
      </c>
      <c r="I295" s="213">
        <f>+IFERROR(IF($D295=0, VLOOKUP($C295, 'NATIONAL 2020'!$A$3:$M$40, 13, FALSE), VLOOKUP($C295, 'NFI 2020'!$C$3:$J$282, 8, FALSE)), "")</f>
        <v>136.6934646342288</v>
      </c>
      <c r="J295" s="111" t="str">
        <f>+IFERROR(IF($D295=0, VLOOKUP($C295, 'NATIONAL 2020'!$A$3:$M$40, 11, FALSE), VLOOKUP($C295, 'NFI 2020'!$C$3:$J$282, 6, FALSE)), "")</f>
        <v/>
      </c>
      <c r="K295" s="196" t="str">
        <f>+IFERROR(IF($D295=0, VLOOKUP($C295, 'NATIONAL 2020'!$A$3:$M$40, 12, FALSE), VLOOKUP($C295, 'NFI 2020'!$C$3:$J$282, 7, FALSE)), "")</f>
        <v/>
      </c>
      <c r="L295" s="14"/>
      <c r="M295" s="70"/>
      <c r="N295" s="70"/>
      <c r="O295" s="5"/>
      <c r="R295" s="8"/>
      <c r="S295" s="8"/>
    </row>
    <row r="296" spans="1:19" x14ac:dyDescent="0.25">
      <c r="A296" s="26" t="s">
        <v>327</v>
      </c>
      <c r="B296" s="108" t="str">
        <f>+LEFT(C296, 2)</f>
        <v>RS</v>
      </c>
      <c r="C296" s="216" t="s">
        <v>426</v>
      </c>
      <c r="D296" s="20">
        <f>+VLOOKUP(B296, 'NATIONAL 2020'!$A$3:$B$41, 2, FALSE)</f>
        <v>2</v>
      </c>
      <c r="E296" s="181">
        <f>+IFERROR(IF($D296=0, VLOOKUP($C296, 'NATIONAL 2020'!$A$3:$M$40, 7, FALSE), VLOOKUP($C296, 'NFI 2020'!$C$3:$J$282, 2, FALSE)), "")</f>
        <v>1047762.7121844428</v>
      </c>
      <c r="F296" s="111" t="str">
        <f>+IFERROR(IF($D296=0, VLOOKUP($C296, 'NATIONAL 2020'!$A$3:$M$40, 8, FALSE), VLOOKUP($C296, 'NFI 2020'!$C$3:$J$282, 3, FALSE)), "")</f>
        <v/>
      </c>
      <c r="G296" s="196" t="str">
        <f>+IFERROR(IF($D296=0, VLOOKUP($C296, 'NATIONAL 2020'!$A$3:$M$40, 9, FALSE), VLOOKUP($C296, 'NFI 2020'!$C$3:$J$282, 4, FALSE)), "")</f>
        <v/>
      </c>
      <c r="H296" s="181">
        <f>+IFERROR(IF($D296=0, VLOOKUP($C296, 'NATIONAL 2020'!$A$3:$M$40, 10, FALSE), VLOOKUP($C296, 'NFI 2020'!$C$3:$J$282, 5, FALSE)), "")</f>
        <v>133914020.67810203</v>
      </c>
      <c r="I296" s="213">
        <f>+IFERROR(IF($D296=0, VLOOKUP($C296, 'NATIONAL 2020'!$A$3:$M$40, 13, FALSE), VLOOKUP($C296, 'NFI 2020'!$C$3:$J$282, 8, FALSE)), "")</f>
        <v>127.80949266548102</v>
      </c>
      <c r="J296" s="111" t="str">
        <f>+IFERROR(IF($D296=0, VLOOKUP($C296, 'NATIONAL 2020'!$A$3:$M$40, 11, FALSE), VLOOKUP($C296, 'NFI 2020'!$C$3:$J$282, 6, FALSE)), "")</f>
        <v/>
      </c>
      <c r="K296" s="196" t="str">
        <f>+IFERROR(IF($D296=0, VLOOKUP($C296, 'NATIONAL 2020'!$A$3:$M$40, 12, FALSE), VLOOKUP($C296, 'NFI 2020'!$C$3:$J$282, 7, FALSE)), "")</f>
        <v/>
      </c>
      <c r="L296" s="14"/>
      <c r="M296" s="70"/>
      <c r="N296" s="70"/>
      <c r="R296" s="8"/>
      <c r="S296" s="8"/>
    </row>
    <row r="297" spans="1:19" x14ac:dyDescent="0.25">
      <c r="A297" s="26" t="s">
        <v>327</v>
      </c>
      <c r="B297" s="108" t="str">
        <f>+LEFT(C297, 2)</f>
        <v>RS</v>
      </c>
      <c r="C297" s="216" t="s">
        <v>427</v>
      </c>
      <c r="D297" s="20">
        <f>+VLOOKUP(B297, 'NATIONAL 2020'!$A$3:$B$41, 2, FALSE)</f>
        <v>2</v>
      </c>
      <c r="E297" s="181">
        <f>+IFERROR(IF($D297=0, VLOOKUP($C297, 'NATIONAL 2020'!$A$3:$M$40, 7, FALSE), VLOOKUP($C297, 'NFI 2020'!$C$3:$J$282, 2, FALSE)), "")</f>
        <v>1105947.4473495872</v>
      </c>
      <c r="F297" s="111" t="str">
        <f>+IFERROR(IF($D297=0, VLOOKUP($C297, 'NATIONAL 2020'!$A$3:$M$40, 8, FALSE), VLOOKUP($C297, 'NFI 2020'!$C$3:$J$282, 3, FALSE)), "")</f>
        <v/>
      </c>
      <c r="G297" s="196" t="str">
        <f>+IFERROR(IF($D297=0, VLOOKUP($C297, 'NATIONAL 2020'!$A$3:$M$40, 9, FALSE), VLOOKUP($C297, 'NFI 2020'!$C$3:$J$282, 4, FALSE)), "")</f>
        <v/>
      </c>
      <c r="H297" s="181">
        <f>+IFERROR(IF($D297=0, VLOOKUP($C297, 'NATIONAL 2020'!$A$3:$M$40, 10, FALSE), VLOOKUP($C297, 'NFI 2020'!$C$3:$J$282, 5, FALSE)), "")</f>
        <v>141062386.66905558</v>
      </c>
      <c r="I297" s="213">
        <f>+IFERROR(IF($D297=0, VLOOKUP($C297, 'NATIONAL 2020'!$A$3:$M$40, 13, FALSE), VLOOKUP($C297, 'NFI 2020'!$C$3:$J$282, 8, FALSE)), "")</f>
        <v>127.54890569810783</v>
      </c>
      <c r="J297" s="111" t="str">
        <f>+IFERROR(IF($D297=0, VLOOKUP($C297, 'NATIONAL 2020'!$A$3:$M$40, 11, FALSE), VLOOKUP($C297, 'NFI 2020'!$C$3:$J$282, 6, FALSE)), "")</f>
        <v/>
      </c>
      <c r="K297" s="196" t="str">
        <f>+IFERROR(IF($D297=0, VLOOKUP($C297, 'NATIONAL 2020'!$A$3:$M$40, 12, FALSE), VLOOKUP($C297, 'NFI 2020'!$C$3:$J$282, 7, FALSE)), "")</f>
        <v/>
      </c>
      <c r="L297" s="14"/>
      <c r="M297" s="70"/>
      <c r="N297" s="70"/>
      <c r="R297" s="8"/>
      <c r="S297" s="8"/>
    </row>
    <row r="298" spans="1:19" x14ac:dyDescent="0.25">
      <c r="A298" s="26" t="s">
        <v>327</v>
      </c>
      <c r="B298" s="108" t="s">
        <v>37</v>
      </c>
      <c r="C298" s="216" t="s">
        <v>428</v>
      </c>
      <c r="D298" s="20">
        <f>+VLOOKUP(B298, 'NATIONAL 2020'!$A$3:$B$41, 2, FALSE)</f>
        <v>2</v>
      </c>
      <c r="E298" s="181">
        <f>+IFERROR(IF($D298=0, VLOOKUP($C298, 'NATIONAL 2020'!$A$3:$M$40, 7, FALSE), VLOOKUP($C298, 'NFI 2020'!$C$3:$J$282, 2, FALSE)), "")</f>
        <v>525493.86522635911</v>
      </c>
      <c r="F298" s="111" t="str">
        <f>+IFERROR(IF($D298=0, VLOOKUP($C298, 'NATIONAL 2020'!$A$3:$M$40, 8, FALSE), VLOOKUP($C298, 'NFI 2020'!$C$3:$J$282, 3, FALSE)), "")</f>
        <v/>
      </c>
      <c r="G298" s="196" t="str">
        <f>+IFERROR(IF($D298=0, VLOOKUP($C298, 'NATIONAL 2020'!$A$3:$M$40, 9, FALSE), VLOOKUP($C298, 'NFI 2020'!$C$3:$J$282, 4, FALSE)), "")</f>
        <v/>
      </c>
      <c r="H298" s="181">
        <f>+IFERROR(IF($D298=0, VLOOKUP($C298, 'NATIONAL 2020'!$A$3:$M$40, 10, FALSE), VLOOKUP($C298, 'NFI 2020'!$C$3:$J$282, 5, FALSE)), "")</f>
        <v>37750020.30036094</v>
      </c>
      <c r="I298" s="213">
        <f>+IFERROR(IF($D298=0, VLOOKUP($C298, 'NATIONAL 2020'!$A$3:$M$40, 13, FALSE), VLOOKUP($C298, 'NFI 2020'!$C$3:$J$282, 8, FALSE)), "")</f>
        <v>71.837223606977659</v>
      </c>
      <c r="J298" s="111" t="str">
        <f>+IFERROR(IF($D298=0, VLOOKUP($C298, 'NATIONAL 2020'!$A$3:$M$40, 11, FALSE), VLOOKUP($C298, 'NFI 2020'!$C$3:$J$282, 6, FALSE)), "")</f>
        <v/>
      </c>
      <c r="K298" s="196" t="str">
        <f>+IFERROR(IF($D298=0, VLOOKUP($C298, 'NATIONAL 2020'!$A$3:$M$40, 12, FALSE), VLOOKUP($C298, 'NFI 2020'!$C$3:$J$282, 7, FALSE)), "")</f>
        <v/>
      </c>
      <c r="L298" s="14"/>
      <c r="M298" s="70"/>
      <c r="N298" s="70"/>
      <c r="R298" s="8"/>
      <c r="S298" s="8"/>
    </row>
    <row r="299" spans="1:19" x14ac:dyDescent="0.25">
      <c r="A299" s="26" t="s">
        <v>210</v>
      </c>
      <c r="B299" t="s">
        <v>34</v>
      </c>
      <c r="C299" t="s">
        <v>34</v>
      </c>
      <c r="D299" s="20">
        <v>0</v>
      </c>
      <c r="E299" s="181">
        <f>+IFERROR(IF($D299=0, VLOOKUP($C299, 'NATIONAL 2020'!$A$3:$M$40, 7, FALSE), VLOOKUP($C299, 'NFI 2020'!$C$3:$J$282, 2, FALSE)), "")</f>
        <v>27980000</v>
      </c>
      <c r="F299" s="111">
        <f>+IFERROR(IF($D299=0, VLOOKUP($C299, 'NATIONAL 2020'!$A$3:$M$40, 8, FALSE), VLOOKUP($C299, 'NFI 2020'!$C$3:$J$282, 3, FALSE)), "")</f>
        <v>22309455.057592653</v>
      </c>
      <c r="G299" s="196">
        <f>+IFERROR(IF($D299=0, VLOOKUP($C299, 'NATIONAL 2020'!$A$3:$M$40, 9, FALSE), VLOOKUP($C299, 'NFI 2020'!$C$3:$J$282, 4, FALSE)), "")</f>
        <v>5670544.9424073445</v>
      </c>
      <c r="H299" s="181">
        <f>+IFERROR(IF($D299=0, VLOOKUP($C299, 'NATIONAL 2020'!$A$3:$M$40, 10, FALSE), VLOOKUP($C299, 'NFI 2020'!$C$3:$J$282, 5, FALSE)), "")</f>
        <v>2091566081.5315673</v>
      </c>
      <c r="I299" s="213">
        <f>+IFERROR(IF($D299=0, VLOOKUP($C299, 'NATIONAL 2020'!$A$3:$M$40, 13, FALSE), VLOOKUP($C299, 'NFI 2020'!$C$3:$J$282, 8, FALSE)), "")</f>
        <v>74.752183042586395</v>
      </c>
      <c r="J299" s="111">
        <f>+IFERROR(IF($D299=0, VLOOKUP($C299, 'NATIONAL 2020'!$A$3:$M$40, 11, FALSE), VLOOKUP($C299, 'NFI 2020'!$C$3:$J$282, 6, FALSE)), "")</f>
        <v>1833916866.7964406</v>
      </c>
      <c r="K299" s="196">
        <f>+IFERROR(IF($D299=0, VLOOKUP($C299, 'NATIONAL 2020'!$A$3:$M$40, 12, FALSE), VLOOKUP($C299, 'NFI 2020'!$C$3:$J$282, 7, FALSE)), "")</f>
        <v>257649214.73512661</v>
      </c>
      <c r="L299" s="14"/>
      <c r="M299" s="70"/>
      <c r="N299" s="70"/>
      <c r="O299" s="5"/>
      <c r="R299" s="8"/>
      <c r="S299" s="8"/>
    </row>
    <row r="300" spans="1:19" x14ac:dyDescent="0.25">
      <c r="A300" s="26" t="s">
        <v>210</v>
      </c>
      <c r="B300" s="108" t="str">
        <f t="shared" ref="B300:B307" si="13">+LEFT(C300, 2)</f>
        <v>SE</v>
      </c>
      <c r="C300" s="108" t="s">
        <v>211</v>
      </c>
      <c r="D300" s="20">
        <f>+VLOOKUP(B300, 'NATIONAL 2020'!$A$3:$B$41, 2, FALSE)</f>
        <v>2</v>
      </c>
      <c r="E300" s="181">
        <f>+IFERROR(IF($D300=0, VLOOKUP($C300, 'NATIONAL 2020'!$A$3:$M$40, 7, FALSE), VLOOKUP($C300, 'NFI 2020'!$C$3:$J$282, 2, FALSE)), "")</f>
        <v>349134.10854131164</v>
      </c>
      <c r="F300" s="111">
        <f>+IFERROR(IF($D300=0, VLOOKUP($C300, 'NATIONAL 2020'!$A$3:$M$40, 8, FALSE), VLOOKUP($C300, 'NFI 2020'!$C$3:$J$282, 3, FALSE)), "")</f>
        <v>269506.92711631459</v>
      </c>
      <c r="G300" s="196">
        <f>+IFERROR(IF($D300=0, VLOOKUP($C300, 'NATIONAL 2020'!$A$3:$M$40, 9, FALSE), VLOOKUP($C300, 'NFI 2020'!$C$3:$J$282, 4, FALSE)), "")</f>
        <v>79627.181424997019</v>
      </c>
      <c r="H300" s="181">
        <f>+IFERROR(IF($D300=0, VLOOKUP($C300, 'NATIONAL 2020'!$A$3:$M$40, 10, FALSE), VLOOKUP($C300, 'NFI 2020'!$C$3:$J$282, 5, FALSE)), "")</f>
        <v>35056647.829056807</v>
      </c>
      <c r="I300" s="213">
        <f>+IFERROR(IF($D300=0, VLOOKUP($C300, 'NATIONAL 2020'!$A$3:$M$40, 13, FALSE), VLOOKUP($C300, 'NFI 2020'!$C$3:$J$282, 8, FALSE)), "")</f>
        <v>100.41026348162913</v>
      </c>
      <c r="J300" s="111">
        <f>+IFERROR(IF($D300=0, VLOOKUP($C300, 'NATIONAL 2020'!$A$3:$M$40, 11, FALSE), VLOOKUP($C300, 'NFI 2020'!$C$3:$J$282, 6, FALSE)), "")</f>
        <v>29601736.075721912</v>
      </c>
      <c r="K300" s="196">
        <f>+IFERROR(IF($D300=0, VLOOKUP($C300, 'NATIONAL 2020'!$A$3:$M$40, 12, FALSE), VLOOKUP($C300, 'NFI 2020'!$C$3:$J$282, 7, FALSE)), "")</f>
        <v>5454911.7533348938</v>
      </c>
      <c r="L300" s="14"/>
      <c r="M300" s="70"/>
      <c r="N300" s="70"/>
      <c r="R300" s="8"/>
      <c r="S300" s="8"/>
    </row>
    <row r="301" spans="1:19" x14ac:dyDescent="0.25">
      <c r="A301" s="26" t="s">
        <v>210</v>
      </c>
      <c r="B301" s="108" t="str">
        <f t="shared" si="13"/>
        <v>SE</v>
      </c>
      <c r="C301" s="108" t="s">
        <v>212</v>
      </c>
      <c r="D301" s="20">
        <f>+VLOOKUP(B301, 'NATIONAL 2020'!$A$3:$B$41, 2, FALSE)</f>
        <v>2</v>
      </c>
      <c r="E301" s="181">
        <f>+IFERROR(IF($D301=0, VLOOKUP($C301, 'NATIONAL 2020'!$A$3:$M$40, 7, FALSE), VLOOKUP($C301, 'NFI 2020'!$C$3:$J$282, 2, FALSE)), "")</f>
        <v>2612043.9449015046</v>
      </c>
      <c r="F301" s="111">
        <f>+IFERROR(IF($D301=0, VLOOKUP($C301, 'NATIONAL 2020'!$A$3:$M$40, 8, FALSE), VLOOKUP($C301, 'NFI 2020'!$C$3:$J$282, 3, FALSE)), "")</f>
        <v>2335050.2454145486</v>
      </c>
      <c r="G301" s="196">
        <f>+IFERROR(IF($D301=0, VLOOKUP($C301, 'NATIONAL 2020'!$A$3:$M$40, 9, FALSE), VLOOKUP($C301, 'NFI 2020'!$C$3:$J$282, 4, FALSE)), "")</f>
        <v>276993.69948695542</v>
      </c>
      <c r="H301" s="181">
        <f>+IFERROR(IF($D301=0, VLOOKUP($C301, 'NATIONAL 2020'!$A$3:$M$40, 10, FALSE), VLOOKUP($C301, 'NFI 2020'!$C$3:$J$282, 5, FALSE)), "")</f>
        <v>255063910.50828525</v>
      </c>
      <c r="I301" s="213">
        <f>+IFERROR(IF($D301=0, VLOOKUP($C301, 'NATIONAL 2020'!$A$3:$M$40, 13, FALSE), VLOOKUP($C301, 'NFI 2020'!$C$3:$J$282, 8, FALSE)), "")</f>
        <v>97.64916513221344</v>
      </c>
      <c r="J301" s="111">
        <f>+IFERROR(IF($D301=0, VLOOKUP($C301, 'NATIONAL 2020'!$A$3:$M$40, 11, FALSE), VLOOKUP($C301, 'NFI 2020'!$C$3:$J$282, 6, FALSE)), "")</f>
        <v>236713543.38664865</v>
      </c>
      <c r="K301" s="196">
        <f>+IFERROR(IF($D301=0, VLOOKUP($C301, 'NATIONAL 2020'!$A$3:$M$40, 12, FALSE), VLOOKUP($C301, 'NFI 2020'!$C$3:$J$282, 7, FALSE)), "")</f>
        <v>18350367.121636592</v>
      </c>
      <c r="L301" s="14"/>
      <c r="M301" s="70"/>
      <c r="N301" s="70"/>
      <c r="R301" s="8"/>
      <c r="S301" s="8"/>
    </row>
    <row r="302" spans="1:19" x14ac:dyDescent="0.25">
      <c r="A302" s="26" t="s">
        <v>210</v>
      </c>
      <c r="B302" s="108" t="str">
        <f t="shared" si="13"/>
        <v>SE</v>
      </c>
      <c r="C302" s="108" t="s">
        <v>213</v>
      </c>
      <c r="D302" s="20">
        <f>+VLOOKUP(B302, 'NATIONAL 2020'!$A$3:$B$41, 2, FALSE)</f>
        <v>2</v>
      </c>
      <c r="E302" s="181">
        <f>+IFERROR(IF($D302=0, VLOOKUP($C302, 'NATIONAL 2020'!$A$3:$M$40, 7, FALSE), VLOOKUP($C302, 'NFI 2020'!$C$3:$J$282, 2, FALSE)), "")</f>
        <v>2401972.208044501</v>
      </c>
      <c r="F302" s="111">
        <f>+IFERROR(IF($D302=0, VLOOKUP($C302, 'NATIONAL 2020'!$A$3:$M$40, 8, FALSE), VLOOKUP($C302, 'NFI 2020'!$C$3:$J$282, 3, FALSE)), "")</f>
        <v>2211978.8613104052</v>
      </c>
      <c r="G302" s="196">
        <f>+IFERROR(IF($D302=0, VLOOKUP($C302, 'NATIONAL 2020'!$A$3:$M$40, 9, FALSE), VLOOKUP($C302, 'NFI 2020'!$C$3:$J$282, 4, FALSE)), "")</f>
        <v>189993.34673409592</v>
      </c>
      <c r="H302" s="181">
        <f>+IFERROR(IF($D302=0, VLOOKUP($C302, 'NATIONAL 2020'!$A$3:$M$40, 10, FALSE), VLOOKUP($C302, 'NFI 2020'!$C$3:$J$282, 5, FALSE)), "")</f>
        <v>217206466.8562555</v>
      </c>
      <c r="I302" s="213">
        <f>+IFERROR(IF($D302=0, VLOOKUP($C302, 'NATIONAL 2020'!$A$3:$M$40, 13, FALSE), VLOOKUP($C302, 'NFI 2020'!$C$3:$J$282, 8, FALSE)), "")</f>
        <v>90.428384695211818</v>
      </c>
      <c r="J302" s="111">
        <f>+IFERROR(IF($D302=0, VLOOKUP($C302, 'NATIONAL 2020'!$A$3:$M$40, 11, FALSE), VLOOKUP($C302, 'NFI 2020'!$C$3:$J$282, 6, FALSE)), "")</f>
        <v>206416916.3658852</v>
      </c>
      <c r="K302" s="196">
        <f>+IFERROR(IF($D302=0, VLOOKUP($C302, 'NATIONAL 2020'!$A$3:$M$40, 12, FALSE), VLOOKUP($C302, 'NFI 2020'!$C$3:$J$282, 7, FALSE)), "")</f>
        <v>10789550.490370318</v>
      </c>
      <c r="L302" s="14"/>
      <c r="M302" s="70"/>
      <c r="N302" s="70"/>
      <c r="R302" s="8"/>
      <c r="S302" s="8"/>
    </row>
    <row r="303" spans="1:19" x14ac:dyDescent="0.25">
      <c r="A303" s="26" t="s">
        <v>210</v>
      </c>
      <c r="B303" s="108" t="str">
        <f t="shared" si="13"/>
        <v>SE</v>
      </c>
      <c r="C303" s="108" t="s">
        <v>214</v>
      </c>
      <c r="D303" s="20">
        <f>+VLOOKUP(B303, 'NATIONAL 2020'!$A$3:$B$41, 2, FALSE)</f>
        <v>2</v>
      </c>
      <c r="E303" s="181">
        <f>+IFERROR(IF($D303=0, VLOOKUP($C303, 'NATIONAL 2020'!$A$3:$M$40, 7, FALSE), VLOOKUP($C303, 'NFI 2020'!$C$3:$J$282, 2, FALSE)), "")</f>
        <v>598952.88772718178</v>
      </c>
      <c r="F303" s="111">
        <f>+IFERROR(IF($D303=0, VLOOKUP($C303, 'NATIONAL 2020'!$A$3:$M$40, 8, FALSE), VLOOKUP($C303, 'NFI 2020'!$C$3:$J$282, 3, FALSE)), "")</f>
        <v>548344.96816332452</v>
      </c>
      <c r="G303" s="196">
        <f>+IFERROR(IF($D303=0, VLOOKUP($C303, 'NATIONAL 2020'!$A$3:$M$40, 9, FALSE), VLOOKUP($C303, 'NFI 2020'!$C$3:$J$282, 4, FALSE)), "")</f>
        <v>50607.919563857322</v>
      </c>
      <c r="H303" s="181">
        <f>+IFERROR(IF($D303=0, VLOOKUP($C303, 'NATIONAL 2020'!$A$3:$M$40, 10, FALSE), VLOOKUP($C303, 'NFI 2020'!$C$3:$J$282, 5, FALSE)), "")</f>
        <v>66806171.417158157</v>
      </c>
      <c r="I303" s="213">
        <f>+IFERROR(IF($D303=0, VLOOKUP($C303, 'NATIONAL 2020'!$A$3:$M$40, 13, FALSE), VLOOKUP($C303, 'NFI 2020'!$C$3:$J$282, 8, FALSE)), "")</f>
        <v>111.53827418824939</v>
      </c>
      <c r="J303" s="111">
        <f>+IFERROR(IF($D303=0, VLOOKUP($C303, 'NATIONAL 2020'!$A$3:$M$40, 11, FALSE), VLOOKUP($C303, 'NFI 2020'!$C$3:$J$282, 6, FALSE)), "")</f>
        <v>62106606.052331582</v>
      </c>
      <c r="K303" s="196">
        <f>+IFERROR(IF($D303=0, VLOOKUP($C303, 'NATIONAL 2020'!$A$3:$M$40, 12, FALSE), VLOOKUP($C303, 'NFI 2020'!$C$3:$J$282, 7, FALSE)), "")</f>
        <v>4699565.3648265805</v>
      </c>
      <c r="L303" s="14"/>
      <c r="M303" s="70"/>
      <c r="N303" s="70"/>
      <c r="R303" s="8"/>
      <c r="S303" s="8"/>
    </row>
    <row r="304" spans="1:19" x14ac:dyDescent="0.25">
      <c r="A304" s="26" t="s">
        <v>210</v>
      </c>
      <c r="B304" s="108" t="str">
        <f t="shared" si="13"/>
        <v>SE</v>
      </c>
      <c r="C304" s="108" t="s">
        <v>215</v>
      </c>
      <c r="D304" s="20">
        <f>+VLOOKUP(B304, 'NATIONAL 2020'!$A$3:$B$41, 2, FALSE)</f>
        <v>2</v>
      </c>
      <c r="E304" s="181">
        <f>+IFERROR(IF($D304=0, VLOOKUP($C304, 'NATIONAL 2020'!$A$3:$M$40, 7, FALSE), VLOOKUP($C304, 'NFI 2020'!$C$3:$J$282, 2, FALSE)), "")</f>
        <v>1822442.2681256935</v>
      </c>
      <c r="F304" s="111">
        <f>+IFERROR(IF($D304=0, VLOOKUP($C304, 'NATIONAL 2020'!$A$3:$M$40, 8, FALSE), VLOOKUP($C304, 'NFI 2020'!$C$3:$J$282, 3, FALSE)), "")</f>
        <v>1599904.0253513732</v>
      </c>
      <c r="G304" s="196">
        <f>+IFERROR(IF($D304=0, VLOOKUP($C304, 'NATIONAL 2020'!$A$3:$M$40, 9, FALSE), VLOOKUP($C304, 'NFI 2020'!$C$3:$J$282, 4, FALSE)), "")</f>
        <v>222538.24277432018</v>
      </c>
      <c r="H304" s="181">
        <f>+IFERROR(IF($D304=0, VLOOKUP($C304, 'NATIONAL 2020'!$A$3:$M$40, 10, FALSE), VLOOKUP($C304, 'NFI 2020'!$C$3:$J$282, 5, FALSE)), "")</f>
        <v>188421968.84692723</v>
      </c>
      <c r="I304" s="213">
        <f>+IFERROR(IF($D304=0, VLOOKUP($C304, 'NATIONAL 2020'!$A$3:$M$40, 13, FALSE), VLOOKUP($C304, 'NFI 2020'!$C$3:$J$282, 8, FALSE)), "")</f>
        <v>103.38981494360939</v>
      </c>
      <c r="J304" s="111">
        <f>+IFERROR(IF($D304=0, VLOOKUP($C304, 'NATIONAL 2020'!$A$3:$M$40, 11, FALSE), VLOOKUP($C304, 'NFI 2020'!$C$3:$J$282, 6, FALSE)), "")</f>
        <v>175727467.34334919</v>
      </c>
      <c r="K304" s="196">
        <f>+IFERROR(IF($D304=0, VLOOKUP($C304, 'NATIONAL 2020'!$A$3:$M$40, 12, FALSE), VLOOKUP($C304, 'NFI 2020'!$C$3:$J$282, 7, FALSE)), "")</f>
        <v>12694501.503578039</v>
      </c>
      <c r="L304" s="14"/>
      <c r="M304" s="70"/>
      <c r="N304" s="70"/>
      <c r="R304" s="8"/>
      <c r="S304" s="8"/>
    </row>
    <row r="305" spans="1:19" x14ac:dyDescent="0.25">
      <c r="A305" s="26" t="s">
        <v>210</v>
      </c>
      <c r="B305" s="108" t="str">
        <f t="shared" si="13"/>
        <v>SE</v>
      </c>
      <c r="C305" s="108" t="s">
        <v>216</v>
      </c>
      <c r="D305" s="20">
        <f>+VLOOKUP(B305, 'NATIONAL 2020'!$A$3:$B$41, 2, FALSE)</f>
        <v>2</v>
      </c>
      <c r="E305" s="181">
        <f>+IFERROR(IF($D305=0, VLOOKUP($C305, 'NATIONAL 2020'!$A$3:$M$40, 7, FALSE), VLOOKUP($C305, 'NFI 2020'!$C$3:$J$282, 2, FALSE)), "")</f>
        <v>5391211.2730831234</v>
      </c>
      <c r="F305" s="111">
        <f>+IFERROR(IF($D305=0, VLOOKUP($C305, 'NATIONAL 2020'!$A$3:$M$40, 8, FALSE), VLOOKUP($C305, 'NFI 2020'!$C$3:$J$282, 3, FALSE)), "")</f>
        <v>4699829.6727606179</v>
      </c>
      <c r="G305" s="196">
        <f>+IFERROR(IF($D305=0, VLOOKUP($C305, 'NATIONAL 2020'!$A$3:$M$40, 9, FALSE), VLOOKUP($C305, 'NFI 2020'!$C$3:$J$282, 4, FALSE)), "")</f>
        <v>691381.60032250488</v>
      </c>
      <c r="H305" s="181">
        <f>+IFERROR(IF($D305=0, VLOOKUP($C305, 'NATIONAL 2020'!$A$3:$M$40, 10, FALSE), VLOOKUP($C305, 'NFI 2020'!$C$3:$J$282, 5, FALSE)), "")</f>
        <v>416187706.10309935</v>
      </c>
      <c r="I305" s="213">
        <f>+IFERROR(IF($D305=0, VLOOKUP($C305, 'NATIONAL 2020'!$A$3:$M$40, 13, FALSE), VLOOKUP($C305, 'NFI 2020'!$C$3:$J$282, 8, FALSE)), "")</f>
        <v>77.197439503254728</v>
      </c>
      <c r="J305" s="111">
        <f>+IFERROR(IF($D305=0, VLOOKUP($C305, 'NATIONAL 2020'!$A$3:$M$40, 11, FALSE), VLOOKUP($C305, 'NFI 2020'!$C$3:$J$282, 6, FALSE)), "")</f>
        <v>384290245.7359879</v>
      </c>
      <c r="K305" s="196">
        <f>+IFERROR(IF($D305=0, VLOOKUP($C305, 'NATIONAL 2020'!$A$3:$M$40, 12, FALSE), VLOOKUP($C305, 'NFI 2020'!$C$3:$J$282, 7, FALSE)), "")</f>
        <v>31897460.367111392</v>
      </c>
      <c r="L305" s="14"/>
      <c r="M305" s="70"/>
      <c r="N305" s="70"/>
      <c r="O305" s="5"/>
      <c r="R305" s="8"/>
      <c r="S305" s="8"/>
    </row>
    <row r="306" spans="1:19" x14ac:dyDescent="0.25">
      <c r="A306" s="26" t="s">
        <v>210</v>
      </c>
      <c r="B306" s="108" t="str">
        <f t="shared" si="13"/>
        <v>SE</v>
      </c>
      <c r="C306" s="108" t="s">
        <v>217</v>
      </c>
      <c r="D306" s="20">
        <f>+VLOOKUP(B306, 'NATIONAL 2020'!$A$3:$B$41, 2, FALSE)</f>
        <v>2</v>
      </c>
      <c r="E306" s="181">
        <f>+IFERROR(IF($D306=0, VLOOKUP($C306, 'NATIONAL 2020'!$A$3:$M$40, 7, FALSE), VLOOKUP($C306, 'NFI 2020'!$C$3:$J$282, 2, FALSE)), "")</f>
        <v>5263948.4467453361</v>
      </c>
      <c r="F306" s="111">
        <f>+IFERROR(IF($D306=0, VLOOKUP($C306, 'NATIONAL 2020'!$A$3:$M$40, 8, FALSE), VLOOKUP($C306, 'NFI 2020'!$C$3:$J$282, 3, FALSE)), "")</f>
        <v>4217316.0675735623</v>
      </c>
      <c r="G306" s="196">
        <f>+IFERROR(IF($D306=0, VLOOKUP($C306, 'NATIONAL 2020'!$A$3:$M$40, 9, FALSE), VLOOKUP($C306, 'NFI 2020'!$C$3:$J$282, 4, FALSE)), "")</f>
        <v>1046632.3791717739</v>
      </c>
      <c r="H306" s="181">
        <f>+IFERROR(IF($D306=0, VLOOKUP($C306, 'NATIONAL 2020'!$A$3:$M$40, 10, FALSE), VLOOKUP($C306, 'NFI 2020'!$C$3:$J$282, 5, FALSE)), "")</f>
        <v>395814771.33264965</v>
      </c>
      <c r="I306" s="213">
        <f>+IFERROR(IF($D306=0, VLOOKUP($C306, 'NATIONAL 2020'!$A$3:$M$40, 13, FALSE), VLOOKUP($C306, 'NFI 2020'!$C$3:$J$282, 8, FALSE)), "")</f>
        <v>75.193512120617228</v>
      </c>
      <c r="J306" s="111">
        <f>+IFERROR(IF($D306=0, VLOOKUP($C306, 'NATIONAL 2020'!$A$3:$M$40, 11, FALSE), VLOOKUP($C306, 'NFI 2020'!$C$3:$J$282, 6, FALSE)), "")</f>
        <v>345595266.83741814</v>
      </c>
      <c r="K306" s="196">
        <f>+IFERROR(IF($D306=0, VLOOKUP($C306, 'NATIONAL 2020'!$A$3:$M$40, 12, FALSE), VLOOKUP($C306, 'NFI 2020'!$C$3:$J$282, 7, FALSE)), "")</f>
        <v>50219504.495231479</v>
      </c>
      <c r="L306" s="14"/>
      <c r="M306" s="70"/>
      <c r="N306" s="70"/>
      <c r="R306" s="8"/>
      <c r="S306" s="8"/>
    </row>
    <row r="307" spans="1:19" x14ac:dyDescent="0.25">
      <c r="A307" s="26" t="s">
        <v>210</v>
      </c>
      <c r="B307" s="108" t="str">
        <f t="shared" si="13"/>
        <v>SE</v>
      </c>
      <c r="C307" s="108" t="s">
        <v>218</v>
      </c>
      <c r="D307" s="20">
        <f>+VLOOKUP(B307, 'NATIONAL 2020'!$A$3:$B$41, 2, FALSE)</f>
        <v>2</v>
      </c>
      <c r="E307" s="181">
        <f>+IFERROR(IF($D307=0, VLOOKUP($C307, 'NATIONAL 2020'!$A$3:$M$40, 7, FALSE), VLOOKUP($C307, 'NFI 2020'!$C$3:$J$282, 2, FALSE)), "")</f>
        <v>9540294.8628313486</v>
      </c>
      <c r="F307" s="111">
        <f>+IFERROR(IF($D307=0, VLOOKUP($C307, 'NATIONAL 2020'!$A$3:$M$40, 8, FALSE), VLOOKUP($C307, 'NFI 2020'!$C$3:$J$282, 3, FALSE)), "")</f>
        <v>6427524.2899025073</v>
      </c>
      <c r="G307" s="196">
        <f>+IFERROR(IF($D307=0, VLOOKUP($C307, 'NATIONAL 2020'!$A$3:$M$40, 9, FALSE), VLOOKUP($C307, 'NFI 2020'!$C$3:$J$282, 4, FALSE)), "")</f>
        <v>3112770.5729288398</v>
      </c>
      <c r="H307" s="181">
        <f>+IFERROR(IF($D307=0, VLOOKUP($C307, 'NATIONAL 2020'!$A$3:$M$40, 10, FALSE), VLOOKUP($C307, 'NFI 2020'!$C$3:$J$282, 5, FALSE)), "")</f>
        <v>517008438.63813537</v>
      </c>
      <c r="I307" s="213">
        <f>+IFERROR(IF($D307=0, VLOOKUP($C307, 'NATIONAL 2020'!$A$3:$M$40, 13, FALSE), VLOOKUP($C307, 'NFI 2020'!$C$3:$J$282, 8, FALSE)), "")</f>
        <v>54.192081698898214</v>
      </c>
      <c r="J307" s="111">
        <f>+IFERROR(IF($D307=0, VLOOKUP($C307, 'NATIONAL 2020'!$A$3:$M$40, 11, FALSE), VLOOKUP($C307, 'NFI 2020'!$C$3:$J$282, 6, FALSE)), "")</f>
        <v>393465084.99909806</v>
      </c>
      <c r="K307" s="196">
        <f>+IFERROR(IF($D307=0, VLOOKUP($C307, 'NATIONAL 2020'!$A$3:$M$40, 12, FALSE), VLOOKUP($C307, 'NFI 2020'!$C$3:$J$282, 7, FALSE)), "")</f>
        <v>123543353.63903733</v>
      </c>
      <c r="L307" s="14"/>
      <c r="M307" s="70"/>
      <c r="N307" s="70"/>
      <c r="R307" s="8"/>
      <c r="S307" s="8"/>
    </row>
    <row r="308" spans="1:19" x14ac:dyDescent="0.25">
      <c r="A308" s="26" t="s">
        <v>251</v>
      </c>
      <c r="B308" t="s">
        <v>35</v>
      </c>
      <c r="C308" t="s">
        <v>35</v>
      </c>
      <c r="D308" s="20">
        <v>0</v>
      </c>
      <c r="E308" s="181">
        <f>+IFERROR(IF($D308=0, VLOOKUP($C308, 'NATIONAL 2020'!$A$3:$M$40, 7, FALSE), VLOOKUP($C308, 'NFI 2020'!$C$3:$J$282, 2, FALSE)), "")</f>
        <v>1237830</v>
      </c>
      <c r="F308" s="111">
        <f>+IFERROR(IF($D308=0, VLOOKUP($C308, 'NATIONAL 2020'!$A$3:$M$40, 8, FALSE), VLOOKUP($C308, 'NFI 2020'!$C$3:$J$282, 3, FALSE)), "")</f>
        <v>1117304.5099444604</v>
      </c>
      <c r="G308" s="196">
        <f>+IFERROR(IF($D308=0, VLOOKUP($C308, 'NATIONAL 2020'!$A$3:$M$40, 9, FALSE), VLOOKUP($C308, 'NFI 2020'!$C$3:$J$282, 4, FALSE)), "")</f>
        <v>120525.49005553967</v>
      </c>
      <c r="H308" s="181">
        <f>+IFERROR(IF($D308=0, VLOOKUP($C308, 'NATIONAL 2020'!$A$3:$M$40, 10, FALSE), VLOOKUP($C308, 'NFI 2020'!$C$3:$J$282, 5, FALSE)), "")</f>
        <v>264647868.77080974</v>
      </c>
      <c r="I308" s="213">
        <f>+IFERROR(IF($D308=0, VLOOKUP($C308, 'NATIONAL 2020'!$A$3:$M$40, 13, FALSE), VLOOKUP($C308, 'NFI 2020'!$C$3:$J$282, 8, FALSE)), "")</f>
        <v>213.79985035975031</v>
      </c>
      <c r="J308" s="111">
        <f>+IFERROR(IF($D308=0, VLOOKUP($C308, 'NATIONAL 2020'!$A$3:$M$40, 11, FALSE), VLOOKUP($C308, 'NFI 2020'!$C$3:$J$282, 6, FALSE)), "")</f>
        <v>243492586.06909579</v>
      </c>
      <c r="K308" s="196">
        <f>+IFERROR(IF($D308=0, VLOOKUP($C308, 'NATIONAL 2020'!$A$3:$M$40, 12, FALSE), VLOOKUP($C308, 'NFI 2020'!$C$3:$J$282, 7, FALSE)), "")</f>
        <v>21155282.701713968</v>
      </c>
      <c r="L308" s="14"/>
      <c r="M308" s="70"/>
      <c r="N308" s="70"/>
      <c r="O308" s="5"/>
      <c r="R308" s="8"/>
      <c r="S308" s="8"/>
    </row>
    <row r="309" spans="1:19" x14ac:dyDescent="0.25">
      <c r="A309" s="26" t="s">
        <v>251</v>
      </c>
      <c r="B309" s="108" t="str">
        <f>+LEFT(C309, 2)</f>
        <v>SI</v>
      </c>
      <c r="C309" s="22" t="s">
        <v>299</v>
      </c>
      <c r="D309" s="20">
        <f>+VLOOKUP(B309, 'NATIONAL 2020'!$A$3:$B$41, 2, FALSE)</f>
        <v>1</v>
      </c>
      <c r="E309" s="181">
        <f>+IFERROR(IF($D309=0, VLOOKUP($C309, 'NATIONAL 2020'!$A$3:$M$40, 7, FALSE), VLOOKUP($C309, 'NFI 2020'!$C$3:$J$282, 2, FALSE)), "")</f>
        <v>737820.65158057422</v>
      </c>
      <c r="F309" s="111">
        <f>+IFERROR(IF($D309=0, VLOOKUP($C309, 'NATIONAL 2020'!$A$3:$M$40, 8, FALSE), VLOOKUP($C309, 'NFI 2020'!$C$3:$J$282, 3, FALSE)), "")</f>
        <v>697102.58061586483</v>
      </c>
      <c r="G309" s="196">
        <f>+IFERROR(IF($D309=0, VLOOKUP($C309, 'NATIONAL 2020'!$A$3:$M$40, 9, FALSE), VLOOKUP($C309, 'NFI 2020'!$C$3:$J$282, 4, FALSE)), "")</f>
        <v>40718.070964709383</v>
      </c>
      <c r="H309" s="181">
        <f>+IFERROR(IF($D309=0, VLOOKUP($C309, 'NATIONAL 2020'!$A$3:$M$40, 10, FALSE), VLOOKUP($C309, 'NFI 2020'!$C$3:$J$282, 5, FALSE)), "")</f>
        <v>169649326.52834669</v>
      </c>
      <c r="I309" s="213">
        <f>+IFERROR(IF($D309=0, VLOOKUP($C309, 'NATIONAL 2020'!$A$3:$M$40, 13, FALSE), VLOOKUP($C309, 'NFI 2020'!$C$3:$J$282, 8, FALSE)), "")</f>
        <v>229.93301443232917</v>
      </c>
      <c r="J309" s="111">
        <f>+IFERROR(IF($D309=0, VLOOKUP($C309, 'NATIONAL 2020'!$A$3:$M$40, 11, FALSE), VLOOKUP($C309, 'NFI 2020'!$C$3:$J$282, 6, FALSE)), "")</f>
        <v>161594214.71129671</v>
      </c>
      <c r="K309" s="196">
        <f>+IFERROR(IF($D309=0, VLOOKUP($C309, 'NATIONAL 2020'!$A$3:$M$40, 12, FALSE), VLOOKUP($C309, 'NFI 2020'!$C$3:$J$282, 7, FALSE)), "")</f>
        <v>8055111.8170500062</v>
      </c>
      <c r="L309" s="14"/>
      <c r="M309" s="70"/>
      <c r="N309" s="70"/>
      <c r="O309" s="5"/>
      <c r="R309" s="8"/>
      <c r="S309" s="8"/>
    </row>
    <row r="310" spans="1:19" x14ac:dyDescent="0.25">
      <c r="A310" s="26" t="s">
        <v>251</v>
      </c>
      <c r="B310" s="108" t="str">
        <f>+LEFT(C310, 2)</f>
        <v>SI</v>
      </c>
      <c r="C310" s="22" t="s">
        <v>298</v>
      </c>
      <c r="D310" s="20">
        <f>+VLOOKUP(B310, 'NATIONAL 2020'!$A$3:$B$41, 2, FALSE)</f>
        <v>1</v>
      </c>
      <c r="E310" s="181">
        <f>+IFERROR(IF($D310=0, VLOOKUP($C310, 'NATIONAL 2020'!$A$3:$M$40, 7, FALSE), VLOOKUP($C310, 'NFI 2020'!$C$3:$J$282, 2, FALSE)), "")</f>
        <v>500009.34841942572</v>
      </c>
      <c r="F310" s="111">
        <f>+IFERROR(IF($D310=0, VLOOKUP($C310, 'NATIONAL 2020'!$A$3:$M$40, 8, FALSE), VLOOKUP($C310, 'NFI 2020'!$C$3:$J$282, 3, FALSE)), "")</f>
        <v>420201.92932859546</v>
      </c>
      <c r="G310" s="196">
        <f>+IFERROR(IF($D310=0, VLOOKUP($C310, 'NATIONAL 2020'!$A$3:$M$40, 9, FALSE), VLOOKUP($C310, 'NFI 2020'!$C$3:$J$282, 4, FALSE)), "")</f>
        <v>79807.419090830299</v>
      </c>
      <c r="H310" s="181">
        <f>+IFERROR(IF($D310=0, VLOOKUP($C310, 'NATIONAL 2020'!$A$3:$M$40, 10, FALSE), VLOOKUP($C310, 'NFI 2020'!$C$3:$J$282, 5, FALSE)), "")</f>
        <v>94998542.242463052</v>
      </c>
      <c r="I310" s="213">
        <f>+IFERROR(IF($D310=0, VLOOKUP($C310, 'NATIONAL 2020'!$A$3:$M$40, 13, FALSE), VLOOKUP($C310, 'NFI 2020'!$C$3:$J$282, 8, FALSE)), "")</f>
        <v>189.99353220647163</v>
      </c>
      <c r="J310" s="111">
        <f>+IFERROR(IF($D310=0, VLOOKUP($C310, 'NATIONAL 2020'!$A$3:$M$40, 11, FALSE), VLOOKUP($C310, 'NFI 2020'!$C$3:$J$282, 6, FALSE)), "")</f>
        <v>81898371.357799083</v>
      </c>
      <c r="K310" s="196">
        <f>+IFERROR(IF($D310=0, VLOOKUP($C310, 'NATIONAL 2020'!$A$3:$M$40, 12, FALSE), VLOOKUP($C310, 'NFI 2020'!$C$3:$J$282, 7, FALSE)), "")</f>
        <v>13100170.884663962</v>
      </c>
      <c r="L310" s="14"/>
      <c r="M310" s="70"/>
      <c r="N310" s="70"/>
      <c r="R310" s="8"/>
      <c r="S310" s="8"/>
    </row>
    <row r="311" spans="1:19" x14ac:dyDescent="0.25">
      <c r="A311" s="26" t="s">
        <v>250</v>
      </c>
      <c r="B311" t="s">
        <v>36</v>
      </c>
      <c r="C311" t="s">
        <v>36</v>
      </c>
      <c r="D311" s="20">
        <v>0</v>
      </c>
      <c r="E311" s="181">
        <f>+IFERROR(IF($D311=0, VLOOKUP($C311, 'NATIONAL 2020'!$A$3:$M$40, 7, FALSE), VLOOKUP($C311, 'NFI 2020'!$C$3:$J$282, 2, FALSE)), "")</f>
        <v>2187363.5332456068</v>
      </c>
      <c r="F311" s="111">
        <f>+IFERROR(IF($D311=0, VLOOKUP($C311, 'NATIONAL 2020'!$A$3:$M$40, 8, FALSE), VLOOKUP($C311, 'NFI 2020'!$C$3:$J$282, 3, FALSE)), "")</f>
        <v>1989695.9241886388</v>
      </c>
      <c r="G311" s="196">
        <f>+IFERROR(IF($D311=0, VLOOKUP($C311, 'NATIONAL 2020'!$A$3:$M$40, 9, FALSE), VLOOKUP($C311, 'NFI 2020'!$C$3:$J$282, 4, FALSE)), "")</f>
        <v>197667.60905696813</v>
      </c>
      <c r="H311" s="181">
        <f>+IFERROR(IF($D311=0, VLOOKUP($C311, 'NATIONAL 2020'!$A$3:$M$40, 10, FALSE), VLOOKUP($C311, 'NFI 2020'!$C$3:$J$282, 5, FALSE)), "")</f>
        <v>471393310.71993983</v>
      </c>
      <c r="I311" s="213">
        <f>+IFERROR(IF($D311=0, VLOOKUP($C311, 'NATIONAL 2020'!$A$3:$M$40, 13, FALSE), VLOOKUP($C311, 'NFI 2020'!$C$3:$J$282, 8, FALSE)), "")</f>
        <v>215.50752929509031</v>
      </c>
      <c r="J311" s="111">
        <f>+IFERROR(IF($D311=0, VLOOKUP($C311, 'NATIONAL 2020'!$A$3:$M$40, 11, FALSE), VLOOKUP($C311, 'NFI 2020'!$C$3:$J$282, 6, FALSE)), "")</f>
        <v>438194846.97641778</v>
      </c>
      <c r="K311" s="196">
        <f>+IFERROR(IF($D311=0, VLOOKUP($C311, 'NATIONAL 2020'!$A$3:$M$40, 12, FALSE), VLOOKUP($C311, 'NFI 2020'!$C$3:$J$282, 7, FALSE)), "")</f>
        <v>33198463.743522044</v>
      </c>
      <c r="L311" s="14"/>
      <c r="M311" s="70"/>
      <c r="N311" s="70"/>
      <c r="O311" s="5"/>
      <c r="R311" s="8"/>
      <c r="S311" s="8"/>
    </row>
    <row r="312" spans="1:19" x14ac:dyDescent="0.25">
      <c r="A312" s="26" t="s">
        <v>250</v>
      </c>
      <c r="B312" s="108" t="str">
        <f t="shared" ref="B312:B319" si="14">+LEFT(C312, 2)</f>
        <v>SK</v>
      </c>
      <c r="C312" s="108" t="s">
        <v>303</v>
      </c>
      <c r="D312" s="20">
        <f>+VLOOKUP(B312, 'NATIONAL 2020'!$A$3:$B$41, 2, FALSE)</f>
        <v>3</v>
      </c>
      <c r="E312" s="181">
        <f>+IFERROR(IF($D312=0, VLOOKUP($C312, 'NATIONAL 2020'!$A$3:$M$40, 7, FALSE), VLOOKUP($C312, 'NFI 2020'!$C$3:$J$282, 2, FALSE)), "")</f>
        <v>77833.771849501267</v>
      </c>
      <c r="F312" s="111">
        <f>+IFERROR(IF($D312=0, VLOOKUP($C312, 'NATIONAL 2020'!$A$3:$M$40, 8, FALSE), VLOOKUP($C312, 'NFI 2020'!$C$3:$J$282, 3, FALSE)), "")</f>
        <v>73012.610652989839</v>
      </c>
      <c r="G312" s="196">
        <f>+IFERROR(IF($D312=0, VLOOKUP($C312, 'NATIONAL 2020'!$A$3:$M$40, 9, FALSE), VLOOKUP($C312, 'NFI 2020'!$C$3:$J$282, 4, FALSE)), "")</f>
        <v>4821.161196511418</v>
      </c>
      <c r="H312" s="181">
        <f>+IFERROR(IF($D312=0, VLOOKUP($C312, 'NATIONAL 2020'!$A$3:$M$40, 10, FALSE), VLOOKUP($C312, 'NFI 2020'!$C$3:$J$282, 5, FALSE)), "")</f>
        <v>17994257.671273615</v>
      </c>
      <c r="I312" s="213">
        <f>+IFERROR(IF($D312=0, VLOOKUP($C312, 'NATIONAL 2020'!$A$3:$M$40, 13, FALSE), VLOOKUP($C312, 'NFI 2020'!$C$3:$J$282, 8, FALSE)), "")</f>
        <v>231.18830353059545</v>
      </c>
      <c r="J312" s="111">
        <f>+IFERROR(IF($D312=0, VLOOKUP($C312, 'NATIONAL 2020'!$A$3:$M$40, 11, FALSE), VLOOKUP($C312, 'NFI 2020'!$C$3:$J$282, 6, FALSE)), "")</f>
        <v>16243845.506436599</v>
      </c>
      <c r="K312" s="196">
        <f>+IFERROR(IF($D312=0, VLOOKUP($C312, 'NATIONAL 2020'!$A$3:$M$40, 12, FALSE), VLOOKUP($C312, 'NFI 2020'!$C$3:$J$282, 7, FALSE)), "")</f>
        <v>1750412.164837016</v>
      </c>
      <c r="L312" s="14"/>
      <c r="M312" s="70"/>
      <c r="N312" s="70"/>
      <c r="R312" s="8"/>
      <c r="S312" s="8"/>
    </row>
    <row r="313" spans="1:19" x14ac:dyDescent="0.25">
      <c r="A313" s="26" t="s">
        <v>250</v>
      </c>
      <c r="B313" s="108" t="str">
        <f t="shared" si="14"/>
        <v>SK</v>
      </c>
      <c r="C313" s="108" t="s">
        <v>304</v>
      </c>
      <c r="D313" s="20">
        <f>+VLOOKUP(B313, 'NATIONAL 2020'!$A$3:$B$41, 2, FALSE)</f>
        <v>3</v>
      </c>
      <c r="E313" s="181">
        <f>+IFERROR(IF($D313=0, VLOOKUP($C313, 'NATIONAL 2020'!$A$3:$M$40, 7, FALSE), VLOOKUP($C313, 'NFI 2020'!$C$3:$J$282, 2, FALSE)), "")</f>
        <v>65152.707958596598</v>
      </c>
      <c r="F313" s="111">
        <f>+IFERROR(IF($D313=0, VLOOKUP($C313, 'NATIONAL 2020'!$A$3:$M$40, 8, FALSE), VLOOKUP($C313, 'NFI 2020'!$C$3:$J$282, 3, FALSE)), "")</f>
        <v>57117.43929774424</v>
      </c>
      <c r="G313" s="196">
        <f>+IFERROR(IF($D313=0, VLOOKUP($C313, 'NATIONAL 2020'!$A$3:$M$40, 9, FALSE), VLOOKUP($C313, 'NFI 2020'!$C$3:$J$282, 4, FALSE)), "")</f>
        <v>8035.2686608523554</v>
      </c>
      <c r="H313" s="181">
        <f>+IFERROR(IF($D313=0, VLOOKUP($C313, 'NATIONAL 2020'!$A$3:$M$40, 10, FALSE), VLOOKUP($C313, 'NFI 2020'!$C$3:$J$282, 5, FALSE)), "")</f>
        <v>15933834.692176653</v>
      </c>
      <c r="I313" s="213">
        <f>+IFERROR(IF($D313=0, VLOOKUP($C313, 'NATIONAL 2020'!$A$3:$M$40, 13, FALSE), VLOOKUP($C313, 'NFI 2020'!$C$3:$J$282, 8, FALSE)), "")</f>
        <v>244.56135733149151</v>
      </c>
      <c r="J313" s="111">
        <f>+IFERROR(IF($D313=0, VLOOKUP($C313, 'NATIONAL 2020'!$A$3:$M$40, 11, FALSE), VLOOKUP($C313, 'NFI 2020'!$C$3:$J$282, 6, FALSE)), "")</f>
        <v>14532164.082132233</v>
      </c>
      <c r="K313" s="196">
        <f>+IFERROR(IF($D313=0, VLOOKUP($C313, 'NATIONAL 2020'!$A$3:$M$40, 12, FALSE), VLOOKUP($C313, 'NFI 2020'!$C$3:$J$282, 7, FALSE)), "")</f>
        <v>1401670.6100444198</v>
      </c>
      <c r="L313" s="14"/>
      <c r="M313" s="70"/>
      <c r="N313" s="70"/>
      <c r="R313" s="8"/>
      <c r="S313" s="8"/>
    </row>
    <row r="314" spans="1:19" x14ac:dyDescent="0.25">
      <c r="A314" s="26" t="s">
        <v>250</v>
      </c>
      <c r="B314" s="108" t="str">
        <f t="shared" si="14"/>
        <v>SK</v>
      </c>
      <c r="C314" s="108" t="s">
        <v>305</v>
      </c>
      <c r="D314" s="20">
        <f>+VLOOKUP(B314, 'NATIONAL 2020'!$A$3:$B$41, 2, FALSE)</f>
        <v>3</v>
      </c>
      <c r="E314" s="181">
        <f>+IFERROR(IF($D314=0, VLOOKUP($C314, 'NATIONAL 2020'!$A$3:$M$40, 7, FALSE), VLOOKUP($C314, 'NFI 2020'!$C$3:$J$282, 2, FALSE)), "")</f>
        <v>246124.96126863165</v>
      </c>
      <c r="F314" s="111">
        <f>+IFERROR(IF($D314=0, VLOOKUP($C314, 'NATIONAL 2020'!$A$3:$M$40, 8, FALSE), VLOOKUP($C314, 'NFI 2020'!$C$3:$J$282, 3, FALSE)), "")</f>
        <v>225233.26275041554</v>
      </c>
      <c r="G314" s="196">
        <f>+IFERROR(IF($D314=0, VLOOKUP($C314, 'NATIONAL 2020'!$A$3:$M$40, 9, FALSE), VLOOKUP($C314, 'NFI 2020'!$C$3:$J$282, 4, FALSE)), "")</f>
        <v>20891.69851821613</v>
      </c>
      <c r="H314" s="181">
        <f>+IFERROR(IF($D314=0, VLOOKUP($C314, 'NATIONAL 2020'!$A$3:$M$40, 10, FALSE), VLOOKUP($C314, 'NFI 2020'!$C$3:$J$282, 5, FALSE)), "")</f>
        <v>62485250.587908432</v>
      </c>
      <c r="I314" s="213">
        <f>+IFERROR(IF($D314=0, VLOOKUP($C314, 'NATIONAL 2020'!$A$3:$M$40, 13, FALSE), VLOOKUP($C314, 'NFI 2020'!$C$3:$J$282, 8, FALSE)), "")</f>
        <v>253.87612156781316</v>
      </c>
      <c r="J314" s="111">
        <f>+IFERROR(IF($D314=0, VLOOKUP($C314, 'NATIONAL 2020'!$A$3:$M$40, 11, FALSE), VLOOKUP($C314, 'NFI 2020'!$C$3:$J$282, 6, FALSE)), "")</f>
        <v>58486316.61701297</v>
      </c>
      <c r="K314" s="196">
        <f>+IFERROR(IF($D314=0, VLOOKUP($C314, 'NATIONAL 2020'!$A$3:$M$40, 12, FALSE), VLOOKUP($C314, 'NFI 2020'!$C$3:$J$282, 7, FALSE)), "")</f>
        <v>3998933.9708954603</v>
      </c>
      <c r="L314" s="14"/>
      <c r="M314" s="70"/>
      <c r="N314" s="70"/>
      <c r="R314" s="8"/>
      <c r="S314" s="8"/>
    </row>
    <row r="315" spans="1:19" x14ac:dyDescent="0.25">
      <c r="A315" s="26" t="s">
        <v>250</v>
      </c>
      <c r="B315" s="108" t="str">
        <f t="shared" si="14"/>
        <v>SK</v>
      </c>
      <c r="C315" s="108" t="s">
        <v>306</v>
      </c>
      <c r="D315" s="20">
        <f>+VLOOKUP(B315, 'NATIONAL 2020'!$A$3:$B$41, 2, FALSE)</f>
        <v>3</v>
      </c>
      <c r="E315" s="181">
        <f>+IFERROR(IF($D315=0, VLOOKUP($C315, 'NATIONAL 2020'!$A$3:$M$40, 7, FALSE), VLOOKUP($C315, 'NFI 2020'!$C$3:$J$282, 2, FALSE)), "")</f>
        <v>90584.784902151572</v>
      </c>
      <c r="F315" s="111">
        <f>+IFERROR(IF($D315=0, VLOOKUP($C315, 'NATIONAL 2020'!$A$3:$M$40, 8, FALSE), VLOOKUP($C315, 'NFI 2020'!$C$3:$J$282, 3, FALSE)), "")</f>
        <v>88977.731169981096</v>
      </c>
      <c r="G315" s="196">
        <f>+IFERROR(IF($D315=0, VLOOKUP($C315, 'NATIONAL 2020'!$A$3:$M$40, 9, FALSE), VLOOKUP($C315, 'NFI 2020'!$C$3:$J$282, 4, FALSE)), "")</f>
        <v>1607.053732170473</v>
      </c>
      <c r="H315" s="181">
        <f>+IFERROR(IF($D315=0, VLOOKUP($C315, 'NATIONAL 2020'!$A$3:$M$40, 10, FALSE), VLOOKUP($C315, 'NFI 2020'!$C$3:$J$282, 5, FALSE)), "")</f>
        <v>20330206.066931706</v>
      </c>
      <c r="I315" s="213">
        <f>+IFERROR(IF($D315=0, VLOOKUP($C315, 'NATIONAL 2020'!$A$3:$M$40, 13, FALSE), VLOOKUP($C315, 'NFI 2020'!$C$3:$J$282, 8, FALSE)), "")</f>
        <v>224.43290105388132</v>
      </c>
      <c r="J315" s="111">
        <f>+IFERROR(IF($D315=0, VLOOKUP($C315, 'NATIONAL 2020'!$A$3:$M$40, 11, FALSE), VLOOKUP($C315, 'NFI 2020'!$C$3:$J$282, 6, FALSE)), "")</f>
        <v>20109115.477774605</v>
      </c>
      <c r="K315" s="196">
        <f>+IFERROR(IF($D315=0, VLOOKUP($C315, 'NATIONAL 2020'!$A$3:$M$40, 12, FALSE), VLOOKUP($C315, 'NFI 2020'!$C$3:$J$282, 7, FALSE)), "")</f>
        <v>221090.58915710144</v>
      </c>
      <c r="L315" s="14"/>
      <c r="M315" s="70"/>
      <c r="N315" s="70"/>
      <c r="R315" s="8"/>
      <c r="S315" s="8"/>
    </row>
    <row r="316" spans="1:19" x14ac:dyDescent="0.25">
      <c r="A316" s="26" t="s">
        <v>250</v>
      </c>
      <c r="B316" s="108" t="str">
        <f t="shared" si="14"/>
        <v>SK</v>
      </c>
      <c r="C316" s="108" t="s">
        <v>307</v>
      </c>
      <c r="D316" s="20">
        <f>+VLOOKUP(B316, 'NATIONAL 2020'!$A$3:$B$41, 2, FALSE)</f>
        <v>3</v>
      </c>
      <c r="E316" s="181">
        <f>+IFERROR(IF($D316=0, VLOOKUP($C316, 'NATIONAL 2020'!$A$3:$M$40, 7, FALSE), VLOOKUP($C316, 'NFI 2020'!$C$3:$J$282, 2, FALSE)), "")</f>
        <v>407331.11296347919</v>
      </c>
      <c r="F316" s="111">
        <f>+IFERROR(IF($D316=0, VLOOKUP($C316, 'NATIONAL 2020'!$A$3:$M$40, 8, FALSE), VLOOKUP($C316, 'NFI 2020'!$C$3:$J$282, 3, FALSE)), "")</f>
        <v>343048.96367666026</v>
      </c>
      <c r="G316" s="196">
        <f>+IFERROR(IF($D316=0, VLOOKUP($C316, 'NATIONAL 2020'!$A$3:$M$40, 9, FALSE), VLOOKUP($C316, 'NFI 2020'!$C$3:$J$282, 4, FALSE)), "")</f>
        <v>64282.149286818923</v>
      </c>
      <c r="H316" s="181">
        <f>+IFERROR(IF($D316=0, VLOOKUP($C316, 'NATIONAL 2020'!$A$3:$M$40, 10, FALSE), VLOOKUP($C316, 'NFI 2020'!$C$3:$J$282, 5, FALSE)), "")</f>
        <v>80388825.06171003</v>
      </c>
      <c r="I316" s="213">
        <f>+IFERROR(IF($D316=0, VLOOKUP($C316, 'NATIONAL 2020'!$A$3:$M$40, 13, FALSE), VLOOKUP($C316, 'NFI 2020'!$C$3:$J$282, 8, FALSE)), "")</f>
        <v>197.35498346014535</v>
      </c>
      <c r="J316" s="111">
        <f>+IFERROR(IF($D316=0, VLOOKUP($C316, 'NATIONAL 2020'!$A$3:$M$40, 11, FALSE), VLOOKUP($C316, 'NFI 2020'!$C$3:$J$282, 6, FALSE)), "")</f>
        <v>68698929.662441939</v>
      </c>
      <c r="K316" s="196">
        <f>+IFERROR(IF($D316=0, VLOOKUP($C316, 'NATIONAL 2020'!$A$3:$M$40, 12, FALSE), VLOOKUP($C316, 'NFI 2020'!$C$3:$J$282, 7, FALSE)), "")</f>
        <v>11689895.399268098</v>
      </c>
      <c r="L316" s="14"/>
      <c r="M316" s="70"/>
      <c r="N316" s="70"/>
      <c r="R316" s="8"/>
      <c r="S316" s="8"/>
    </row>
    <row r="317" spans="1:19" x14ac:dyDescent="0.25">
      <c r="A317" s="26" t="s">
        <v>250</v>
      </c>
      <c r="B317" s="108" t="str">
        <f t="shared" si="14"/>
        <v>SK</v>
      </c>
      <c r="C317" s="108" t="s">
        <v>308</v>
      </c>
      <c r="D317" s="20">
        <f>+VLOOKUP(B317, 'NATIONAL 2020'!$A$3:$B$41, 2, FALSE)</f>
        <v>3</v>
      </c>
      <c r="E317" s="181">
        <f>+IFERROR(IF($D317=0, VLOOKUP($C317, 'NATIONAL 2020'!$A$3:$M$40, 7, FALSE), VLOOKUP($C317, 'NFI 2020'!$C$3:$J$282, 2, FALSE)), "")</f>
        <v>510487.65152413299</v>
      </c>
      <c r="F317" s="111">
        <f>+IFERROR(IF($D317=0, VLOOKUP($C317, 'NATIONAL 2020'!$A$3:$M$40, 8, FALSE), VLOOKUP($C317, 'NFI 2020'!$C$3:$J$282, 3, FALSE)), "")</f>
        <v>476739.5231485531</v>
      </c>
      <c r="G317" s="196">
        <f>+IFERROR(IF($D317=0, VLOOKUP($C317, 'NATIONAL 2020'!$A$3:$M$40, 9, FALSE), VLOOKUP($C317, 'NFI 2020'!$C$3:$J$282, 4, FALSE)), "")</f>
        <v>33748.128375579894</v>
      </c>
      <c r="H317" s="181">
        <f>+IFERROR(IF($D317=0, VLOOKUP($C317, 'NATIONAL 2020'!$A$3:$M$40, 10, FALSE), VLOOKUP($C317, 'NFI 2020'!$C$3:$J$282, 5, FALSE)), "")</f>
        <v>115886994.55132671</v>
      </c>
      <c r="I317" s="213">
        <f>+IFERROR(IF($D317=0, VLOOKUP($C317, 'NATIONAL 2020'!$A$3:$M$40, 13, FALSE), VLOOKUP($C317, 'NFI 2020'!$C$3:$J$282, 8, FALSE)), "")</f>
        <v>227.01233654786697</v>
      </c>
      <c r="J317" s="111">
        <f>+IFERROR(IF($D317=0, VLOOKUP($C317, 'NATIONAL 2020'!$A$3:$M$40, 11, FALSE), VLOOKUP($C317, 'NFI 2020'!$C$3:$J$282, 6, FALSE)), "")</f>
        <v>108940947.47229722</v>
      </c>
      <c r="K317" s="196">
        <f>+IFERROR(IF($D317=0, VLOOKUP($C317, 'NATIONAL 2020'!$A$3:$M$40, 12, FALSE), VLOOKUP($C317, 'NFI 2020'!$C$3:$J$282, 7, FALSE)), "")</f>
        <v>6946047.0790294828</v>
      </c>
      <c r="L317" s="14"/>
      <c r="M317" s="70"/>
      <c r="N317" s="70"/>
      <c r="R317" s="8"/>
      <c r="S317" s="8"/>
    </row>
    <row r="318" spans="1:19" x14ac:dyDescent="0.25">
      <c r="A318" s="26" t="s">
        <v>250</v>
      </c>
      <c r="B318" s="108" t="str">
        <f t="shared" si="14"/>
        <v>SK</v>
      </c>
      <c r="C318" s="108" t="s">
        <v>309</v>
      </c>
      <c r="D318" s="20">
        <f>+VLOOKUP(B318, 'NATIONAL 2020'!$A$3:$B$41, 2, FALSE)</f>
        <v>3</v>
      </c>
      <c r="E318" s="181">
        <f>+IFERROR(IF($D318=0, VLOOKUP($C318, 'NATIONAL 2020'!$A$3:$M$40, 7, FALSE), VLOOKUP($C318, 'NFI 2020'!$C$3:$J$282, 2, FALSE)), "")</f>
        <v>489301.03124342836</v>
      </c>
      <c r="F318" s="111">
        <f>+IFERROR(IF($D318=0, VLOOKUP($C318, 'NATIONAL 2020'!$A$3:$M$40, 8, FALSE), VLOOKUP($C318, 'NFI 2020'!$C$3:$J$282, 3, FALSE)), "")</f>
        <v>437875.31181397318</v>
      </c>
      <c r="G318" s="196">
        <f>+IFERROR(IF($D318=0, VLOOKUP($C318, 'NATIONAL 2020'!$A$3:$M$40, 9, FALSE), VLOOKUP($C318, 'NFI 2020'!$C$3:$J$282, 4, FALSE)), "")</f>
        <v>51425.719429455166</v>
      </c>
      <c r="H318" s="181">
        <f>+IFERROR(IF($D318=0, VLOOKUP($C318, 'NATIONAL 2020'!$A$3:$M$40, 10, FALSE), VLOOKUP($C318, 'NFI 2020'!$C$3:$J$282, 5, FALSE)), "")</f>
        <v>96615561.30796288</v>
      </c>
      <c r="I318" s="213">
        <f>+IFERROR(IF($D318=0, VLOOKUP($C318, 'NATIONAL 2020'!$A$3:$M$40, 13, FALSE), VLOOKUP($C318, 'NFI 2020'!$C$3:$J$282, 8, FALSE)), "")</f>
        <v>197.45627975162884</v>
      </c>
      <c r="J318" s="111">
        <f>+IFERROR(IF($D318=0, VLOOKUP($C318, 'NATIONAL 2020'!$A$3:$M$40, 11, FALSE), VLOOKUP($C318, 'NFI 2020'!$C$3:$J$282, 6, FALSE)), "")</f>
        <v>91232593.31577374</v>
      </c>
      <c r="K318" s="196">
        <f>+IFERROR(IF($D318=0, VLOOKUP($C318, 'NATIONAL 2020'!$A$3:$M$40, 12, FALSE), VLOOKUP($C318, 'NFI 2020'!$C$3:$J$282, 7, FALSE)), "")</f>
        <v>5382967.9921891326</v>
      </c>
      <c r="L318" s="14"/>
      <c r="M318" s="70"/>
      <c r="N318" s="70"/>
      <c r="R318" s="8"/>
      <c r="S318" s="8"/>
    </row>
    <row r="319" spans="1:19" x14ac:dyDescent="0.25">
      <c r="A319" s="28" t="s">
        <v>250</v>
      </c>
      <c r="B319" s="113" t="str">
        <f t="shared" si="14"/>
        <v>SK</v>
      </c>
      <c r="C319" s="113" t="s">
        <v>310</v>
      </c>
      <c r="D319" s="67">
        <f>+VLOOKUP(B319, 'NATIONAL 2020'!$A$3:$B$41, 2, FALSE)</f>
        <v>3</v>
      </c>
      <c r="E319" s="182">
        <f>+IFERROR(IF($D319=0, VLOOKUP($C319, 'NATIONAL 2020'!$A$3:$M$40, 7, FALSE), VLOOKUP($C319, 'NFI 2020'!$C$3:$J$282, 2, FALSE)), "")</f>
        <v>300547.51153568528</v>
      </c>
      <c r="F319" s="197">
        <f>+IFERROR(IF($D319=0, VLOOKUP($C319, 'NATIONAL 2020'!$A$3:$M$40, 8, FALSE), VLOOKUP($C319, 'NFI 2020'!$C$3:$J$282, 3, FALSE)), "")</f>
        <v>287691.08167832153</v>
      </c>
      <c r="G319" s="198">
        <f>+IFERROR(IF($D319=0, VLOOKUP($C319, 'NATIONAL 2020'!$A$3:$M$40, 9, FALSE), VLOOKUP($C319, 'NFI 2020'!$C$3:$J$282, 4, FALSE)), "")</f>
        <v>12856.429857363762</v>
      </c>
      <c r="H319" s="182">
        <f>+IFERROR(IF($D319=0, VLOOKUP($C319, 'NATIONAL 2020'!$A$3:$M$40, 10, FALSE), VLOOKUP($C319, 'NFI 2020'!$C$3:$J$282, 5, FALSE)), "")</f>
        <v>61758380.780649811</v>
      </c>
      <c r="I319" s="214">
        <f>+IFERROR(IF($D319=0, VLOOKUP($C319, 'NATIONAL 2020'!$A$3:$M$40, 13, FALSE), VLOOKUP($C319, 'NFI 2020'!$C$3:$J$282, 8, FALSE)), "")</f>
        <v>205.48624896305947</v>
      </c>
      <c r="J319" s="197">
        <f>+IFERROR(IF($D319=0, VLOOKUP($C319, 'NATIONAL 2020'!$A$3:$M$40, 11, FALSE), VLOOKUP($C319, 'NFI 2020'!$C$3:$J$282, 6, FALSE)), "")</f>
        <v>59950934.842548475</v>
      </c>
      <c r="K319" s="198">
        <f>+IFERROR(IF($D319=0, VLOOKUP($C319, 'NATIONAL 2020'!$A$3:$M$40, 12, FALSE), VLOOKUP($C319, 'NFI 2020'!$C$3:$J$282, 7, FALSE)), "")</f>
        <v>1807445.9381013368</v>
      </c>
      <c r="L319" s="14"/>
      <c r="M319" s="70"/>
      <c r="N319" s="70"/>
      <c r="O319" s="5"/>
      <c r="R319" s="8"/>
      <c r="S319" s="8"/>
    </row>
    <row r="320" spans="1:19" x14ac:dyDescent="0.25">
      <c r="E320" s="6"/>
      <c r="F320" s="6"/>
      <c r="G320" s="6"/>
      <c r="H320" s="6"/>
      <c r="I320" s="6"/>
      <c r="J320" s="6"/>
      <c r="K320" s="6"/>
    </row>
  </sheetData>
  <sortState xmlns:xlrd2="http://schemas.microsoft.com/office/spreadsheetml/2017/richdata2" ref="B4:Q319">
    <sortCondition ref="C4:C319"/>
  </sortState>
  <mergeCells count="3">
    <mergeCell ref="A2:D2"/>
    <mergeCell ref="H2:I2"/>
    <mergeCell ref="E1:K1"/>
  </mergeCells>
  <conditionalFormatting sqref="O23">
    <cfRule type="expression" dxfId="5" priority="5" stopIfTrue="1">
      <formula>O23&lt;&gt;N1031</formula>
    </cfRule>
  </conditionalFormatting>
  <conditionalFormatting sqref="O25:O26">
    <cfRule type="expression" dxfId="4" priority="3" stopIfTrue="1">
      <formula>O25&lt;&gt;N1033</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DAB3D-9735-495C-AAF0-393E5FC06CD4}">
  <sheetPr>
    <tabColor rgb="FFFF0000"/>
  </sheetPr>
  <dimension ref="A1:L51"/>
  <sheetViews>
    <sheetView workbookViewId="0">
      <pane ySplit="2" topLeftCell="A3" activePane="bottomLeft" state="frozen"/>
      <selection pane="bottomLeft"/>
    </sheetView>
  </sheetViews>
  <sheetFormatPr defaultRowHeight="15" x14ac:dyDescent="0.25"/>
  <cols>
    <col min="1" max="1" width="11.140625" customWidth="1"/>
    <col min="2" max="5" width="12.28515625" customWidth="1"/>
    <col min="6" max="6" width="9.85546875" customWidth="1"/>
    <col min="7" max="8" width="16.85546875" bestFit="1" customWidth="1"/>
    <col min="9" max="9" width="14.28515625" bestFit="1" customWidth="1"/>
    <col min="10" max="10" width="15.28515625" bestFit="1" customWidth="1"/>
  </cols>
  <sheetData>
    <row r="1" spans="1:12" x14ac:dyDescent="0.25">
      <c r="A1" s="71" t="s">
        <v>422</v>
      </c>
      <c r="B1" s="356" t="s">
        <v>594</v>
      </c>
      <c r="C1" s="357"/>
      <c r="D1" s="357"/>
      <c r="E1" s="358"/>
    </row>
    <row r="2" spans="1:12" x14ac:dyDescent="0.25">
      <c r="A2" s="120" t="s">
        <v>244</v>
      </c>
      <c r="B2" s="304" t="s">
        <v>553</v>
      </c>
      <c r="C2" s="63" t="s">
        <v>221</v>
      </c>
      <c r="D2" s="63" t="s">
        <v>311</v>
      </c>
      <c r="E2" s="305" t="s">
        <v>312</v>
      </c>
      <c r="F2" s="7"/>
      <c r="G2" s="4"/>
    </row>
    <row r="3" spans="1:12" x14ac:dyDescent="0.25">
      <c r="A3" t="s">
        <v>0</v>
      </c>
      <c r="B3" s="295" t="str">
        <f>+_xlfn.IFS(OR('NATIONAL 2020'!C3 = "NFI", 'NATIONAL 2020'!C3= "NFI &amp; SoEF"), "0", 'NATIONAL 2020'!C3 = "SoEF", "1", 'NATIONAL 2020'!C3="GF", "3")</f>
        <v>1</v>
      </c>
      <c r="C3" s="296" t="str">
        <f>+_xlfn.IFS(OR('NATIONAL 2020'!D3 = "NFI", 'NATIONAL 2020'!D3= "NFI &amp; SoEF"), "0", 'NATIONAL 2020'!D3 = "SoEF", "1", 'NATIONAL 2020'!D3="GF", "3")</f>
        <v>3</v>
      </c>
      <c r="D3" s="296" t="str">
        <f>+_xlfn.IFS(OR('NATIONAL 2020'!E3 = "NFI", 'NATIONAL 2020'!E3= "NFI &amp; SoEF"), "0", 'NATIONAL 2020'!E3 = "SoEF", "1", 'NATIONAL 2020'!E3="GF", "3")</f>
        <v>3</v>
      </c>
      <c r="E3" s="297" t="str">
        <f>+_xlfn.IFS(OR('NATIONAL 2020'!F3 = "NFI", 'NATIONAL 2020'!F3= "NFI &amp; SoEF"), "0", 'NATIONAL 2020'!F3 = "SoEF", "1", 'NATIONAL 2020'!F3="GF", "3")</f>
        <v>3</v>
      </c>
      <c r="F3" s="137"/>
      <c r="L3" s="34"/>
    </row>
    <row r="4" spans="1:12" x14ac:dyDescent="0.25">
      <c r="A4" t="s">
        <v>1</v>
      </c>
      <c r="B4" s="298" t="str">
        <f>+_xlfn.IFS(OR('NATIONAL 2020'!C4 = "NFI", 'NATIONAL 2020'!C4= "NFI &amp; SoEF"), "0", 'NATIONAL 2020'!C4 = "SoEF", "1", 'NATIONAL 2020'!C4="GF", "3")</f>
        <v>1</v>
      </c>
      <c r="C4" s="299" t="str">
        <f>+_xlfn.IFS(OR('NATIONAL 2020'!D4 = "NFI", 'NATIONAL 2020'!D4= "NFI &amp; SoEF"), "0", 'NATIONAL 2020'!D4 = "SoEF", "1", 'NATIONAL 2020'!D4="GF", "3")</f>
        <v>1</v>
      </c>
      <c r="D4" s="299" t="str">
        <f>+_xlfn.IFS(OR('NATIONAL 2020'!E4 = "NFI", 'NATIONAL 2020'!E4= "NFI &amp; SoEF"), "0", 'NATIONAL 2020'!E4 = "SoEF", "1", 'NATIONAL 2020'!E4="GF", "3")</f>
        <v>1</v>
      </c>
      <c r="E4" s="300" t="str">
        <f>+_xlfn.IFS(OR('NATIONAL 2020'!F4 = "NFI", 'NATIONAL 2020'!F4= "NFI &amp; SoEF"), "0", 'NATIONAL 2020'!F4 = "SoEF", "1", 'NATIONAL 2020'!F4="GF", "3")</f>
        <v>1</v>
      </c>
      <c r="F4" s="137"/>
      <c r="G4" s="71" t="s">
        <v>595</v>
      </c>
      <c r="H4" s="40"/>
      <c r="I4" s="40"/>
      <c r="J4" s="40"/>
      <c r="K4" s="41"/>
      <c r="L4" s="34"/>
    </row>
    <row r="5" spans="1:12" x14ac:dyDescent="0.25">
      <c r="A5" s="22" t="s">
        <v>2</v>
      </c>
      <c r="B5" s="298" t="str">
        <f>+_xlfn.IFS(OR('NATIONAL 2020'!C5 = "NFI", 'NATIONAL 2020'!C5= "NFI &amp; SoEF"), "0", 'NATIONAL 2020'!C5 = "SoEF", "1", 'NATIONAL 2020'!C5="GF", "3")</f>
        <v>0</v>
      </c>
      <c r="C5" s="299" t="str">
        <f>+_xlfn.IFS(OR('NATIONAL 2020'!D5 = "NFI", 'NATIONAL 2020'!D5= "NFI &amp; SoEF"), "0", 'NATIONAL 2020'!D5 = "SoEF", "1", 'NATIONAL 2020'!D5="GF", "3")</f>
        <v>0</v>
      </c>
      <c r="D5" s="299" t="str">
        <f>+_xlfn.IFS(OR('NATIONAL 2020'!E5 = "NFI", 'NATIONAL 2020'!E5= "NFI &amp; SoEF"), "0", 'NATIONAL 2020'!E5 = "SoEF", "1", 'NATIONAL 2020'!E5="GF", "3")</f>
        <v>0</v>
      </c>
      <c r="E5" s="300" t="str">
        <f>+_xlfn.IFS(OR('NATIONAL 2020'!F5 = "NFI", 'NATIONAL 2020'!F5= "NFI &amp; SoEF"), "0", 'NATIONAL 2020'!F5 = "SoEF", "1", 'NATIONAL 2020'!F5="GF", "3")</f>
        <v>0</v>
      </c>
      <c r="F5" s="137"/>
      <c r="G5" s="76" t="s">
        <v>597</v>
      </c>
      <c r="K5" s="27"/>
    </row>
    <row r="6" spans="1:12" x14ac:dyDescent="0.25">
      <c r="A6" t="s">
        <v>3</v>
      </c>
      <c r="B6" s="298" t="str">
        <f>+_xlfn.IFS(OR('NATIONAL 2020'!C6 = "NFI", 'NATIONAL 2020'!C6= "NFI &amp; SoEF"), "0", 'NATIONAL 2020'!C6 = "SoEF", "1", 'NATIONAL 2020'!C6="GF", "3")</f>
        <v>1</v>
      </c>
      <c r="C6" s="299" t="str">
        <f>+_xlfn.IFS(OR('NATIONAL 2020'!D6 = "NFI", 'NATIONAL 2020'!D6= "NFI &amp; SoEF"), "0", 'NATIONAL 2020'!D6 = "SoEF", "1", 'NATIONAL 2020'!D6="GF", "3")</f>
        <v>3</v>
      </c>
      <c r="D6" s="299" t="str">
        <f>+_xlfn.IFS(OR('NATIONAL 2020'!E6 = "NFI", 'NATIONAL 2020'!E6= "NFI &amp; SoEF"), "0", 'NATIONAL 2020'!E6 = "SoEF", "1", 'NATIONAL 2020'!E6="GF", "3")</f>
        <v>3</v>
      </c>
      <c r="E6" s="300" t="str">
        <f>+_xlfn.IFS(OR('NATIONAL 2020'!F6 = "NFI", 'NATIONAL 2020'!F6= "NFI &amp; SoEF"), "0", 'NATIONAL 2020'!F6 = "SoEF", "1", 'NATIONAL 2020'!F6="GF", "3")</f>
        <v>3</v>
      </c>
      <c r="F6" s="137"/>
      <c r="G6" s="76" t="s">
        <v>596</v>
      </c>
      <c r="I6" s="80"/>
      <c r="K6" s="27"/>
    </row>
    <row r="7" spans="1:12" x14ac:dyDescent="0.25">
      <c r="A7" t="s">
        <v>4</v>
      </c>
      <c r="B7" s="298" t="str">
        <f>+_xlfn.IFS(OR('NATIONAL 2020'!C7 = "NFI", 'NATIONAL 2020'!C7= "NFI &amp; SoEF"), "0", 'NATIONAL 2020'!C7 = "SoEF", "1", 'NATIONAL 2020'!C7="GF", "3")</f>
        <v>0</v>
      </c>
      <c r="C7" s="299" t="str">
        <f>+_xlfn.IFS(OR('NATIONAL 2020'!D7 = "NFI", 'NATIONAL 2020'!D7= "NFI &amp; SoEF"), "0", 'NATIONAL 2020'!D7 = "SoEF", "1", 'NATIONAL 2020'!D7="GF", "3")</f>
        <v>1</v>
      </c>
      <c r="D7" s="299" t="str">
        <f>+_xlfn.IFS(OR('NATIONAL 2020'!E7 = "NFI", 'NATIONAL 2020'!E7= "NFI &amp; SoEF"), "0", 'NATIONAL 2020'!E7 = "SoEF", "1", 'NATIONAL 2020'!E7="GF", "3")</f>
        <v>0</v>
      </c>
      <c r="E7" s="300" t="str">
        <f>+_xlfn.IFS(OR('NATIONAL 2020'!F7 = "NFI", 'NATIONAL 2020'!F7= "NFI &amp; SoEF"), "0", 'NATIONAL 2020'!F7 = "SoEF", "1", 'NATIONAL 2020'!F7="GF", "3")</f>
        <v>1</v>
      </c>
      <c r="F7" s="137"/>
      <c r="G7" s="26" t="s">
        <v>598</v>
      </c>
      <c r="I7" s="80"/>
      <c r="K7" s="27"/>
    </row>
    <row r="8" spans="1:12" x14ac:dyDescent="0.25">
      <c r="A8" t="s">
        <v>5</v>
      </c>
      <c r="B8" s="298">
        <v>1</v>
      </c>
      <c r="C8" s="299">
        <v>1</v>
      </c>
      <c r="D8" s="299">
        <v>1</v>
      </c>
      <c r="E8" s="300">
        <v>1</v>
      </c>
      <c r="F8" s="137"/>
      <c r="G8" s="28" t="s">
        <v>599</v>
      </c>
      <c r="H8" s="23"/>
      <c r="I8" s="23"/>
      <c r="J8" s="266"/>
      <c r="K8" s="292"/>
    </row>
    <row r="9" spans="1:12" x14ac:dyDescent="0.25">
      <c r="A9" t="s">
        <v>6</v>
      </c>
      <c r="B9" s="298" t="str">
        <f>+_xlfn.IFS(OR('NATIONAL 2020'!C9 = "NFI", 'NATIONAL 2020'!C9= "NFI &amp; SoEF"), "0", 'NATIONAL 2020'!C9 = "SoEF", "1", 'NATIONAL 2020'!C9="GF", "3")</f>
        <v>0</v>
      </c>
      <c r="C9" s="299" t="str">
        <f>+_xlfn.IFS(OR('NATIONAL 2020'!D9 = "NFI", 'NATIONAL 2020'!D9= "NFI &amp; SoEF"), "0", 'NATIONAL 2020'!D9 = "SoEF", "1", 'NATIONAL 2020'!D9="GF", "3")</f>
        <v>0</v>
      </c>
      <c r="D9" s="299" t="str">
        <f>+_xlfn.IFS(OR('NATIONAL 2020'!E9 = "NFI", 'NATIONAL 2020'!E9= "NFI &amp; SoEF"), "0", 'NATIONAL 2020'!E9 = "SoEF", "1", 'NATIONAL 2020'!E9="GF", "3")</f>
        <v>0</v>
      </c>
      <c r="E9" s="300" t="str">
        <f>+_xlfn.IFS(OR('NATIONAL 2020'!F9 = "NFI", 'NATIONAL 2020'!F9= "NFI &amp; SoEF"), "0", 'NATIONAL 2020'!F9 = "SoEF", "1", 'NATIONAL 2020'!F9="GF", "3")</f>
        <v>0</v>
      </c>
      <c r="F9" s="137"/>
      <c r="I9" s="5"/>
    </row>
    <row r="10" spans="1:12" x14ac:dyDescent="0.25">
      <c r="A10" t="s">
        <v>7</v>
      </c>
      <c r="B10" s="298" t="str">
        <f>+_xlfn.IFS(OR('NATIONAL 2020'!C10 = "NFI", 'NATIONAL 2020'!C10= "NFI &amp; SoEF"), "0", 'NATIONAL 2020'!C10 = "SoEF", "1", 'NATIONAL 2020'!C10="GF", "3")</f>
        <v>1</v>
      </c>
      <c r="C10" s="299" t="str">
        <f>+_xlfn.IFS(OR('NATIONAL 2020'!D10 = "NFI", 'NATIONAL 2020'!D10= "NFI &amp; SoEF"), "0", 'NATIONAL 2020'!D10 = "SoEF", "1", 'NATIONAL 2020'!D10="GF", "3")</f>
        <v>1</v>
      </c>
      <c r="D10" s="299" t="str">
        <f>+_xlfn.IFS(OR('NATIONAL 2020'!E10 = "NFI", 'NATIONAL 2020'!E10= "NFI &amp; SoEF"), "0", 'NATIONAL 2020'!E10 = "SoEF", "1", 'NATIONAL 2020'!E10="GF", "3")</f>
        <v>1</v>
      </c>
      <c r="E10" s="300" t="str">
        <f>+_xlfn.IFS(OR('NATIONAL 2020'!F10 = "NFI", 'NATIONAL 2020'!F10= "NFI &amp; SoEF"), "0", 'NATIONAL 2020'!F10 = "SoEF", "1", 'NATIONAL 2020'!F10="GF", "3")</f>
        <v>1</v>
      </c>
      <c r="F10" s="137"/>
      <c r="I10" s="5"/>
    </row>
    <row r="11" spans="1:12" x14ac:dyDescent="0.25">
      <c r="A11" t="s">
        <v>8</v>
      </c>
      <c r="B11" s="298" t="str">
        <f>+_xlfn.IFS(OR('NATIONAL 2020'!C11 = "NFI", 'NATIONAL 2020'!C11= "NFI &amp; SoEF"), "0", 'NATIONAL 2020'!C11 = "SoEF", "1", 'NATIONAL 2020'!C11="GF", "3")</f>
        <v>0</v>
      </c>
      <c r="C11" s="299" t="str">
        <f>+_xlfn.IFS(OR('NATIONAL 2020'!D11 = "NFI", 'NATIONAL 2020'!D11= "NFI &amp; SoEF"), "0", 'NATIONAL 2020'!D11 = "SoEF", "1", 'NATIONAL 2020'!D11="GF", "3")</f>
        <v>0</v>
      </c>
      <c r="D11" s="299" t="str">
        <f>+_xlfn.IFS(OR('NATIONAL 2020'!E11 = "NFI", 'NATIONAL 2020'!E11= "NFI &amp; SoEF"), "0", 'NATIONAL 2020'!E11 = "SoEF", "1", 'NATIONAL 2020'!E11="GF", "3")</f>
        <v>0</v>
      </c>
      <c r="E11" s="300" t="str">
        <f>+_xlfn.IFS(OR('NATIONAL 2020'!F11 = "NFI", 'NATIONAL 2020'!F11= "NFI &amp; SoEF"), "0", 'NATIONAL 2020'!F11 = "SoEF", "1", 'NATIONAL 2020'!F11="GF", "3")</f>
        <v>0</v>
      </c>
      <c r="F11" s="137"/>
      <c r="I11" s="5"/>
    </row>
    <row r="12" spans="1:12" x14ac:dyDescent="0.25">
      <c r="A12" t="s">
        <v>9</v>
      </c>
      <c r="B12" s="298" t="str">
        <f>+_xlfn.IFS(OR('NATIONAL 2020'!C12 = "NFI", 'NATIONAL 2020'!C12= "NFI &amp; SoEF"), "0", 'NATIONAL 2020'!C12 = "SoEF", "1", 'NATIONAL 2020'!C12="GF", "3")</f>
        <v>0</v>
      </c>
      <c r="C12" s="299" t="str">
        <f>+_xlfn.IFS(OR('NATIONAL 2020'!D12 = "NFI", 'NATIONAL 2020'!D12= "NFI &amp; SoEF"), "0", 'NATIONAL 2020'!D12 = "SoEF", "1", 'NATIONAL 2020'!D12="GF", "3")</f>
        <v>0</v>
      </c>
      <c r="D12" s="299" t="str">
        <f>+_xlfn.IFS(OR('NATIONAL 2020'!E12 = "NFI", 'NATIONAL 2020'!E12= "NFI &amp; SoEF"), "0", 'NATIONAL 2020'!E12 = "SoEF", "1", 'NATIONAL 2020'!E12="GF", "3")</f>
        <v>0</v>
      </c>
      <c r="E12" s="300" t="str">
        <f>+_xlfn.IFS(OR('NATIONAL 2020'!F12 = "NFI", 'NATIONAL 2020'!F12= "NFI &amp; SoEF"), "0", 'NATIONAL 2020'!F12 = "SoEF", "1", 'NATIONAL 2020'!F12="GF", "3")</f>
        <v>0</v>
      </c>
      <c r="F12" s="137"/>
      <c r="I12" s="5"/>
    </row>
    <row r="13" spans="1:12" x14ac:dyDescent="0.25">
      <c r="A13" t="s">
        <v>10</v>
      </c>
      <c r="B13" s="298" t="str">
        <f>+_xlfn.IFS(OR('NATIONAL 2020'!C13 = "NFI", 'NATIONAL 2020'!C13= "NFI &amp; SoEF"), "0", 'NATIONAL 2020'!C13 = "SoEF", "1", 'NATIONAL 2020'!C13="GF", "3")</f>
        <v>0</v>
      </c>
      <c r="C13" s="299" t="str">
        <f>+_xlfn.IFS(OR('NATIONAL 2020'!D13 = "NFI", 'NATIONAL 2020'!D13= "NFI &amp; SoEF"), "0", 'NATIONAL 2020'!D13 = "SoEF", "1", 'NATIONAL 2020'!D13="GF", "3")</f>
        <v>1</v>
      </c>
      <c r="D13" s="299" t="str">
        <f>+_xlfn.IFS(OR('NATIONAL 2020'!E13 = "NFI", 'NATIONAL 2020'!E13= "NFI &amp; SoEF"), "0", 'NATIONAL 2020'!E13 = "SoEF", "1", 'NATIONAL 2020'!E13="GF", "3")</f>
        <v>0</v>
      </c>
      <c r="E13" s="300" t="str">
        <f>+_xlfn.IFS(OR('NATIONAL 2020'!F13 = "NFI", 'NATIONAL 2020'!F13= "NFI &amp; SoEF"), "0", 'NATIONAL 2020'!F13 = "SoEF", "1", 'NATIONAL 2020'!F13="GF", "3")</f>
        <v>1</v>
      </c>
      <c r="F13" s="137"/>
      <c r="I13" s="5"/>
    </row>
    <row r="14" spans="1:12" x14ac:dyDescent="0.25">
      <c r="A14" t="s">
        <v>11</v>
      </c>
      <c r="B14" s="298" t="str">
        <f>+_xlfn.IFS(OR('NATIONAL 2020'!C14 = "NFI", 'NATIONAL 2020'!C14= "NFI &amp; SoEF"), "0", 'NATIONAL 2020'!C14 = "SoEF", "1", 'NATIONAL 2020'!C14="GF", "3")</f>
        <v>1</v>
      </c>
      <c r="C14" s="299" t="str">
        <f>+_xlfn.IFS(OR('NATIONAL 2020'!D14 = "NFI", 'NATIONAL 2020'!D14= "NFI &amp; SoEF"), "0", 'NATIONAL 2020'!D14 = "SoEF", "1", 'NATIONAL 2020'!D14="GF", "3")</f>
        <v>1</v>
      </c>
      <c r="D14" s="299" t="str">
        <f>+_xlfn.IFS(OR('NATIONAL 2020'!E14 = "NFI", 'NATIONAL 2020'!E14= "NFI &amp; SoEF"), "0", 'NATIONAL 2020'!E14 = "SoEF", "1", 'NATIONAL 2020'!E14="GF", "3")</f>
        <v>1</v>
      </c>
      <c r="E14" s="300" t="str">
        <f>+_xlfn.IFS(OR('NATIONAL 2020'!F14 = "NFI", 'NATIONAL 2020'!F14= "NFI &amp; SoEF"), "0", 'NATIONAL 2020'!F14 = "SoEF", "1", 'NATIONAL 2020'!F14="GF", "3")</f>
        <v>1</v>
      </c>
      <c r="F14" s="137"/>
      <c r="I14" s="5"/>
    </row>
    <row r="15" spans="1:12" x14ac:dyDescent="0.25">
      <c r="A15" s="1" t="s">
        <v>12</v>
      </c>
      <c r="B15" s="298" t="str">
        <f>+_xlfn.IFS(OR('NATIONAL 2020'!C15 = "NFI", 'NATIONAL 2020'!C15= "NFI &amp; SoEF"), "0", 'NATIONAL 2020'!C15 = "SoEF", "1", 'NATIONAL 2020'!C15="GF", "3")</f>
        <v>0</v>
      </c>
      <c r="C15" s="299" t="str">
        <f>+_xlfn.IFS(OR('NATIONAL 2020'!D15 = "NFI", 'NATIONAL 2020'!D15= "NFI &amp; SoEF"), "0", 'NATIONAL 2020'!D15 = "SoEF", "1", 'NATIONAL 2020'!D15="GF", "3")</f>
        <v>0</v>
      </c>
      <c r="D15" s="299" t="str">
        <f>+_xlfn.IFS(OR('NATIONAL 2020'!E15 = "NFI", 'NATIONAL 2020'!E15= "NFI &amp; SoEF"), "0", 'NATIONAL 2020'!E15 = "SoEF", "1", 'NATIONAL 2020'!E15="GF", "3")</f>
        <v>0</v>
      </c>
      <c r="E15" s="300" t="str">
        <f>+_xlfn.IFS(OR('NATIONAL 2020'!F15 = "NFI", 'NATIONAL 2020'!F15= "NFI &amp; SoEF"), "0", 'NATIONAL 2020'!F15 = "SoEF", "1", 'NATIONAL 2020'!F15="GF", "3")</f>
        <v>0</v>
      </c>
      <c r="F15" s="137"/>
      <c r="H15" s="6"/>
      <c r="I15" s="5"/>
    </row>
    <row r="16" spans="1:12" x14ac:dyDescent="0.25">
      <c r="A16" t="s">
        <v>13</v>
      </c>
      <c r="B16" s="298" t="str">
        <f>+_xlfn.IFS(OR('NATIONAL 2020'!C16 = "NFI", 'NATIONAL 2020'!C16= "NFI &amp; SoEF"), "0", 'NATIONAL 2020'!C16 = "SoEF", "1", 'NATIONAL 2020'!C16="GF", "3")</f>
        <v>0</v>
      </c>
      <c r="C16" s="299" t="str">
        <f>+_xlfn.IFS(OR('NATIONAL 2020'!D16 = "NFI", 'NATIONAL 2020'!D16= "NFI &amp; SoEF"), "0", 'NATIONAL 2020'!D16 = "SoEF", "1", 'NATIONAL 2020'!D16="GF", "3")</f>
        <v>1</v>
      </c>
      <c r="D16" s="299" t="str">
        <f>+_xlfn.IFS(OR('NATIONAL 2020'!E16 = "NFI", 'NATIONAL 2020'!E16= "NFI &amp; SoEF"), "0", 'NATIONAL 2020'!E16 = "SoEF", "1", 'NATIONAL 2020'!E16="GF", "3")</f>
        <v>0</v>
      </c>
      <c r="E16" s="300" t="str">
        <f>+_xlfn.IFS(OR('NATIONAL 2020'!F16 = "NFI", 'NATIONAL 2020'!F16= "NFI &amp; SoEF"), "0", 'NATIONAL 2020'!F16 = "SoEF", "1", 'NATIONAL 2020'!F16="GF", "3")</f>
        <v>1</v>
      </c>
      <c r="F16" s="137"/>
      <c r="I16" s="5"/>
    </row>
    <row r="17" spans="1:11" x14ac:dyDescent="0.25">
      <c r="A17" t="s">
        <v>14</v>
      </c>
      <c r="B17" s="298" t="str">
        <f>+_xlfn.IFS(OR('NATIONAL 2020'!C17 = "NFI", 'NATIONAL 2020'!C17= "NFI &amp; SoEF"), "0", 'NATIONAL 2020'!C17 = "SoEF", "1", 'NATIONAL 2020'!C17="GF", "3")</f>
        <v>0</v>
      </c>
      <c r="C17" s="299" t="str">
        <f>+_xlfn.IFS(OR('NATIONAL 2020'!D17 = "NFI", 'NATIONAL 2020'!D17= "NFI &amp; SoEF"), "0", 'NATIONAL 2020'!D17 = "SoEF", "1", 'NATIONAL 2020'!D17="GF", "3")</f>
        <v>0</v>
      </c>
      <c r="D17" s="299" t="str">
        <f>+_xlfn.IFS(OR('NATIONAL 2020'!E17 = "NFI", 'NATIONAL 2020'!E17= "NFI &amp; SoEF"), "0", 'NATIONAL 2020'!E17 = "SoEF", "1", 'NATIONAL 2020'!E17="GF", "3")</f>
        <v>0</v>
      </c>
      <c r="E17" s="300" t="str">
        <f>+_xlfn.IFS(OR('NATIONAL 2020'!F17 = "NFI", 'NATIONAL 2020'!F17= "NFI &amp; SoEF"), "0", 'NATIONAL 2020'!F17 = "SoEF", "1", 'NATIONAL 2020'!F17="GF", "3")</f>
        <v>0</v>
      </c>
      <c r="F17" s="137"/>
      <c r="I17" s="5"/>
    </row>
    <row r="18" spans="1:11" x14ac:dyDescent="0.25">
      <c r="A18" t="s">
        <v>15</v>
      </c>
      <c r="B18" s="298" t="str">
        <f>+_xlfn.IFS(OR('NATIONAL 2020'!C18 = "NFI", 'NATIONAL 2020'!C18= "NFI &amp; SoEF"), "0", 'NATIONAL 2020'!C18 = "SoEF", "1", 'NATIONAL 2020'!C18="GF", "3")</f>
        <v>1</v>
      </c>
      <c r="C18" s="299" t="str">
        <f>+_xlfn.IFS(OR('NATIONAL 2020'!D18 = "NFI", 'NATIONAL 2020'!D18= "NFI &amp; SoEF"), "0", 'NATIONAL 2020'!D18 = "SoEF", "1", 'NATIONAL 2020'!D18="GF", "3")</f>
        <v>1</v>
      </c>
      <c r="D18" s="299" t="str">
        <f>+_xlfn.IFS(OR('NATIONAL 2020'!E18 = "NFI", 'NATIONAL 2020'!E18= "NFI &amp; SoEF"), "0", 'NATIONAL 2020'!E18 = "SoEF", "1", 'NATIONAL 2020'!E18="GF", "3")</f>
        <v>1</v>
      </c>
      <c r="E18" s="300" t="str">
        <f>+_xlfn.IFS(OR('NATIONAL 2020'!F18 = "NFI", 'NATIONAL 2020'!F18= "NFI &amp; SoEF"), "0", 'NATIONAL 2020'!F18 = "SoEF", "1", 'NATIONAL 2020'!F18="GF", "3")</f>
        <v>1</v>
      </c>
      <c r="F18" s="137"/>
      <c r="H18" s="7"/>
      <c r="I18" s="5"/>
    </row>
    <row r="19" spans="1:11" x14ac:dyDescent="0.25">
      <c r="A19" t="s">
        <v>16</v>
      </c>
      <c r="B19" s="298" t="str">
        <f>+_xlfn.IFS(OR('NATIONAL 2020'!C19 = "NFI", 'NATIONAL 2020'!C19= "NFI &amp; SoEF"), "0", 'NATIONAL 2020'!C19 = "SoEF", "1", 'NATIONAL 2020'!C19="GF", "3")</f>
        <v>0</v>
      </c>
      <c r="C19" s="299" t="str">
        <f>+_xlfn.IFS(OR('NATIONAL 2020'!D19 = "NFI", 'NATIONAL 2020'!D19= "NFI &amp; SoEF"), "0", 'NATIONAL 2020'!D19 = "SoEF", "1", 'NATIONAL 2020'!D19="GF", "3")</f>
        <v>1</v>
      </c>
      <c r="D19" s="299" t="str">
        <f>+_xlfn.IFS(OR('NATIONAL 2020'!E19 = "NFI", 'NATIONAL 2020'!E19= "NFI &amp; SoEF"), "0", 'NATIONAL 2020'!E19 = "SoEF", "1", 'NATIONAL 2020'!E19="GF", "3")</f>
        <v>3</v>
      </c>
      <c r="E19" s="300" t="str">
        <f>+_xlfn.IFS(OR('NATIONAL 2020'!F19 = "NFI", 'NATIONAL 2020'!F19= "NFI &amp; SoEF"), "0", 'NATIONAL 2020'!F19 = "SoEF", "1", 'NATIONAL 2020'!F19="GF", "3")</f>
        <v>1</v>
      </c>
      <c r="F19" s="137"/>
      <c r="H19" s="6"/>
      <c r="I19" s="5"/>
    </row>
    <row r="20" spans="1:11" x14ac:dyDescent="0.25">
      <c r="A20" s="1" t="s">
        <v>17</v>
      </c>
      <c r="B20" s="298" t="str">
        <f>+_xlfn.IFS(OR('NATIONAL 2020'!C20 = "NFI", 'NATIONAL 2020'!C20= "NFI &amp; SoEF"), "0", 'NATIONAL 2020'!C20 = "SoEF", "1", 'NATIONAL 2020'!C20="GF", "3")</f>
        <v>0</v>
      </c>
      <c r="C20" s="299" t="str">
        <f>+_xlfn.IFS(OR('NATIONAL 2020'!D20 = "NFI", 'NATIONAL 2020'!D20= "NFI &amp; SoEF"), "0", 'NATIONAL 2020'!D20 = "SoEF", "1", 'NATIONAL 2020'!D20="GF", "3")</f>
        <v>1</v>
      </c>
      <c r="D20" s="299" t="str">
        <f>+_xlfn.IFS(OR('NATIONAL 2020'!E20 = "NFI", 'NATIONAL 2020'!E20= "NFI &amp; SoEF"), "0", 'NATIONAL 2020'!E20 = "SoEF", "1", 'NATIONAL 2020'!E20="GF", "3")</f>
        <v>0</v>
      </c>
      <c r="E20" s="300" t="str">
        <f>+_xlfn.IFS(OR('NATIONAL 2020'!F20 = "NFI", 'NATIONAL 2020'!F20= "NFI &amp; SoEF"), "0", 'NATIONAL 2020'!F20 = "SoEF", "1", 'NATIONAL 2020'!F20="GF", "3")</f>
        <v>1</v>
      </c>
      <c r="F20" s="137"/>
      <c r="H20" s="4"/>
      <c r="I20" s="5"/>
    </row>
    <row r="21" spans="1:11" x14ac:dyDescent="0.25">
      <c r="A21" s="1" t="s">
        <v>18</v>
      </c>
      <c r="B21" s="298" t="str">
        <f>+_xlfn.IFS(OR('NATIONAL 2020'!C21 = "NFI", 'NATIONAL 2020'!C21= "NFI &amp; SoEF"), "0", 'NATIONAL 2020'!C21 = "SoEF", "1", 'NATIONAL 2020'!C21="GF", "3")</f>
        <v>0</v>
      </c>
      <c r="C21" s="299" t="str">
        <f>+_xlfn.IFS(OR('NATIONAL 2020'!D21 = "NFI", 'NATIONAL 2020'!D21= "NFI &amp; SoEF"), "0", 'NATIONAL 2020'!D21 = "SoEF", "1", 'NATIONAL 2020'!D21="GF", "3")</f>
        <v>0</v>
      </c>
      <c r="D21" s="299" t="str">
        <f>+_xlfn.IFS(OR('NATIONAL 2020'!E21 = "NFI", 'NATIONAL 2020'!E21= "NFI &amp; SoEF"), "0", 'NATIONAL 2020'!E21 = "SoEF", "1", 'NATIONAL 2020'!E21="GF", "3")</f>
        <v>0</v>
      </c>
      <c r="E21" s="300" t="str">
        <f>+_xlfn.IFS(OR('NATIONAL 2020'!F21 = "NFI", 'NATIONAL 2020'!F21= "NFI &amp; SoEF"), "0", 'NATIONAL 2020'!F21 = "SoEF", "1", 'NATIONAL 2020'!F21="GF", "3")</f>
        <v>0</v>
      </c>
      <c r="F21" s="137"/>
      <c r="H21" s="8"/>
      <c r="I21" s="5"/>
    </row>
    <row r="22" spans="1:11" x14ac:dyDescent="0.25">
      <c r="A22" t="s">
        <v>19</v>
      </c>
      <c r="B22" s="298" t="str">
        <f>+_xlfn.IFS(OR('NATIONAL 2020'!C22 = "NFI", 'NATIONAL 2020'!C22= "NFI &amp; SoEF"), "0", 'NATIONAL 2020'!C22 = "SoEF", "1", 'NATIONAL 2020'!C22="GF", "3")</f>
        <v>0</v>
      </c>
      <c r="C22" s="299" t="str">
        <f>+_xlfn.IFS(OR('NATIONAL 2020'!D22 = "NFI", 'NATIONAL 2020'!D22= "NFI &amp; SoEF"), "0", 'NATIONAL 2020'!D22 = "SoEF", "1", 'NATIONAL 2020'!D22="GF", "3")</f>
        <v>0</v>
      </c>
      <c r="D22" s="299" t="str">
        <f>+_xlfn.IFS(OR('NATIONAL 2020'!E22 = "NFI", 'NATIONAL 2020'!E22= "NFI &amp; SoEF"), "0", 'NATIONAL 2020'!E22 = "SoEF", "1", 'NATIONAL 2020'!E22="GF", "3")</f>
        <v>0</v>
      </c>
      <c r="E22" s="300" t="str">
        <f>+_xlfn.IFS(OR('NATIONAL 2020'!F22 = "NFI", 'NATIONAL 2020'!F22= "NFI &amp; SoEF"), "0", 'NATIONAL 2020'!F22 = "SoEF", "1", 'NATIONAL 2020'!F22="GF", "3")</f>
        <v>0</v>
      </c>
      <c r="F22" s="137"/>
      <c r="H22" s="14"/>
      <c r="I22" s="5"/>
      <c r="K22" s="17"/>
    </row>
    <row r="23" spans="1:11" x14ac:dyDescent="0.25">
      <c r="A23" t="s">
        <v>20</v>
      </c>
      <c r="B23" s="298" t="str">
        <f>+_xlfn.IFS(OR('NATIONAL 2020'!C23 = "NFI", 'NATIONAL 2020'!C23= "NFI &amp; SoEF"), "0", 'NATIONAL 2020'!C23 = "SoEF", "1", 'NATIONAL 2020'!C23="GF", "3")</f>
        <v>0</v>
      </c>
      <c r="C23" s="299" t="str">
        <f>+_xlfn.IFS(OR('NATIONAL 2020'!D23 = "NFI", 'NATIONAL 2020'!D23= "NFI &amp; SoEF"), "0", 'NATIONAL 2020'!D23 = "SoEF", "1", 'NATIONAL 2020'!D23="GF", "3")</f>
        <v>0</v>
      </c>
      <c r="D23" s="299" t="str">
        <f>+_xlfn.IFS(OR('NATIONAL 2020'!E23 = "NFI", 'NATIONAL 2020'!E23= "NFI &amp; SoEF"), "0", 'NATIONAL 2020'!E23 = "SoEF", "1", 'NATIONAL 2020'!E23="GF", "3")</f>
        <v>0</v>
      </c>
      <c r="E23" s="300" t="str">
        <f>+_xlfn.IFS(OR('NATIONAL 2020'!F23 = "NFI", 'NATIONAL 2020'!F23= "NFI &amp; SoEF"), "0", 'NATIONAL 2020'!F23 = "SoEF", "1", 'NATIONAL 2020'!F23="GF", "3")</f>
        <v>0</v>
      </c>
      <c r="F23" s="137"/>
      <c r="I23" s="5"/>
      <c r="K23" s="17"/>
    </row>
    <row r="24" spans="1:11" x14ac:dyDescent="0.25">
      <c r="A24" t="s">
        <v>21</v>
      </c>
      <c r="B24" s="298" t="str">
        <f>+_xlfn.IFS(OR('NATIONAL 2020'!C24 = "NFI", 'NATIONAL 2020'!C24= "NFI &amp; SoEF"), "0", 'NATIONAL 2020'!C24 = "SoEF", "1", 'NATIONAL 2020'!C24="GF", "3")</f>
        <v>0</v>
      </c>
      <c r="C24" s="299" t="str">
        <f>+_xlfn.IFS(OR('NATIONAL 2020'!D24 = "NFI", 'NATIONAL 2020'!D24= "NFI &amp; SoEF"), "0", 'NATIONAL 2020'!D24 = "SoEF", "1", 'NATIONAL 2020'!D24="GF", "3")</f>
        <v>1</v>
      </c>
      <c r="D24" s="299" t="str">
        <f>+_xlfn.IFS(OR('NATIONAL 2020'!E24 = "NFI", 'NATIONAL 2020'!E24= "NFI &amp; SoEF"), "0", 'NATIONAL 2020'!E24 = "SoEF", "1", 'NATIONAL 2020'!E24="GF", "3")</f>
        <v>0</v>
      </c>
      <c r="E24" s="300" t="str">
        <f>+_xlfn.IFS(OR('NATIONAL 2020'!F24 = "NFI", 'NATIONAL 2020'!F24= "NFI &amp; SoEF"), "0", 'NATIONAL 2020'!F24 = "SoEF", "1", 'NATIONAL 2020'!F24="GF", "3")</f>
        <v>1</v>
      </c>
      <c r="F24" s="137"/>
      <c r="H24" s="16"/>
      <c r="I24" s="5"/>
    </row>
    <row r="25" spans="1:11" x14ac:dyDescent="0.25">
      <c r="A25" t="s">
        <v>22</v>
      </c>
      <c r="B25" s="298" t="str">
        <f>+_xlfn.IFS(OR('NATIONAL 2020'!C25 = "NFI", 'NATIONAL 2020'!C25= "NFI &amp; SoEF"), "0", 'NATIONAL 2020'!C25 = "SoEF", "1", 'NATIONAL 2020'!C25="GF", "3")</f>
        <v>1</v>
      </c>
      <c r="C25" s="299" t="str">
        <f>+_xlfn.IFS(OR('NATIONAL 2020'!D25 = "NFI", 'NATIONAL 2020'!D25= "NFI &amp; SoEF"), "0", 'NATIONAL 2020'!D25 = "SoEF", "1", 'NATIONAL 2020'!D25="GF", "3")</f>
        <v>1</v>
      </c>
      <c r="D25" s="299" t="str">
        <f>+_xlfn.IFS(OR('NATIONAL 2020'!E25 = "NFI", 'NATIONAL 2020'!E25= "NFI &amp; SoEF"), "0", 'NATIONAL 2020'!E25 = "SoEF", "1", 'NATIONAL 2020'!E25="GF", "3")</f>
        <v>1</v>
      </c>
      <c r="E25" s="300" t="str">
        <f>+_xlfn.IFS(OR('NATIONAL 2020'!F25 = "NFI", 'NATIONAL 2020'!F25= "NFI &amp; SoEF"), "0", 'NATIONAL 2020'!F25 = "SoEF", "1", 'NATIONAL 2020'!F25="GF", "3")</f>
        <v>1</v>
      </c>
      <c r="F25" s="137"/>
      <c r="H25" s="16"/>
      <c r="I25" s="5"/>
    </row>
    <row r="26" spans="1:11" x14ac:dyDescent="0.25">
      <c r="A26" t="s">
        <v>23</v>
      </c>
      <c r="B26" s="298" t="str">
        <f>+_xlfn.IFS(OR('NATIONAL 2020'!C26 = "NFI", 'NATIONAL 2020'!C26= "NFI &amp; SoEF"), "0", 'NATIONAL 2020'!C26 = "SoEF", "1", 'NATIONAL 2020'!C26="GF", "3")</f>
        <v>0</v>
      </c>
      <c r="C26" s="299" t="str">
        <f>+_xlfn.IFS(OR('NATIONAL 2020'!D26 = "NFI", 'NATIONAL 2020'!D26= "NFI &amp; SoEF"), "0", 'NATIONAL 2020'!D26 = "SoEF", "1", 'NATIONAL 2020'!D26="GF", "3")</f>
        <v>0</v>
      </c>
      <c r="D26" s="299" t="str">
        <f>+_xlfn.IFS(OR('NATIONAL 2020'!E26 = "NFI", 'NATIONAL 2020'!E26= "NFI &amp; SoEF"), "0", 'NATIONAL 2020'!E26 = "SoEF", "1", 'NATIONAL 2020'!E26="GF", "3")</f>
        <v>0</v>
      </c>
      <c r="E26" s="300" t="str">
        <f>+_xlfn.IFS(OR('NATIONAL 2020'!F26 = "NFI", 'NATIONAL 2020'!F26= "NFI &amp; SoEF"), "0", 'NATIONAL 2020'!F26 = "SoEF", "1", 'NATIONAL 2020'!F26="GF", "3")</f>
        <v>0</v>
      </c>
      <c r="F26" s="137"/>
      <c r="H26" s="6"/>
      <c r="I26" s="5"/>
    </row>
    <row r="27" spans="1:11" x14ac:dyDescent="0.25">
      <c r="A27" t="s">
        <v>24</v>
      </c>
      <c r="B27" s="298" t="str">
        <f>+_xlfn.IFS(OR('NATIONAL 2020'!C27 = "NFI", 'NATIONAL 2020'!C27= "NFI &amp; SoEF"), "0", 'NATIONAL 2020'!C27 = "SoEF", "1", 'NATIONAL 2020'!C27="GF", "3")</f>
        <v>1</v>
      </c>
      <c r="C27" s="299" t="str">
        <f>+_xlfn.IFS(OR('NATIONAL 2020'!D27 = "NFI", 'NATIONAL 2020'!D27= "NFI &amp; SoEF"), "0", 'NATIONAL 2020'!D27 = "SoEF", "1", 'NATIONAL 2020'!D27="GF", "3")</f>
        <v>1</v>
      </c>
      <c r="D27" s="299" t="str">
        <f>+_xlfn.IFS(OR('NATIONAL 2020'!E27 = "NFI", 'NATIONAL 2020'!E27= "NFI &amp; SoEF"), "0", 'NATIONAL 2020'!E27 = "SoEF", "1", 'NATIONAL 2020'!E27="GF", "3")</f>
        <v>1</v>
      </c>
      <c r="E27" s="300" t="str">
        <f>+_xlfn.IFS(OR('NATIONAL 2020'!F27 = "NFI", 'NATIONAL 2020'!F27= "NFI &amp; SoEF"), "0", 'NATIONAL 2020'!F27 = "SoEF", "1", 'NATIONAL 2020'!F27="GF", "3")</f>
        <v>3</v>
      </c>
      <c r="F27" s="137"/>
      <c r="I27" s="5"/>
    </row>
    <row r="28" spans="1:11" x14ac:dyDescent="0.25">
      <c r="A28" t="s">
        <v>25</v>
      </c>
      <c r="B28" s="298" t="str">
        <f>+_xlfn.IFS(OR('NATIONAL 2020'!C28 = "NFI", 'NATIONAL 2020'!C28= "NFI &amp; SoEF"), "0", 'NATIONAL 2020'!C28 = "SoEF", "1", 'NATIONAL 2020'!C28="GF", "3")</f>
        <v>0</v>
      </c>
      <c r="C28" s="299" t="str">
        <f>+_xlfn.IFS(OR('NATIONAL 2020'!D28 = "NFI", 'NATIONAL 2020'!D28= "NFI &amp; SoEF"), "0", 'NATIONAL 2020'!D28 = "SoEF", "1", 'NATIONAL 2020'!D28="GF", "3")</f>
        <v>0</v>
      </c>
      <c r="D28" s="299" t="str">
        <f>+_xlfn.IFS(OR('NATIONAL 2020'!E28 = "NFI", 'NATIONAL 2020'!E28= "NFI &amp; SoEF"), "0", 'NATIONAL 2020'!E28 = "SoEF", "1", 'NATIONAL 2020'!E28="GF", "3")</f>
        <v>0</v>
      </c>
      <c r="E28" s="300" t="str">
        <f>+_xlfn.IFS(OR('NATIONAL 2020'!F28 = "NFI", 'NATIONAL 2020'!F28= "NFI &amp; SoEF"), "0", 'NATIONAL 2020'!F28 = "SoEF", "1", 'NATIONAL 2020'!F28="GF", "3")</f>
        <v>0</v>
      </c>
      <c r="F28" s="137"/>
      <c r="H28" s="14"/>
      <c r="I28" s="5"/>
      <c r="J28" s="4"/>
    </row>
    <row r="29" spans="1:11" x14ac:dyDescent="0.25">
      <c r="A29" t="s">
        <v>26</v>
      </c>
      <c r="B29" s="298" t="str">
        <f>+_xlfn.IFS(OR('NATIONAL 2020'!C29 = "NFI", 'NATIONAL 2020'!C29= "NFI &amp; SoEF"), "0", 'NATIONAL 2020'!C29 = "SoEF", "1", 'NATIONAL 2020'!C29="GF", "3")</f>
        <v>1</v>
      </c>
      <c r="C29" s="299" t="str">
        <f>+_xlfn.IFS(OR('NATIONAL 2020'!D29 = "NFI", 'NATIONAL 2020'!D29= "NFI &amp; SoEF"), "0", 'NATIONAL 2020'!D29 = "SoEF", "1", 'NATIONAL 2020'!D29="GF", "3")</f>
        <v>1</v>
      </c>
      <c r="D29" s="299" t="str">
        <f>+_xlfn.IFS(OR('NATIONAL 2020'!E29 = "NFI", 'NATIONAL 2020'!E29= "NFI &amp; SoEF"), "0", 'NATIONAL 2020'!E29 = "SoEF", "1", 'NATIONAL 2020'!E29="GF", "3")</f>
        <v>1</v>
      </c>
      <c r="E29" s="300" t="str">
        <f>+_xlfn.IFS(OR('NATIONAL 2020'!F29 = "NFI", 'NATIONAL 2020'!F29= "NFI &amp; SoEF"), "0", 'NATIONAL 2020'!F29 = "SoEF", "1", 'NATIONAL 2020'!F29="GF", "3")</f>
        <v>1</v>
      </c>
      <c r="F29" s="137"/>
      <c r="H29" s="4"/>
      <c r="I29" s="5"/>
    </row>
    <row r="30" spans="1:11" x14ac:dyDescent="0.25">
      <c r="A30" t="s">
        <v>27</v>
      </c>
      <c r="B30" s="298" t="str">
        <f>+_xlfn.IFS(OR('NATIONAL 2020'!C30 = "NFI", 'NATIONAL 2020'!C30= "NFI &amp; SoEF"), "0", 'NATIONAL 2020'!C30 = "SoEF", "1", 'NATIONAL 2020'!C30="GF", "3")</f>
        <v>1</v>
      </c>
      <c r="C30" s="299" t="str">
        <f>+_xlfn.IFS(OR('NATIONAL 2020'!D30 = "NFI", 'NATIONAL 2020'!D30= "NFI &amp; SoEF"), "0", 'NATIONAL 2020'!D30 = "SoEF", "1", 'NATIONAL 2020'!D30="GF", "3")</f>
        <v>1</v>
      </c>
      <c r="D30" s="299" t="str">
        <f>+_xlfn.IFS(OR('NATIONAL 2020'!E30 = "NFI", 'NATIONAL 2020'!E30= "NFI &amp; SoEF"), "0", 'NATIONAL 2020'!E30 = "SoEF", "1", 'NATIONAL 2020'!E30="GF", "3")</f>
        <v>1</v>
      </c>
      <c r="E30" s="300" t="str">
        <f>+_xlfn.IFS(OR('NATIONAL 2020'!F30 = "NFI", 'NATIONAL 2020'!F30= "NFI &amp; SoEF"), "0", 'NATIONAL 2020'!F30 = "SoEF", "1", 'NATIONAL 2020'!F30="GF", "3")</f>
        <v>1</v>
      </c>
      <c r="F30" s="137"/>
      <c r="H30" s="21"/>
      <c r="I30" s="5"/>
    </row>
    <row r="31" spans="1:11" x14ac:dyDescent="0.25">
      <c r="A31" t="s">
        <v>28</v>
      </c>
      <c r="B31" s="298" t="str">
        <f>+_xlfn.IFS(OR('NATIONAL 2020'!C31 = "NFI", 'NATIONAL 2020'!C31= "NFI &amp; SoEF"), "0", 'NATIONAL 2020'!C31 = "SoEF", "1", 'NATIONAL 2020'!C31="GF", "3")</f>
        <v>1</v>
      </c>
      <c r="C31" s="299" t="str">
        <f>+_xlfn.IFS(OR('NATIONAL 2020'!D31 = "NFI", 'NATIONAL 2020'!D31= "NFI &amp; SoEF"), "0", 'NATIONAL 2020'!D31 = "SoEF", "1", 'NATIONAL 2020'!D31="GF", "3")</f>
        <v>3</v>
      </c>
      <c r="D31" s="299" t="str">
        <f>+_xlfn.IFS(OR('NATIONAL 2020'!E31 = "NFI", 'NATIONAL 2020'!E31= "NFI &amp; SoEF"), "0", 'NATIONAL 2020'!E31 = "SoEF", "1", 'NATIONAL 2020'!E31="GF", "3")</f>
        <v>3</v>
      </c>
      <c r="E31" s="300" t="str">
        <f>+_xlfn.IFS(OR('NATIONAL 2020'!F31 = "NFI", 'NATIONAL 2020'!F31= "NFI &amp; SoEF"), "0", 'NATIONAL 2020'!F31 = "SoEF", "1", 'NATIONAL 2020'!F31="GF", "3")</f>
        <v>3</v>
      </c>
      <c r="F31" s="137"/>
      <c r="H31" s="4"/>
      <c r="I31" s="5"/>
    </row>
    <row r="32" spans="1:11" x14ac:dyDescent="0.25">
      <c r="A32" t="s">
        <v>29</v>
      </c>
      <c r="B32" s="298" t="str">
        <f>+_xlfn.IFS(OR('NATIONAL 2020'!C32 = "NFI", 'NATIONAL 2020'!C32= "NFI &amp; SoEF"), "0", 'NATIONAL 2020'!C32 = "SoEF", "1", 'NATIONAL 2020'!C32="GF", "3")</f>
        <v>0</v>
      </c>
      <c r="C32" s="299" t="str">
        <f>+_xlfn.IFS(OR('NATIONAL 2020'!D32 = "NFI", 'NATIONAL 2020'!D32= "NFI &amp; SoEF"), "0", 'NATIONAL 2020'!D32 = "SoEF", "1", 'NATIONAL 2020'!D32="GF", "3")</f>
        <v>0</v>
      </c>
      <c r="D32" s="299" t="str">
        <f>+_xlfn.IFS(OR('NATIONAL 2020'!E32 = "NFI", 'NATIONAL 2020'!E32= "NFI &amp; SoEF"), "0", 'NATIONAL 2020'!E32 = "SoEF", "1", 'NATIONAL 2020'!E32="GF", "3")</f>
        <v>0</v>
      </c>
      <c r="E32" s="300" t="str">
        <f>+_xlfn.IFS(OR('NATIONAL 2020'!F32 = "NFI", 'NATIONAL 2020'!F32= "NFI &amp; SoEF"), "0", 'NATIONAL 2020'!F32 = "SoEF", "1", 'NATIONAL 2020'!F32="GF", "3")</f>
        <v>0</v>
      </c>
      <c r="F32" s="137"/>
      <c r="I32" s="5"/>
    </row>
    <row r="33" spans="1:9" x14ac:dyDescent="0.25">
      <c r="A33" t="s">
        <v>30</v>
      </c>
      <c r="B33" s="298" t="str">
        <f>+_xlfn.IFS(OR('NATIONAL 2020'!C33 = "NFI", 'NATIONAL 2020'!C33= "NFI &amp; SoEF"), "0", 'NATIONAL 2020'!C33 = "SoEF", "1", 'NATIONAL 2020'!C33="GF", "3")</f>
        <v>0</v>
      </c>
      <c r="C33" s="299" t="str">
        <f>+_xlfn.IFS(OR('NATIONAL 2020'!D33 = "NFI", 'NATIONAL 2020'!D33= "NFI &amp; SoEF"), "0", 'NATIONAL 2020'!D33 = "SoEF", "1", 'NATIONAL 2020'!D33="GF", "3")</f>
        <v>0</v>
      </c>
      <c r="D33" s="299" t="str">
        <f>+_xlfn.IFS(OR('NATIONAL 2020'!E33 = "NFI", 'NATIONAL 2020'!E33= "NFI &amp; SoEF"), "0", 'NATIONAL 2020'!E33 = "SoEF", "1", 'NATIONAL 2020'!E33="GF", "3")</f>
        <v>0</v>
      </c>
      <c r="E33" s="300" t="str">
        <f>+_xlfn.IFS(OR('NATIONAL 2020'!F33 = "NFI", 'NATIONAL 2020'!F33= "NFI &amp; SoEF"), "0", 'NATIONAL 2020'!F33 = "SoEF", "1", 'NATIONAL 2020'!F33="GF", "3")</f>
        <v>0</v>
      </c>
      <c r="F33" s="137"/>
      <c r="H33" s="13"/>
      <c r="I33" s="5"/>
    </row>
    <row r="34" spans="1:9" x14ac:dyDescent="0.25">
      <c r="A34" t="s">
        <v>31</v>
      </c>
      <c r="B34" s="298" t="str">
        <f>+_xlfn.IFS(OR('NATIONAL 2020'!C34 = "NFI", 'NATIONAL 2020'!C34= "NFI &amp; SoEF"), "0", 'NATIONAL 2020'!C34 = "SoEF", "1", 'NATIONAL 2020'!C34="GF", "3")</f>
        <v>0</v>
      </c>
      <c r="C34" s="299" t="str">
        <f>+_xlfn.IFS(OR('NATIONAL 2020'!D34 = "NFI", 'NATIONAL 2020'!D34= "NFI &amp; SoEF"), "0", 'NATIONAL 2020'!D34 = "SoEF", "1", 'NATIONAL 2020'!D34="GF", "3")</f>
        <v>0</v>
      </c>
      <c r="D34" s="299" t="str">
        <f>+_xlfn.IFS(OR('NATIONAL 2020'!E34 = "NFI", 'NATIONAL 2020'!E34= "NFI &amp; SoEF"), "0", 'NATIONAL 2020'!E34 = "SoEF", "1", 'NATIONAL 2020'!E34="GF", "3")</f>
        <v>0</v>
      </c>
      <c r="E34" s="300" t="str">
        <f>+_xlfn.IFS(OR('NATIONAL 2020'!F34 = "NFI", 'NATIONAL 2020'!F34= "NFI &amp; SoEF"), "0", 'NATIONAL 2020'!F34 = "SoEF", "1", 'NATIONAL 2020'!F34="GF", "3")</f>
        <v>0</v>
      </c>
      <c r="F34" s="137"/>
      <c r="I34" s="5"/>
    </row>
    <row r="35" spans="1:9" x14ac:dyDescent="0.25">
      <c r="A35" t="s">
        <v>32</v>
      </c>
      <c r="B35" s="298" t="str">
        <f>+_xlfn.IFS(OR('NATIONAL 2020'!C35 = "NFI", 'NATIONAL 2020'!C35= "NFI &amp; SoEF"), "0", 'NATIONAL 2020'!C35 = "SoEF", "1", 'NATIONAL 2020'!C35="GF", "3")</f>
        <v>0</v>
      </c>
      <c r="C35" s="299" t="str">
        <f>+_xlfn.IFS(OR('NATIONAL 2020'!D35 = "NFI", 'NATIONAL 2020'!D35= "NFI &amp; SoEF"), "0", 'NATIONAL 2020'!D35 = "SoEF", "1", 'NATIONAL 2020'!D35="GF", "3")</f>
        <v>0</v>
      </c>
      <c r="D35" s="299" t="str">
        <f>+_xlfn.IFS(OR('NATIONAL 2020'!E35 = "NFI", 'NATIONAL 2020'!E35= "NFI &amp; SoEF"), "0", 'NATIONAL 2020'!E35 = "SoEF", "1", 'NATIONAL 2020'!E35="GF", "3")</f>
        <v>0</v>
      </c>
      <c r="E35" s="300" t="str">
        <f>+_xlfn.IFS(OR('NATIONAL 2020'!F35 = "NFI", 'NATIONAL 2020'!F35= "NFI &amp; SoEF"), "0", 'NATIONAL 2020'!F35 = "SoEF", "1", 'NATIONAL 2020'!F35="GF", "3")</f>
        <v>0</v>
      </c>
      <c r="F35" s="137"/>
      <c r="H35" s="14"/>
      <c r="I35" s="5"/>
    </row>
    <row r="36" spans="1:9" x14ac:dyDescent="0.25">
      <c r="A36" t="s">
        <v>33</v>
      </c>
      <c r="B36" s="298" t="str">
        <f>+_xlfn.IFS(OR('NATIONAL 2020'!C36 = "NFI", 'NATIONAL 2020'!C36= "NFI &amp; SoEF"), "0", 'NATIONAL 2020'!C36 = "SoEF", "1", 'NATIONAL 2020'!C36="GF", "3")</f>
        <v>0</v>
      </c>
      <c r="C36" s="299" t="str">
        <f>+_xlfn.IFS(OR('NATIONAL 2020'!D36 = "NFI", 'NATIONAL 2020'!D36= "NFI &amp; SoEF"), "0", 'NATIONAL 2020'!D36 = "SoEF", "1", 'NATIONAL 2020'!D36="GF", "3")</f>
        <v>0</v>
      </c>
      <c r="D36" s="299" t="str">
        <f>+_xlfn.IFS(OR('NATIONAL 2020'!E36 = "NFI", 'NATIONAL 2020'!E36= "NFI &amp; SoEF"), "0", 'NATIONAL 2020'!E36 = "SoEF", "1", 'NATIONAL 2020'!E36="GF", "3")</f>
        <v>0</v>
      </c>
      <c r="E36" s="300" t="str">
        <f>+_xlfn.IFS(OR('NATIONAL 2020'!F36 = "NFI", 'NATIONAL 2020'!F36= "NFI &amp; SoEF"), "0", 'NATIONAL 2020'!F36 = "SoEF", "1", 'NATIONAL 2020'!F36="GF", "3")</f>
        <v>0</v>
      </c>
      <c r="F36" s="137"/>
      <c r="I36" s="5"/>
    </row>
    <row r="37" spans="1:9" x14ac:dyDescent="0.25">
      <c r="A37" t="s">
        <v>37</v>
      </c>
      <c r="B37" s="298" t="str">
        <f>+_xlfn.IFS(OR('NATIONAL 2020'!C37 = "NFI", 'NATIONAL 2020'!C37= "NFI &amp; SoEF"), "0", 'NATIONAL 2020'!C37 = "SoEF", "1", 'NATIONAL 2020'!C37="GF", "3")</f>
        <v>0</v>
      </c>
      <c r="C37" s="299" t="str">
        <f>+_xlfn.IFS(OR('NATIONAL 2020'!D37 = "NFI", 'NATIONAL 2020'!D37= "NFI &amp; SoEF"), "0", 'NATIONAL 2020'!D37 = "SoEF", "1", 'NATIONAL 2020'!D37="GF", "3")</f>
        <v>0</v>
      </c>
      <c r="D37" s="299" t="str">
        <f>+_xlfn.IFS(OR('NATIONAL 2020'!E37 = "NFI", 'NATIONAL 2020'!E37= "NFI &amp; SoEF"), "0", 'NATIONAL 2020'!E37 = "SoEF", "1", 'NATIONAL 2020'!E37="GF", "3")</f>
        <v>0</v>
      </c>
      <c r="E37" s="300" t="str">
        <f>+_xlfn.IFS(OR('NATIONAL 2020'!F37 = "NFI", 'NATIONAL 2020'!F37= "NFI &amp; SoEF"), "0", 'NATIONAL 2020'!F37 = "SoEF", "1", 'NATIONAL 2020'!F37="GF", "3")</f>
        <v>1</v>
      </c>
      <c r="F37" s="137"/>
      <c r="I37" s="5"/>
    </row>
    <row r="38" spans="1:9" x14ac:dyDescent="0.25">
      <c r="A38" t="s">
        <v>34</v>
      </c>
      <c r="B38" s="298" t="str">
        <f>+_xlfn.IFS(OR('NATIONAL 2020'!C38 = "NFI", 'NATIONAL 2020'!C38= "NFI &amp; SoEF"), "0", 'NATIONAL 2020'!C38 = "SoEF", "1", 'NATIONAL 2020'!C38="GF", "3")</f>
        <v>0</v>
      </c>
      <c r="C38" s="299" t="str">
        <f>+_xlfn.IFS(OR('NATIONAL 2020'!D38 = "NFI", 'NATIONAL 2020'!D38= "NFI &amp; SoEF"), "0", 'NATIONAL 2020'!D38 = "SoEF", "1", 'NATIONAL 2020'!D38="GF", "3")</f>
        <v>0</v>
      </c>
      <c r="D38" s="299" t="str">
        <f>+_xlfn.IFS(OR('NATIONAL 2020'!E38 = "NFI", 'NATIONAL 2020'!E38= "NFI &amp; SoEF"), "0", 'NATIONAL 2020'!E38 = "SoEF", "1", 'NATIONAL 2020'!E38="GF", "3")</f>
        <v>0</v>
      </c>
      <c r="E38" s="300" t="str">
        <f>+_xlfn.IFS(OR('NATIONAL 2020'!F38 = "NFI", 'NATIONAL 2020'!F38= "NFI &amp; SoEF"), "0", 'NATIONAL 2020'!F38 = "SoEF", "1", 'NATIONAL 2020'!F38="GF", "3")</f>
        <v>0</v>
      </c>
      <c r="F38" s="137"/>
      <c r="I38" s="5"/>
    </row>
    <row r="39" spans="1:9" x14ac:dyDescent="0.25">
      <c r="A39" t="s">
        <v>35</v>
      </c>
      <c r="B39" s="298" t="str">
        <f>+_xlfn.IFS(OR('NATIONAL 2020'!C39 = "NFI", 'NATIONAL 2020'!C39= "NFI &amp; SoEF"), "0", 'NATIONAL 2020'!C39 = "SoEF", "1", 'NATIONAL 2020'!C39="GF", "3")</f>
        <v>0</v>
      </c>
      <c r="C39" s="299" t="str">
        <f>+_xlfn.IFS(OR('NATIONAL 2020'!D39 = "NFI", 'NATIONAL 2020'!D39= "NFI &amp; SoEF"), "0", 'NATIONAL 2020'!D39 = "SoEF", "1", 'NATIONAL 2020'!D39="GF", "3")</f>
        <v>0</v>
      </c>
      <c r="D39" s="299" t="str">
        <f>+_xlfn.IFS(OR('NATIONAL 2020'!E39 = "NFI", 'NATIONAL 2020'!E39= "NFI &amp; SoEF"), "0", 'NATIONAL 2020'!E39 = "SoEF", "1", 'NATIONAL 2020'!E39="GF", "3")</f>
        <v>0</v>
      </c>
      <c r="E39" s="300" t="str">
        <f>+_xlfn.IFS(OR('NATIONAL 2020'!F39 = "NFI", 'NATIONAL 2020'!F39= "NFI &amp; SoEF"), "0", 'NATIONAL 2020'!F39 = "SoEF", "1", 'NATIONAL 2020'!F39="GF", "3")</f>
        <v>0</v>
      </c>
      <c r="F39" s="137"/>
      <c r="I39" s="5"/>
    </row>
    <row r="40" spans="1:9" x14ac:dyDescent="0.25">
      <c r="A40" s="23" t="s">
        <v>36</v>
      </c>
      <c r="B40" s="301" t="str">
        <f>+_xlfn.IFS(OR('NATIONAL 2020'!C40 = "NFI", 'NATIONAL 2020'!C40= "NFI &amp; SoEF"), "0", 'NATIONAL 2020'!C40 = "SoEF", "1", 'NATIONAL 2020'!C40="GF", "3")</f>
        <v>0</v>
      </c>
      <c r="C40" s="302" t="str">
        <f>+_xlfn.IFS(OR('NATIONAL 2020'!D40 = "NFI", 'NATIONAL 2020'!D40= "NFI &amp; SoEF"), "0", 'NATIONAL 2020'!D40 = "SoEF", "1", 'NATIONAL 2020'!D40="GF", "3")</f>
        <v>0</v>
      </c>
      <c r="D40" s="302" t="str">
        <f>+_xlfn.IFS(OR('NATIONAL 2020'!E40 = "NFI", 'NATIONAL 2020'!E40= "NFI &amp; SoEF"), "0", 'NATIONAL 2020'!E40 = "SoEF", "1", 'NATIONAL 2020'!E40="GF", "3")</f>
        <v>0</v>
      </c>
      <c r="E40" s="303" t="str">
        <f>+_xlfn.IFS(OR('NATIONAL 2020'!F40 = "NFI", 'NATIONAL 2020'!F40= "NFI &amp; SoEF"), "0", 'NATIONAL 2020'!F40 = "SoEF", "1", 'NATIONAL 2020'!F40="GF", "3")</f>
        <v>0</v>
      </c>
      <c r="F40" s="137"/>
      <c r="H40" s="16"/>
      <c r="I40" s="5"/>
    </row>
    <row r="41" spans="1:9" x14ac:dyDescent="0.25">
      <c r="B41" s="9"/>
      <c r="C41" s="9"/>
      <c r="E41" s="9"/>
    </row>
    <row r="42" spans="1:9" x14ac:dyDescent="0.25">
      <c r="F42" s="35"/>
    </row>
    <row r="43" spans="1:9" x14ac:dyDescent="0.25">
      <c r="C43" s="6"/>
      <c r="F43" s="14"/>
    </row>
    <row r="44" spans="1:9" x14ac:dyDescent="0.25">
      <c r="C44" s="5"/>
      <c r="F44" s="34"/>
    </row>
    <row r="45" spans="1:9" x14ac:dyDescent="0.25">
      <c r="F45" s="34"/>
    </row>
    <row r="51" spans="4:5" x14ac:dyDescent="0.25">
      <c r="D51" s="80"/>
      <c r="E51" s="80"/>
    </row>
  </sheetData>
  <mergeCells count="1">
    <mergeCell ref="B1:E1"/>
  </mergeCells>
  <conditionalFormatting sqref="H24:H25">
    <cfRule type="expression" dxfId="3" priority="2" stopIfTrue="1">
      <formula>H24&lt;&gt;H1014</formula>
    </cfRule>
  </conditionalFormatting>
  <conditionalFormatting sqref="H40">
    <cfRule type="expression" dxfId="2" priority="1" stopIfTrue="1">
      <formula>H40&lt;&gt;H1030</formula>
    </cfRule>
  </conditionalFormatting>
  <pageMargins left="0.7" right="0.7" top="0.75" bottom="0.75" header="0.3" footer="0.3"/>
  <pageSetup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T56"/>
  <sheetViews>
    <sheetView workbookViewId="0">
      <pane ySplit="2" topLeftCell="A3" activePane="bottomLeft" state="frozen"/>
      <selection pane="bottomLeft" sqref="A1:B1"/>
    </sheetView>
  </sheetViews>
  <sheetFormatPr defaultRowHeight="15" x14ac:dyDescent="0.25"/>
  <cols>
    <col min="2" max="2" width="10.140625" style="20" customWidth="1"/>
    <col min="3" max="6" width="12.28515625" customWidth="1"/>
    <col min="7" max="7" width="16.42578125" bestFit="1" customWidth="1"/>
    <col min="8" max="8" width="15.42578125" bestFit="1" customWidth="1"/>
    <col min="9" max="9" width="13.42578125" bestFit="1" customWidth="1"/>
    <col min="10" max="10" width="17" bestFit="1" customWidth="1"/>
    <col min="11" max="11" width="16.85546875" bestFit="1" customWidth="1"/>
    <col min="12" max="12" width="15.28515625" bestFit="1" customWidth="1"/>
    <col min="13" max="13" width="14.28515625" customWidth="1"/>
    <col min="14" max="14" width="10.140625" customWidth="1"/>
    <col min="15" max="15" width="14.28515625" customWidth="1"/>
    <col min="16" max="17" width="16.85546875" bestFit="1" customWidth="1"/>
    <col min="18" max="18" width="14.28515625" bestFit="1" customWidth="1"/>
    <col min="19" max="19" width="15.28515625" bestFit="1" customWidth="1"/>
  </cols>
  <sheetData>
    <row r="1" spans="1:18" x14ac:dyDescent="0.25">
      <c r="A1" s="356" t="s">
        <v>422</v>
      </c>
      <c r="B1" s="358"/>
      <c r="C1" s="356" t="s">
        <v>535</v>
      </c>
      <c r="D1" s="357"/>
      <c r="E1" s="357"/>
      <c r="F1" s="358"/>
      <c r="G1" s="356" t="s">
        <v>536</v>
      </c>
      <c r="H1" s="357"/>
      <c r="I1" s="357"/>
      <c r="J1" s="357"/>
      <c r="K1" s="357"/>
      <c r="L1" s="357"/>
      <c r="M1" s="357"/>
      <c r="N1" s="358"/>
    </row>
    <row r="2" spans="1:18" x14ac:dyDescent="0.25">
      <c r="A2" s="120" t="s">
        <v>244</v>
      </c>
      <c r="B2" s="157" t="s">
        <v>455</v>
      </c>
      <c r="C2" s="120" t="s">
        <v>553</v>
      </c>
      <c r="D2" s="86" t="s">
        <v>221</v>
      </c>
      <c r="E2" s="86" t="s">
        <v>311</v>
      </c>
      <c r="F2" s="87" t="s">
        <v>312</v>
      </c>
      <c r="G2" s="154" t="s">
        <v>501</v>
      </c>
      <c r="H2" s="155" t="s">
        <v>460</v>
      </c>
      <c r="I2" s="155" t="s">
        <v>461</v>
      </c>
      <c r="J2" s="155" t="s">
        <v>523</v>
      </c>
      <c r="K2" s="155" t="s">
        <v>534</v>
      </c>
      <c r="L2" s="155" t="s">
        <v>524</v>
      </c>
      <c r="M2" s="155" t="s">
        <v>543</v>
      </c>
      <c r="N2" s="156" t="s">
        <v>489</v>
      </c>
      <c r="O2" s="7"/>
      <c r="P2" s="4"/>
    </row>
    <row r="3" spans="1:18" x14ac:dyDescent="0.25">
      <c r="A3" t="s">
        <v>0</v>
      </c>
      <c r="B3" s="20">
        <v>0</v>
      </c>
      <c r="C3" s="26" t="s">
        <v>484</v>
      </c>
      <c r="D3" t="s">
        <v>602</v>
      </c>
      <c r="E3" t="s">
        <v>602</v>
      </c>
      <c r="F3" s="27" t="s">
        <v>602</v>
      </c>
      <c r="G3" s="150">
        <f>+VLOOKUP(A3, 'AREA CorrFactor'!$B$3:$J$40, 8, FALSE)</f>
        <v>16000</v>
      </c>
      <c r="H3" s="15">
        <f>+G3*N3</f>
        <v>13252.914233798567</v>
      </c>
      <c r="I3" s="15">
        <f>+G3-H3</f>
        <v>2747.0857662014332</v>
      </c>
      <c r="J3" s="15">
        <f>+G3*M3</f>
        <v>1282677.0260481325</v>
      </c>
      <c r="K3" s="15">
        <f>+J3*N3</f>
        <v>1062450.5384924819</v>
      </c>
      <c r="L3" s="15">
        <f>+J3-K3</f>
        <v>220226.48755565053</v>
      </c>
      <c r="M3" s="48">
        <f>+'NFI 2020'!J102</f>
        <v>80.167314128008272</v>
      </c>
      <c r="N3" s="151">
        <f>+'NFI 2020'!E102/'NFI 2020'!D102</f>
        <v>0.82830713961241043</v>
      </c>
      <c r="O3" s="137"/>
      <c r="R3" s="5"/>
    </row>
    <row r="4" spans="1:18" x14ac:dyDescent="0.25">
      <c r="A4" t="s">
        <v>1</v>
      </c>
      <c r="B4" s="20">
        <v>0</v>
      </c>
      <c r="C4" s="26" t="s">
        <v>484</v>
      </c>
      <c r="D4" t="s">
        <v>484</v>
      </c>
      <c r="E4" t="s">
        <v>484</v>
      </c>
      <c r="F4" s="27" t="s">
        <v>484</v>
      </c>
      <c r="G4" s="150">
        <f>+VLOOKUP(A4, 'AREA CorrFactor'!$B$3:$J$40, 8, FALSE)</f>
        <v>785000</v>
      </c>
      <c r="H4" s="15">
        <f>IFERROR(IF(D4 = "SoEF", VLOOKUP(A4, 'INPUT SoEF'!$B$4:$L$41, 11, FALSE), SUMIF('NFI 2020'!$B$3:$B$282, A4, 'NFI 2020'!$E$3:$E$282)), "")</f>
        <v>565000</v>
      </c>
      <c r="I4" s="15">
        <f>IFERROR(IF(D4 = "SoEF", G4-H4, SUMIF('NFI 2020'!$B$3:$B$282, A4, 'NFI 2020'!$F$3:$F$282)), "")</f>
        <v>220000</v>
      </c>
      <c r="J4" s="15">
        <f>IFERROR(IF(E4 = "SoEF", VLOOKUP(A4, 'INPUT SoEF'!$B$4:$N$41, 13, FALSE) / VLOOKUP(A4, 'INPUT SoEF'!$B$4:$P$41, 15, FALSE), SUMIF('NFI 2020'!$B$3:$B$282, A4, 'NFI 2020'!$G$3:$G$282)), "")</f>
        <v>74000000</v>
      </c>
      <c r="K4" s="15">
        <f>IFERROR(IF(F4 = "SoEF", J4 * VLOOKUP(A4, 'INPUT SoEF'!$B$4:$T$41, 19, FALSE), SUMIF('NFI 2020'!$B$3:$B$282, A4, 'NFI 2020'!$H$3:$H$282)), "")</f>
        <v>71153846.15384616</v>
      </c>
      <c r="L4" s="15">
        <f>IFERROR(IF(F4 = "SoEF", J4-K4, SUMIF('NFI 2020'!$B$3:$B$282, A4, 'NFI 2020'!$I$3:$I$282)), "")</f>
        <v>2846153.8461538404</v>
      </c>
      <c r="M4" s="48">
        <f t="shared" ref="M4:M40" si="0">IFERROR(J4/G4, "")</f>
        <v>94.267515923566876</v>
      </c>
      <c r="N4" s="151">
        <f t="shared" ref="N4:N40" si="1">IFERROR(H4/G4, "")</f>
        <v>0.71974522292993626</v>
      </c>
      <c r="O4" s="137"/>
      <c r="R4" s="5"/>
    </row>
    <row r="5" spans="1:18" x14ac:dyDescent="0.25">
      <c r="A5" s="22" t="s">
        <v>2</v>
      </c>
      <c r="B5" s="20">
        <v>2</v>
      </c>
      <c r="C5" s="26" t="s">
        <v>600</v>
      </c>
      <c r="D5" s="1" t="s">
        <v>255</v>
      </c>
      <c r="E5" s="1" t="s">
        <v>255</v>
      </c>
      <c r="F5" s="142" t="s">
        <v>255</v>
      </c>
      <c r="G5" s="150">
        <f>+VLOOKUP(A5, 'AREA CorrFactor'!$B$3:$J$40, 8, FALSE)</f>
        <v>3899000</v>
      </c>
      <c r="H5" s="15">
        <f>IFERROR(IF(D5 = "SoEF", VLOOKUP(A5, 'INPUT SoEF'!$B$4:$L$41, 11, FALSE), SUMIF('NFI 2020'!$B$3:$B$282, A5, 'NFI 2020'!$E$3:$E$282)), "")</f>
        <v>3358516.5370658371</v>
      </c>
      <c r="I5" s="15">
        <f>IFERROR(IF(D5 = "SoEF", G5-H5, SUMIF('NFI 2020'!$B$3:$B$282, A5, 'NFI 2020'!$F$3:$F$282)), "")</f>
        <v>415165.68170036294</v>
      </c>
      <c r="J5" s="15">
        <f>IFERROR(IF(E5 = "SoEF", VLOOKUP(A5, 'INPUT SoEF'!$B$4:$N$41, 13, FALSE) / VLOOKUP(A5, 'INPUT SoEF'!$B$4:$P$41, 15, FALSE), SUMIF('NFI 2020'!$B$3:$B$282, A5, 'NFI 2020'!$G$3:$G$282)), "")</f>
        <v>728037309.17430329</v>
      </c>
      <c r="K5" s="15">
        <f>IFERROR(IF(F5 = "SoEF", J5 * VLOOKUP(A5, 'INPUT SoEF'!$B$4:$T$41, 19, FALSE), SUMIF('NFI 2020'!$B$3:$B$282, A5, 'NFI 2020'!$H$3:$H$282)), "")</f>
        <v>676924977.10379148</v>
      </c>
      <c r="L5" s="15">
        <f>IFERROR(IF(F5 = "SoEF", J5-K5, SUMIF('NFI 2020'!$B$3:$B$282, A5, 'NFI 2020'!$I$3:$I$282)), "")</f>
        <v>51112332.070511609</v>
      </c>
      <c r="M5" s="48">
        <f>IFERROR(J5/G5, "")</f>
        <v>186.72411109882106</v>
      </c>
      <c r="N5" s="151">
        <f t="shared" si="1"/>
        <v>0.86137895282529808</v>
      </c>
      <c r="O5" s="137"/>
      <c r="R5" s="5"/>
    </row>
    <row r="6" spans="1:18" x14ac:dyDescent="0.25">
      <c r="A6" t="s">
        <v>3</v>
      </c>
      <c r="B6" s="20">
        <v>0</v>
      </c>
      <c r="C6" s="26" t="s">
        <v>484</v>
      </c>
      <c r="D6" t="s">
        <v>602</v>
      </c>
      <c r="E6" t="s">
        <v>602</v>
      </c>
      <c r="F6" s="27" t="s">
        <v>602</v>
      </c>
      <c r="G6" s="150">
        <f>+VLOOKUP(A6, 'AREA CorrFactor'!$B$3:$J$40, 8, FALSE)</f>
        <v>2187910</v>
      </c>
      <c r="H6" s="15">
        <f>+G6*N6</f>
        <v>1971518.2658130657</v>
      </c>
      <c r="I6" s="15">
        <f>+G6-H6</f>
        <v>216391.73418693431</v>
      </c>
      <c r="J6" s="15">
        <f>+G6*M6</f>
        <v>266130803.80000001</v>
      </c>
      <c r="K6" s="15">
        <f>+J6*N6</f>
        <v>239809562.91036344</v>
      </c>
      <c r="L6" s="15">
        <f>+J6-K6</f>
        <v>26321240.889636576</v>
      </c>
      <c r="M6" s="48">
        <v>121.63699777413149</v>
      </c>
      <c r="N6" s="151">
        <f>+AVERAGE(N20, N29, N37)</f>
        <v>0.90109660169434103</v>
      </c>
      <c r="O6" s="137"/>
      <c r="R6" s="5"/>
    </row>
    <row r="7" spans="1:18" x14ac:dyDescent="0.25">
      <c r="A7" t="s">
        <v>4</v>
      </c>
      <c r="B7" s="20">
        <v>1</v>
      </c>
      <c r="C7" s="26" t="s">
        <v>600</v>
      </c>
      <c r="D7" t="s">
        <v>484</v>
      </c>
      <c r="E7" s="1" t="s">
        <v>255</v>
      </c>
      <c r="F7" s="27" t="s">
        <v>484</v>
      </c>
      <c r="G7" s="150">
        <f>+VLOOKUP(A7, 'AREA CorrFactor'!$B$3:$J$40, 8, FALSE)</f>
        <v>688810</v>
      </c>
      <c r="H7" s="15">
        <f>IFERROR(IF(D7 = "SoEF", VLOOKUP(A7, 'INPUT SoEF'!$B$4:$L$41, 11, FALSE), SUMIF('NFI 2020'!$B$3:$B$282, A7, 'NFI 2020'!$E$3:$E$282)), "")</f>
        <v>664350</v>
      </c>
      <c r="I7" s="15">
        <f>IFERROR(IF(D7 = "SoEF", G7-H7, SUMIF('NFI 2020'!$B$3:$B$282, A7, 'NFI 2020'!$F$3:$F$282)), "")</f>
        <v>24460</v>
      </c>
      <c r="J7" s="15">
        <f>IFERROR(IF(E7 = "SoEF", VLOOKUP(A7, 'INPUT SoEF'!$B$4:$N$41, 13, FALSE) / VLOOKUP(A7, 'INPUT SoEF'!$B$4:$P$41, 15, FALSE), SUMIF('NFI 2020'!$B$3:$B$282, A7, 'NFI 2020'!$G$3:$G$282)), "")</f>
        <v>123089469.85960871</v>
      </c>
      <c r="K7" s="15">
        <f>IFERROR(IF(F7 = "SoEF", J7 * VLOOKUP(A7, 'INPUT SoEF'!$B$4:$T$41, 19, FALSE), SUMIF('NFI 2020'!$B$3:$B$282, A7, 'NFI 2020'!$H$3:$H$282)), "")</f>
        <v>114381145.59308681</v>
      </c>
      <c r="L7" s="15">
        <f>IFERROR(IF(F7 = "SoEF", J7-K7, SUMIF('NFI 2020'!$B$3:$B$282, A7, 'NFI 2020'!$I$3:$I$282)), "")</f>
        <v>8708324.2665219009</v>
      </c>
      <c r="M7" s="48">
        <f t="shared" si="0"/>
        <v>178.6987265858636</v>
      </c>
      <c r="N7" s="151">
        <f t="shared" si="1"/>
        <v>0.96448948186001948</v>
      </c>
      <c r="O7" s="137"/>
      <c r="R7" s="5"/>
    </row>
    <row r="8" spans="1:18" x14ac:dyDescent="0.25">
      <c r="A8" t="s">
        <v>5</v>
      </c>
      <c r="B8" s="20">
        <v>2</v>
      </c>
      <c r="C8" s="26" t="s">
        <v>600</v>
      </c>
      <c r="D8" s="1" t="s">
        <v>255</v>
      </c>
      <c r="E8" s="1" t="s">
        <v>255</v>
      </c>
      <c r="F8" s="142" t="s">
        <v>255</v>
      </c>
      <c r="G8" s="150">
        <f>+VLOOKUP(A8, 'AREA CorrFactor'!$B$3:$J$40, 8, FALSE)</f>
        <v>3893000</v>
      </c>
      <c r="H8" s="15">
        <f>IFERROR(IF(D8 = "SoEF", VLOOKUP(A8, 'INPUT SoEF'!$B$4:$L$41, 11, FALSE), SUMIF('NFI 2020'!$B$3:$B$282, A8, 'NFI 2020'!$E$3:$E$282)), "")</f>
        <v>3190814.3236003099</v>
      </c>
      <c r="I8" s="15">
        <f>IFERROR(IF(D8 = "SoEF", G8-H8, SUMIF('NFI 2020'!$B$3:$B$282, A8, 'NFI 2020'!$F$3:$F$282)), "")</f>
        <v>702185.67639968952</v>
      </c>
      <c r="J8" s="15">
        <f>IFERROR(IF(E8 = "SoEF", VLOOKUP(A8, 'INPUT SoEF'!$B$4:$N$41, 13, FALSE) / VLOOKUP(A8, 'INPUT SoEF'!$B$4:$P$41, 15, FALSE), SUMIF('NFI 2020'!$B$3:$B$282, A8, 'NFI 2020'!$G$3:$G$282)), "")</f>
        <v>443476812.1237452</v>
      </c>
      <c r="K8" s="15">
        <f>IFERROR(IF(F8 = "SoEF", J8 * VLOOKUP(A8, 'INPUT SoEF'!$B$4:$T$41, 19, FALSE), SUMIF('NFI 2020'!$B$3:$B$282, A8, 'NFI 2020'!$H$3:$H$282)), "")</f>
        <v>337672884.09662795</v>
      </c>
      <c r="L8" s="15">
        <f>IFERROR(IF(F8 = "SoEF", J8-K8, SUMIF('NFI 2020'!$B$3:$B$282, A8, 'NFI 2020'!$I$3:$I$282)), "")</f>
        <v>105803928.02711724</v>
      </c>
      <c r="M8" s="48">
        <f t="shared" si="0"/>
        <v>113.91646856505143</v>
      </c>
      <c r="N8" s="151">
        <f t="shared" si="1"/>
        <v>0.81962864721302597</v>
      </c>
      <c r="O8" s="137"/>
      <c r="R8" s="5"/>
    </row>
    <row r="9" spans="1:18" x14ac:dyDescent="0.25">
      <c r="A9" t="s">
        <v>6</v>
      </c>
      <c r="B9" s="20">
        <v>2</v>
      </c>
      <c r="C9" s="76" t="s">
        <v>255</v>
      </c>
      <c r="D9" s="1" t="s">
        <v>255</v>
      </c>
      <c r="E9" s="1" t="s">
        <v>255</v>
      </c>
      <c r="F9" s="142" t="s">
        <v>255</v>
      </c>
      <c r="G9" s="150">
        <f>+VLOOKUP(A9, 'AREA CorrFactor'!$B$3:$J$40, 8, FALSE)</f>
        <v>1229011.3960000002</v>
      </c>
      <c r="H9" s="15">
        <f>IFERROR(IF(D9 = "SoEF", VLOOKUP(A9, 'INPUT SoEF'!$B$4:$L$41, 11, FALSE), SUMIF('NFI 2020'!$B$3:$B$282, A9, 'NFI 2020'!$E$3:$E$282)), "")</f>
        <v>1165534.6830213387</v>
      </c>
      <c r="I9" s="15">
        <f>IFERROR(IF(D9 = "SoEF", G9-H9, SUMIF('NFI 2020'!$B$3:$B$282, A9, 'NFI 2020'!$F$3:$F$282)), "")</f>
        <v>63476.712978661235</v>
      </c>
      <c r="J9" s="15">
        <f>IFERROR(IF(E9 = "SoEF", VLOOKUP(A9, 'INPUT SoEF'!$B$4:$N$41, 13, FALSE) / VLOOKUP(A9, 'INPUT SoEF'!$B$4:$P$41, 15, FALSE), SUMIF('NFI 2020'!$B$3:$B$282, A9, 'NFI 2020'!$G$3:$G$282)), "")</f>
        <v>241905341.8916184</v>
      </c>
      <c r="K9" s="15">
        <f>IFERROR(IF(F9 = "SoEF", J9 * VLOOKUP(A9, 'INPUT SoEF'!$B$4:$T$41, 19, FALSE), SUMIF('NFI 2020'!$B$3:$B$282, A9, 'NFI 2020'!$H$3:$H$282)), "")</f>
        <v>234181531.30033049</v>
      </c>
      <c r="L9" s="15">
        <f>IFERROR(IF(F9 = "SoEF", J9-K9, SUMIF('NFI 2020'!$B$3:$B$282, A9, 'NFI 2020'!$I$3:$I$282)), "")</f>
        <v>7723810.5912879007</v>
      </c>
      <c r="M9" s="48">
        <f t="shared" si="0"/>
        <v>196.82920978514537</v>
      </c>
      <c r="N9" s="151">
        <f t="shared" si="1"/>
        <v>0.94835140407545782</v>
      </c>
      <c r="O9" s="137"/>
      <c r="R9" s="5"/>
    </row>
    <row r="10" spans="1:18" x14ac:dyDescent="0.25">
      <c r="A10" t="s">
        <v>7</v>
      </c>
      <c r="B10" s="20">
        <v>0</v>
      </c>
      <c r="C10" s="26" t="s">
        <v>484</v>
      </c>
      <c r="D10" t="s">
        <v>484</v>
      </c>
      <c r="E10" t="s">
        <v>484</v>
      </c>
      <c r="F10" s="27" t="s">
        <v>484</v>
      </c>
      <c r="G10" s="150">
        <f>+VLOOKUP(A10, 'AREA CorrFactor'!$B$3:$J$40, 8, FALSE)</f>
        <v>172700</v>
      </c>
      <c r="H10" s="15">
        <f>IFERROR(IF(D10 = "SoEF", VLOOKUP(A10, 'INPUT SoEF'!$B$4:$L$41, 11, FALSE), SUMIF('NFI 2020'!$B$3:$B$282, A10, 'NFI 2020'!$E$3:$E$282)), "")</f>
        <v>41120</v>
      </c>
      <c r="I10" s="15">
        <f>IFERROR(IF(D10 = "SoEF", G10-H10, SUMIF('NFI 2020'!$B$3:$B$282, A10, 'NFI 2020'!$F$3:$F$282)), "")</f>
        <v>131580</v>
      </c>
      <c r="J10" s="15">
        <f>IFERROR(IF(E10 = "SoEF", VLOOKUP(A10, 'INPUT SoEF'!$B$4:$N$41, 13, FALSE) / VLOOKUP(A10, 'INPUT SoEF'!$B$4:$P$41, 15, FALSE), SUMIF('NFI 2020'!$B$3:$B$282, A10, 'NFI 2020'!$G$3:$G$282)), "")</f>
        <v>5800000</v>
      </c>
      <c r="K10" s="15">
        <f>IFERROR(IF(F10 = "SoEF", J10 * VLOOKUP(A10, 'INPUT SoEF'!$B$4:$T$41, 19, FALSE), SUMIF('NFI 2020'!$B$3:$B$282, A10, 'NFI 2020'!$H$3:$H$282)), "")</f>
        <v>1856834.5323741008</v>
      </c>
      <c r="L10" s="15">
        <f>IFERROR(IF(F10 = "SoEF", J10-K10, SUMIF('NFI 2020'!$B$3:$B$282, A10, 'NFI 2020'!$I$3:$I$282)), "")</f>
        <v>3943165.4676258992</v>
      </c>
      <c r="M10" s="48">
        <f t="shared" si="0"/>
        <v>33.5842501447597</v>
      </c>
      <c r="N10" s="151">
        <f t="shared" si="1"/>
        <v>0.23810075275043427</v>
      </c>
      <c r="O10" s="137"/>
      <c r="P10" s="14"/>
      <c r="R10" s="5"/>
    </row>
    <row r="11" spans="1:18" x14ac:dyDescent="0.25">
      <c r="A11" t="s">
        <v>8</v>
      </c>
      <c r="B11" s="20">
        <v>3</v>
      </c>
      <c r="C11" s="76" t="s">
        <v>255</v>
      </c>
      <c r="D11" s="1" t="s">
        <v>255</v>
      </c>
      <c r="E11" s="1" t="s">
        <v>255</v>
      </c>
      <c r="F11" s="142" t="s">
        <v>255</v>
      </c>
      <c r="G11" s="150">
        <f>+VLOOKUP(A11, 'AREA CorrFactor'!$B$3:$J$40, 8, FALSE)</f>
        <v>2785226</v>
      </c>
      <c r="H11" s="15">
        <f>IFERROR(IF(D11 = "SoEF", VLOOKUP(A11, 'INPUT SoEF'!$B$4:$L$41, 11, FALSE), SUMIF('NFI 2020'!$B$3:$B$282, A11, 'NFI 2020'!$E$3:$E$282)), "")</f>
        <v>2619819.0251744343</v>
      </c>
      <c r="I11" s="15">
        <f>IFERROR(IF(D11 = "SoEF", G11-H11, SUMIF('NFI 2020'!$B$3:$B$282, A11, 'NFI 2020'!$F$3:$F$282)), "")</f>
        <v>165406.97482556591</v>
      </c>
      <c r="J11" s="15">
        <f>IFERROR(IF(E11 = "SoEF", VLOOKUP(A11, 'INPUT SoEF'!$B$4:$N$41, 13, FALSE) / VLOOKUP(A11, 'INPUT SoEF'!$B$4:$P$41, 15, FALSE), SUMIF('NFI 2020'!$B$3:$B$282, A11, 'NFI 2020'!$G$3:$G$282)), "")</f>
        <v>584665899.57987416</v>
      </c>
      <c r="K11" s="15">
        <f>IFERROR(IF(F11 = "SoEF", J11 * VLOOKUP(A11, 'INPUT SoEF'!$B$4:$T$41, 19, FALSE), SUMIF('NFI 2020'!$B$3:$B$282, A11, 'NFI 2020'!$H$3:$H$282)), "")</f>
        <v>554718188.63051212</v>
      </c>
      <c r="L11" s="15">
        <f>IFERROR(IF(F11 = "SoEF", J11-K11, SUMIF('NFI 2020'!$B$3:$B$282, A11, 'NFI 2020'!$I$3:$I$282)), "")</f>
        <v>29947710.949362025</v>
      </c>
      <c r="M11" s="48">
        <f t="shared" si="0"/>
        <v>209.91686117387752</v>
      </c>
      <c r="N11" s="151">
        <f t="shared" si="1"/>
        <v>0.94061272771919924</v>
      </c>
      <c r="O11" s="137"/>
      <c r="R11" s="5"/>
    </row>
    <row r="12" spans="1:18" x14ac:dyDescent="0.25">
      <c r="A12" t="s">
        <v>9</v>
      </c>
      <c r="B12" s="20">
        <v>2</v>
      </c>
      <c r="C12" s="76" t="s">
        <v>255</v>
      </c>
      <c r="D12" s="1" t="s">
        <v>255</v>
      </c>
      <c r="E12" s="1" t="s">
        <v>255</v>
      </c>
      <c r="F12" s="142" t="s">
        <v>255</v>
      </c>
      <c r="G12" s="150">
        <f>+VLOOKUP(A12, 'AREA CorrFactor'!$B$3:$J$40, 8, FALSE)</f>
        <v>10603996.323230248</v>
      </c>
      <c r="H12" s="15">
        <f>IFERROR(IF(D12 = "SoEF", VLOOKUP(A12, 'INPUT SoEF'!$B$4:$L$41, 11, FALSE), SUMIF('NFI 2020'!$B$3:$B$282, A12, 'NFI 2020'!$E$3:$E$282)), "")</f>
        <v>9946360.8678208813</v>
      </c>
      <c r="I12" s="15">
        <f>IFERROR(IF(D12 = "SoEF", G12-H12, SUMIF('NFI 2020'!$B$3:$B$282, A12, 'NFI 2020'!$F$3:$F$282)), "")</f>
        <v>657635.45540936431</v>
      </c>
      <c r="J12" s="15">
        <f>IFERROR(IF(E12 = "SoEF", VLOOKUP(A12, 'INPUT SoEF'!$B$4:$N$41, 13, FALSE) / VLOOKUP(A12, 'INPUT SoEF'!$B$4:$P$41, 15, FALSE), SUMIF('NFI 2020'!$B$3:$B$282, A12, 'NFI 2020'!$G$3:$G$282)), "")</f>
        <v>2165701589.0314331</v>
      </c>
      <c r="K12" s="15">
        <f>IFERROR(IF(F12 = "SoEF", J12 * VLOOKUP(A12, 'INPUT SoEF'!$B$4:$T$41, 19, FALSE), SUMIF('NFI 2020'!$B$3:$B$282, A12, 'NFI 2020'!$H$3:$H$282)), "")</f>
        <v>2038877123.6226876</v>
      </c>
      <c r="L12" s="15">
        <f>IFERROR(IF(F12 = "SoEF", J12-K12, SUMIF('NFI 2020'!$B$3:$B$282, A12, 'NFI 2020'!$I$3:$I$282)), "")</f>
        <v>126824465.40874538</v>
      </c>
      <c r="M12" s="48">
        <f t="shared" si="0"/>
        <v>204.23447189311219</v>
      </c>
      <c r="N12" s="151">
        <f t="shared" si="1"/>
        <v>0.93798230069462774</v>
      </c>
      <c r="O12" s="137"/>
      <c r="R12" s="5"/>
    </row>
    <row r="13" spans="1:18" x14ac:dyDescent="0.25">
      <c r="A13" t="s">
        <v>10</v>
      </c>
      <c r="B13" s="20">
        <v>3</v>
      </c>
      <c r="C13" s="26" t="s">
        <v>600</v>
      </c>
      <c r="D13" t="s">
        <v>484</v>
      </c>
      <c r="E13" t="s">
        <v>255</v>
      </c>
      <c r="F13" s="27" t="s">
        <v>484</v>
      </c>
      <c r="G13" s="150">
        <f>+VLOOKUP(A13, 'AREA CorrFactor'!$B$3:$J$40, 8, FALSE)</f>
        <v>628440</v>
      </c>
      <c r="H13" s="15">
        <f>IFERROR(IF(D13 = "SoEF", VLOOKUP(A13, 'INPUT SoEF'!$B$4:$L$41, 11, FALSE), SUMIF('NFI 2020'!$B$3:$B$282, A13, 'NFI 2020'!$E$3:$E$282)), "")</f>
        <v>613880</v>
      </c>
      <c r="I13" s="15">
        <f>IFERROR(IF(D13 = "SoEF", G13-H13, SUMIF('NFI 2020'!$B$3:$B$282, A13, 'NFI 2020'!$F$3:$F$282)), "")</f>
        <v>14560</v>
      </c>
      <c r="J13" s="15">
        <f>IFERROR(IF(E13 = "SoEF", VLOOKUP(A13, 'INPUT SoEF'!$B$4:$N$41, 13, FALSE) / VLOOKUP(A13, 'INPUT SoEF'!$B$4:$P$41, 15, FALSE), SUMIF('NFI 2020'!$B$3:$B$282, A13, 'NFI 2020'!$G$3:$G$282)), "")</f>
        <v>75516172.08701469</v>
      </c>
      <c r="K13" s="15">
        <f>IFERROR(IF(F13 = "SoEF", J13 * VLOOKUP(A13, 'INPUT SoEF'!$B$4:$T$41, 19, FALSE), SUMIF('NFI 2020'!$B$3:$B$282, A13, 'NFI 2020'!$H$3:$H$282)), "")</f>
        <v>73455967.527854294</v>
      </c>
      <c r="L13" s="15">
        <f>IFERROR(IF(F13 = "SoEF", J13-K13, SUMIF('NFI 2020'!$B$3:$B$282, A13, 'NFI 2020'!$I$3:$I$282)), "")</f>
        <v>2060204.5591603965</v>
      </c>
      <c r="M13" s="48">
        <f t="shared" si="0"/>
        <v>120.16448998633869</v>
      </c>
      <c r="N13" s="151">
        <f t="shared" si="1"/>
        <v>0.97683151931767553</v>
      </c>
      <c r="O13" s="137"/>
      <c r="R13" s="261"/>
    </row>
    <row r="14" spans="1:18" x14ac:dyDescent="0.25">
      <c r="A14" t="s">
        <v>11</v>
      </c>
      <c r="B14" s="20">
        <v>0</v>
      </c>
      <c r="C14" s="26" t="s">
        <v>484</v>
      </c>
      <c r="D14" t="s">
        <v>484</v>
      </c>
      <c r="E14" t="s">
        <v>484</v>
      </c>
      <c r="F14" s="27" t="s">
        <v>484</v>
      </c>
      <c r="G14" s="150">
        <f>+VLOOKUP(A14, 'AREA CorrFactor'!$B$3:$J$40, 8, FALSE)</f>
        <v>2438400</v>
      </c>
      <c r="H14" s="15">
        <f>IFERROR(IF(D14 = "SoEF", VLOOKUP(A14, 'INPUT SoEF'!$B$4:$L$41, 11, FALSE), SUMIF('NFI 2020'!$B$3:$B$282, A14, 'NFI 2020'!$E$3:$E$282)), "")</f>
        <v>2106040</v>
      </c>
      <c r="I14" s="15">
        <f>IFERROR(IF(D14 = "SoEF", G14-H14, SUMIF('NFI 2020'!$B$3:$B$282, A14, 'NFI 2020'!$F$3:$F$282)), "")</f>
        <v>332360</v>
      </c>
      <c r="J14" s="15">
        <f>IFERROR(IF(E14 = "SoEF", VLOOKUP(A14, 'INPUT SoEF'!$B$4:$N$41, 13, FALSE) / VLOOKUP(A14, 'INPUT SoEF'!$B$4:$P$41, 15, FALSE), SUMIF('NFI 2020'!$B$3:$B$282, A14, 'NFI 2020'!$G$3:$G$282)), "")</f>
        <v>265579999.99999997</v>
      </c>
      <c r="K14" s="15">
        <f>IFERROR(IF(F14 = "SoEF", J14 * VLOOKUP(A14, 'INPUT SoEF'!$B$4:$T$41, 19, FALSE), SUMIF('NFI 2020'!$B$3:$B$282, A14, 'NFI 2020'!$H$3:$H$282)), "")</f>
        <v>227071840.53425071</v>
      </c>
      <c r="L14" s="15">
        <f>IFERROR(IF(F14 = "SoEF", J14-K14, SUMIF('NFI 2020'!$B$3:$B$282, A14, 'NFI 2020'!$I$3:$I$282)), "")</f>
        <v>38508159.465749264</v>
      </c>
      <c r="M14" s="48">
        <f t="shared" si="0"/>
        <v>108.91568241469815</v>
      </c>
      <c r="N14" s="151">
        <f t="shared" si="1"/>
        <v>0.86369750656167976</v>
      </c>
      <c r="O14" s="137"/>
      <c r="R14" s="5"/>
    </row>
    <row r="15" spans="1:18" x14ac:dyDescent="0.25">
      <c r="A15" s="1" t="s">
        <v>12</v>
      </c>
      <c r="B15" s="58">
        <v>3</v>
      </c>
      <c r="C15" s="26" t="s">
        <v>600</v>
      </c>
      <c r="D15" s="1" t="s">
        <v>255</v>
      </c>
      <c r="E15" s="1" t="s">
        <v>255</v>
      </c>
      <c r="F15" s="142" t="s">
        <v>255</v>
      </c>
      <c r="G15" s="150">
        <f>+VLOOKUP(A15, 'AREA CorrFactor'!$B$3:$J$40, 8, FALSE)</f>
        <v>18572170</v>
      </c>
      <c r="H15" s="15">
        <f>IFERROR(IF(D15 = "SoEF", VLOOKUP(A15, 'INPUT SoEF'!$B$4:$L$41, 11, FALSE), SUMIF('NFI 2020'!$B$3:$B$282, A15, 'NFI 2020'!$E$3:$E$282)), "")</f>
        <v>17089794.767345741</v>
      </c>
      <c r="I15" s="15">
        <f>IFERROR(IF(D15 = "SoEF", G15-H15, SUMIF('NFI 2020'!$B$3:$B$282, A15, 'NFI 2020'!$F$3:$F$282)), "")</f>
        <v>1482375.2326542442</v>
      </c>
      <c r="J15" s="15">
        <f>IFERROR(IF(E15 = "SoEF", VLOOKUP(A15, 'INPUT SoEF'!$B$4:$N$41, 13, FALSE) / VLOOKUP(A15, 'INPUT SoEF'!$B$4:$P$41, 15, FALSE), SUMIF('NFI 2020'!$B$3:$B$282, A15, 'NFI 2020'!$G$3:$G$282)), "")</f>
        <v>1152484716.593178</v>
      </c>
      <c r="K15" s="15">
        <f>IFERROR(IF(F15 = "SoEF", J15 * VLOOKUP(A15, 'INPUT SoEF'!$B$4:$T$41, 19, FALSE), SUMIF('NFI 2020'!$B$3:$B$282, A15, 'NFI 2020'!$H$3:$H$282)), "")</f>
        <v>1071861700.4369625</v>
      </c>
      <c r="L15" s="15">
        <f>IFERROR(IF(F15 = "SoEF", J15-K15, SUMIF('NFI 2020'!$B$3:$B$282, A15, 'NFI 2020'!$I$3:$I$282)), "")</f>
        <v>80623016.156215295</v>
      </c>
      <c r="M15" s="48">
        <f t="shared" si="0"/>
        <v>62.054391952753932</v>
      </c>
      <c r="N15" s="151">
        <f t="shared" si="1"/>
        <v>0.92018298170573187</v>
      </c>
      <c r="O15" s="137"/>
      <c r="P15" s="3"/>
      <c r="Q15" s="6"/>
      <c r="R15" s="5"/>
    </row>
    <row r="16" spans="1:18" x14ac:dyDescent="0.25">
      <c r="A16" t="s">
        <v>13</v>
      </c>
      <c r="B16" s="20">
        <v>1</v>
      </c>
      <c r="C16" s="26" t="s">
        <v>600</v>
      </c>
      <c r="D16" t="s">
        <v>484</v>
      </c>
      <c r="E16" s="1" t="s">
        <v>255</v>
      </c>
      <c r="F16" s="27" t="s">
        <v>484</v>
      </c>
      <c r="G16" s="150">
        <f>+VLOOKUP(A16, 'AREA CorrFactor'!$B$3:$J$40, 8, FALSE)</f>
        <v>22409000</v>
      </c>
      <c r="H16" s="15">
        <f>IFERROR(IF(D16 = "SoEF", VLOOKUP(A16, 'INPUT SoEF'!$B$4:$L$41, 11, FALSE), SUMIF('NFI 2020'!$B$3:$B$282, A16, 'NFI 2020'!$E$3:$E$282)), "")</f>
        <v>19719020</v>
      </c>
      <c r="I16" s="15">
        <f>IFERROR(IF(D16 = "SoEF", G16-H16, SUMIF('NFI 2020'!$B$3:$B$282, A16, 'NFI 2020'!$F$3:$F$282)), "")</f>
        <v>2689980</v>
      </c>
      <c r="J16" s="15">
        <f>IFERROR(IF(E16 = "SoEF", VLOOKUP(A16, 'INPUT SoEF'!$B$4:$N$41, 13, FALSE) / VLOOKUP(A16, 'INPUT SoEF'!$B$4:$P$41, 15, FALSE), SUMIF('NFI 2020'!$B$3:$B$282, A16, 'NFI 2020'!$G$3:$G$282)), "")</f>
        <v>1496214930.2886453</v>
      </c>
      <c r="K16" s="15">
        <f>IFERROR(IF(F16 = "SoEF", J16 * VLOOKUP(A16, 'INPUT SoEF'!$B$4:$T$41, 19, FALSE), SUMIF('NFI 2020'!$B$3:$B$282, A16, 'NFI 2020'!$H$3:$H$282)), "")</f>
        <v>1345921392.9872952</v>
      </c>
      <c r="L16" s="15">
        <f>IFERROR(IF(F16 = "SoEF", J16-K16, SUMIF('NFI 2020'!$B$3:$B$282, A16, 'NFI 2020'!$I$3:$I$282)), "")</f>
        <v>150293537.30135012</v>
      </c>
      <c r="M16" s="48">
        <f t="shared" si="0"/>
        <v>66.768482765346306</v>
      </c>
      <c r="N16" s="151">
        <f t="shared" si="1"/>
        <v>0.87995983756526397</v>
      </c>
      <c r="O16" s="137"/>
      <c r="R16" s="5"/>
    </row>
    <row r="17" spans="1:20" x14ac:dyDescent="0.25">
      <c r="A17" t="s">
        <v>14</v>
      </c>
      <c r="B17" s="20">
        <v>2</v>
      </c>
      <c r="C17" s="26" t="s">
        <v>600</v>
      </c>
      <c r="D17" t="s">
        <v>255</v>
      </c>
      <c r="E17" s="1" t="s">
        <v>255</v>
      </c>
      <c r="F17" s="142" t="s">
        <v>255</v>
      </c>
      <c r="G17" s="150">
        <f>+VLOOKUP(A17, 'AREA CorrFactor'!$B$3:$J$40, 8, FALSE)</f>
        <v>17253000</v>
      </c>
      <c r="H17" s="15">
        <f>IFERROR(IF(D17 = "SoEF", VLOOKUP(A17, 'INPUT SoEF'!$B$4:$L$41, 11, FALSE), SUMIF('NFI 2020'!$B$3:$B$282, A17, 'NFI 2020'!$E$3:$E$282)), "")</f>
        <v>16393711.519727228</v>
      </c>
      <c r="I17" s="15">
        <f>IFERROR(IF(D17 = "SoEF", G17-H17, SUMIF('NFI 2020'!$B$3:$B$282, A17, 'NFI 2020'!$F$3:$F$282)), "")</f>
        <v>859288.48027277144</v>
      </c>
      <c r="J17" s="15">
        <f>IFERROR(IF(E17 = "SoEF", VLOOKUP(A17, 'INPUT SoEF'!$B$4:$N$41, 13, FALSE) / VLOOKUP(A17, 'INPUT SoEF'!$B$4:$P$41, 15, FALSE), SUMIF('NFI 2020'!$B$3:$B$282, A17, 'NFI 2020'!$G$3:$G$282)), "")</f>
        <v>2541541630.8944631</v>
      </c>
      <c r="K17" s="15">
        <f>IFERROR(IF(F17 = "SoEF", J17 * VLOOKUP(A17, 'INPUT SoEF'!$B$4:$T$41, 19, FALSE), SUMIF('NFI 2020'!$B$3:$B$282, A17, 'NFI 2020'!$H$3:$H$282)), "")</f>
        <v>2427449312.4700747</v>
      </c>
      <c r="L17" s="15">
        <f>IFERROR(IF(F17 = "SoEF", J17-K17, SUMIF('NFI 2020'!$B$3:$B$282, A17, 'NFI 2020'!$I$3:$I$282)), "")</f>
        <v>114092318.42438889</v>
      </c>
      <c r="M17" s="48">
        <f t="shared" si="0"/>
        <v>147.31012756589945</v>
      </c>
      <c r="N17" s="151">
        <f t="shared" si="1"/>
        <v>0.95019483682415973</v>
      </c>
      <c r="O17" s="137"/>
      <c r="P17" s="14"/>
      <c r="R17" s="5"/>
    </row>
    <row r="18" spans="1:20" x14ac:dyDescent="0.25">
      <c r="A18" t="s">
        <v>15</v>
      </c>
      <c r="B18" s="20">
        <v>0</v>
      </c>
      <c r="C18" s="26" t="s">
        <v>484</v>
      </c>
      <c r="D18" t="s">
        <v>484</v>
      </c>
      <c r="E18" t="s">
        <v>484</v>
      </c>
      <c r="F18" s="27" t="s">
        <v>484</v>
      </c>
      <c r="G18" s="150">
        <f>+VLOOKUP(A18, 'AREA CorrFactor'!$B$3:$J$40, 8, FALSE)</f>
        <v>3190000</v>
      </c>
      <c r="H18" s="15">
        <f>IFERROR(IF(D18 = "SoEF", VLOOKUP(A18, 'INPUT SoEF'!$B$4:$L$41, 11, FALSE), SUMIF('NFI 2020'!$B$3:$B$282, A18, 'NFI 2020'!$E$3:$E$282)), "")</f>
        <v>3190000</v>
      </c>
      <c r="I18" s="15">
        <f>IFERROR(IF(D18 = "SoEF", G18-H18, SUMIF('NFI 2020'!$B$3:$B$282, A18, 'NFI 2020'!$F$3:$F$282)), "")</f>
        <v>0</v>
      </c>
      <c r="J18" s="15">
        <f>IFERROR(IF(E18 = "SoEF", VLOOKUP(A18, 'INPUT SoEF'!$B$4:$N$41, 13, FALSE) / VLOOKUP(A18, 'INPUT SoEF'!$B$4:$P$41, 15, FALSE), SUMIF('NFI 2020'!$B$3:$B$282, A18, 'NFI 2020'!$G$3:$G$282)), "")</f>
        <v>368000000</v>
      </c>
      <c r="K18" s="15">
        <f>IFERROR(IF(F18 = "SoEF", J18 * VLOOKUP(A18, 'INPUT SoEF'!$B$4:$T$41, 19, FALSE), SUMIF('NFI 2020'!$B$3:$B$282, A18, 'NFI 2020'!$H$3:$H$282)), "")</f>
        <v>368000000</v>
      </c>
      <c r="L18" s="15">
        <f>IFERROR(IF(F18 = "SoEF", J18-K18, SUMIF('NFI 2020'!$B$3:$B$282, A18, 'NFI 2020'!$I$3:$I$282)), "")</f>
        <v>0</v>
      </c>
      <c r="M18" s="48">
        <f t="shared" si="0"/>
        <v>115.36050156739812</v>
      </c>
      <c r="N18" s="151">
        <f t="shared" si="1"/>
        <v>1</v>
      </c>
      <c r="O18" s="137"/>
      <c r="Q18" s="7"/>
      <c r="R18" s="5"/>
    </row>
    <row r="19" spans="1:20" x14ac:dyDescent="0.25">
      <c r="A19" t="s">
        <v>16</v>
      </c>
      <c r="B19" s="20">
        <v>0</v>
      </c>
      <c r="C19" s="26" t="s">
        <v>600</v>
      </c>
      <c r="D19" t="s">
        <v>484</v>
      </c>
      <c r="E19" t="s">
        <v>602</v>
      </c>
      <c r="F19" s="27" t="s">
        <v>484</v>
      </c>
      <c r="G19" s="150">
        <f>+VLOOKUP(A19, 'AREA CorrFactor'!$B$3:$J$40, 8, FALSE)</f>
        <v>3903000</v>
      </c>
      <c r="H19" s="15">
        <f>IFERROR(IF(D19 = "SoEF", VLOOKUP(A19, 'INPUT SoEF'!$B$4:$L$41, 11, FALSE), SUMIF('NFI 2020'!$B$3:$B$282, A19, 'NFI 2020'!$E$3:$E$282)), "")</f>
        <v>3594660</v>
      </c>
      <c r="I19" s="15">
        <f>IFERROR(IF(D19 = "SoEF", G19-H19, SUMIF('NFI 2020'!$B$3:$B$282, A19, 'NFI 2020'!$F$3:$F$282)), "")</f>
        <v>308340</v>
      </c>
      <c r="J19" s="15">
        <f>IFERROR(IF(E19 = "SoEF", VLOOKUP(A19, 'INPUT SoEF'!$B$4:$N$41, 13, FALSE) / VLOOKUP(A19, 'INPUT SoEF'!$B$4:$P$41, 15, FALSE), SUMIF('NFI 2020'!$B$3:$B$282, A19, 'NFI 2020'!$G$3:$G$282)), "")</f>
        <v>202151473.27700347</v>
      </c>
      <c r="K19" s="15">
        <f>IFERROR(IF(F19 = "SoEF", J19 * VLOOKUP(A19, 'INPUT SoEF'!$B$4:$T$41, 19, FALSE), SUMIF('NFI 2020'!$B$3:$B$282, A19, 'NFI 2020'!$H$3:$H$282)), "")</f>
        <v>185760813.28157076</v>
      </c>
      <c r="L19" s="15">
        <f>IFERROR(IF(F19 = "SoEF", J19-K19, SUMIF('NFI 2020'!$B$3:$B$282, A19, 'NFI 2020'!$I$3:$I$282)), "")</f>
        <v>16390659.995432705</v>
      </c>
      <c r="M19" s="48">
        <f t="shared" si="0"/>
        <v>51.793869658468736</v>
      </c>
      <c r="N19" s="151">
        <f t="shared" si="1"/>
        <v>0.92099923136049189</v>
      </c>
      <c r="O19" s="137"/>
      <c r="Q19" s="6"/>
      <c r="R19" s="5"/>
    </row>
    <row r="20" spans="1:20" x14ac:dyDescent="0.25">
      <c r="A20" s="1" t="s">
        <v>17</v>
      </c>
      <c r="B20" s="58">
        <v>2</v>
      </c>
      <c r="C20" s="26" t="s">
        <v>255</v>
      </c>
      <c r="D20" s="1" t="s">
        <v>484</v>
      </c>
      <c r="E20" s="1" t="s">
        <v>255</v>
      </c>
      <c r="F20" s="27" t="s">
        <v>484</v>
      </c>
      <c r="G20" s="150">
        <f>+VLOOKUP(A20, 'AREA CorrFactor'!$B$3:$J$40, 8, FALSE)</f>
        <v>2477994.1582182217</v>
      </c>
      <c r="H20" s="15">
        <f>+G20*'INPUT SoEF'!L21/'INPUT SoEF'!C21</f>
        <v>2226745.6826560902</v>
      </c>
      <c r="I20" s="15">
        <f>+G20-H20</f>
        <v>251248.4755621315</v>
      </c>
      <c r="J20" s="15">
        <f>IFERROR(IF(E20 = "SoEF", VLOOKUP(A20, 'INPUT SoEF'!$B$4:$N$41, 13, FALSE) / VLOOKUP(A20, 'INPUT SoEF'!$B$4:$P$41, 15, FALSE), SUMIF('NFI 2020'!$B$3:$B$282, A20, 'NFI 2020'!$G$3:$G$282)), "")</f>
        <v>470410376.16506064</v>
      </c>
      <c r="K20" s="15">
        <f>IFERROR(IF(F20 = "SoEF", J20 * VLOOKUP(A20, 'INPUT SoEF'!$B$4:$T$41, 19, FALSE), SUMIF('NFI 2020'!$B$3:$B$282, A20, 'NFI 2020'!$H$3:$H$282)), "")</f>
        <v>443070154.17129058</v>
      </c>
      <c r="L20" s="15">
        <f>IFERROR(IF(F20 = "SoEF", J20-K20, SUMIF('NFI 2020'!$B$3:$B$282, A20, 'NFI 2020'!$I$3:$I$282)), "")</f>
        <v>27340221.993770063</v>
      </c>
      <c r="M20" s="48">
        <f t="shared" si="0"/>
        <v>189.83514331740992</v>
      </c>
      <c r="N20" s="151">
        <f t="shared" si="1"/>
        <v>0.89860812434570492</v>
      </c>
      <c r="O20" s="137"/>
      <c r="Q20" s="4"/>
      <c r="R20" s="5"/>
    </row>
    <row r="21" spans="1:20" x14ac:dyDescent="0.25">
      <c r="A21" s="1" t="s">
        <v>18</v>
      </c>
      <c r="B21" s="58">
        <v>3</v>
      </c>
      <c r="C21" s="76" t="s">
        <v>255</v>
      </c>
      <c r="D21" s="1" t="s">
        <v>255</v>
      </c>
      <c r="E21" s="1" t="s">
        <v>255</v>
      </c>
      <c r="F21" s="142" t="s">
        <v>255</v>
      </c>
      <c r="G21" s="150">
        <f>+VLOOKUP(A21, 'AREA CorrFactor'!$B$3:$J$40, 8, FALSE)</f>
        <v>2147296</v>
      </c>
      <c r="H21" s="15">
        <f>IFERROR(IF(D21 = "SoEF", VLOOKUP(A21, 'INPUT SoEF'!$B$4:$L$41, 11, FALSE), SUMIF('NFI 2020'!$B$3:$B$282, A21, 'NFI 2020'!$E$3:$E$282)), "")</f>
        <v>1972063.8147525678</v>
      </c>
      <c r="I21" s="15">
        <f>IFERROR(IF(D21 = "SoEF", G21-H21, SUMIF('NFI 2020'!$B$3:$B$282, A21, 'NFI 2020'!$F$3:$F$282)), "")</f>
        <v>175232.1852474323</v>
      </c>
      <c r="J21" s="15">
        <f>IFERROR(IF(E21 = "SoEF", VLOOKUP(A21, 'INPUT SoEF'!$B$4:$N$41, 13, FALSE) / VLOOKUP(A21, 'INPUT SoEF'!$B$4:$P$41, 15, FALSE), SUMIF('NFI 2020'!$B$3:$B$282, A21, 'NFI 2020'!$G$3:$G$282)), "")</f>
        <v>318993315.57516211</v>
      </c>
      <c r="K21" s="15">
        <f>IFERROR(IF(F21 = "SoEF", J21 * VLOOKUP(A21, 'INPUT SoEF'!$B$4:$T$41, 19, FALSE), SUMIF('NFI 2020'!$B$3:$B$282, A21, 'NFI 2020'!$H$3:$H$282)), "")</f>
        <v>306371112.57789451</v>
      </c>
      <c r="L21" s="15">
        <f>IFERROR(IF(F21 = "SoEF", J21-K21, SUMIF('NFI 2020'!$B$3:$B$282, A21, 'NFI 2020'!$I$3:$I$282)), "")</f>
        <v>12622202.997267647</v>
      </c>
      <c r="M21" s="48">
        <f t="shared" si="0"/>
        <v>148.55581884153938</v>
      </c>
      <c r="N21" s="151">
        <f t="shared" si="1"/>
        <v>0.91839402427637729</v>
      </c>
      <c r="O21" s="137"/>
      <c r="Q21" s="8"/>
      <c r="R21" s="5"/>
    </row>
    <row r="22" spans="1:20" x14ac:dyDescent="0.25">
      <c r="A22" t="s">
        <v>19</v>
      </c>
      <c r="B22" s="20">
        <v>1</v>
      </c>
      <c r="C22" s="76" t="s">
        <v>255</v>
      </c>
      <c r="D22" s="1" t="s">
        <v>255</v>
      </c>
      <c r="E22" s="1" t="s">
        <v>255</v>
      </c>
      <c r="F22" s="142" t="s">
        <v>255</v>
      </c>
      <c r="G22" s="150">
        <f>+VLOOKUP(A22, 'AREA CorrFactor'!$B$3:$J$40, 8, FALSE)</f>
        <v>782020</v>
      </c>
      <c r="H22" s="15">
        <f>IFERROR(IF(D22 = "SoEF", VLOOKUP(A22, 'INPUT SoEF'!$B$4:$L$41, 11, FALSE), SUMIF('NFI 2020'!$B$3:$B$282, A22, 'NFI 2020'!$E$3:$E$282)), "")</f>
        <v>607420</v>
      </c>
      <c r="I22" s="15">
        <f>IFERROR(IF(D22 = "SoEF", G22-H22, SUMIF('NFI 2020'!$B$3:$B$282, A22, 'NFI 2020'!$F$3:$F$282)), "")</f>
        <v>174600</v>
      </c>
      <c r="J22" s="15">
        <f>IFERROR(IF(E22 = "SoEF", VLOOKUP(A22, 'INPUT SoEF'!$B$4:$N$41, 13, FALSE) / VLOOKUP(A22, 'INPUT SoEF'!$B$4:$P$41, 15, FALSE), SUMIF('NFI 2020'!$B$3:$B$282, A22, 'NFI 2020'!$G$3:$G$282)), "")</f>
        <v>91753624.534004793</v>
      </c>
      <c r="K22" s="15">
        <f>IFERROR(IF(F22 = "SoEF", J22 * VLOOKUP(A22, 'INPUT SoEF'!$B$4:$T$41, 19, FALSE), SUMIF('NFI 2020'!$B$3:$B$282, A22, 'NFI 2020'!$H$3:$H$282)), "")</f>
        <v>71751537.003325105</v>
      </c>
      <c r="L22" s="15">
        <f>IFERROR(IF(F22 = "SoEF", J22-K22, SUMIF('NFI 2020'!$B$3:$B$282, A22, 'NFI 2020'!$I$3:$I$282)), "")</f>
        <v>20002087.53067968</v>
      </c>
      <c r="M22" s="48">
        <f t="shared" si="0"/>
        <v>117.32899994118411</v>
      </c>
      <c r="N22" s="151">
        <f t="shared" si="1"/>
        <v>0.77673205288867297</v>
      </c>
      <c r="O22" s="137"/>
      <c r="Q22" s="14"/>
      <c r="R22" s="5"/>
      <c r="T22" s="17"/>
    </row>
    <row r="23" spans="1:20" x14ac:dyDescent="0.25">
      <c r="A23" t="s">
        <v>20</v>
      </c>
      <c r="B23" s="20">
        <v>2</v>
      </c>
      <c r="C23" s="76" t="s">
        <v>255</v>
      </c>
      <c r="D23" s="1" t="s">
        <v>255</v>
      </c>
      <c r="E23" s="1" t="s">
        <v>255</v>
      </c>
      <c r="F23" s="142" t="s">
        <v>255</v>
      </c>
      <c r="G23" s="150">
        <f>+VLOOKUP(A23, 'AREA CorrFactor'!$B$3:$J$40, 8, FALSE)</f>
        <v>42372.838070166501</v>
      </c>
      <c r="H23" s="15">
        <f>IFERROR(IF(D23 = "SoEF", VLOOKUP(A23, 'INPUT SoEF'!$B$4:$L$41, 11, FALSE), SUMIF('NFI 2020'!$B$3:$B$282, A23, 'NFI 2020'!$E$3:$E$282)), "")</f>
        <v>27458.910992253241</v>
      </c>
      <c r="I23" s="15">
        <f>IFERROR(IF(D23 = "SoEF", G23-H23, SUMIF('NFI 2020'!$B$3:$B$282, A23, 'NFI 2020'!$F$3:$F$282)), "")</f>
        <v>14913.927077913257</v>
      </c>
      <c r="J23" s="15">
        <f>IFERROR(IF(E23 = "SoEF", VLOOKUP(A23, 'INPUT SoEF'!$B$4:$N$41, 13, FALSE) / VLOOKUP(A23, 'INPUT SoEF'!$B$4:$P$41, 15, FALSE), SUMIF('NFI 2020'!$B$3:$B$282, A23, 'NFI 2020'!$G$3:$G$282)), "")</f>
        <v>885746.01660605567</v>
      </c>
      <c r="K23" s="15">
        <f>IFERROR(IF(F23 = "SoEF", J23 * VLOOKUP(A23, 'INPUT SoEF'!$B$4:$T$41, 19, FALSE), SUMIF('NFI 2020'!$B$3:$B$282, A23, 'NFI 2020'!$H$3:$H$282)), "")</f>
        <v>556508.05936609651</v>
      </c>
      <c r="L23" s="15">
        <f>IFERROR(IF(F23 = "SoEF", J23-K23, SUMIF('NFI 2020'!$B$3:$B$282, A23, 'NFI 2020'!$I$3:$I$282)), "")</f>
        <v>329237.95723995916</v>
      </c>
      <c r="M23" s="48">
        <f t="shared" si="0"/>
        <v>20.903627345879482</v>
      </c>
      <c r="N23" s="151">
        <f t="shared" si="1"/>
        <v>0.64803096140936267</v>
      </c>
      <c r="O23" s="137"/>
      <c r="R23" s="5"/>
      <c r="T23" s="17"/>
    </row>
    <row r="24" spans="1:20" x14ac:dyDescent="0.25">
      <c r="A24" t="s">
        <v>21</v>
      </c>
      <c r="B24" s="20">
        <v>2</v>
      </c>
      <c r="C24" s="26" t="s">
        <v>600</v>
      </c>
      <c r="D24" t="s">
        <v>484</v>
      </c>
      <c r="E24" s="1" t="s">
        <v>255</v>
      </c>
      <c r="F24" s="27" t="s">
        <v>484</v>
      </c>
      <c r="G24" s="150">
        <f>+VLOOKUP(A24, 'AREA CorrFactor'!$B$3:$J$40, 8, FALSE)</f>
        <v>9566130</v>
      </c>
      <c r="H24" s="15">
        <f>IFERROR(IF(D24 = "SoEF", VLOOKUP(A24, 'INPUT SoEF'!$B$4:$L$41, 11, FALSE), SUMIF('NFI 2020'!$B$3:$B$282, A24, 'NFI 2020'!$E$3:$E$282)), "")</f>
        <v>8454330</v>
      </c>
      <c r="I24" s="15">
        <f>IFERROR(IF(D24 = "SoEF", G24-H24, SUMIF('NFI 2020'!$B$3:$B$282, A24, 'NFI 2020'!$F$3:$F$282)), "")</f>
        <v>1111800</v>
      </c>
      <c r="J24" s="15">
        <f>IFERROR(IF(E24 = "SoEF", VLOOKUP(A24, 'INPUT SoEF'!$B$4:$N$41, 13, FALSE) / VLOOKUP(A24, 'INPUT SoEF'!$B$4:$P$41, 15, FALSE), SUMIF('NFI 2020'!$B$3:$B$282, A24, 'NFI 2020'!$G$3:$G$282)), "")</f>
        <v>1032987622.5604783</v>
      </c>
      <c r="K24" s="15">
        <f>IFERROR(IF(F24 = "SoEF", J24 * VLOOKUP(A24, 'INPUT SoEF'!$B$4:$T$41, 19, FALSE), SUMIF('NFI 2020'!$B$3:$B$282, A24, 'NFI 2020'!$H$3:$H$282)), "")</f>
        <v>959341337.42660594</v>
      </c>
      <c r="L24" s="15">
        <f>IFERROR(IF(F24 = "SoEF", J24-K24, SUMIF('NFI 2020'!$B$3:$B$282, A24, 'NFI 2020'!$I$3:$I$282)), "")</f>
        <v>73646285.13387239</v>
      </c>
      <c r="M24" s="48">
        <f t="shared" si="0"/>
        <v>107.98385789869867</v>
      </c>
      <c r="N24" s="151">
        <f t="shared" si="1"/>
        <v>0.88377745232398053</v>
      </c>
      <c r="O24" s="137"/>
      <c r="Q24" s="16"/>
      <c r="R24" s="5"/>
    </row>
    <row r="25" spans="1:20" x14ac:dyDescent="0.25">
      <c r="A25" t="s">
        <v>22</v>
      </c>
      <c r="B25" s="20">
        <v>0</v>
      </c>
      <c r="C25" s="26" t="s">
        <v>484</v>
      </c>
      <c r="D25" t="s">
        <v>484</v>
      </c>
      <c r="E25" t="s">
        <v>484</v>
      </c>
      <c r="F25" s="27" t="s">
        <v>484</v>
      </c>
      <c r="G25" s="150">
        <f>+VLOOKUP(A25, 'AREA CorrFactor'!$B$3:$J$40, 8, FALSE)</f>
        <v>6700</v>
      </c>
      <c r="H25" s="15">
        <f>IFERROR(IF(D25 = "SoEF", VLOOKUP(A25, 'INPUT SoEF'!$B$4:$L$41, 11, FALSE), SUMIF('NFI 2020'!$B$3:$B$282, A25, 'NFI 2020'!$E$3:$E$282)), "")</f>
        <v>4000</v>
      </c>
      <c r="I25" s="15">
        <f>IFERROR(IF(D25 = "SoEF", G25-H25, SUMIF('NFI 2020'!$B$3:$B$282, A25, 'NFI 2020'!$F$3:$F$282)), "")</f>
        <v>2700</v>
      </c>
      <c r="J25" s="15">
        <f>IFERROR(IF(E25 = "SoEF", VLOOKUP(A25, 'INPUT SoEF'!$B$4:$N$41, 13, FALSE) / VLOOKUP(A25, 'INPUT SoEF'!$B$4:$P$41, 15, FALSE), SUMIF('NFI 2020'!$B$3:$B$282, A25, 'NFI 2020'!$G$3:$G$282)), "")</f>
        <v>1520000</v>
      </c>
      <c r="K25" s="15">
        <f>IFERROR(IF(F25 = "SoEF", J25 * VLOOKUP(A25, 'INPUT SoEF'!$B$4:$T$41, 19, FALSE), SUMIF('NFI 2020'!$B$3:$B$282, A25, 'NFI 2020'!$H$3:$H$282)), "")</f>
        <v>776642.33576642338</v>
      </c>
      <c r="L25" s="15">
        <f>IFERROR(IF(F25 = "SoEF", J25-K25, SUMIF('NFI 2020'!$B$3:$B$282, A25, 'NFI 2020'!$I$3:$I$282)), "")</f>
        <v>743357.66423357662</v>
      </c>
      <c r="M25" s="48">
        <f t="shared" si="0"/>
        <v>226.86567164179104</v>
      </c>
      <c r="N25" s="151">
        <f t="shared" si="1"/>
        <v>0.59701492537313428</v>
      </c>
      <c r="O25" s="137"/>
      <c r="Q25" s="16"/>
      <c r="R25" s="5"/>
    </row>
    <row r="26" spans="1:20" x14ac:dyDescent="0.25">
      <c r="A26" t="s">
        <v>23</v>
      </c>
      <c r="B26" s="20">
        <v>3</v>
      </c>
      <c r="C26" s="26" t="s">
        <v>600</v>
      </c>
      <c r="D26" s="1" t="s">
        <v>255</v>
      </c>
      <c r="E26" s="1" t="s">
        <v>255</v>
      </c>
      <c r="F26" s="142" t="s">
        <v>255</v>
      </c>
      <c r="G26" s="150">
        <f>+VLOOKUP(A26, 'AREA CorrFactor'!$B$3:$J$40, 8, FALSE)</f>
        <v>2201000</v>
      </c>
      <c r="H26" s="15">
        <f>IFERROR(IF(D26 = "SoEF", VLOOKUP(A26, 'INPUT SoEF'!$B$4:$L$41, 11, FALSE), SUMIF('NFI 2020'!$B$3:$B$282, A26, 'NFI 2020'!$E$3:$E$282)), "")</f>
        <v>1800380.2615087046</v>
      </c>
      <c r="I26" s="15">
        <f>IFERROR(IF(D26 = "SoEF", G26-H26, SUMIF('NFI 2020'!$B$3:$B$282, A26, 'NFI 2020'!$F$3:$F$282)), "")</f>
        <v>400619.73849129525</v>
      </c>
      <c r="J26" s="15">
        <f>IFERROR(IF(E26 = "SoEF", VLOOKUP(A26, 'INPUT SoEF'!$B$4:$N$41, 13, FALSE) / VLOOKUP(A26, 'INPUT SoEF'!$B$4:$P$41, 15, FALSE), SUMIF('NFI 2020'!$B$3:$B$282, A26, 'NFI 2020'!$G$3:$G$282)), "")</f>
        <v>318420060.18872505</v>
      </c>
      <c r="K26" s="15">
        <f>IFERROR(IF(F26 = "SoEF", J26 * VLOOKUP(A26, 'INPUT SoEF'!$B$4:$T$41, 19, FALSE), SUMIF('NFI 2020'!$B$3:$B$282, A26, 'NFI 2020'!$H$3:$H$282)), "")</f>
        <v>249552833.87847441</v>
      </c>
      <c r="L26" s="15">
        <f>IFERROR(IF(F26 = "SoEF", J26-K26, SUMIF('NFI 2020'!$B$3:$B$282, A26, 'NFI 2020'!$I$3:$I$282)), "")</f>
        <v>68867226.310250625</v>
      </c>
      <c r="M26" s="48">
        <f t="shared" si="0"/>
        <v>144.67063161686735</v>
      </c>
      <c r="N26" s="151">
        <f t="shared" si="1"/>
        <v>0.81798285393398662</v>
      </c>
      <c r="O26" s="137"/>
      <c r="Q26" s="6"/>
      <c r="R26" s="5"/>
    </row>
    <row r="27" spans="1:20" x14ac:dyDescent="0.25">
      <c r="A27" t="s">
        <v>24</v>
      </c>
      <c r="B27" s="20">
        <v>0</v>
      </c>
      <c r="C27" s="26" t="s">
        <v>484</v>
      </c>
      <c r="D27" t="s">
        <v>484</v>
      </c>
      <c r="E27" t="s">
        <v>484</v>
      </c>
      <c r="F27" s="27" t="s">
        <v>602</v>
      </c>
      <c r="G27" s="150">
        <f>+VLOOKUP(A27, 'AREA CorrFactor'!$B$3:$J$40, 8, FALSE)</f>
        <v>88700</v>
      </c>
      <c r="H27" s="15">
        <f>IFERROR(IF(D27 = "SoEF", VLOOKUP(A27, 'INPUT SoEF'!$B$4:$L$41, 11, FALSE), SUMIF('NFI 2020'!$B$3:$B$282, A27, 'NFI 2020'!$E$3:$E$282)), "")</f>
        <v>86100</v>
      </c>
      <c r="I27" s="15">
        <f>IFERROR(IF(D27 = "SoEF", G27-H27, SUMIF('NFI 2020'!$B$3:$B$282, A27, 'NFI 2020'!$F$3:$F$282)), "")</f>
        <v>2600</v>
      </c>
      <c r="J27" s="15">
        <f>IFERROR(IF(E27 = "SoEF", VLOOKUP(A27, 'INPUT SoEF'!$B$4:$N$41, 13, FALSE) / VLOOKUP(A27, 'INPUT SoEF'!$B$4:$P$41, 15, FALSE), SUMIF('NFI 2020'!$B$3:$B$282, A27, 'NFI 2020'!$G$3:$G$282)), "")</f>
        <v>15060000</v>
      </c>
      <c r="K27" s="15">
        <f>+J27*N27</f>
        <v>14618556.933483653</v>
      </c>
      <c r="L27" s="15">
        <f>+J27-K27</f>
        <v>441443.06651634723</v>
      </c>
      <c r="M27" s="48">
        <f t="shared" si="0"/>
        <v>169.78579481397972</v>
      </c>
      <c r="N27" s="151">
        <f t="shared" si="1"/>
        <v>0.97068771138669674</v>
      </c>
      <c r="O27" s="137"/>
      <c r="R27" s="5"/>
    </row>
    <row r="28" spans="1:20" x14ac:dyDescent="0.25">
      <c r="A28" t="s">
        <v>25</v>
      </c>
      <c r="B28" s="20">
        <v>0</v>
      </c>
      <c r="C28" s="26" t="s">
        <v>600</v>
      </c>
      <c r="D28" s="1" t="s">
        <v>255</v>
      </c>
      <c r="E28" s="1" t="s">
        <v>255</v>
      </c>
      <c r="F28" s="142" t="s">
        <v>255</v>
      </c>
      <c r="G28" s="150">
        <f>+VLOOKUP(A28, 'AREA CorrFactor'!$B$3:$J$40, 8, FALSE)</f>
        <v>3410790</v>
      </c>
      <c r="H28" s="15">
        <f>IFERROR(IF(D28 = "SoEF", VLOOKUP(A28, 'INPUT SoEF'!$B$4:$L$41, 11, FALSE), SUMIF('NFI 2020'!$B$3:$B$282, A28, 'NFI 2020'!$E$3:$E$282)), "")</f>
        <v>3011042.0070705446</v>
      </c>
      <c r="I28" s="15">
        <f>IFERROR(IF(D28 = "SoEF", G28-H28, SUMIF('NFI 2020'!$B$3:$B$282, A28, 'NFI 2020'!$F$3:$F$282)), "")</f>
        <v>399747.99292945588</v>
      </c>
      <c r="J28" s="15">
        <f>IFERROR(IF(E28 = "SoEF", VLOOKUP(A28, 'INPUT SoEF'!$B$4:$N$41, 13, FALSE) / VLOOKUP(A28, 'INPUT SoEF'!$B$4:$P$41, 15, FALSE), SUMIF('NFI 2020'!$B$3:$B$282, A28, 'NFI 2020'!$G$3:$G$282)), "")</f>
        <v>448846949.56899929</v>
      </c>
      <c r="K28" s="15">
        <f>IFERROR(IF(F28 = "SoEF", J28 * VLOOKUP(A28, 'INPUT SoEF'!$B$4:$T$41, 19, FALSE), SUMIF('NFI 2020'!$B$3:$B$282, A28, 'NFI 2020'!$H$3:$H$282)), "")</f>
        <v>373772614.98354948</v>
      </c>
      <c r="L28" s="15">
        <f>IFERROR(IF(F28 = "SoEF", J28-K28, SUMIF('NFI 2020'!$B$3:$B$282, A28, 'NFI 2020'!$I$3:$I$282)), "")</f>
        <v>75074334.585449815</v>
      </c>
      <c r="M28" s="48">
        <f t="shared" si="0"/>
        <v>131.59618433530042</v>
      </c>
      <c r="N28" s="151">
        <f t="shared" si="1"/>
        <v>0.88279900171823678</v>
      </c>
      <c r="O28" s="137"/>
      <c r="Q28" s="14"/>
      <c r="R28" s="5"/>
      <c r="S28" s="4"/>
    </row>
    <row r="29" spans="1:20" x14ac:dyDescent="0.25">
      <c r="A29" t="s">
        <v>26</v>
      </c>
      <c r="B29" s="20">
        <v>0</v>
      </c>
      <c r="C29" s="26" t="s">
        <v>484</v>
      </c>
      <c r="D29" t="s">
        <v>484</v>
      </c>
      <c r="E29" t="s">
        <v>484</v>
      </c>
      <c r="F29" s="27" t="s">
        <v>484</v>
      </c>
      <c r="G29" s="150">
        <f>+VLOOKUP(A29, 'AREA CorrFactor'!$B$3:$J$40, 8, FALSE)</f>
        <v>826780</v>
      </c>
      <c r="H29" s="15">
        <f>IFERROR(IF(D29 = "SoEF", VLOOKUP(A29, 'INPUT SoEF'!$B$4:$L$41, 11, FALSE), SUMIF('NFI 2020'!$B$3:$B$282, A29, 'NFI 2020'!$E$3:$E$282)), "")</f>
        <v>728130</v>
      </c>
      <c r="I29" s="15">
        <f>IFERROR(IF(D29 = "SoEF", G29-H29, SUMIF('NFI 2020'!$B$3:$B$282, A29, 'NFI 2020'!$F$3:$F$282)), "")</f>
        <v>98650</v>
      </c>
      <c r="J29" s="15">
        <f>IFERROR(IF(E29 = "SoEF", VLOOKUP(A29, 'INPUT SoEF'!$B$4:$N$41, 13, FALSE) / VLOOKUP(A29, 'INPUT SoEF'!$B$4:$P$41, 15, FALSE), SUMIF('NFI 2020'!$B$3:$B$282, A29, 'NFI 2020'!$G$3:$G$282)), "")</f>
        <v>96860000</v>
      </c>
      <c r="K29" s="15">
        <f>IFERROR(IF(F29 = "SoEF", J29 * VLOOKUP(A29, 'INPUT SoEF'!$B$4:$T$41, 19, FALSE), SUMIF('NFI 2020'!$B$3:$B$282, A29, 'NFI 2020'!$H$3:$H$282)), "")</f>
        <v>92727093.904448107</v>
      </c>
      <c r="L29" s="15">
        <f>IFERROR(IF(F29 = "SoEF", J29-K29, SUMIF('NFI 2020'!$B$3:$B$282, A29, 'NFI 2020'!$I$3:$I$282)), "")</f>
        <v>4132906.0955518931</v>
      </c>
      <c r="M29" s="48">
        <f t="shared" si="0"/>
        <v>117.15329350008467</v>
      </c>
      <c r="N29" s="151">
        <f t="shared" si="1"/>
        <v>0.88068168073731823</v>
      </c>
      <c r="O29" s="137"/>
      <c r="Q29" s="4"/>
      <c r="R29" s="5"/>
    </row>
    <row r="30" spans="1:20" x14ac:dyDescent="0.25">
      <c r="A30" t="s">
        <v>27</v>
      </c>
      <c r="B30" s="20">
        <v>0</v>
      </c>
      <c r="C30" s="26" t="s">
        <v>484</v>
      </c>
      <c r="D30" t="s">
        <v>484</v>
      </c>
      <c r="E30" t="s">
        <v>484</v>
      </c>
      <c r="F30" s="27" t="s">
        <v>484</v>
      </c>
      <c r="G30" s="150">
        <f>+VLOOKUP(A30, 'AREA CorrFactor'!$B$3:$J$40, 8, FALSE)</f>
        <v>1001490</v>
      </c>
      <c r="H30" s="15">
        <f>IFERROR(IF(D30 = "SoEF", VLOOKUP(A30, 'INPUT SoEF'!$B$4:$L$41, 11, FALSE), SUMIF('NFI 2020'!$B$3:$B$282, A30, 'NFI 2020'!$E$3:$E$282)), "")</f>
        <v>804000</v>
      </c>
      <c r="I30" s="15">
        <f>IFERROR(IF(D30 = "SoEF", G30-H30, SUMIF('NFI 2020'!$B$3:$B$282, A30, 'NFI 2020'!$F$3:$F$282)), "")</f>
        <v>197490</v>
      </c>
      <c r="J30" s="15">
        <f>IFERROR(IF(E30 = "SoEF", VLOOKUP(A30, 'INPUT SoEF'!$B$4:$N$41, 13, FALSE) / VLOOKUP(A30, 'INPUT SoEF'!$B$4:$P$41, 15, FALSE), SUMIF('NFI 2020'!$B$3:$B$282, A30, 'NFI 2020'!$G$3:$G$282)), "")</f>
        <v>95800000</v>
      </c>
      <c r="K30" s="15">
        <f>IFERROR(IF(F30 = "SoEF", J30 * VLOOKUP(A30, 'INPUT SoEF'!$B$4:$T$41, 19, FALSE), SUMIF('NFI 2020'!$B$3:$B$282, A30, 'NFI 2020'!$H$3:$H$282)), "")</f>
        <v>82748331.370239496</v>
      </c>
      <c r="L30" s="15">
        <f>IFERROR(IF(F30 = "SoEF", J30-K30, SUMIF('NFI 2020'!$B$3:$B$282, A30, 'NFI 2020'!$I$3:$I$282)), "")</f>
        <v>13051668.629760504</v>
      </c>
      <c r="M30" s="48">
        <f t="shared" si="0"/>
        <v>95.657470369149962</v>
      </c>
      <c r="N30" s="151">
        <f t="shared" si="1"/>
        <v>0.80280382230476588</v>
      </c>
      <c r="O30" s="137"/>
      <c r="Q30" s="21"/>
      <c r="R30" s="5"/>
    </row>
    <row r="31" spans="1:20" x14ac:dyDescent="0.25">
      <c r="A31" t="s">
        <v>28</v>
      </c>
      <c r="B31" s="20">
        <v>0</v>
      </c>
      <c r="C31" s="26" t="s">
        <v>484</v>
      </c>
      <c r="D31" t="s">
        <v>602</v>
      </c>
      <c r="E31" t="s">
        <v>602</v>
      </c>
      <c r="F31" s="27" t="s">
        <v>602</v>
      </c>
      <c r="G31" s="150">
        <f>+VLOOKUP(A31, 'AREA CorrFactor'!$B$3:$J$40, 8, FALSE)</f>
        <v>350</v>
      </c>
      <c r="H31" s="15">
        <f>+G31*N31</f>
        <v>322.34973097617217</v>
      </c>
      <c r="I31" s="15">
        <f>+G31-H31</f>
        <v>27.650269023827832</v>
      </c>
      <c r="J31" s="15">
        <f>+G31*M31</f>
        <v>11119.651550089675</v>
      </c>
      <c r="K31" s="15">
        <f>+J31*N31</f>
        <v>10241.190530629092</v>
      </c>
      <c r="L31" s="15">
        <f>+J31-K31</f>
        <v>878.46101946058297</v>
      </c>
      <c r="M31" s="48">
        <f>+'NFI 2020'!J146</f>
        <v>31.770433000256215</v>
      </c>
      <c r="N31" s="151">
        <f>+N19</f>
        <v>0.92099923136049189</v>
      </c>
      <c r="O31" s="137"/>
      <c r="Q31" s="4"/>
      <c r="R31" s="5"/>
    </row>
    <row r="32" spans="1:20" x14ac:dyDescent="0.25">
      <c r="A32" t="s">
        <v>29</v>
      </c>
      <c r="B32" s="20">
        <v>2</v>
      </c>
      <c r="C32" s="26" t="s">
        <v>600</v>
      </c>
      <c r="D32" s="1" t="s">
        <v>255</v>
      </c>
      <c r="E32" s="1" t="s">
        <v>255</v>
      </c>
      <c r="F32" s="142" t="s">
        <v>255</v>
      </c>
      <c r="G32" s="150">
        <f>+VLOOKUP(A32, 'AREA CorrFactor'!$B$3:$J$40, 8, FALSE)</f>
        <v>369500</v>
      </c>
      <c r="H32" s="15">
        <f>IFERROR(IF(D32 = "SoEF", VLOOKUP(A32, 'INPUT SoEF'!$B$4:$L$41, 11, FALSE), SUMIF('NFI 2020'!$B$3:$B$282, A32, 'NFI 2020'!$E$3:$E$282)), "")</f>
        <v>309985.75183321774</v>
      </c>
      <c r="I32" s="15">
        <f>IFERROR(IF(D32 = "SoEF", G32-H32, SUMIF('NFI 2020'!$B$3:$B$282, A32, 'NFI 2020'!$F$3:$F$282)), "")</f>
        <v>59514.24816678225</v>
      </c>
      <c r="J32" s="15">
        <f>IFERROR(IF(E32 = "SoEF", VLOOKUP(A32, 'INPUT SoEF'!$B$4:$N$41, 13, FALSE) / VLOOKUP(A32, 'INPUT SoEF'!$B$4:$P$41, 15, FALSE), SUMIF('NFI 2020'!$B$3:$B$282, A32, 'NFI 2020'!$G$3:$G$282)), "")</f>
        <v>71246386.70157136</v>
      </c>
      <c r="K32" s="15">
        <f>IFERROR(IF(F32 = "SoEF", J32 * VLOOKUP(A32, 'INPUT SoEF'!$B$4:$T$41, 19, FALSE), SUMIF('NFI 2020'!$B$3:$B$282, A32, 'NFI 2020'!$H$3:$H$282)), "")</f>
        <v>55224950.756604724</v>
      </c>
      <c r="L32" s="15">
        <f>IFERROR(IF(F32 = "SoEF", J32-K32, SUMIF('NFI 2020'!$B$3:$B$282, A32, 'NFI 2020'!$I$3:$I$282)), "")</f>
        <v>16021435.944966633</v>
      </c>
      <c r="M32" s="48">
        <f t="shared" si="0"/>
        <v>192.81836725729733</v>
      </c>
      <c r="N32" s="151">
        <f t="shared" si="1"/>
        <v>0.83893302255268676</v>
      </c>
      <c r="O32" s="137"/>
      <c r="R32" s="5"/>
    </row>
    <row r="33" spans="1:18" x14ac:dyDescent="0.25">
      <c r="A33" t="s">
        <v>30</v>
      </c>
      <c r="B33" s="20">
        <v>3</v>
      </c>
      <c r="C33" s="26" t="s">
        <v>600</v>
      </c>
      <c r="D33" s="1" t="s">
        <v>255</v>
      </c>
      <c r="E33" s="1" t="s">
        <v>255</v>
      </c>
      <c r="F33" s="142" t="s">
        <v>255</v>
      </c>
      <c r="G33" s="150">
        <f>+VLOOKUP(A33, 'AREA CorrFactor'!$B$3:$J$40, 8, FALSE)</f>
        <v>12180000</v>
      </c>
      <c r="H33" s="15">
        <f>IFERROR(IF(D33 = "SoEF", VLOOKUP(A33, 'INPUT SoEF'!$B$4:$L$41, 11, FALSE), SUMIF('NFI 2020'!$B$3:$B$282, A33, 'NFI 2020'!$E$3:$E$282)), "")</f>
        <v>7229787.1342341984</v>
      </c>
      <c r="I33" s="15">
        <f>IFERROR(IF(D33 = "SoEF", G33-H33, SUMIF('NFI 2020'!$B$3:$B$282, A33, 'NFI 2020'!$F$3:$F$282)), "")</f>
        <v>4950212.8657658035</v>
      </c>
      <c r="J33" s="15">
        <f>IFERROR(IF(E33 = "SoEF", VLOOKUP(A33, 'INPUT SoEF'!$B$4:$N$41, 13, FALSE) / VLOOKUP(A33, 'INPUT SoEF'!$B$4:$P$41, 15, FALSE), SUMIF('NFI 2020'!$B$3:$B$282, A33, 'NFI 2020'!$G$3:$G$282)), "")</f>
        <v>807928483.82340813</v>
      </c>
      <c r="K33" s="15">
        <f>IFERROR(IF(F33 = "SoEF", J33 * VLOOKUP(A33, 'INPUT SoEF'!$B$4:$T$41, 19, FALSE), SUMIF('NFI 2020'!$B$3:$B$282, A33, 'NFI 2020'!$H$3:$H$282)), "")</f>
        <v>632583450.09420335</v>
      </c>
      <c r="L33" s="15">
        <f>IFERROR(IF(F33 = "SoEF", J33-K33, SUMIF('NFI 2020'!$B$3:$B$282, A33, 'NFI 2020'!$I$3:$I$282)), "")</f>
        <v>175345033.72920462</v>
      </c>
      <c r="M33" s="48">
        <f t="shared" si="0"/>
        <v>66.332387834434158</v>
      </c>
      <c r="N33" s="151">
        <f t="shared" si="1"/>
        <v>0.59357858244944162</v>
      </c>
      <c r="O33" s="137"/>
      <c r="Q33" s="13"/>
      <c r="R33" s="5"/>
    </row>
    <row r="34" spans="1:18" x14ac:dyDescent="0.25">
      <c r="A34" t="s">
        <v>31</v>
      </c>
      <c r="B34" s="20">
        <v>2</v>
      </c>
      <c r="C34" s="26" t="s">
        <v>600</v>
      </c>
      <c r="D34" s="1" t="s">
        <v>255</v>
      </c>
      <c r="E34" s="1" t="s">
        <v>255</v>
      </c>
      <c r="F34" s="142" t="s">
        <v>255</v>
      </c>
      <c r="G34" s="150">
        <f>+VLOOKUP(A34, 'AREA CorrFactor'!$B$3:$J$40, 8, FALSE)</f>
        <v>9483000</v>
      </c>
      <c r="H34" s="15">
        <f>IFERROR(IF(D34 = "SoEF", VLOOKUP(A34, 'INPUT SoEF'!$B$4:$L$41, 11, FALSE), SUMIF('NFI 2020'!$B$3:$B$282, A34, 'NFI 2020'!$E$3:$E$282)), "")</f>
        <v>8976660.9371550661</v>
      </c>
      <c r="I34" s="15">
        <f>IFERROR(IF(D34 = "SoEF", G34-H34, SUMIF('NFI 2020'!$B$3:$B$282, A34, 'NFI 2020'!$F$3:$F$282)), "")</f>
        <v>506339.06284493417</v>
      </c>
      <c r="J34" s="15">
        <f>IFERROR(IF(E34 = "SoEF", VLOOKUP(A34, 'INPUT SoEF'!$B$4:$N$41, 13, FALSE) / VLOOKUP(A34, 'INPUT SoEF'!$B$4:$P$41, 15, FALSE), SUMIF('NFI 2020'!$B$3:$B$282, A34, 'NFI 2020'!$G$3:$G$282)), "")</f>
        <v>1725120378.9946263</v>
      </c>
      <c r="K34" s="15">
        <f>IFERROR(IF(F34 = "SoEF", J34 * VLOOKUP(A34, 'INPUT SoEF'!$B$4:$T$41, 19, FALSE), SUMIF('NFI 2020'!$B$3:$B$282, A34, 'NFI 2020'!$H$3:$H$282)), "")</f>
        <v>1618239310.6714005</v>
      </c>
      <c r="L34" s="15">
        <f>IFERROR(IF(F34 = "SoEF", J34-K34, SUMIF('NFI 2020'!$B$3:$B$282, A34, 'NFI 2020'!$I$3:$I$282)), "")</f>
        <v>106881068.32322529</v>
      </c>
      <c r="M34" s="48">
        <f t="shared" si="0"/>
        <v>181.91715480276562</v>
      </c>
      <c r="N34" s="151">
        <f t="shared" si="1"/>
        <v>0.94660560341190192</v>
      </c>
      <c r="O34" s="137"/>
      <c r="R34" s="5"/>
    </row>
    <row r="35" spans="1:18" x14ac:dyDescent="0.25">
      <c r="A35" t="s">
        <v>32</v>
      </c>
      <c r="B35" s="20">
        <v>2</v>
      </c>
      <c r="C35" s="76" t="s">
        <v>255</v>
      </c>
      <c r="D35" s="1" t="s">
        <v>255</v>
      </c>
      <c r="E35" s="1" t="s">
        <v>255</v>
      </c>
      <c r="F35" s="142" t="s">
        <v>255</v>
      </c>
      <c r="G35" s="150">
        <f>+VLOOKUP(A35, 'AREA CorrFactor'!$B$3:$J$40, 8, FALSE)</f>
        <v>3230950</v>
      </c>
      <c r="H35" s="15">
        <f>IFERROR(IF(D35 = "SoEF", VLOOKUP(A35, 'INPUT SoEF'!$B$4:$L$41, 11, FALSE), SUMIF('NFI 2020'!$B$3:$B$282, A35, 'NFI 2020'!$E$3:$E$282)), "")</f>
        <v>2159277.9271734748</v>
      </c>
      <c r="I35" s="15">
        <f>IFERROR(IF(D35 = "SoEF", G35-H35, SUMIF('NFI 2020'!$B$3:$B$282, A35, 'NFI 2020'!$F$3:$F$282)), "")</f>
        <v>1071672.0728265252</v>
      </c>
      <c r="J35" s="15">
        <f>IFERROR(IF(E35 = "SoEF", VLOOKUP(A35, 'INPUT SoEF'!$B$4:$N$41, 13, FALSE) / VLOOKUP(A35, 'INPUT SoEF'!$B$4:$P$41, 15, FALSE), SUMIF('NFI 2020'!$B$3:$B$282, A35, 'NFI 2020'!$G$3:$G$282)), "")</f>
        <v>138718107.41913277</v>
      </c>
      <c r="K35" s="15">
        <f>IFERROR(IF(F35 = "SoEF", J35 * VLOOKUP(A35, 'INPUT SoEF'!$B$4:$T$41, 19, FALSE), SUMIF('NFI 2020'!$B$3:$B$282, A35, 'NFI 2020'!$H$3:$H$282)), "")</f>
        <v>100293230.64175636</v>
      </c>
      <c r="L35" s="15">
        <f>IFERROR(IF(F35 = "SoEF", J35-K35, SUMIF('NFI 2020'!$B$3:$B$282, A35, 'NFI 2020'!$I$3:$I$282)), "")</f>
        <v>38424876.777376398</v>
      </c>
      <c r="M35" s="48">
        <f t="shared" si="0"/>
        <v>42.934154790118313</v>
      </c>
      <c r="N35" s="151">
        <f t="shared" si="1"/>
        <v>0.66831053627368875</v>
      </c>
      <c r="O35" s="137"/>
      <c r="P35" s="4"/>
      <c r="Q35" s="14"/>
      <c r="R35" s="5"/>
    </row>
    <row r="36" spans="1:18" x14ac:dyDescent="0.25">
      <c r="A36" t="s">
        <v>33</v>
      </c>
      <c r="B36" s="20">
        <v>1</v>
      </c>
      <c r="C36" s="26" t="s">
        <v>600</v>
      </c>
      <c r="D36" s="1" t="s">
        <v>255</v>
      </c>
      <c r="E36" s="1" t="s">
        <v>255</v>
      </c>
      <c r="F36" s="142" t="s">
        <v>255</v>
      </c>
      <c r="G36" s="150">
        <f>+VLOOKUP(A36, 'AREA CorrFactor'!$B$3:$J$40, 8, FALSE)</f>
        <v>6929050</v>
      </c>
      <c r="H36" s="15">
        <f>IFERROR(IF(D36 = "SoEF", VLOOKUP(A36, 'INPUT SoEF'!$B$4:$L$41, 11, FALSE), SUMIF('NFI 2020'!$B$3:$B$282, A36, 'NFI 2020'!$E$3:$E$282)), "")</f>
        <v>6009193.0980287418</v>
      </c>
      <c r="I36" s="15">
        <f>IFERROR(IF(D36 = "SoEF", G36-H36, SUMIF('NFI 2020'!$B$3:$B$282, A36, 'NFI 2020'!$F$3:$F$282)), "")</f>
        <v>919856.90197125857</v>
      </c>
      <c r="J36" s="15">
        <f>IFERROR(IF(E36 = "SoEF", VLOOKUP(A36, 'INPUT SoEF'!$B$4:$N$41, 13, FALSE) / VLOOKUP(A36, 'INPUT SoEF'!$B$4:$P$41, 15, FALSE), SUMIF('NFI 2020'!$B$3:$B$282, A36, 'NFI 2020'!$G$3:$G$282)), "")</f>
        <v>1368382251.6882358</v>
      </c>
      <c r="K36" s="15">
        <f>IFERROR(IF(F36 = "SoEF", J36 * VLOOKUP(A36, 'INPUT SoEF'!$B$4:$T$41, 19, FALSE), SUMIF('NFI 2020'!$B$3:$B$282, A36, 'NFI 2020'!$H$3:$H$282)), "")</f>
        <v>1183799308.9040821</v>
      </c>
      <c r="L36" s="15">
        <f>IFERROR(IF(F36 = "SoEF", J36-K36, SUMIF('NFI 2020'!$B$3:$B$282, A36, 'NFI 2020'!$I$3:$I$282)), "")</f>
        <v>184582942.7841537</v>
      </c>
      <c r="M36" s="48">
        <f t="shared" si="0"/>
        <v>197.4848286111712</v>
      </c>
      <c r="N36" s="151">
        <f t="shared" si="1"/>
        <v>0.86724631775333438</v>
      </c>
      <c r="O36" s="137"/>
      <c r="R36" s="5"/>
    </row>
    <row r="37" spans="1:18" x14ac:dyDescent="0.25">
      <c r="A37" t="s">
        <v>37</v>
      </c>
      <c r="B37" s="20">
        <v>2</v>
      </c>
      <c r="C37" s="76" t="s">
        <v>255</v>
      </c>
      <c r="D37" t="s">
        <v>255</v>
      </c>
      <c r="E37" s="1" t="s">
        <v>255</v>
      </c>
      <c r="F37" s="27" t="s">
        <v>484</v>
      </c>
      <c r="G37" s="150">
        <f>+VLOOKUP(A37, 'AREA CorrFactor'!$B$3:$J$40, 8, FALSE)</f>
        <v>2881756.8998089889</v>
      </c>
      <c r="H37" s="15">
        <f>+G37*0.924</f>
        <v>2662743.3754235059</v>
      </c>
      <c r="I37" s="15">
        <f>+G37-H37</f>
        <v>219013.524385483</v>
      </c>
      <c r="J37" s="15">
        <f>IFERROR(IF(E37 = "SoEF", VLOOKUP(A37, 'INPUT SoEF'!$B$4:$N$41, 13, FALSE) / VLOOKUP(A37, 'INPUT SoEF'!$B$4:$P$41, 15, FALSE), SUMIF('NFI 2020'!$B$3:$B$282, A37, 'NFI 2020'!$G$3:$G$282)), "")</f>
        <v>338748358.60701978</v>
      </c>
      <c r="K37" s="15">
        <f>IFERROR(IF(F37 = "SoEF", J37 * VLOOKUP(A37, 'INPUT SoEF'!$B$4:$T$41, 19, FALSE), SUMIF('NFI 2020'!$B$3:$B$282, A37, 'NFI 2020'!$H$3:$H$282)), "")</f>
        <v>285666977.05496287</v>
      </c>
      <c r="L37" s="15">
        <f>IFERROR(IF(F37 = "SoEF", J37-K37, SUMIF('NFI 2020'!$B$3:$B$282, A37, 'NFI 2020'!$I$3:$I$282)), "")</f>
        <v>53081381.552056909</v>
      </c>
      <c r="M37" s="48">
        <f t="shared" si="0"/>
        <v>117.54924873415693</v>
      </c>
      <c r="N37" s="151">
        <f t="shared" si="1"/>
        <v>0.92400000000000004</v>
      </c>
      <c r="O37" s="137"/>
      <c r="R37" s="5"/>
    </row>
    <row r="38" spans="1:18" x14ac:dyDescent="0.25">
      <c r="A38" t="s">
        <v>34</v>
      </c>
      <c r="B38" s="20">
        <v>2</v>
      </c>
      <c r="C38" s="76" t="s">
        <v>255</v>
      </c>
      <c r="D38" s="1" t="s">
        <v>255</v>
      </c>
      <c r="E38" s="1" t="s">
        <v>255</v>
      </c>
      <c r="F38" s="142" t="s">
        <v>255</v>
      </c>
      <c r="G38" s="150">
        <f>+VLOOKUP(A38, 'AREA CorrFactor'!$B$3:$J$40, 8, FALSE)</f>
        <v>27980000</v>
      </c>
      <c r="H38" s="15">
        <f>IFERROR(IF(D38 = "SoEF", VLOOKUP(A38, 'INPUT SoEF'!$B$4:$L$41, 11, FALSE), SUMIF('NFI 2020'!$B$3:$B$282, A38, 'NFI 2020'!$E$3:$E$282)), "")</f>
        <v>22309455.057592653</v>
      </c>
      <c r="I38" s="15">
        <f>IFERROR(IF(D38 = "SoEF", G38-H38, SUMIF('NFI 2020'!$B$3:$B$282, A38, 'NFI 2020'!$F$3:$F$282)), "")</f>
        <v>5670544.9424073445</v>
      </c>
      <c r="J38" s="15">
        <f>IFERROR(IF(E38 = "SoEF", VLOOKUP(A38, 'INPUT SoEF'!$B$4:$N$41, 13, FALSE) / VLOOKUP(A38, 'INPUT SoEF'!$B$4:$P$41, 15, FALSE), SUMIF('NFI 2020'!$B$3:$B$282, A38, 'NFI 2020'!$G$3:$G$282)), "")</f>
        <v>2091566081.5315673</v>
      </c>
      <c r="K38" s="15">
        <f>IFERROR(IF(F38 = "SoEF", J38 * VLOOKUP(A38, 'INPUT SoEF'!$B$4:$T$41, 19, FALSE), SUMIF('NFI 2020'!$B$3:$B$282, A38, 'NFI 2020'!$H$3:$H$282)), "")</f>
        <v>1833916866.7964406</v>
      </c>
      <c r="L38" s="15">
        <f>IFERROR(IF(F38 = "SoEF", J38-K38, SUMIF('NFI 2020'!$B$3:$B$282, A38, 'NFI 2020'!$I$3:$I$282)), "")</f>
        <v>257649214.73512661</v>
      </c>
      <c r="M38" s="48">
        <f t="shared" si="0"/>
        <v>74.752183042586395</v>
      </c>
      <c r="N38" s="151">
        <f>IFERROR(H38/G38, "")</f>
        <v>0.79733577761231778</v>
      </c>
      <c r="O38" s="137"/>
      <c r="P38" s="4"/>
      <c r="R38" s="5"/>
    </row>
    <row r="39" spans="1:18" x14ac:dyDescent="0.25">
      <c r="A39" t="s">
        <v>35</v>
      </c>
      <c r="B39" s="20">
        <v>1</v>
      </c>
      <c r="C39" s="76" t="s">
        <v>255</v>
      </c>
      <c r="D39" s="1" t="s">
        <v>255</v>
      </c>
      <c r="E39" s="1" t="s">
        <v>255</v>
      </c>
      <c r="F39" s="142" t="s">
        <v>255</v>
      </c>
      <c r="G39" s="150">
        <f>+VLOOKUP(A39, 'AREA CorrFactor'!$B$3:$J$40, 8, FALSE)</f>
        <v>1237830</v>
      </c>
      <c r="H39" s="15">
        <f>IFERROR(IF(D39 = "SoEF", VLOOKUP(A39, 'INPUT SoEF'!$B$4:$L$41, 11, FALSE), SUMIF('NFI 2020'!$B$3:$B$282, A39, 'NFI 2020'!$E$3:$E$282)), "")</f>
        <v>1117304.5099444604</v>
      </c>
      <c r="I39" s="15">
        <f>IFERROR(IF(D39 = "SoEF", G39-H39, SUMIF('NFI 2020'!$B$3:$B$282, A39, 'NFI 2020'!$F$3:$F$282)), "")</f>
        <v>120525.49005553967</v>
      </c>
      <c r="J39" s="15">
        <f>IFERROR(IF(E39 = "SoEF", VLOOKUP(A39, 'INPUT SoEF'!$B$4:$N$41, 13, FALSE) / VLOOKUP(A39, 'INPUT SoEF'!$B$4:$P$41, 15, FALSE), SUMIF('NFI 2020'!$B$3:$B$282, A39, 'NFI 2020'!$G$3:$G$282)), "")</f>
        <v>264647868.77080974</v>
      </c>
      <c r="K39" s="15">
        <f>IFERROR(IF(F39 = "SoEF", J39 * VLOOKUP(A39, 'INPUT SoEF'!$B$4:$T$41, 19, FALSE), SUMIF('NFI 2020'!$B$3:$B$282, A39, 'NFI 2020'!$H$3:$H$282)), "")</f>
        <v>243492586.06909579</v>
      </c>
      <c r="L39" s="15">
        <f>IFERROR(IF(F39 = "SoEF", J39-K39, SUMIF('NFI 2020'!$B$3:$B$282, A39, 'NFI 2020'!$I$3:$I$282)), "")</f>
        <v>21155282.701713968</v>
      </c>
      <c r="M39" s="48">
        <f t="shared" si="0"/>
        <v>213.79985035975031</v>
      </c>
      <c r="N39" s="151">
        <f t="shared" si="1"/>
        <v>0.902631629500384</v>
      </c>
      <c r="O39" s="137"/>
      <c r="R39" s="5"/>
    </row>
    <row r="40" spans="1:18" x14ac:dyDescent="0.25">
      <c r="A40" s="23" t="s">
        <v>36</v>
      </c>
      <c r="B40" s="67">
        <v>3</v>
      </c>
      <c r="C40" s="265" t="s">
        <v>255</v>
      </c>
      <c r="D40" s="267" t="s">
        <v>255</v>
      </c>
      <c r="E40" s="267" t="s">
        <v>255</v>
      </c>
      <c r="F40" s="268" t="s">
        <v>255</v>
      </c>
      <c r="G40" s="152">
        <f>+VLOOKUP(A40, 'AREA CorrFactor'!$B$3:$J$40, 8, FALSE)</f>
        <v>2187363.5332456068</v>
      </c>
      <c r="H40" s="114">
        <f>IFERROR(IF(D40 = "SoEF", VLOOKUP(A40, 'INPUT SoEF'!$B$4:$L$41, 11, FALSE), SUMIF('NFI 2020'!$B$3:$B$282, A40, 'NFI 2020'!$E$3:$E$282)), "")</f>
        <v>1989695.9241886388</v>
      </c>
      <c r="I40" s="114">
        <f>IFERROR(IF(D40 = "SoEF", G40-H40, SUMIF('NFI 2020'!$B$3:$B$282, A40, 'NFI 2020'!$F$3:$F$282)), "")</f>
        <v>197667.60905696813</v>
      </c>
      <c r="J40" s="114">
        <f>IFERROR(IF(E40 = "SoEF", VLOOKUP(A40, 'INPUT SoEF'!$B$4:$N$41, 13, FALSE) / VLOOKUP(A40, 'INPUT SoEF'!$B$4:$P$41, 15, FALSE), SUMIF('NFI 2020'!$B$3:$B$282, A40, 'NFI 2020'!$G$3:$G$282)), "")</f>
        <v>471393310.71993983</v>
      </c>
      <c r="K40" s="114">
        <f>IFERROR(IF(F40 = "SoEF", J40 * VLOOKUP(A40, 'INPUT SoEF'!$B$4:$T$41, 19, FALSE), SUMIF('NFI 2020'!$B$3:$B$282, A40, 'NFI 2020'!$H$3:$H$282)), "")</f>
        <v>438194846.97641778</v>
      </c>
      <c r="L40" s="114">
        <f>IFERROR(IF(F40 = "SoEF", J40-K40, SUMIF('NFI 2020'!$B$3:$B$282, A40, 'NFI 2020'!$I$3:$I$282)), "")</f>
        <v>33198463.743522044</v>
      </c>
      <c r="M40" s="66">
        <f t="shared" si="0"/>
        <v>215.50752929509031</v>
      </c>
      <c r="N40" s="153">
        <f t="shared" si="1"/>
        <v>0.90963202684298705</v>
      </c>
      <c r="O40" s="137"/>
      <c r="Q40" s="16"/>
      <c r="R40" s="5"/>
    </row>
    <row r="41" spans="1:18" x14ac:dyDescent="0.25">
      <c r="B41" s="63"/>
      <c r="C41" s="9"/>
      <c r="D41" s="9"/>
      <c r="F41" s="9" t="s">
        <v>490</v>
      </c>
      <c r="G41" s="64">
        <f>SUMIF(G3:G40, "&lt;&gt;#N/A")</f>
        <v>183685737.14857325</v>
      </c>
      <c r="H41" s="64">
        <f>SUMIF(H3:H40, "&lt;&gt;#N/A")</f>
        <v>158729489.64608774</v>
      </c>
      <c r="I41" s="64">
        <f>SUMIF(I3:I40, "&lt;&gt;#N/A")</f>
        <v>24830929.721251685</v>
      </c>
      <c r="J41" s="64">
        <f t="shared" ref="J41:L41" si="2">SUMIF(J3:J40, "&lt;&gt;#N/A")</f>
        <v>20904878868.143829</v>
      </c>
      <c r="K41" s="64">
        <f t="shared" si="2"/>
        <v>18956868063.520054</v>
      </c>
      <c r="L41" s="64">
        <f t="shared" si="2"/>
        <v>1948010804.6237729</v>
      </c>
      <c r="M41" s="260">
        <f>+J41/G41</f>
        <v>113.80785025913595</v>
      </c>
      <c r="N41" s="29">
        <f>H41/G41</f>
        <v>0.86413617143121035</v>
      </c>
    </row>
    <row r="42" spans="1:18" x14ac:dyDescent="0.25">
      <c r="F42" s="25" t="s">
        <v>579</v>
      </c>
      <c r="G42" s="262"/>
      <c r="H42" s="263">
        <f>+SUMIF(D3:D40, "NFI", H3:H40) / H41</f>
        <v>0.71786925471578422</v>
      </c>
      <c r="I42" s="263">
        <f>+SUMIF(D3:D40, "NFI", I3:I40) / I41</f>
        <v>0.77427607388428632</v>
      </c>
      <c r="J42" s="263">
        <f>+SUMIF(E3:E40, "NFI", J3:J40) / J41</f>
        <v>0.9334032939135507</v>
      </c>
      <c r="K42" s="263">
        <f>+SUMIF(F3:F40, "NFI", K3:K40) / K41</f>
        <v>0.76222690513311064</v>
      </c>
      <c r="L42" s="264">
        <f>+SUMIF(F3:F40, "NFI", L3:L40) / L41</f>
        <v>0.78350745597767979</v>
      </c>
      <c r="M42" s="35"/>
      <c r="N42" s="35"/>
      <c r="O42" s="35"/>
    </row>
    <row r="43" spans="1:18" x14ac:dyDescent="0.25">
      <c r="D43" s="6"/>
      <c r="F43" s="26" t="s">
        <v>580</v>
      </c>
      <c r="H43" s="29">
        <f>+SUMIF(D3:D40, "NFI", G3:G41) / G41</f>
        <v>0.7256868990461538</v>
      </c>
      <c r="I43" s="29">
        <f>+SUMIF(D3:D40, "NFI", G3:G41) / G41</f>
        <v>0.7256868990461538</v>
      </c>
      <c r="J43" s="29">
        <f>+SUMIF(E3:E40, "NFI", G3:G40) / G41</f>
        <v>0.92042370721371203</v>
      </c>
      <c r="K43" s="29">
        <f>+SUMIF(F3:F40, "NFI", G3:G40) / G41</f>
        <v>0.70999838155675232</v>
      </c>
      <c r="L43" s="151">
        <f>+SUMIF(F3:F40, "NFI", G3:G40) / G41</f>
        <v>0.70999838155675232</v>
      </c>
      <c r="M43" s="14"/>
      <c r="N43" s="14"/>
      <c r="O43" s="14"/>
    </row>
    <row r="44" spans="1:18" x14ac:dyDescent="0.25">
      <c r="D44" s="5"/>
      <c r="F44" s="28" t="s">
        <v>593</v>
      </c>
      <c r="G44" s="23"/>
      <c r="H44" s="294">
        <f>+SUMIF(D3:D40, "GF", G3:G40) / G41</f>
        <v>1.2000169606076142E-2</v>
      </c>
      <c r="I44" s="294">
        <f>+SUMIF(D3:D40, "GF", G3:G40) / H41</f>
        <v>1.3886896536457988E-2</v>
      </c>
      <c r="J44" s="294">
        <f>+SUMIF(E3:E40, "GF", G3:G40) / G41</f>
        <v>3.3248417078023729E-2</v>
      </c>
      <c r="K44" s="294">
        <f>+SUMIF(F3:F40, "GF", G3:G40) / G41</f>
        <v>1.2483059575525732E-2</v>
      </c>
      <c r="L44" s="153">
        <f>+SUMIF(F3:F40, "GF", G3:G40) / G41</f>
        <v>1.2483059575525732E-2</v>
      </c>
      <c r="M44" s="34"/>
      <c r="N44" s="34"/>
      <c r="O44" s="34"/>
    </row>
    <row r="45" spans="1:18" x14ac:dyDescent="0.25">
      <c r="H45" s="261"/>
      <c r="I45" s="74"/>
      <c r="J45" s="261"/>
      <c r="K45" s="74"/>
      <c r="L45" s="74"/>
      <c r="M45" s="34"/>
      <c r="N45" s="34"/>
      <c r="O45" s="34"/>
    </row>
    <row r="46" spans="1:18" x14ac:dyDescent="0.25">
      <c r="B46" s="71" t="s">
        <v>583</v>
      </c>
      <c r="C46" s="40"/>
      <c r="D46" s="40"/>
      <c r="E46" s="40"/>
      <c r="F46" s="40"/>
      <c r="G46" s="40"/>
      <c r="H46" s="40"/>
      <c r="I46" s="41"/>
      <c r="L46" s="74"/>
      <c r="M46" s="34"/>
      <c r="N46" s="34"/>
      <c r="O46" s="34"/>
    </row>
    <row r="47" spans="1:18" x14ac:dyDescent="0.25">
      <c r="B47" s="76" t="s">
        <v>584</v>
      </c>
      <c r="G47" s="6"/>
      <c r="H47" s="74"/>
      <c r="I47" s="27"/>
      <c r="J47" s="74"/>
      <c r="L47" s="74"/>
      <c r="M47" s="34"/>
      <c r="N47" s="34"/>
      <c r="O47" s="34"/>
    </row>
    <row r="48" spans="1:18" x14ac:dyDescent="0.25">
      <c r="B48" s="76" t="s">
        <v>585</v>
      </c>
      <c r="D48" s="80"/>
      <c r="I48" s="27"/>
    </row>
    <row r="49" spans="2:13" x14ac:dyDescent="0.25">
      <c r="B49" s="76" t="s">
        <v>601</v>
      </c>
      <c r="D49" s="80"/>
      <c r="I49" s="27"/>
      <c r="K49" s="83"/>
    </row>
    <row r="50" spans="2:13" x14ac:dyDescent="0.25">
      <c r="B50" s="199" t="s">
        <v>603</v>
      </c>
      <c r="C50" s="23"/>
      <c r="D50" s="23"/>
      <c r="E50" s="266"/>
      <c r="F50" s="266"/>
      <c r="G50" s="23"/>
      <c r="H50" s="23"/>
      <c r="I50" s="61"/>
      <c r="K50" s="15"/>
    </row>
    <row r="51" spans="2:13" x14ac:dyDescent="0.25">
      <c r="E51" s="80"/>
      <c r="F51" s="80"/>
    </row>
    <row r="52" spans="2:13" x14ac:dyDescent="0.25">
      <c r="G52" s="4"/>
      <c r="H52" s="4"/>
      <c r="I52" s="4"/>
      <c r="J52" s="4"/>
      <c r="K52" s="15"/>
      <c r="L52" s="4"/>
      <c r="M52" s="4"/>
    </row>
    <row r="53" spans="2:13" x14ac:dyDescent="0.25">
      <c r="G53" s="4"/>
      <c r="H53" s="4"/>
      <c r="I53" s="4"/>
      <c r="J53" s="15"/>
      <c r="K53" s="15"/>
      <c r="L53" s="4"/>
      <c r="M53" s="4"/>
    </row>
    <row r="54" spans="2:13" x14ac:dyDescent="0.25">
      <c r="G54" s="4"/>
      <c r="H54" s="4"/>
      <c r="I54" s="4"/>
      <c r="J54" s="4"/>
      <c r="K54" s="4"/>
      <c r="L54" s="4"/>
      <c r="M54" s="4"/>
    </row>
    <row r="56" spans="2:13" x14ac:dyDescent="0.25">
      <c r="G56" s="4"/>
      <c r="H56" s="4"/>
      <c r="I56" s="6"/>
      <c r="J56" s="4"/>
    </row>
  </sheetData>
  <mergeCells count="3">
    <mergeCell ref="C1:F1"/>
    <mergeCell ref="A1:B1"/>
    <mergeCell ref="G1:N1"/>
  </mergeCells>
  <phoneticPr fontId="30" type="noConversion"/>
  <conditionalFormatting sqref="Q24:Q25">
    <cfRule type="expression" dxfId="1" priority="2" stopIfTrue="1">
      <formula>Q24&lt;&gt;Q1014</formula>
    </cfRule>
  </conditionalFormatting>
  <conditionalFormatting sqref="Q40">
    <cfRule type="expression" dxfId="0" priority="1" stopIfTrue="1">
      <formula>Q40&lt;&gt;Q1030</formula>
    </cfRule>
  </conditionalFormatting>
  <pageMargins left="0.7" right="0.7" top="0.75" bottom="0.75" header="0.3" footer="0.3"/>
  <pageSetup orientation="portrait" verticalDpi="0" r:id="rId1"/>
  <ignoredErrors>
    <ignoredError sqref="H37:I37 I6 K27:L27 M31:N31 H31:I31 J31:L31 N6 J6 L6 H20:I20" formula="1"/>
  </ignoredError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Y299"/>
  <sheetViews>
    <sheetView zoomScaleNormal="100" workbookViewId="0">
      <pane ySplit="2" topLeftCell="A3" activePane="bottomLeft" state="frozen"/>
      <selection activeCell="E8" sqref="E8"/>
      <selection pane="bottomLeft" sqref="A1:C1"/>
    </sheetView>
  </sheetViews>
  <sheetFormatPr defaultRowHeight="15" x14ac:dyDescent="0.25"/>
  <cols>
    <col min="1" max="1" width="15" bestFit="1" customWidth="1"/>
    <col min="2" max="2" width="9.42578125" customWidth="1"/>
    <col min="3" max="3" width="8.28515625" customWidth="1"/>
    <col min="4" max="6" width="14.28515625" customWidth="1"/>
    <col min="7" max="7" width="14.85546875" customWidth="1"/>
    <col min="8" max="9" width="14.28515625" customWidth="1"/>
    <col min="10" max="10" width="14.7109375" customWidth="1"/>
    <col min="11" max="11" width="7.7109375" customWidth="1"/>
    <col min="12" max="12" width="12.5703125" customWidth="1"/>
    <col min="13" max="13" width="15.140625" customWidth="1"/>
    <col min="14" max="16" width="12.140625" customWidth="1"/>
    <col min="17" max="19" width="12.7109375" customWidth="1"/>
    <col min="20" max="20" width="7.7109375" customWidth="1"/>
    <col min="21" max="21" width="9" customWidth="1"/>
    <col min="22" max="22" width="11" bestFit="1" customWidth="1"/>
    <col min="23" max="24" width="13.28515625" customWidth="1"/>
    <col min="25" max="25" width="17.28515625" customWidth="1"/>
  </cols>
  <sheetData>
    <row r="1" spans="1:25" x14ac:dyDescent="0.25">
      <c r="A1" s="361" t="s">
        <v>243</v>
      </c>
      <c r="B1" s="362"/>
      <c r="C1" s="362"/>
      <c r="D1" s="356" t="s">
        <v>526</v>
      </c>
      <c r="E1" s="357"/>
      <c r="F1" s="357"/>
      <c r="G1" s="357"/>
      <c r="H1" s="357"/>
      <c r="I1" s="357"/>
      <c r="J1" s="358"/>
      <c r="K1" s="20"/>
      <c r="L1" s="356" t="s">
        <v>444</v>
      </c>
      <c r="M1" s="358"/>
      <c r="N1" s="356" t="s">
        <v>546</v>
      </c>
      <c r="O1" s="357"/>
      <c r="P1" s="358"/>
      <c r="Q1" s="356" t="s">
        <v>647</v>
      </c>
      <c r="R1" s="357"/>
      <c r="S1" s="358"/>
      <c r="U1" s="25"/>
      <c r="V1" s="40"/>
      <c r="W1" s="356" t="s">
        <v>523</v>
      </c>
      <c r="X1" s="358"/>
      <c r="Y1" s="359" t="s">
        <v>567</v>
      </c>
    </row>
    <row r="2" spans="1:25" x14ac:dyDescent="0.25">
      <c r="A2" s="120" t="s">
        <v>518</v>
      </c>
      <c r="B2" s="86" t="s">
        <v>244</v>
      </c>
      <c r="C2" s="86" t="s">
        <v>38</v>
      </c>
      <c r="D2" s="194" t="s">
        <v>520</v>
      </c>
      <c r="E2" s="172" t="s">
        <v>460</v>
      </c>
      <c r="F2" s="172" t="s">
        <v>461</v>
      </c>
      <c r="G2" s="195" t="s">
        <v>523</v>
      </c>
      <c r="H2" s="172" t="s">
        <v>463</v>
      </c>
      <c r="I2" s="172" t="s">
        <v>524</v>
      </c>
      <c r="J2" s="156" t="s">
        <v>543</v>
      </c>
      <c r="K2" s="4"/>
      <c r="L2" s="171" t="s">
        <v>458</v>
      </c>
      <c r="M2" s="173" t="s">
        <v>523</v>
      </c>
      <c r="N2" s="171" t="s">
        <v>545</v>
      </c>
      <c r="O2" s="172" t="s">
        <v>548</v>
      </c>
      <c r="P2" s="173" t="s">
        <v>544</v>
      </c>
      <c r="Q2" s="171" t="s">
        <v>542</v>
      </c>
      <c r="R2" s="172" t="s">
        <v>522</v>
      </c>
      <c r="S2" s="173" t="s">
        <v>527</v>
      </c>
      <c r="U2" s="171" t="s">
        <v>244</v>
      </c>
      <c r="V2" s="86" t="s">
        <v>541</v>
      </c>
      <c r="W2" s="179" t="s">
        <v>541</v>
      </c>
      <c r="X2" s="157">
        <v>2020</v>
      </c>
      <c r="Y2" s="360"/>
    </row>
    <row r="3" spans="1:25" x14ac:dyDescent="0.25">
      <c r="A3" s="107" t="s">
        <v>39</v>
      </c>
      <c r="B3" s="108" t="s">
        <v>2</v>
      </c>
      <c r="C3" s="187" t="s">
        <v>40</v>
      </c>
      <c r="D3" s="210">
        <f t="shared" ref="D3:D66" si="0">+L3+R3</f>
        <v>132392.1721099015</v>
      </c>
      <c r="E3" s="211">
        <f>+VLOOKUP(C3, 'INPUT NFI'!$C$3:$K$282, 4, FALSE) * D3 / L3</f>
        <v>128956.03939865214</v>
      </c>
      <c r="F3" s="211">
        <f>+VLOOKUP(C3, 'INPUT NFI'!$C$3:$K$282, 5, FALSE) * D3 / L3</f>
        <v>404.25090720580607</v>
      </c>
      <c r="G3" s="211">
        <f>+M3+Q3+S3</f>
        <v>23037827.250917844</v>
      </c>
      <c r="H3" s="211">
        <f>+VLOOKUP(C3, 'INPUT NFI'!$C$3:$K$282, 7, FALSE) * G3 / M3</f>
        <v>23015608.785408299</v>
      </c>
      <c r="I3" s="211">
        <f>+VLOOKUP(C3, 'INPUT NFI'!C3:K282, 8, FALSE) * G3 / M3</f>
        <v>22218.465509545465</v>
      </c>
      <c r="J3" s="212">
        <f>+G3/D3</f>
        <v>174.01200451484144</v>
      </c>
      <c r="K3" s="4"/>
      <c r="L3" s="183">
        <f>+VLOOKUP(C3, 'INPUT NFI'!$C$3:$K$282, 3, FALSE)</f>
        <v>131000</v>
      </c>
      <c r="M3" s="184">
        <f>+VLOOKUP(C3, 'INPUT NFI'!$C$3:$K$282, 6, FALSE)</f>
        <v>21405299.369734801</v>
      </c>
      <c r="N3" s="201">
        <f>+VLOOKUP(B3, 'AREA CorrFactor'!$B$3:$J$40, 9, FALSE)</f>
        <v>1.0627268014515292E-2</v>
      </c>
      <c r="O3" s="202">
        <f>+IF(N3&gt;0, VLOOKUP(C3, 'INPUT CBM'!$N$3:$P$282, 3, FALSE), M3/L3)</f>
        <v>41.735770548579659</v>
      </c>
      <c r="P3" s="200">
        <f>+VLOOKUP(B3, 'INPUT CBM'!$B$3:$K$29, 10, FALSE)</f>
        <v>7.3553024335000022E-2</v>
      </c>
      <c r="Q3" s="183">
        <f>+M3*P3</f>
        <v>1574424.5054400645</v>
      </c>
      <c r="R3" s="78">
        <f>+L3*N3</f>
        <v>1392.1721099015033</v>
      </c>
      <c r="S3" s="184">
        <f>+R3*O3</f>
        <v>58103.375742981167</v>
      </c>
      <c r="T3" s="14"/>
      <c r="U3" s="96" t="s">
        <v>2</v>
      </c>
      <c r="V3" s="90">
        <v>2008</v>
      </c>
      <c r="W3" s="116">
        <f>+VLOOKUP(U3, 'INPUT NFI'!$N$3:$X$28, 8, FALSE)</f>
        <v>676882504.45777678</v>
      </c>
      <c r="X3" s="117">
        <f>+VLOOKUP(U3, 'NATIONAL 2020'!$A$3:$M$40, 10, FALSE)</f>
        <v>728037309.17430329</v>
      </c>
      <c r="Y3" s="84">
        <f>(X3-W3)/W3/(2020-V3)</f>
        <v>6.2978439610560074E-3</v>
      </c>
    </row>
    <row r="4" spans="1:25" x14ac:dyDescent="0.25">
      <c r="A4" s="107" t="s">
        <v>39</v>
      </c>
      <c r="B4" s="108" t="s">
        <v>2</v>
      </c>
      <c r="C4" s="187" t="s">
        <v>41</v>
      </c>
      <c r="D4" s="181">
        <f t="shared" si="0"/>
        <v>766055.46915500262</v>
      </c>
      <c r="E4" s="111">
        <f>+VLOOKUP(C4, 'INPUT NFI'!$C$3:$K$282, 4, FALSE) * D4 / L4</f>
        <v>727550.57024364965</v>
      </c>
      <c r="F4" s="111">
        <f>+VLOOKUP(C4, 'INPUT NFI'!$C$3:$K$282, 5, FALSE) * D4 / L4</f>
        <v>21324.235355106273</v>
      </c>
      <c r="G4" s="111">
        <f t="shared" ref="G4:G67" si="1">+M4+Q4+S4</f>
        <v>144635284.18235946</v>
      </c>
      <c r="H4" s="111">
        <f>+VLOOKUP(C4, 'INPUT NFI'!$C$3:$K$282, 7, FALSE) * G4 / M4</f>
        <v>141792078.13996026</v>
      </c>
      <c r="I4" s="111">
        <f>+VLOOKUP(C4, 'INPUT NFI'!C4:K283, 8, FALSE) * G4 / M4</f>
        <v>2843206.0423991927</v>
      </c>
      <c r="J4" s="213">
        <f t="shared" ref="J4:J67" si="2">+G4/D4</f>
        <v>188.80523670420288</v>
      </c>
      <c r="K4" s="4"/>
      <c r="L4" s="183">
        <f>+VLOOKUP(C4, 'INPUT NFI'!$C$3:$K$282, 3, FALSE)</f>
        <v>758000</v>
      </c>
      <c r="M4" s="184">
        <f>+VLOOKUP(C4, 'INPUT NFI'!$C$3:$K$282, 6, FALSE)</f>
        <v>134449992.54342681</v>
      </c>
      <c r="N4" s="201">
        <f>+VLOOKUP(B4, 'AREA CorrFactor'!$B$3:$J$40, 9, FALSE)</f>
        <v>1.0627268014515292E-2</v>
      </c>
      <c r="O4" s="202">
        <f>+IF(N4&gt;0, VLOOKUP(C4, 'INPUT CBM'!$N$3:$P$282, 3, FALSE), M4/L4)</f>
        <v>36.75615409209675</v>
      </c>
      <c r="P4" s="200">
        <f>+VLOOKUP(B4, 'INPUT CBM'!$B$3:$K$29, 10, FALSE)</f>
        <v>7.3553024335000022E-2</v>
      </c>
      <c r="Q4" s="183">
        <f t="shared" ref="Q4:Q67" si="3">+M4*P4</f>
        <v>9889203.5733872447</v>
      </c>
      <c r="R4" s="78">
        <f t="shared" ref="R4:R67" si="4">+L4*N4</f>
        <v>8055.4691550025918</v>
      </c>
      <c r="S4" s="184">
        <f t="shared" ref="S4:S67" si="5">+R4*O4</f>
        <v>296088.06554540765</v>
      </c>
      <c r="T4" s="14"/>
      <c r="U4" s="98" t="s">
        <v>4</v>
      </c>
      <c r="V4" s="90">
        <v>2012</v>
      </c>
      <c r="W4" s="116">
        <f>+VLOOKUP(U4, 'INPUT NFI'!$N$3:$X$28, 8, FALSE)</f>
        <v>112192150.53831148</v>
      </c>
      <c r="X4" s="117">
        <f>+VLOOKUP(U4, 'NATIONAL 2020'!$A$3:$M$40, 10, FALSE)</f>
        <v>123089469.85960871</v>
      </c>
      <c r="Y4" s="84">
        <f t="shared" ref="Y4:Y28" si="6">(X4-W4)/W4/(2020-V4)</f>
        <v>1.2141356669128115E-2</v>
      </c>
    </row>
    <row r="5" spans="1:25" x14ac:dyDescent="0.25">
      <c r="A5" s="107" t="s">
        <v>39</v>
      </c>
      <c r="B5" s="108" t="s">
        <v>2</v>
      </c>
      <c r="C5" s="187" t="s">
        <v>42</v>
      </c>
      <c r="D5" s="181">
        <f t="shared" si="0"/>
        <v>8085.0181441161221</v>
      </c>
      <c r="E5" s="111">
        <f>+VLOOKUP(C5, 'INPUT NFI'!$C$3:$K$282, 4, FALSE) * D5 / L5</f>
        <v>6973.328149300155</v>
      </c>
      <c r="F5" s="111">
        <f>+VLOOKUP(C5, 'INPUT NFI'!$C$3:$K$282, 5, FALSE) * D5 / L5</f>
        <v>1111.6899948159669</v>
      </c>
      <c r="G5" s="111">
        <f t="shared" si="1"/>
        <v>2425476.7257353999</v>
      </c>
      <c r="H5" s="111">
        <f>+VLOOKUP(C5, 'INPUT NFI'!$C$3:$K$282, 7, FALSE) * G5 / M5</f>
        <v>2162362.0126621807</v>
      </c>
      <c r="I5" s="111">
        <f>+VLOOKUP(C5, 'INPUT NFI'!C5:K284, 8, FALSE) * G5 / M5</f>
        <v>263114.71307321917</v>
      </c>
      <c r="J5" s="213">
        <f t="shared" si="2"/>
        <v>299.99644805998889</v>
      </c>
      <c r="K5" s="4"/>
      <c r="L5" s="183">
        <f>+VLOOKUP(C5, 'INPUT NFI'!$C$3:$K$282, 3, FALSE)</f>
        <v>8000</v>
      </c>
      <c r="M5" s="184">
        <f>+VLOOKUP(C5, 'INPUT NFI'!$C$3:$K$282, 6, FALSE)</f>
        <v>2256387.65</v>
      </c>
      <c r="N5" s="201">
        <f>+VLOOKUP(B5, 'AREA CorrFactor'!$B$3:$J$40, 9, FALSE)</f>
        <v>1.0627268014515292E-2</v>
      </c>
      <c r="O5" s="202">
        <f>+IF(N5&gt;0, VLOOKUP(C5, 'INPUT CBM'!$N$3:$P$282, 3, FALSE), M5/L5)</f>
        <v>36.75615409209675</v>
      </c>
      <c r="P5" s="200">
        <f>+VLOOKUP(B5, 'INPUT CBM'!$B$3:$K$29, 10, FALSE)</f>
        <v>7.3553024335000022E-2</v>
      </c>
      <c r="Q5" s="183">
        <f t="shared" si="3"/>
        <v>165964.13572964352</v>
      </c>
      <c r="R5" s="78">
        <f t="shared" si="4"/>
        <v>85.018144116122343</v>
      </c>
      <c r="S5" s="184">
        <f t="shared" si="5"/>
        <v>3124.9400057562816</v>
      </c>
      <c r="T5" s="14"/>
      <c r="U5" s="178" t="s">
        <v>5</v>
      </c>
      <c r="V5" s="90">
        <v>2007</v>
      </c>
      <c r="W5" s="116">
        <f>+VLOOKUP(U5, 'INPUT NFI'!$N$3:$X$28, 8, FALSE)</f>
        <v>402097122.99666345</v>
      </c>
      <c r="X5" s="117">
        <f>+VLOOKUP(U5, 'NATIONAL 2020'!$A$3:$M$40, 10, FALSE)</f>
        <v>443476812.1237452</v>
      </c>
      <c r="Y5" s="84">
        <f t="shared" si="6"/>
        <v>7.9161297799236734E-3</v>
      </c>
    </row>
    <row r="6" spans="1:25" x14ac:dyDescent="0.25">
      <c r="A6" s="107" t="s">
        <v>39</v>
      </c>
      <c r="B6" s="108" t="s">
        <v>2</v>
      </c>
      <c r="C6" s="187" t="s">
        <v>43</v>
      </c>
      <c r="D6" s="181">
        <f t="shared" si="0"/>
        <v>577068.17003628821</v>
      </c>
      <c r="E6" s="111">
        <f>+VLOOKUP(C6, 'INPUT NFI'!$C$3:$K$282, 4, FALSE) * D6 / L6</f>
        <v>506526.38672887499</v>
      </c>
      <c r="F6" s="111">
        <f>+VLOOKUP(C6, 'INPUT NFI'!$C$3:$K$282, 5, FALSE) * D6 / L6</f>
        <v>47297.356143079312</v>
      </c>
      <c r="G6" s="111">
        <f t="shared" si="1"/>
        <v>108674148.36597838</v>
      </c>
      <c r="H6" s="111">
        <f>+VLOOKUP(C6, 'INPUT NFI'!$C$3:$K$282, 7, FALSE) * G6 / M6</f>
        <v>102751662.74565347</v>
      </c>
      <c r="I6" s="111">
        <f>+VLOOKUP(C6, 'INPUT NFI'!C6:K285, 8, FALSE) * G6 / M6</f>
        <v>5922485.6203249041</v>
      </c>
      <c r="J6" s="213">
        <f t="shared" si="2"/>
        <v>188.32116205463998</v>
      </c>
      <c r="K6" s="4"/>
      <c r="L6" s="183">
        <f>+VLOOKUP(C6, 'INPUT NFI'!$C$3:$K$282, 3, FALSE)</f>
        <v>571000</v>
      </c>
      <c r="M6" s="184">
        <f>+VLOOKUP(C6, 'INPUT NFI'!$C$3:$K$282, 6, FALSE)</f>
        <v>101015072.679966</v>
      </c>
      <c r="N6" s="201">
        <f>+VLOOKUP(B6, 'AREA CorrFactor'!$B$3:$J$40, 9, FALSE)</f>
        <v>1.0627268014515292E-2</v>
      </c>
      <c r="O6" s="202">
        <f>+IF(N6&gt;0, VLOOKUP(C6, 'INPUT CBM'!$N$3:$P$282, 3, FALSE), M6/L6)</f>
        <v>37.756289888209217</v>
      </c>
      <c r="P6" s="200">
        <f>+VLOOKUP(B6, 'INPUT CBM'!$B$3:$K$29, 10, FALSE)</f>
        <v>7.3553024335000022E-2</v>
      </c>
      <c r="Q6" s="183">
        <f t="shared" si="3"/>
        <v>7429964.0990313357</v>
      </c>
      <c r="R6" s="78">
        <f t="shared" si="4"/>
        <v>6068.170036288232</v>
      </c>
      <c r="S6" s="184">
        <f t="shared" si="5"/>
        <v>229111.58698104354</v>
      </c>
      <c r="T6" s="14"/>
      <c r="U6" s="99" t="s">
        <v>6</v>
      </c>
      <c r="V6" s="90">
        <v>2005</v>
      </c>
      <c r="W6" s="116">
        <f>+VLOOKUP(U6, 'INPUT NFI'!$N$3:$X$28, 8, FALSE)</f>
        <v>232782432.00890002</v>
      </c>
      <c r="X6" s="117">
        <f>+VLOOKUP(U6, 'NATIONAL 2020'!$A$3:$M$40, 10, FALSE)</f>
        <v>241905341.8916184</v>
      </c>
      <c r="Y6" s="84">
        <f t="shared" si="6"/>
        <v>2.6127143141024167E-3</v>
      </c>
    </row>
    <row r="7" spans="1:25" x14ac:dyDescent="0.25">
      <c r="A7" s="107" t="s">
        <v>39</v>
      </c>
      <c r="B7" s="108" t="s">
        <v>2</v>
      </c>
      <c r="C7" s="187" t="s">
        <v>44</v>
      </c>
      <c r="D7" s="181">
        <f t="shared" si="0"/>
        <v>989404.09538621048</v>
      </c>
      <c r="E7" s="111">
        <f>+VLOOKUP(C7, 'INPUT NFI'!$C$3:$K$282, 4, FALSE) * D7 / L7</f>
        <v>863682.06324520474</v>
      </c>
      <c r="F7" s="111">
        <f>+VLOOKUP(C7, 'INPUT NFI'!$C$3:$K$282, 5, FALSE) * D7 / L7</f>
        <v>84286.314152410589</v>
      </c>
      <c r="G7" s="111">
        <f t="shared" si="1"/>
        <v>186547223.76906553</v>
      </c>
      <c r="H7" s="111">
        <f>+VLOOKUP(C7, 'INPUT NFI'!$C$3:$K$282, 7, FALSE) * G7 / M7</f>
        <v>175644566.20217177</v>
      </c>
      <c r="I7" s="111">
        <f>+VLOOKUP(C7, 'INPUT NFI'!C7:K286, 8, FALSE) * G7 / M7</f>
        <v>10902657.566893751</v>
      </c>
      <c r="J7" s="213">
        <f t="shared" si="2"/>
        <v>188.54502891080864</v>
      </c>
      <c r="K7" s="4"/>
      <c r="L7" s="183">
        <f>+VLOOKUP(C7, 'INPUT NFI'!$C$3:$K$282, 3, FALSE)</f>
        <v>979000</v>
      </c>
      <c r="M7" s="184">
        <f>+VLOOKUP(C7, 'INPUT NFI'!$C$3:$K$282, 6, FALSE)</f>
        <v>173465519.19825959</v>
      </c>
      <c r="N7" s="201">
        <f>+VLOOKUP(B7, 'AREA CorrFactor'!$B$3:$J$40, 9, FALSE)</f>
        <v>1.0627268014515292E-2</v>
      </c>
      <c r="O7" s="202">
        <f>+IF(N7&gt;0, VLOOKUP(C7, 'INPUT CBM'!$N$3:$P$282, 3, FALSE), M7/L7)</f>
        <v>31.025380290225659</v>
      </c>
      <c r="P7" s="200">
        <f>+VLOOKUP(B7, 'INPUT CBM'!$B$3:$K$29, 10, FALSE)</f>
        <v>7.3553024335000022E-2</v>
      </c>
      <c r="Q7" s="183">
        <f t="shared" si="3"/>
        <v>12758913.554873001</v>
      </c>
      <c r="R7" s="78">
        <f t="shared" si="4"/>
        <v>10404.095386210471</v>
      </c>
      <c r="S7" s="184">
        <f t="shared" si="5"/>
        <v>322791.01593296207</v>
      </c>
      <c r="T7" s="14"/>
      <c r="U7" s="99" t="s">
        <v>8</v>
      </c>
      <c r="V7" s="90">
        <v>2003</v>
      </c>
      <c r="W7" s="116">
        <f>+VLOOKUP(U7, 'INPUT NFI'!$N$3:$X$28, 8, FALSE)</f>
        <v>581621450.44218004</v>
      </c>
      <c r="X7" s="117">
        <f>+VLOOKUP(U7, 'NATIONAL 2020'!$A$3:$M$40, 10, FALSE)</f>
        <v>584665899.57987416</v>
      </c>
      <c r="Y7" s="84">
        <f t="shared" si="6"/>
        <v>3.0790687526675902E-4</v>
      </c>
    </row>
    <row r="8" spans="1:25" x14ac:dyDescent="0.25">
      <c r="A8" s="107" t="s">
        <v>39</v>
      </c>
      <c r="B8" s="108" t="s">
        <v>2</v>
      </c>
      <c r="C8" s="187" t="s">
        <v>45</v>
      </c>
      <c r="D8" s="181">
        <f t="shared" si="0"/>
        <v>496217.98859512701</v>
      </c>
      <c r="E8" s="111">
        <f>+VLOOKUP(C8, 'INPUT NFI'!$C$3:$K$282, 4, FALSE) * D8 / L8</f>
        <v>437702.66977708653</v>
      </c>
      <c r="F8" s="111">
        <f>+VLOOKUP(C8, 'INPUT NFI'!$C$3:$K$282, 5, FALSE) * D8 / L8</f>
        <v>45377.164333851739</v>
      </c>
      <c r="G8" s="111">
        <f t="shared" si="1"/>
        <v>103918736.08390461</v>
      </c>
      <c r="H8" s="111">
        <f>+VLOOKUP(C8, 'INPUT NFI'!$C$3:$K$282, 7, FALSE) * G8 / M8</f>
        <v>95513087.678525209</v>
      </c>
      <c r="I8" s="111">
        <f>+VLOOKUP(C8, 'INPUT NFI'!C8:K287, 8, FALSE) * G8 / M8</f>
        <v>8405648.4053794052</v>
      </c>
      <c r="J8" s="213">
        <f t="shared" si="2"/>
        <v>209.42154148444976</v>
      </c>
      <c r="K8" s="4"/>
      <c r="L8" s="183">
        <f>+VLOOKUP(C8, 'INPUT NFI'!$C$3:$K$282, 3, FALSE)</f>
        <v>491000</v>
      </c>
      <c r="M8" s="184">
        <f>+VLOOKUP(C8, 'INPUT NFI'!$C$3:$K$282, 6, FALSE)</f>
        <v>96642409.184549198</v>
      </c>
      <c r="N8" s="201">
        <f>+VLOOKUP(B8, 'AREA CorrFactor'!$B$3:$J$40, 9, FALSE)</f>
        <v>1.0627268014515292E-2</v>
      </c>
      <c r="O8" s="202">
        <f>+IF(N8&gt;0, VLOOKUP(C8, 'INPUT CBM'!$N$3:$P$282, 3, FALSE), M8/L8)</f>
        <v>32.193520884293633</v>
      </c>
      <c r="P8" s="200">
        <f>+VLOOKUP(B8, 'INPUT CBM'!$B$3:$K$29, 10, FALSE)</f>
        <v>7.3553024335000022E-2</v>
      </c>
      <c r="Q8" s="183">
        <f t="shared" si="3"/>
        <v>7108341.4745441768</v>
      </c>
      <c r="R8" s="78">
        <f t="shared" si="4"/>
        <v>5217.9885951270089</v>
      </c>
      <c r="S8" s="184">
        <f t="shared" si="5"/>
        <v>167985.42481122736</v>
      </c>
      <c r="T8" s="14"/>
      <c r="U8" s="96" t="s">
        <v>9</v>
      </c>
      <c r="V8" s="90">
        <v>2002</v>
      </c>
      <c r="W8" s="116">
        <f>+VLOOKUP(U8, 'INPUT NFI'!$N$3:$X$28, 8, FALSE)</f>
        <v>1854966884.5747507</v>
      </c>
      <c r="X8" s="117">
        <f>+VLOOKUP(U8, 'NATIONAL 2020'!$A$3:$M$40, 10, FALSE)</f>
        <v>2165701589.0314331</v>
      </c>
      <c r="Y8" s="84">
        <f t="shared" si="6"/>
        <v>9.3063866961915556E-3</v>
      </c>
    </row>
    <row r="9" spans="1:25" x14ac:dyDescent="0.25">
      <c r="A9" s="107" t="s">
        <v>39</v>
      </c>
      <c r="B9" s="108" t="s">
        <v>2</v>
      </c>
      <c r="C9" s="187" t="s">
        <v>46</v>
      </c>
      <c r="D9" s="181">
        <f t="shared" si="0"/>
        <v>358772.6801451529</v>
      </c>
      <c r="E9" s="111">
        <f>+VLOOKUP(C9, 'INPUT NFI'!$C$3:$K$282, 4, FALSE) * D9 / L9</f>
        <v>277922.4987039917</v>
      </c>
      <c r="F9" s="111">
        <f>+VLOOKUP(C9, 'INPUT NFI'!$C$3:$K$282, 5, FALSE) * D9 / L9</f>
        <v>69733.281493001545</v>
      </c>
      <c r="G9" s="111">
        <f t="shared" si="1"/>
        <v>62495508.341038726</v>
      </c>
      <c r="H9" s="111">
        <f>+VLOOKUP(C9, 'INPUT NFI'!$C$3:$K$282, 7, FALSE) * G9 / M9</f>
        <v>55613049.496968001</v>
      </c>
      <c r="I9" s="111">
        <f>+VLOOKUP(C9, 'INPUT NFI'!C9:K288, 8, FALSE) * G9 / M9</f>
        <v>6882458.8440707223</v>
      </c>
      <c r="J9" s="213">
        <f t="shared" si="2"/>
        <v>174.19249513578956</v>
      </c>
      <c r="K9" s="4"/>
      <c r="L9" s="183">
        <f>+VLOOKUP(C9, 'INPUT NFI'!$C$3:$K$282, 3, FALSE)</f>
        <v>355000</v>
      </c>
      <c r="M9" s="184">
        <f>+VLOOKUP(C9, 'INPUT NFI'!$C$3:$K$282, 6, FALSE)</f>
        <v>58087255</v>
      </c>
      <c r="N9" s="201">
        <f>+VLOOKUP(B9, 'AREA CorrFactor'!$B$3:$J$40, 9, FALSE)</f>
        <v>1.0627268014515292E-2</v>
      </c>
      <c r="O9" s="202">
        <f>+IF(N9&gt;0, VLOOKUP(C9, 'INPUT CBM'!$N$3:$P$282, 3, FALSE), M9/L9)</f>
        <v>35.985043853980912</v>
      </c>
      <c r="P9" s="200">
        <f>+VLOOKUP(B9, 'INPUT CBM'!$B$3:$K$29, 10, FALSE)</f>
        <v>7.3553024335000022E-2</v>
      </c>
      <c r="Q9" s="183">
        <f t="shared" si="3"/>
        <v>4272493.280568352</v>
      </c>
      <c r="R9" s="78">
        <f t="shared" si="4"/>
        <v>3772.6801451529286</v>
      </c>
      <c r="S9" s="184">
        <f t="shared" si="5"/>
        <v>135760.06047037122</v>
      </c>
      <c r="T9" s="14"/>
      <c r="U9" s="98" t="s">
        <v>10</v>
      </c>
      <c r="V9" s="90">
        <v>2013</v>
      </c>
      <c r="W9" s="116">
        <f>+VLOOKUP(U9, 'INPUT NFI'!$N$3:$X$28, 8, FALSE)</f>
        <v>71054718.299973637</v>
      </c>
      <c r="X9" s="117">
        <f>+VLOOKUP(U9, 'NATIONAL 2020'!$A$3:$M$40, 10, FALSE)</f>
        <v>75516172.08701469</v>
      </c>
      <c r="Y9" s="84">
        <f t="shared" si="6"/>
        <v>8.9698552925809184E-3</v>
      </c>
    </row>
    <row r="10" spans="1:25" x14ac:dyDescent="0.25">
      <c r="A10" s="107" t="s">
        <v>39</v>
      </c>
      <c r="B10" s="108" t="s">
        <v>2</v>
      </c>
      <c r="C10" s="187" t="s">
        <v>47</v>
      </c>
      <c r="D10" s="181">
        <f t="shared" si="0"/>
        <v>487122.34318299638</v>
      </c>
      <c r="E10" s="111">
        <f>+VLOOKUP(C10, 'INPUT NFI'!$C$3:$K$282, 4, FALSE) * D10 / L10</f>
        <v>346645.15292897879</v>
      </c>
      <c r="F10" s="111">
        <f>+VLOOKUP(C10, 'INPUT NFI'!$C$3:$K$282, 5, FALSE) * D10 / L10</f>
        <v>127339.03576982893</v>
      </c>
      <c r="G10" s="111">
        <f t="shared" si="1"/>
        <v>79486613.306852296</v>
      </c>
      <c r="H10" s="111">
        <f>+VLOOKUP(C10, 'INPUT NFI'!$C$3:$K$282, 7, FALSE) * G10 / M10</f>
        <v>65924774.394506134</v>
      </c>
      <c r="I10" s="111">
        <f>+VLOOKUP(C10, 'INPUT NFI'!C10:K289, 8, FALSE) * G10 / M10</f>
        <v>13561838.912346175</v>
      </c>
      <c r="J10" s="213">
        <f t="shared" si="2"/>
        <v>163.17587238446933</v>
      </c>
      <c r="K10" s="4"/>
      <c r="L10" s="183">
        <f>+VLOOKUP(C10, 'INPUT NFI'!$C$3:$K$282, 3, FALSE)</f>
        <v>482000</v>
      </c>
      <c r="M10" s="184">
        <f>+VLOOKUP(C10, 'INPUT NFI'!$C$3:$K$282, 6, FALSE)</f>
        <v>73923076.765152991</v>
      </c>
      <c r="N10" s="201">
        <f>+VLOOKUP(B10, 'AREA CorrFactor'!$B$3:$J$40, 9, FALSE)</f>
        <v>1.0627268014515292E-2</v>
      </c>
      <c r="O10" s="202">
        <f>+IF(N10&gt;0, VLOOKUP(C10, 'INPUT CBM'!$N$3:$P$282, 3, FALSE), M10/L10)</f>
        <v>24.65096011003061</v>
      </c>
      <c r="P10" s="200">
        <f>+VLOOKUP(B10, 'INPUT CBM'!$B$3:$K$29, 10, FALSE)</f>
        <v>7.3553024335000022E-2</v>
      </c>
      <c r="Q10" s="183">
        <f t="shared" si="3"/>
        <v>5437265.8642253727</v>
      </c>
      <c r="R10" s="78">
        <f t="shared" si="4"/>
        <v>5122.3431829963711</v>
      </c>
      <c r="S10" s="184">
        <f t="shared" si="5"/>
        <v>126270.67747393077</v>
      </c>
      <c r="T10" s="14"/>
      <c r="U10" s="99" t="s">
        <v>12</v>
      </c>
      <c r="V10" s="90">
        <v>2002</v>
      </c>
      <c r="W10" s="116">
        <f>+VLOOKUP(U10, 'INPUT NFI'!$N$3:$X$28, 8, FALSE)</f>
        <v>1050107626.7743665</v>
      </c>
      <c r="X10" s="117">
        <f>+VLOOKUP(U10, 'NATIONAL 2020'!$A$3:$M$40, 10, FALSE)</f>
        <v>1152484716.593178</v>
      </c>
      <c r="Y10" s="84">
        <f t="shared" si="6"/>
        <v>5.4162220671759454E-3</v>
      </c>
    </row>
    <row r="11" spans="1:25" x14ac:dyDescent="0.25">
      <c r="A11" s="107" t="s">
        <v>39</v>
      </c>
      <c r="B11" s="108" t="s">
        <v>2</v>
      </c>
      <c r="C11" s="187" t="s">
        <v>48</v>
      </c>
      <c r="D11" s="181">
        <f t="shared" si="0"/>
        <v>83882.063245204772</v>
      </c>
      <c r="E11" s="111">
        <f>+VLOOKUP(C11, 'INPUT NFI'!$C$3:$K$282, 4, FALSE) * D11 / L11</f>
        <v>62557.827890098502</v>
      </c>
      <c r="F11" s="111">
        <f>+VLOOKUP(C11, 'INPUT NFI'!$C$3:$K$282, 5, FALSE) * D11 / L11</f>
        <v>18292.353551062726</v>
      </c>
      <c r="G11" s="111">
        <f t="shared" si="1"/>
        <v>16816491.148450945</v>
      </c>
      <c r="H11" s="111">
        <f>+VLOOKUP(C11, 'INPUT NFI'!$C$3:$K$282, 7, FALSE) * G11 / M11</f>
        <v>14507787.64793626</v>
      </c>
      <c r="I11" s="111">
        <f>+VLOOKUP(C11, 'INPUT NFI'!C11:K290, 8, FALSE) * G11 / M11</f>
        <v>2308703.5005146847</v>
      </c>
      <c r="J11" s="213">
        <f t="shared" si="2"/>
        <v>200.47779582260432</v>
      </c>
      <c r="K11" s="6"/>
      <c r="L11" s="183">
        <f>+VLOOKUP(C11, 'INPUT NFI'!$C$3:$K$282, 3, FALSE)</f>
        <v>83000</v>
      </c>
      <c r="M11" s="184">
        <f>+VLOOKUP(C11, 'INPUT NFI'!$C$3:$K$282, 6, FALSE)</f>
        <v>15637492.066687299</v>
      </c>
      <c r="N11" s="201">
        <f>+VLOOKUP(B11, 'AREA CorrFactor'!$B$3:$J$40, 9, FALSE)</f>
        <v>1.0627268014515292E-2</v>
      </c>
      <c r="O11" s="202">
        <f>+IF(N11&gt;0, VLOOKUP(C11, 'INPUT CBM'!$N$3:$P$282, 3, FALSE), M11/L11)</f>
        <v>32.666872132885437</v>
      </c>
      <c r="P11" s="200">
        <f>+VLOOKUP(B11, 'INPUT CBM'!$B$3:$K$29, 10, FALSE)</f>
        <v>7.3553024335000022E-2</v>
      </c>
      <c r="Q11" s="183">
        <f t="shared" si="3"/>
        <v>1150184.8345194208</v>
      </c>
      <c r="R11" s="78">
        <f t="shared" si="4"/>
        <v>882.06324520476926</v>
      </c>
      <c r="S11" s="184">
        <f t="shared" si="5"/>
        <v>28814.24724422217</v>
      </c>
      <c r="T11" s="14"/>
      <c r="U11" s="96" t="s">
        <v>13</v>
      </c>
      <c r="V11" s="90">
        <v>2006</v>
      </c>
      <c r="W11" s="116">
        <f>+VLOOKUP(U11, 'INPUT NFI'!$N$3:$X$28, 8, FALSE)</f>
        <v>1302525685.8300676</v>
      </c>
      <c r="X11" s="117">
        <f>+VLOOKUP(U11, 'NATIONAL 2020'!$A$3:$M$40, 10, FALSE)</f>
        <v>1496214930.2886453</v>
      </c>
      <c r="Y11" s="84">
        <f t="shared" si="6"/>
        <v>1.062163010162742E-2</v>
      </c>
    </row>
    <row r="12" spans="1:25" x14ac:dyDescent="0.25">
      <c r="A12" s="188" t="s">
        <v>313</v>
      </c>
      <c r="B12" s="108" t="s">
        <v>4</v>
      </c>
      <c r="C12" s="189" t="s">
        <v>423</v>
      </c>
      <c r="D12" s="181">
        <f t="shared" si="0"/>
        <v>1151.6791514825929</v>
      </c>
      <c r="E12" s="136" t="e">
        <f>+VLOOKUP(C12, 'INPUT NFI'!$C$3:$K$282, 4, FALSE) * D12 / L12</f>
        <v>#N/A</v>
      </c>
      <c r="F12" s="136" t="e">
        <f>+VLOOKUP(C12, 'INPUT NFI'!$C$3:$K$282, 5, FALSE) * D12 / L12</f>
        <v>#N/A</v>
      </c>
      <c r="G12" s="111">
        <f t="shared" si="1"/>
        <v>322161.62228602299</v>
      </c>
      <c r="H12" s="111" t="e">
        <f>+VLOOKUP(C12, 'INPUT NFI'!$C$3:$K$282, 7, FALSE) * G12 / M12</f>
        <v>#N/A</v>
      </c>
      <c r="I12" s="111" t="e">
        <f>+VLOOKUP(C12, 'INPUT NFI'!C12:K291, 8, FALSE) * G12 / M12</f>
        <v>#N/A</v>
      </c>
      <c r="J12" s="213">
        <f t="shared" si="2"/>
        <v>279.7320954115512</v>
      </c>
      <c r="K12" s="62"/>
      <c r="L12" s="183">
        <f>+VLOOKUP(C12, 'INPUT NFI'!$C$3:$K$282, 3, FALSE)</f>
        <v>1164</v>
      </c>
      <c r="M12" s="184">
        <f>+VLOOKUP(C12, 'INPUT NFI'!$C$3:$K$282, 6, FALSE)</f>
        <v>293640.1080157762</v>
      </c>
      <c r="N12" s="201">
        <f>+VLOOKUP(B12, 'AREA CorrFactor'!$B$3:$J$40, 9, FALSE)</f>
        <v>-1.0584921406707182E-2</v>
      </c>
      <c r="O12" s="202">
        <f>+IF(N12&gt;0, VLOOKUP(C12, 'INPUT CBM'!$N$3:$P$282, 3, FALSE), M12/L12)</f>
        <v>252.26813403417199</v>
      </c>
      <c r="P12" s="200">
        <f>+VLOOKUP(B12, 'INPUT CBM'!$B$3:$K$29, 10, FALSE)</f>
        <v>0.10771577475973222</v>
      </c>
      <c r="Q12" s="183">
        <f t="shared" si="3"/>
        <v>31629.671735450789</v>
      </c>
      <c r="R12" s="78">
        <f t="shared" si="4"/>
        <v>-12.32084851740716</v>
      </c>
      <c r="S12" s="184">
        <f t="shared" si="5"/>
        <v>-3108.157465203999</v>
      </c>
      <c r="T12" s="14"/>
      <c r="U12" s="96" t="s">
        <v>14</v>
      </c>
      <c r="V12" s="90">
        <v>2010</v>
      </c>
      <c r="W12" s="116">
        <f>+VLOOKUP(U12, 'INPUT NFI'!$N$3:$X$28, 8, FALSE)</f>
        <v>2290179521.7189183</v>
      </c>
      <c r="X12" s="117">
        <f>+VLOOKUP(U12, 'NATIONAL 2020'!$A$3:$M$40, 10, FALSE)</f>
        <v>2541541630.8944631</v>
      </c>
      <c r="Y12" s="84">
        <f t="shared" si="6"/>
        <v>1.0975650895126433E-2</v>
      </c>
    </row>
    <row r="13" spans="1:25" x14ac:dyDescent="0.25">
      <c r="A13" s="188" t="s">
        <v>313</v>
      </c>
      <c r="B13" s="108" t="s">
        <v>4</v>
      </c>
      <c r="C13" s="189" t="s">
        <v>338</v>
      </c>
      <c r="D13" s="181">
        <f t="shared" si="0"/>
        <v>137345.65413492793</v>
      </c>
      <c r="E13" s="136" t="e">
        <f>+VLOOKUP(C13, 'INPUT NFI'!$C$3:$K$282, 4, FALSE) * D13 / L13</f>
        <v>#N/A</v>
      </c>
      <c r="F13" s="136" t="e">
        <f>+VLOOKUP(C13, 'INPUT NFI'!$C$3:$K$282, 5, FALSE) * D13 / L13</f>
        <v>#N/A</v>
      </c>
      <c r="G13" s="111">
        <f t="shared" si="1"/>
        <v>25233244.431218371</v>
      </c>
      <c r="H13" s="111" t="e">
        <f>+VLOOKUP(C13, 'INPUT NFI'!$C$3:$K$282, 7, FALSE) * G13 / M13</f>
        <v>#N/A</v>
      </c>
      <c r="I13" s="111" t="e">
        <f>+VLOOKUP(C13, 'INPUT NFI'!C13:K292, 8, FALSE) * G13 / M13</f>
        <v>#N/A</v>
      </c>
      <c r="J13" s="213">
        <f t="shared" si="2"/>
        <v>183.7207343046276</v>
      </c>
      <c r="K13" s="62"/>
      <c r="L13" s="183">
        <f>+VLOOKUP(C13, 'INPUT NFI'!$C$3:$K$282, 3, FALSE)</f>
        <v>138815</v>
      </c>
      <c r="M13" s="184">
        <f>+VLOOKUP(C13, 'INPUT NFI'!$C$3:$K$282, 6, FALSE)</f>
        <v>22999302.548188426</v>
      </c>
      <c r="N13" s="201">
        <f>+VLOOKUP(B13, 'AREA CorrFactor'!$B$3:$J$40, 9, FALSE)</f>
        <v>-1.0584921406707182E-2</v>
      </c>
      <c r="O13" s="202">
        <f>+IF(N13&gt;0, VLOOKUP(C13, 'INPUT CBM'!$N$3:$P$282, 3, FALSE), M13/L13)</f>
        <v>165.68312176773711</v>
      </c>
      <c r="P13" s="200">
        <f>+VLOOKUP(B13, 'INPUT CBM'!$B$3:$K$29, 10, FALSE)</f>
        <v>0.10771577475973222</v>
      </c>
      <c r="Q13" s="183">
        <f t="shared" si="3"/>
        <v>2477387.6929115998</v>
      </c>
      <c r="R13" s="78">
        <f t="shared" si="4"/>
        <v>-1469.3458650720574</v>
      </c>
      <c r="S13" s="184">
        <f t="shared" si="5"/>
        <v>-243445.80988165471</v>
      </c>
      <c r="T13" s="14"/>
      <c r="U13" s="98" t="s">
        <v>17</v>
      </c>
      <c r="V13" s="90">
        <v>2008</v>
      </c>
      <c r="W13" s="116">
        <f>+VLOOKUP(U13, 'INPUT NFI'!$N$3:$X$28, 8, FALSE)</f>
        <v>418452445.45500004</v>
      </c>
      <c r="X13" s="117">
        <f>+VLOOKUP(U13, 'NATIONAL 2020'!$A$3:$M$40, 10, FALSE)</f>
        <v>470410376.16506064</v>
      </c>
      <c r="Y13" s="84">
        <f t="shared" si="6"/>
        <v>1.0347239229212107E-2</v>
      </c>
    </row>
    <row r="14" spans="1:25" x14ac:dyDescent="0.25">
      <c r="A14" s="188" t="s">
        <v>313</v>
      </c>
      <c r="B14" s="108" t="s">
        <v>4</v>
      </c>
      <c r="C14" s="189" t="s">
        <v>340</v>
      </c>
      <c r="D14" s="181">
        <f t="shared" si="0"/>
        <v>550312.66671358945</v>
      </c>
      <c r="E14" s="136" t="e">
        <f>+VLOOKUP(C14, 'INPUT NFI'!$C$3:$K$282, 4, FALSE) * D14 / L14</f>
        <v>#N/A</v>
      </c>
      <c r="F14" s="136" t="e">
        <f>+VLOOKUP(C14, 'INPUT NFI'!$C$3:$K$282, 5, FALSE) * D14 / L14</f>
        <v>#N/A</v>
      </c>
      <c r="G14" s="111">
        <f t="shared" si="1"/>
        <v>97534063.806104317</v>
      </c>
      <c r="H14" s="111" t="e">
        <f>+VLOOKUP(C14, 'INPUT NFI'!$C$3:$K$282, 7, FALSE) * G14 / M14</f>
        <v>#N/A</v>
      </c>
      <c r="I14" s="111" t="e">
        <f>+VLOOKUP(C14, 'INPUT NFI'!C14:K293, 8, FALSE) * G14 / M14</f>
        <v>#N/A</v>
      </c>
      <c r="J14" s="213">
        <f t="shared" si="2"/>
        <v>177.2339066599497</v>
      </c>
      <c r="K14" s="62"/>
      <c r="L14" s="183">
        <f>+VLOOKUP(C14, 'INPUT NFI'!$C$3:$K$282, 3, FALSE)</f>
        <v>556200</v>
      </c>
      <c r="M14" s="184">
        <f>+VLOOKUP(C14, 'INPUT NFI'!$C$3:$K$282, 6, FALSE)</f>
        <v>88899207.882107273</v>
      </c>
      <c r="N14" s="201">
        <f>+VLOOKUP(B14, 'AREA CorrFactor'!$B$3:$J$40, 9, FALSE)</f>
        <v>-1.0584921406707182E-2</v>
      </c>
      <c r="O14" s="202">
        <f>+IF(N14&gt;0, VLOOKUP(C14, 'INPUT CBM'!$N$3:$P$282, 3, FALSE), M14/L14)</f>
        <v>159.83316771324573</v>
      </c>
      <c r="P14" s="200">
        <f>+VLOOKUP(B14, 'INPUT CBM'!$B$3:$K$29, 10, FALSE)</f>
        <v>0.10771577475973222</v>
      </c>
      <c r="Q14" s="183">
        <f t="shared" si="3"/>
        <v>9575847.0525476784</v>
      </c>
      <c r="R14" s="78">
        <f t="shared" si="4"/>
        <v>-5887.333286410535</v>
      </c>
      <c r="S14" s="184">
        <f t="shared" si="5"/>
        <v>-940991.12855062925</v>
      </c>
      <c r="T14" s="14"/>
      <c r="U14" s="98" t="s">
        <v>18</v>
      </c>
      <c r="V14" s="90">
        <v>2012</v>
      </c>
      <c r="W14" s="116">
        <f>+VLOOKUP(U14, 'INPUT NFI'!$N$3:$X$28, 8, FALSE)</f>
        <v>299725973.40181857</v>
      </c>
      <c r="X14" s="117">
        <f>+VLOOKUP(U14, 'NATIONAL 2020'!$A$3:$M$40, 10, FALSE)</f>
        <v>318993315.57516211</v>
      </c>
      <c r="Y14" s="84">
        <f t="shared" si="6"/>
        <v>8.0353989490232463E-3</v>
      </c>
    </row>
    <row r="15" spans="1:25" s="1" customFormat="1" x14ac:dyDescent="0.25">
      <c r="A15" s="76" t="s">
        <v>245</v>
      </c>
      <c r="B15" s="108" t="s">
        <v>5</v>
      </c>
      <c r="C15" s="142" t="s">
        <v>429</v>
      </c>
      <c r="D15" s="181">
        <f t="shared" si="0"/>
        <v>485334.21750663134</v>
      </c>
      <c r="E15" s="111">
        <f>+VLOOKUP(C15, 'INPUT NFI'!$C$3:$K$282, 4, FALSE) * D15 / L15</f>
        <v>392397.87798235455</v>
      </c>
      <c r="F15" s="111">
        <f>+VLOOKUP(C15, 'INPUT NFI'!$C$3:$K$282, 5, FALSE) * D15 / L15</f>
        <v>92936.339524276744</v>
      </c>
      <c r="G15" s="111">
        <f t="shared" si="1"/>
        <v>48450135.934444472</v>
      </c>
      <c r="H15" s="111">
        <f>+VLOOKUP(C15, 'INPUT NFI'!$C$3:$K$282, 7, FALSE) * G15 / M15</f>
        <v>33423228.553648774</v>
      </c>
      <c r="I15" s="111">
        <f>+VLOOKUP(C15, 'INPUT NFI'!C15:K294, 8, FALSE) * G15 / M15</f>
        <v>15026907.380795697</v>
      </c>
      <c r="J15" s="213">
        <f t="shared" si="2"/>
        <v>99.828394922067233</v>
      </c>
      <c r="L15" s="183">
        <f>+VLOOKUP(C15, 'INPUT NFI'!$C$3:$K$282, 3, FALSE)</f>
        <v>461689.31858407083</v>
      </c>
      <c r="M15" s="184">
        <f>+VLOOKUP(C15, 'INPUT NFI'!$C$3:$K$282, 6, FALSE)</f>
        <v>44001420.072025314</v>
      </c>
      <c r="N15" s="201">
        <f>+VLOOKUP(B15, 'AREA CorrFactor'!$B$3:$J$40, 9, FALSE)</f>
        <v>5.1213874722238997E-2</v>
      </c>
      <c r="O15" s="202">
        <f>+IF(N15&gt;0, VLOOKUP(C15, 'INPUT CBM'!$N$3:$P$282, 3, FALSE), M15/L15)</f>
        <v>27.317760910297309</v>
      </c>
      <c r="P15" s="200">
        <f>+VLOOKUP(B15, 'INPUT CBM'!$B$3:$K$29, 10, FALSE)</f>
        <v>8.6424259959786878E-2</v>
      </c>
      <c r="Q15" s="183">
        <f t="shared" si="3"/>
        <v>3802790.1669045002</v>
      </c>
      <c r="R15" s="78">
        <f t="shared" si="4"/>
        <v>23644.898922560493</v>
      </c>
      <c r="S15" s="184">
        <f t="shared" si="5"/>
        <v>645925.69551465404</v>
      </c>
      <c r="U15" s="99" t="s">
        <v>19</v>
      </c>
      <c r="V15" s="90">
        <v>2006</v>
      </c>
      <c r="W15" s="116">
        <f>+VLOOKUP(U15, 'INPUT NFI'!$N$3:$X$28, 8, FALSE)</f>
        <v>63638738.467299998</v>
      </c>
      <c r="X15" s="117">
        <f>+VLOOKUP(U15, 'NATIONAL 2020'!$A$3:$M$40, 10, FALSE)</f>
        <v>91753624.534004793</v>
      </c>
      <c r="Y15" s="84">
        <f t="shared" si="6"/>
        <v>3.1556347532779326E-2</v>
      </c>
    </row>
    <row r="16" spans="1:25" s="1" customFormat="1" x14ac:dyDescent="0.25">
      <c r="A16" s="76" t="s">
        <v>245</v>
      </c>
      <c r="B16" s="108" t="s">
        <v>5</v>
      </c>
      <c r="C16" s="142" t="s">
        <v>430</v>
      </c>
      <c r="D16" s="181">
        <f t="shared" si="0"/>
        <v>299461.53846153861</v>
      </c>
      <c r="E16" s="111">
        <f>+VLOOKUP(C16, 'INPUT NFI'!$C$3:$K$282, 4, FALSE) * D16 / L16</f>
        <v>258156.49867647522</v>
      </c>
      <c r="F16" s="111">
        <f>+VLOOKUP(C16, 'INPUT NFI'!$C$3:$K$282, 5, FALSE) * D16 / L16</f>
        <v>41305.039785063396</v>
      </c>
      <c r="G16" s="111">
        <f t="shared" si="1"/>
        <v>30038104.749056604</v>
      </c>
      <c r="H16" s="111">
        <f>+VLOOKUP(C16, 'INPUT NFI'!$C$3:$K$282, 7, FALSE) * G16 / M16</f>
        <v>27132063.09930782</v>
      </c>
      <c r="I16" s="111">
        <f>+VLOOKUP(C16, 'INPUT NFI'!C16:K295, 8, FALSE) * G16 / M16</f>
        <v>2906041.6497487817</v>
      </c>
      <c r="J16" s="213">
        <f t="shared" si="2"/>
        <v>100.30705413247769</v>
      </c>
      <c r="L16" s="183">
        <f>+VLOOKUP(C16, 'INPUT NFI'!$C$3:$K$282, 3, FALSE)</f>
        <v>284872.13274336298</v>
      </c>
      <c r="M16" s="184">
        <f>+VLOOKUP(C16, 'INPUT NFI'!$C$3:$K$282, 6, FALSE)</f>
        <v>27270824.325666592</v>
      </c>
      <c r="N16" s="201">
        <f>+VLOOKUP(B16, 'AREA CorrFactor'!$B$3:$J$40, 9, FALSE)</f>
        <v>5.1213874722238997E-2</v>
      </c>
      <c r="O16" s="202">
        <f>+IF(N16&gt;0, VLOOKUP(C16, 'INPUT CBM'!$N$3:$P$282, 3, FALSE), M16/L16)</f>
        <v>28.131345476232539</v>
      </c>
      <c r="P16" s="200">
        <f>+VLOOKUP(B16, 'INPUT CBM'!$B$3:$K$29, 10, FALSE)</f>
        <v>8.6424259959786878E-2</v>
      </c>
      <c r="Q16" s="183">
        <f t="shared" si="3"/>
        <v>2356860.8108390891</v>
      </c>
      <c r="R16" s="78">
        <f t="shared" si="4"/>
        <v>14589.405718175629</v>
      </c>
      <c r="S16" s="184">
        <f t="shared" si="5"/>
        <v>410419.6125509211</v>
      </c>
      <c r="U16" s="98" t="s">
        <v>20</v>
      </c>
      <c r="V16" s="90">
        <v>2010</v>
      </c>
      <c r="W16" s="116">
        <f>+VLOOKUP(U16, 'INPUT NFI'!$N$3:$X$28, 8, FALSE)</f>
        <v>538455.75694600004</v>
      </c>
      <c r="X16" s="117">
        <f>+VLOOKUP(U16, 'NATIONAL 2020'!$A$3:$M$40, 10, FALSE)</f>
        <v>885746.01660605567</v>
      </c>
      <c r="Y16" s="84">
        <f t="shared" si="6"/>
        <v>6.4497455023938804E-2</v>
      </c>
    </row>
    <row r="17" spans="1:25" s="1" customFormat="1" x14ac:dyDescent="0.25">
      <c r="A17" s="76" t="s">
        <v>245</v>
      </c>
      <c r="B17" s="108" t="s">
        <v>5</v>
      </c>
      <c r="C17" s="142" t="s">
        <v>431</v>
      </c>
      <c r="D17" s="181">
        <f t="shared" si="0"/>
        <v>206525.19893899231</v>
      </c>
      <c r="E17" s="111">
        <f>+VLOOKUP(C17, 'INPUT NFI'!$C$3:$K$282, 4, FALSE) * D17 / L17</f>
        <v>165220.15915603135</v>
      </c>
      <c r="F17" s="111">
        <f>+VLOOKUP(C17, 'INPUT NFI'!$C$3:$K$282, 5, FALSE) * D17 / L17</f>
        <v>41305.039782960965</v>
      </c>
      <c r="G17" s="111">
        <f t="shared" si="1"/>
        <v>30921725.815088023</v>
      </c>
      <c r="H17" s="111">
        <f>+VLOOKUP(C17, 'INPUT NFI'!$C$3:$K$282, 7, FALSE) * G17 / M17</f>
        <v>23142539.058258548</v>
      </c>
      <c r="I17" s="111">
        <f>+VLOOKUP(C17, 'INPUT NFI'!C17:K296, 8, FALSE) * G17 / M17</f>
        <v>7779186.7568294741</v>
      </c>
      <c r="J17" s="213">
        <f t="shared" si="2"/>
        <v>149.72374302964514</v>
      </c>
      <c r="L17" s="183">
        <f>+VLOOKUP(C17, 'INPUT NFI'!$C$3:$K$282, 3, FALSE)</f>
        <v>196463.53982300911</v>
      </c>
      <c r="M17" s="184">
        <f>+VLOOKUP(C17, 'INPUT NFI'!$C$3:$K$282, 6, FALSE)</f>
        <v>28203512.012522139</v>
      </c>
      <c r="N17" s="201">
        <f>+VLOOKUP(B17, 'AREA CorrFactor'!$B$3:$J$40, 9, FALSE)</f>
        <v>5.1213874722238997E-2</v>
      </c>
      <c r="O17" s="202">
        <f>+IF(N17&gt;0, VLOOKUP(C17, 'INPUT CBM'!$N$3:$P$282, 3, FALSE), M17/L17)</f>
        <v>27.902570081183249</v>
      </c>
      <c r="P17" s="200">
        <f>+VLOOKUP(B17, 'INPUT CBM'!$B$3:$K$29, 10, FALSE)</f>
        <v>8.6424259959786878E-2</v>
      </c>
      <c r="Q17" s="183">
        <f t="shared" si="3"/>
        <v>2437467.6539491853</v>
      </c>
      <c r="R17" s="78">
        <f t="shared" si="4"/>
        <v>10061.659115983201</v>
      </c>
      <c r="S17" s="184">
        <f t="shared" si="5"/>
        <v>280746.14861669758</v>
      </c>
      <c r="U17" s="96" t="s">
        <v>21</v>
      </c>
      <c r="V17" s="90">
        <v>2005</v>
      </c>
      <c r="W17" s="116">
        <f>+VLOOKUP(U17, 'INPUT NFI'!$N$3:$X$28, 8, FALSE)</f>
        <v>898586381.89890003</v>
      </c>
      <c r="X17" s="117">
        <f>+VLOOKUP(U17, 'NATIONAL 2020'!$A$3:$M$40, 10, FALSE)</f>
        <v>1032987622.5604783</v>
      </c>
      <c r="Y17" s="84">
        <f t="shared" si="6"/>
        <v>9.9713092600372689E-3</v>
      </c>
    </row>
    <row r="18" spans="1:25" s="1" customFormat="1" x14ac:dyDescent="0.25">
      <c r="A18" s="76" t="s">
        <v>245</v>
      </c>
      <c r="B18" s="108" t="s">
        <v>5</v>
      </c>
      <c r="C18" s="142" t="s">
        <v>432</v>
      </c>
      <c r="D18" s="181">
        <f t="shared" si="0"/>
        <v>629901.8567639268</v>
      </c>
      <c r="E18" s="111">
        <f>+VLOOKUP(C18, 'INPUT NFI'!$C$3:$K$282, 4, FALSE) * D18 / L18</f>
        <v>475007.95754628675</v>
      </c>
      <c r="F18" s="111">
        <f>+VLOOKUP(C18, 'INPUT NFI'!$C$3:$K$282, 5, FALSE) * D18 / L18</f>
        <v>154893.89921764002</v>
      </c>
      <c r="G18" s="111">
        <f t="shared" si="1"/>
        <v>74290588.485044658</v>
      </c>
      <c r="H18" s="111">
        <f>+VLOOKUP(C18, 'INPUT NFI'!$C$3:$K$282, 7, FALSE) * G18 / M18</f>
        <v>48962037.064198755</v>
      </c>
      <c r="I18" s="111">
        <f>+VLOOKUP(C18, 'INPUT NFI'!C18:K297, 8, FALSE) * G18 / M18</f>
        <v>25328551.420845907</v>
      </c>
      <c r="J18" s="213">
        <f t="shared" si="2"/>
        <v>117.93994205177762</v>
      </c>
      <c r="L18" s="183">
        <f>+VLOOKUP(C18, 'INPUT NFI'!$C$3:$K$282, 3, FALSE)</f>
        <v>599213.79646017798</v>
      </c>
      <c r="M18" s="184">
        <f>+VLOOKUP(C18, 'INPUT NFI'!$C$3:$K$282, 6, FALSE)</f>
        <v>67563241.720906466</v>
      </c>
      <c r="N18" s="201">
        <f>+VLOOKUP(B18, 'AREA CorrFactor'!$B$3:$J$40, 9, FALSE)</f>
        <v>5.1213874722238997E-2</v>
      </c>
      <c r="O18" s="202">
        <f>+IF(N18&gt;0, VLOOKUP(C18, 'INPUT CBM'!$N$3:$P$282, 3, FALSE), M18/L18)</f>
        <v>28.944273086433579</v>
      </c>
      <c r="P18" s="200">
        <f>+VLOOKUP(B18, 'INPUT CBM'!$B$3:$K$29, 10, FALSE)</f>
        <v>8.6424259959786878E-2</v>
      </c>
      <c r="Q18" s="183">
        <f t="shared" si="3"/>
        <v>5839103.1662135394</v>
      </c>
      <c r="R18" s="78">
        <f t="shared" si="4"/>
        <v>30688.060303748774</v>
      </c>
      <c r="S18" s="184">
        <f t="shared" si="5"/>
        <v>888243.59792464634</v>
      </c>
      <c r="U18" s="96" t="s">
        <v>23</v>
      </c>
      <c r="V18" s="90">
        <v>2010</v>
      </c>
      <c r="W18" s="116">
        <f>+VLOOKUP(U18, 'INPUT NFI'!$N$3:$X$28, 8, FALSE)</f>
        <v>279697679.57559997</v>
      </c>
      <c r="X18" s="117">
        <f>+VLOOKUP(U18, 'NATIONAL 2020'!$A$3:$M$40, 10, FALSE)</f>
        <v>318420060.18872505</v>
      </c>
      <c r="Y18" s="84">
        <f t="shared" si="6"/>
        <v>1.3844369632197377E-2</v>
      </c>
    </row>
    <row r="19" spans="1:25" s="1" customFormat="1" x14ac:dyDescent="0.25">
      <c r="A19" s="76" t="s">
        <v>245</v>
      </c>
      <c r="B19" s="108" t="s">
        <v>5</v>
      </c>
      <c r="C19" s="142" t="s">
        <v>433</v>
      </c>
      <c r="D19" s="181">
        <f t="shared" si="0"/>
        <v>1053278.5145888578</v>
      </c>
      <c r="E19" s="111">
        <f>+VLOOKUP(C19, 'INPUT NFI'!$C$3:$K$282, 4, FALSE) * D19 / L19</f>
        <v>846753.31565302878</v>
      </c>
      <c r="F19" s="111">
        <f>+VLOOKUP(C19, 'INPUT NFI'!$C$3:$K$282, 5, FALSE) * D19 / L19</f>
        <v>206525.19893582907</v>
      </c>
      <c r="G19" s="111">
        <f t="shared" si="1"/>
        <v>121360932.79241204</v>
      </c>
      <c r="H19" s="111">
        <f>+VLOOKUP(C19, 'INPUT NFI'!$C$3:$K$282, 7, FALSE) * G19 / M19</f>
        <v>91012628.617586777</v>
      </c>
      <c r="I19" s="111">
        <f>+VLOOKUP(C19, 'INPUT NFI'!C19:K298, 8, FALSE) * G19 / M19</f>
        <v>30348304.174825262</v>
      </c>
      <c r="J19" s="213">
        <f t="shared" si="2"/>
        <v>115.22207195101164</v>
      </c>
      <c r="L19" s="183">
        <f>+VLOOKUP(C19, 'INPUT NFI'!$C$3:$K$282, 3, FALSE)</f>
        <v>1001964.0530973437</v>
      </c>
      <c r="M19" s="184">
        <f>+VLOOKUP(C19, 'INPUT NFI'!$C$3:$K$282, 6, FALSE)</f>
        <v>109786180.37834723</v>
      </c>
      <c r="N19" s="201">
        <f>+VLOOKUP(B19, 'AREA CorrFactor'!$B$3:$J$40, 9, FALSE)</f>
        <v>5.1213874722238997E-2</v>
      </c>
      <c r="O19" s="202">
        <f>+IF(N19&gt;0, VLOOKUP(C19, 'INPUT CBM'!$N$3:$P$282, 3, FALSE), M19/L19)</f>
        <v>40.662280386583276</v>
      </c>
      <c r="P19" s="200">
        <f>+VLOOKUP(B19, 'INPUT CBM'!$B$3:$K$29, 10, FALSE)</f>
        <v>8.6424259959786878E-2</v>
      </c>
      <c r="Q19" s="183">
        <f t="shared" si="3"/>
        <v>9488189.393010335</v>
      </c>
      <c r="R19" s="78">
        <f t="shared" si="4"/>
        <v>51314.461491514179</v>
      </c>
      <c r="S19" s="184">
        <f t="shared" si="5"/>
        <v>2086563.0210544798</v>
      </c>
      <c r="U19" s="99" t="s">
        <v>25</v>
      </c>
      <c r="V19" s="90">
        <v>2011</v>
      </c>
      <c r="W19" s="116">
        <f>+VLOOKUP(U19, 'INPUT NFI'!$N$3:$X$28, 8, FALSE)</f>
        <v>415625952.13099998</v>
      </c>
      <c r="X19" s="117">
        <f>+VLOOKUP(U19, 'NATIONAL 2020'!$A$3:$M$40, 10, FALSE)</f>
        <v>448846949.56899929</v>
      </c>
      <c r="Y19" s="84">
        <f t="shared" si="6"/>
        <v>8.8811151436281165E-3</v>
      </c>
    </row>
    <row r="20" spans="1:25" s="1" customFormat="1" x14ac:dyDescent="0.25">
      <c r="A20" s="76" t="s">
        <v>245</v>
      </c>
      <c r="B20" s="108" t="s">
        <v>5</v>
      </c>
      <c r="C20" s="142" t="s">
        <v>434</v>
      </c>
      <c r="D20" s="181">
        <f t="shared" si="0"/>
        <v>1218498.6737400531</v>
      </c>
      <c r="E20" s="111">
        <f>+VLOOKUP(C20, 'INPUT NFI'!$C$3:$K$282, 4, FALSE) * D20 / L20</f>
        <v>1053278.5145861336</v>
      </c>
      <c r="F20" s="111">
        <f>+VLOOKUP(C20, 'INPUT NFI'!$C$3:$K$282, 5, FALSE) * D20 / L20</f>
        <v>165220.15915391935</v>
      </c>
      <c r="G20" s="111">
        <f t="shared" si="1"/>
        <v>138415324.3476994</v>
      </c>
      <c r="H20" s="111">
        <f>+VLOOKUP(C20, 'INPUT NFI'!$C$3:$K$282, 7, FALSE) * G20 / M20</f>
        <v>114000387.70362729</v>
      </c>
      <c r="I20" s="111">
        <f>+VLOOKUP(C20, 'INPUT NFI'!C20:K299, 8, FALSE) * G20 / M20</f>
        <v>24414936.644072115</v>
      </c>
      <c r="J20" s="213">
        <f t="shared" si="2"/>
        <v>113.59497333127838</v>
      </c>
      <c r="L20" s="183">
        <f>+VLOOKUP(C20, 'INPUT NFI'!$C$3:$K$282, 3, FALSE)</f>
        <v>1159134.8849557522</v>
      </c>
      <c r="M20" s="184">
        <f>+VLOOKUP(C20, 'INPUT NFI'!$C$3:$K$282, 6, FALSE)</f>
        <v>125271944.48719573</v>
      </c>
      <c r="N20" s="201">
        <f>+VLOOKUP(B20, 'AREA CorrFactor'!$B$3:$J$40, 9, FALSE)</f>
        <v>5.1213874722238997E-2</v>
      </c>
      <c r="O20" s="202">
        <f>+IF(N20&gt;0, VLOOKUP(C20, 'INPUT CBM'!$N$3:$P$282, 3, FALSE), M20/L20)</f>
        <v>39.02791267067829</v>
      </c>
      <c r="P20" s="200">
        <f>+VLOOKUP(B20, 'INPUT CBM'!$B$3:$K$29, 10, FALSE)</f>
        <v>8.6424259959786878E-2</v>
      </c>
      <c r="Q20" s="183">
        <f t="shared" si="3"/>
        <v>10826535.096029395</v>
      </c>
      <c r="R20" s="78">
        <f t="shared" si="4"/>
        <v>59363.788784300807</v>
      </c>
      <c r="S20" s="184">
        <f t="shared" si="5"/>
        <v>2316844.7644742834</v>
      </c>
      <c r="U20" s="96" t="s">
        <v>29</v>
      </c>
      <c r="V20" s="90">
        <v>2012</v>
      </c>
      <c r="W20" s="116">
        <f>+VLOOKUP(U20, 'INPUT NFI'!$N$3:$X$28, 8, FALSE)</f>
        <v>74219700.992149994</v>
      </c>
      <c r="X20" s="117">
        <f>+VLOOKUP(U20, 'NATIONAL 2020'!$A$3:$M$40, 10, FALSE)</f>
        <v>71246386.70157136</v>
      </c>
      <c r="Y20" s="84">
        <f t="shared" si="6"/>
        <v>-5.007623061721026E-3</v>
      </c>
    </row>
    <row r="21" spans="1:25" x14ac:dyDescent="0.25">
      <c r="A21" s="107" t="s">
        <v>49</v>
      </c>
      <c r="B21" s="108" t="s">
        <v>6</v>
      </c>
      <c r="C21" s="187" t="s">
        <v>50</v>
      </c>
      <c r="D21" s="181">
        <f t="shared" si="0"/>
        <v>223572.65488318549</v>
      </c>
      <c r="E21" s="111">
        <f>+VLOOKUP(C21, 'INPUT NFI'!$C$3:$K$282, 4, FALSE) * D21 / L21</f>
        <v>220440.58022963308</v>
      </c>
      <c r="F21" s="111">
        <f>+VLOOKUP(C21, 'INPUT NFI'!$C$3:$K$282, 5, FALSE) * D21 / L21</f>
        <v>3132.0746535523699</v>
      </c>
      <c r="G21" s="111">
        <f>+M21+Q21+S21</f>
        <v>39427798.449243568</v>
      </c>
      <c r="H21" s="111">
        <f>+VLOOKUP(C21, 'INPUT NFI'!$C$3:$K$282, 7, FALSE) * G21 / M21</f>
        <v>39109088.868247375</v>
      </c>
      <c r="I21" s="111">
        <f>+VLOOKUP(C21, 'INPUT NFI'!C21:K300, 8, FALSE) * G21 / M21</f>
        <v>318709.58099619119</v>
      </c>
      <c r="J21" s="213">
        <f t="shared" si="2"/>
        <v>176.35340274437499</v>
      </c>
      <c r="K21" s="4"/>
      <c r="L21" s="183">
        <f>+VLOOKUP(C21, 'INPUT NFI'!$C$3:$K$282, 3, FALSE)</f>
        <v>214187.78400000001</v>
      </c>
      <c r="M21" s="184">
        <f>+VLOOKUP(C21, 'INPUT NFI'!$C$3:$K$282, 6, FALSE)</f>
        <v>38032332.8411</v>
      </c>
      <c r="N21" s="201">
        <f>+VLOOKUP(B21, 'AREA CorrFactor'!$B$3:$J$40, 9, FALSE)</f>
        <v>4.381608842447092E-2</v>
      </c>
      <c r="O21" s="202">
        <f>+IF(N21&gt;0, VLOOKUP(C21, 'INPUT CBM'!$N$3:$P$282, 3, FALSE), M21/L21)</f>
        <v>27.764757255901589</v>
      </c>
      <c r="P21" s="200">
        <f>+VLOOKUP(B21, 'INPUT CBM'!$B$3:$K$29, 10, FALSE)</f>
        <v>2.9840319049992809E-2</v>
      </c>
      <c r="Q21" s="183">
        <f>+M21*P21</f>
        <v>1134896.9461939435</v>
      </c>
      <c r="R21" s="78">
        <f t="shared" si="4"/>
        <v>9384.8708831854783</v>
      </c>
      <c r="S21" s="184">
        <f>+R21*O21</f>
        <v>260568.66194962355</v>
      </c>
      <c r="T21" s="14"/>
      <c r="U21" s="99" t="s">
        <v>30</v>
      </c>
      <c r="V21" s="90">
        <v>2010</v>
      </c>
      <c r="W21" s="116">
        <f>+VLOOKUP(U21, 'INPUT NFI'!$N$3:$X$28, 8, FALSE)</f>
        <v>719313567.78839004</v>
      </c>
      <c r="X21" s="117">
        <f>+VLOOKUP(U21, 'NATIONAL 2020'!$A$3:$M$40, 10, FALSE)</f>
        <v>807928483.82340813</v>
      </c>
      <c r="Y21" s="84">
        <f t="shared" si="6"/>
        <v>1.2319372246442473E-2</v>
      </c>
    </row>
    <row r="22" spans="1:25" x14ac:dyDescent="0.25">
      <c r="A22" s="107" t="s">
        <v>49</v>
      </c>
      <c r="B22" s="108" t="s">
        <v>6</v>
      </c>
      <c r="C22" s="187" t="s">
        <v>51</v>
      </c>
      <c r="D22" s="181">
        <f t="shared" si="0"/>
        <v>324793.22536188451</v>
      </c>
      <c r="E22" s="111">
        <f>+VLOOKUP(C22, 'INPUT NFI'!$C$3:$K$282, 4, FALSE) * D22 / L22</f>
        <v>323331.59052356007</v>
      </c>
      <c r="F22" s="111">
        <f>+VLOOKUP(C22, 'INPUT NFI'!$C$3:$K$282, 5, FALSE) * D22 / L22</f>
        <v>1461.6348383244394</v>
      </c>
      <c r="G22" s="111">
        <f t="shared" si="1"/>
        <v>72658798.866924703</v>
      </c>
      <c r="H22" s="111">
        <f>+VLOOKUP(C22, 'INPUT NFI'!$C$3:$K$282, 7, FALSE) * G22 / M22</f>
        <v>72470600.808990374</v>
      </c>
      <c r="I22" s="111">
        <f>+VLOOKUP(C22, 'INPUT NFI'!C22:K301, 8, FALSE) * G22 / M22</f>
        <v>188198.05793433014</v>
      </c>
      <c r="J22" s="213">
        <f t="shared" si="2"/>
        <v>223.70786455280367</v>
      </c>
      <c r="K22" s="4"/>
      <c r="L22" s="183">
        <f>+VLOOKUP(C22, 'INPUT NFI'!$C$3:$K$282, 3, FALSE)</f>
        <v>311159.43599999999</v>
      </c>
      <c r="M22" s="184">
        <f>+VLOOKUP(C22, 'INPUT NFI'!$C$3:$K$282, 6, FALSE)</f>
        <v>69801075.530000001</v>
      </c>
      <c r="N22" s="201">
        <f>+VLOOKUP(B22, 'AREA CorrFactor'!$B$3:$J$40, 9, FALSE)</f>
        <v>4.381608842447092E-2</v>
      </c>
      <c r="O22" s="202">
        <f>+IF(N22&gt;0, VLOOKUP(C22, 'INPUT CBM'!$N$3:$P$282, 3, FALSE), M22/L22)</f>
        <v>56.832106798058341</v>
      </c>
      <c r="P22" s="200">
        <f>+VLOOKUP(B22, 'INPUT CBM'!$B$3:$K$29, 10, FALSE)</f>
        <v>2.9840319049992809E-2</v>
      </c>
      <c r="Q22" s="183">
        <f t="shared" si="3"/>
        <v>2082886.3638478459</v>
      </c>
      <c r="R22" s="78">
        <f t="shared" si="4"/>
        <v>13633.789361884499</v>
      </c>
      <c r="S22" s="184">
        <f t="shared" si="5"/>
        <v>774836.97307685157</v>
      </c>
      <c r="T22" s="14"/>
      <c r="U22" s="98" t="s">
        <v>31</v>
      </c>
      <c r="V22" s="90">
        <v>2012</v>
      </c>
      <c r="W22" s="116">
        <f>+VLOOKUP(U22, 'INPUT NFI'!$N$3:$X$28, 8, FALSE)</f>
        <v>1589527990.5911999</v>
      </c>
      <c r="X22" s="117">
        <f>+VLOOKUP(U22, 'NATIONAL 2020'!$A$3:$M$40, 10, FALSE)</f>
        <v>1725120378.9946263</v>
      </c>
      <c r="Y22" s="84">
        <f t="shared" si="6"/>
        <v>1.0662944377673003E-2</v>
      </c>
    </row>
    <row r="23" spans="1:25" x14ac:dyDescent="0.25">
      <c r="A23" s="107" t="s">
        <v>49</v>
      </c>
      <c r="B23" s="108" t="s">
        <v>6</v>
      </c>
      <c r="C23" s="187" t="s">
        <v>52</v>
      </c>
      <c r="D23" s="181">
        <f t="shared" si="0"/>
        <v>72869.760399897568</v>
      </c>
      <c r="E23" s="111">
        <f>+VLOOKUP(C23, 'INPUT NFI'!$C$3:$K$282, 4, FALSE) * D23 / L23</f>
        <v>72869.760399897568</v>
      </c>
      <c r="F23" s="111">
        <f>+VLOOKUP(C23, 'INPUT NFI'!$C$3:$K$282, 5, FALSE) * D23 / L23</f>
        <v>0</v>
      </c>
      <c r="G23" s="111">
        <f t="shared" si="1"/>
        <v>15789312.867877003</v>
      </c>
      <c r="H23" s="111">
        <f>+VLOOKUP(C23, 'INPUT NFI'!$C$3:$K$282, 7, FALSE) * G23 / M23</f>
        <v>15789312.867877003</v>
      </c>
      <c r="I23" s="111">
        <f>+VLOOKUP(C23, 'INPUT NFI'!C23:K302, 8, FALSE) * G23 / M23</f>
        <v>0</v>
      </c>
      <c r="J23" s="213">
        <f t="shared" si="2"/>
        <v>216.67853415776014</v>
      </c>
      <c r="K23" s="4"/>
      <c r="L23" s="183">
        <f>+VLOOKUP(C23, 'INPUT NFI'!$C$3:$K$282, 3, FALSE)</f>
        <v>69810.918999999994</v>
      </c>
      <c r="M23" s="184">
        <f>+VLOOKUP(C23, 'INPUT NFI'!$C$3:$K$282, 6, FALSE)</f>
        <v>15163691.0919</v>
      </c>
      <c r="N23" s="201">
        <f>+VLOOKUP(B23, 'AREA CorrFactor'!$B$3:$J$40, 9, FALSE)</f>
        <v>4.381608842447092E-2</v>
      </c>
      <c r="O23" s="202">
        <f>+IF(N23&gt;0, VLOOKUP(C23, 'INPUT CBM'!$N$3:$P$282, 3, FALSE), M23/L23)</f>
        <v>56.600644879779907</v>
      </c>
      <c r="P23" s="200">
        <f>+VLOOKUP(B23, 'INPUT CBM'!$B$3:$K$29, 10, FALSE)</f>
        <v>2.9840319049992809E-2</v>
      </c>
      <c r="Q23" s="183">
        <f t="shared" si="3"/>
        <v>452489.38015782984</v>
      </c>
      <c r="R23" s="78">
        <f t="shared" si="4"/>
        <v>3058.8413998975766</v>
      </c>
      <c r="S23" s="184">
        <f t="shared" si="5"/>
        <v>173132.39581917156</v>
      </c>
      <c r="T23" s="14"/>
      <c r="U23" s="98" t="s">
        <v>32</v>
      </c>
      <c r="V23" s="90">
        <v>2006</v>
      </c>
      <c r="W23" s="116">
        <f>+VLOOKUP(U23, 'INPUT NFI'!$N$3:$X$28, 8, FALSE)</f>
        <v>128073200</v>
      </c>
      <c r="X23" s="117">
        <f>+VLOOKUP(U23, 'NATIONAL 2020'!$A$3:$M$40, 10, FALSE)</f>
        <v>138718107.41913277</v>
      </c>
      <c r="Y23" s="84">
        <f t="shared" si="6"/>
        <v>5.9368433828314981E-3</v>
      </c>
    </row>
    <row r="24" spans="1:25" x14ac:dyDescent="0.25">
      <c r="A24" s="107" t="s">
        <v>49</v>
      </c>
      <c r="B24" s="108" t="s">
        <v>6</v>
      </c>
      <c r="C24" s="187" t="s">
        <v>53</v>
      </c>
      <c r="D24" s="181">
        <f t="shared" si="0"/>
        <v>52035.230939956498</v>
      </c>
      <c r="E24" s="111">
        <f>+VLOOKUP(C24, 'INPUT NFI'!$C$3:$K$282, 4, FALSE) * D24 / L24</f>
        <v>52035.230939956498</v>
      </c>
      <c r="F24" s="111">
        <f>+VLOOKUP(C24, 'INPUT NFI'!$C$3:$K$282, 5, FALSE) * D24 / L24</f>
        <v>0</v>
      </c>
      <c r="G24" s="111">
        <f t="shared" si="1"/>
        <v>11760421.899597574</v>
      </c>
      <c r="H24" s="111">
        <f>+VLOOKUP(C24, 'INPUT NFI'!$C$3:$K$282, 7, FALSE) * G24 / M24</f>
        <v>11760421.899597574</v>
      </c>
      <c r="I24" s="111">
        <f>+VLOOKUP(C24, 'INPUT NFI'!C24:K303, 8, FALSE) * G24 / M24</f>
        <v>0</v>
      </c>
      <c r="J24" s="213">
        <f t="shared" si="2"/>
        <v>226.00883453689167</v>
      </c>
      <c r="K24" s="4"/>
      <c r="L24" s="183">
        <f>+VLOOKUP(C24, 'INPUT NFI'!$C$3:$K$282, 3, FALSE)</f>
        <v>49850.957000000002</v>
      </c>
      <c r="M24" s="184">
        <f>+VLOOKUP(C24, 'INPUT NFI'!$C$3:$K$282, 6, FALSE)</f>
        <v>11311644.830800001</v>
      </c>
      <c r="N24" s="201">
        <f>+VLOOKUP(B24, 'AREA CorrFactor'!$B$3:$J$40, 9, FALSE)</f>
        <v>4.381608842447092E-2</v>
      </c>
      <c r="O24" s="202">
        <f>+IF(N24&gt;0, VLOOKUP(C24, 'INPUT CBM'!$N$3:$P$282, 3, FALSE), M24/L24)</f>
        <v>50.924921106055898</v>
      </c>
      <c r="P24" s="200">
        <f>+VLOOKUP(B24, 'INPUT CBM'!$B$3:$K$29, 10, FALSE)</f>
        <v>2.9840319049992809E-2</v>
      </c>
      <c r="Q24" s="183">
        <f t="shared" si="3"/>
        <v>337543.09073127393</v>
      </c>
      <c r="R24" s="78">
        <f t="shared" si="4"/>
        <v>2184.2739399564975</v>
      </c>
      <c r="S24" s="184">
        <f t="shared" si="5"/>
        <v>111233.97806629851</v>
      </c>
      <c r="T24" s="14"/>
      <c r="U24" s="96" t="s">
        <v>33</v>
      </c>
      <c r="V24" s="90">
        <v>2011</v>
      </c>
      <c r="W24" s="116">
        <f>+VLOOKUP(U24, 'INPUT NFI'!$N$3:$X$28, 8, FALSE)</f>
        <v>1168208524.2289999</v>
      </c>
      <c r="X24" s="117">
        <f>+VLOOKUP(U24, 'NATIONAL 2020'!$A$3:$M$40, 10, FALSE)</f>
        <v>1368382251.6882358</v>
      </c>
      <c r="Y24" s="84">
        <f t="shared" si="6"/>
        <v>1.9039002722504108E-2</v>
      </c>
    </row>
    <row r="25" spans="1:25" x14ac:dyDescent="0.25">
      <c r="A25" s="107" t="s">
        <v>49</v>
      </c>
      <c r="B25" s="108" t="s">
        <v>6</v>
      </c>
      <c r="C25" s="187" t="s">
        <v>54</v>
      </c>
      <c r="D25" s="181">
        <f t="shared" si="0"/>
        <v>303946.96236529347</v>
      </c>
      <c r="E25" s="111">
        <f>+VLOOKUP(C25, 'INPUT NFI'!$C$3:$K$282, 4, FALSE) * D25 / L25</f>
        <v>278055.14522926061</v>
      </c>
      <c r="F25" s="111">
        <f>+VLOOKUP(C25, 'INPUT NFI'!$C$3:$K$282, 5, FALSE) * D25 / L25</f>
        <v>25891.817136032882</v>
      </c>
      <c r="G25" s="111">
        <f t="shared" si="1"/>
        <v>58888548.411274783</v>
      </c>
      <c r="H25" s="111">
        <f>+VLOOKUP(C25, 'INPUT NFI'!$C$3:$K$282, 7, FALSE) * G25 / M25</f>
        <v>55499367.092331685</v>
      </c>
      <c r="I25" s="111">
        <f>+VLOOKUP(C25, 'INPUT NFI'!C25:K304, 8, FALSE) * G25 / M25</f>
        <v>3389181.3189430982</v>
      </c>
      <c r="J25" s="213">
        <f t="shared" si="2"/>
        <v>193.74613239431091</v>
      </c>
      <c r="K25" s="4"/>
      <c r="L25" s="183">
        <f>+VLOOKUP(C25, 'INPUT NFI'!$C$3:$K$282, 3, FALSE)</f>
        <v>291188.23300000001</v>
      </c>
      <c r="M25" s="184">
        <f>+VLOOKUP(C25, 'INPUT NFI'!$C$3:$K$282, 6, FALSE)</f>
        <v>56764374.141500004</v>
      </c>
      <c r="N25" s="201">
        <f>+VLOOKUP(B25, 'AREA CorrFactor'!$B$3:$J$40, 9, FALSE)</f>
        <v>4.381608842447092E-2</v>
      </c>
      <c r="O25" s="202">
        <f>+IF(N25&gt;0, VLOOKUP(C25, 'INPUT CBM'!$N$3:$P$282, 3, FALSE), M25/L25)</f>
        <v>33.726495985547118</v>
      </c>
      <c r="P25" s="200">
        <f>+VLOOKUP(B25, 'INPUT CBM'!$B$3:$K$29, 10, FALSE)</f>
        <v>2.9840319049992809E-2</v>
      </c>
      <c r="Q25" s="183">
        <f t="shared" si="3"/>
        <v>1693867.0350555219</v>
      </c>
      <c r="R25" s="78">
        <f t="shared" si="4"/>
        <v>12758.729365293442</v>
      </c>
      <c r="S25" s="184">
        <f t="shared" si="5"/>
        <v>430307.2347192514</v>
      </c>
      <c r="T25" s="14"/>
      <c r="U25" s="98" t="s">
        <v>37</v>
      </c>
      <c r="V25" s="90">
        <v>2005</v>
      </c>
      <c r="W25" s="116">
        <f>+VLOOKUP(U25, 'INPUT NFI'!$N$3:$X$28, 8, FALSE)</f>
        <v>326387818.26233065</v>
      </c>
      <c r="X25" s="117">
        <f>+VLOOKUP(U25, 'NATIONAL 2020'!$A$3:$M$40, 10, FALSE)</f>
        <v>338748358.60701978</v>
      </c>
      <c r="Y25" s="84">
        <f t="shared" si="6"/>
        <v>2.5247143945702206E-3</v>
      </c>
    </row>
    <row r="26" spans="1:25" x14ac:dyDescent="0.25">
      <c r="A26" s="107" t="s">
        <v>49</v>
      </c>
      <c r="B26" s="108" t="s">
        <v>6</v>
      </c>
      <c r="C26" s="187" t="s">
        <v>55</v>
      </c>
      <c r="D26" s="181">
        <f t="shared" si="0"/>
        <v>123910.3473397231</v>
      </c>
      <c r="E26" s="111">
        <f>+VLOOKUP(C26, 'INPUT NFI'!$C$3:$K$282, 4, FALSE) * D26 / L26</f>
        <v>121822.2975706882</v>
      </c>
      <c r="F26" s="111">
        <f>+VLOOKUP(C26, 'INPUT NFI'!$C$3:$K$282, 5, FALSE) * D26 / L26</f>
        <v>2088.0497690349134</v>
      </c>
      <c r="G26" s="111">
        <f t="shared" si="1"/>
        <v>25829445.105279535</v>
      </c>
      <c r="H26" s="111">
        <f>+VLOOKUP(C26, 'INPUT NFI'!$C$3:$K$282, 7, FALSE) * G26 / M26</f>
        <v>25535940.278013606</v>
      </c>
      <c r="I26" s="111">
        <f>+VLOOKUP(C26, 'INPUT NFI'!C26:K305, 8, FALSE) * G26 / M26</f>
        <v>293504.82726592838</v>
      </c>
      <c r="J26" s="213">
        <f t="shared" si="2"/>
        <v>208.45268905964198</v>
      </c>
      <c r="K26" s="4"/>
      <c r="L26" s="183">
        <f>+VLOOKUP(C26, 'INPUT NFI'!$C$3:$K$282, 3, FALSE)</f>
        <v>118708.984</v>
      </c>
      <c r="M26" s="184">
        <f>+VLOOKUP(C26, 'INPUT NFI'!$C$3:$K$282, 6, FALSE)</f>
        <v>24859753.657000002</v>
      </c>
      <c r="N26" s="201">
        <f>+VLOOKUP(B26, 'AREA CorrFactor'!$B$3:$J$40, 9, FALSE)</f>
        <v>4.381608842447092E-2</v>
      </c>
      <c r="O26" s="202">
        <f>+IF(N26&gt;0, VLOOKUP(C26, 'INPUT CBM'!$N$3:$P$282, 3, FALSE), M26/L26)</f>
        <v>43.809373190713991</v>
      </c>
      <c r="P26" s="200">
        <f>+VLOOKUP(B26, 'INPUT CBM'!$B$3:$K$29, 10, FALSE)</f>
        <v>2.9840319049992809E-2</v>
      </c>
      <c r="Q26" s="183">
        <f t="shared" si="3"/>
        <v>741822.98062910559</v>
      </c>
      <c r="R26" s="78">
        <f t="shared" si="4"/>
        <v>5201.3633397231033</v>
      </c>
      <c r="S26" s="184">
        <f t="shared" si="5"/>
        <v>227868.46765042792</v>
      </c>
      <c r="T26" s="14"/>
      <c r="U26" s="96" t="s">
        <v>34</v>
      </c>
      <c r="V26" s="90">
        <v>2011</v>
      </c>
      <c r="W26" s="116">
        <f>+VLOOKUP(U26, 'INPUT NFI'!$N$3:$X$28, 8, FALSE)</f>
        <v>2011735604.0312002</v>
      </c>
      <c r="X26" s="117">
        <f>+VLOOKUP(U26, 'NATIONAL 2020'!$A$3:$M$40, 10, FALSE)</f>
        <v>2091566081.5315673</v>
      </c>
      <c r="Y26" s="84">
        <f t="shared" si="6"/>
        <v>4.4091544822401942E-3</v>
      </c>
    </row>
    <row r="27" spans="1:25" x14ac:dyDescent="0.25">
      <c r="A27" s="107" t="s">
        <v>49</v>
      </c>
      <c r="B27" s="108" t="s">
        <v>6</v>
      </c>
      <c r="C27" s="187" t="s">
        <v>56</v>
      </c>
      <c r="D27" s="181">
        <f t="shared" si="0"/>
        <v>127883.21471005939</v>
      </c>
      <c r="E27" s="111">
        <f>+VLOOKUP(C27, 'INPUT NFI'!$C$3:$K$282, 4, FALSE) * D27 / L27</f>
        <v>96980.078128342764</v>
      </c>
      <c r="F27" s="111">
        <f>+VLOOKUP(C27, 'INPUT NFI'!$C$3:$K$282, 5, FALSE) * D27 / L27</f>
        <v>30903.136581716633</v>
      </c>
      <c r="G27" s="111">
        <f t="shared" si="1"/>
        <v>17551016.291421197</v>
      </c>
      <c r="H27" s="111">
        <f>+VLOOKUP(C27, 'INPUT NFI'!$C$3:$K$282, 7, FALSE) * G27 / M27</f>
        <v>14016799.485272845</v>
      </c>
      <c r="I27" s="111">
        <f>+VLOOKUP(C27, 'INPUT NFI'!C27:K306, 8, FALSE) * G27 / M27</f>
        <v>3534216.8061483526</v>
      </c>
      <c r="J27" s="213">
        <f t="shared" si="2"/>
        <v>137.24253281568954</v>
      </c>
      <c r="K27" s="4"/>
      <c r="L27" s="183">
        <f>+VLOOKUP(C27, 'INPUT NFI'!$C$3:$K$282, 3, FALSE)</f>
        <v>122515.083</v>
      </c>
      <c r="M27" s="184">
        <f>+VLOOKUP(C27, 'INPUT NFI'!$C$3:$K$282, 6, FALSE)</f>
        <v>16849559.9166</v>
      </c>
      <c r="N27" s="201">
        <f>+VLOOKUP(B27, 'AREA CorrFactor'!$B$3:$J$40, 9, FALSE)</f>
        <v>4.381608842447092E-2</v>
      </c>
      <c r="O27" s="202">
        <f>+IF(N27&gt;0, VLOOKUP(C27, 'INPUT CBM'!$N$3:$P$282, 3, FALSE), M27/L27)</f>
        <v>37.007313118941099</v>
      </c>
      <c r="P27" s="200">
        <f>+VLOOKUP(B27, 'INPUT CBM'!$B$3:$K$29, 10, FALSE)</f>
        <v>2.9840319049992809E-2</v>
      </c>
      <c r="Q27" s="183">
        <f t="shared" si="3"/>
        <v>502796.24376331421</v>
      </c>
      <c r="R27" s="78">
        <f t="shared" si="4"/>
        <v>5368.1317100593942</v>
      </c>
      <c r="S27" s="184">
        <f t="shared" si="5"/>
        <v>198660.13105788475</v>
      </c>
      <c r="T27" s="14"/>
      <c r="U27" s="98" t="s">
        <v>35</v>
      </c>
      <c r="V27" s="20">
        <v>2012</v>
      </c>
      <c r="W27" s="116">
        <f>+VLOOKUP(U27, 'INPUT NFI'!$N$3:$X$28, 8, FALSE)</f>
        <v>257085371.37384939</v>
      </c>
      <c r="X27" s="117">
        <f>+VLOOKUP(U27, 'NATIONAL 2020'!$A$3:$M$40, 10, FALSE)</f>
        <v>264647868.77080974</v>
      </c>
      <c r="Y27" s="84">
        <f t="shared" si="6"/>
        <v>3.677036035027391E-3</v>
      </c>
    </row>
    <row r="28" spans="1:25" x14ac:dyDescent="0.25">
      <c r="A28" s="107" t="s">
        <v>57</v>
      </c>
      <c r="B28" s="108" t="s">
        <v>8</v>
      </c>
      <c r="C28" s="187" t="s">
        <v>58</v>
      </c>
      <c r="D28" s="181">
        <f t="shared" si="0"/>
        <v>4656.2144207006831</v>
      </c>
      <c r="E28" s="111">
        <f>+VLOOKUP(C28, 'INPUT NFI'!$C$3:$K$282, 4, FALSE) * D28 / L28</f>
        <v>4048.8448680976262</v>
      </c>
      <c r="F28" s="111">
        <f>+VLOOKUP(C28, 'INPUT NFI'!$C$3:$K$282, 5, FALSE) * D28 / L28</f>
        <v>607.36955260305717</v>
      </c>
      <c r="G28" s="111">
        <f t="shared" si="1"/>
        <v>1098630.5109804852</v>
      </c>
      <c r="H28" s="111">
        <f>+VLOOKUP(C28, 'INPUT NFI'!$C$3:$K$282, 7, FALSE) * G28 / M28</f>
        <v>1015158.2260850277</v>
      </c>
      <c r="I28" s="111">
        <f>+VLOOKUP(C28, 'INPUT NFI'!C28:K307, 8, FALSE) * G28 / M28</f>
        <v>83472.284895457487</v>
      </c>
      <c r="J28" s="213">
        <f t="shared" si="2"/>
        <v>235.94929522493072</v>
      </c>
      <c r="K28" s="4"/>
      <c r="L28" s="183">
        <f>+VLOOKUP(C28, 'INPUT NFI'!$C$3:$K$282, 3, FALSE)</f>
        <v>4600</v>
      </c>
      <c r="M28" s="184">
        <f>+VLOOKUP(C28, 'INPUT NFI'!$C$3:$K$282, 6, FALSE)</f>
        <v>1093854.7554800001</v>
      </c>
      <c r="N28" s="201">
        <f>+VLOOKUP(B28, 'AREA CorrFactor'!$B$3:$J$40, 9, FALSE)</f>
        <v>1.2220526239278965E-2</v>
      </c>
      <c r="O28" s="202">
        <f>+IF(N28&gt;0, VLOOKUP(C28, 'INPUT CBM'!$N$3:$P$282, 3, FALSE), M28/L28)</f>
        <v>27.270377125271281</v>
      </c>
      <c r="P28" s="200">
        <f>+VLOOKUP(B28, 'INPUT CBM'!$B$3:$K$29, 10, FALSE)</f>
        <v>2.9645316545485537E-3</v>
      </c>
      <c r="Q28" s="183">
        <f t="shared" si="3"/>
        <v>3242.7670480989282</v>
      </c>
      <c r="R28" s="78">
        <f t="shared" si="4"/>
        <v>56.214420700683242</v>
      </c>
      <c r="S28" s="184">
        <f t="shared" si="5"/>
        <v>1532.9884523862886</v>
      </c>
      <c r="T28" s="14"/>
      <c r="U28" s="101" t="s">
        <v>36</v>
      </c>
      <c r="V28" s="102">
        <v>2006</v>
      </c>
      <c r="W28" s="118">
        <f>+VLOOKUP(U28, 'INPUT NFI'!$N$3:$X$28, 8, FALSE)</f>
        <v>437313636.34999996</v>
      </c>
      <c r="X28" s="119">
        <f>+VLOOKUP(U28, 'NATIONAL 2020'!$A$3:$M$40, 10, FALSE)</f>
        <v>471393310.71993983</v>
      </c>
      <c r="Y28" s="85">
        <f t="shared" si="6"/>
        <v>5.5663996103873254E-3</v>
      </c>
    </row>
    <row r="29" spans="1:25" x14ac:dyDescent="0.25">
      <c r="A29" s="107" t="s">
        <v>57</v>
      </c>
      <c r="B29" s="108" t="s">
        <v>8</v>
      </c>
      <c r="C29" s="187" t="s">
        <v>59</v>
      </c>
      <c r="D29" s="181">
        <f t="shared" si="0"/>
        <v>324113.01250181714</v>
      </c>
      <c r="E29" s="111">
        <f>+VLOOKUP(C29, 'INPUT NFI'!$C$3:$K$282, 4, FALSE) * D29 / L29</f>
        <v>315609.83876537433</v>
      </c>
      <c r="F29" s="111">
        <f>+VLOOKUP(C29, 'INPUT NFI'!$C$3:$K$282, 5, FALSE) * D29 / L29</f>
        <v>8503.1737364427991</v>
      </c>
      <c r="G29" s="111">
        <f t="shared" si="1"/>
        <v>61886756.708715327</v>
      </c>
      <c r="H29" s="111">
        <f>+VLOOKUP(C29, 'INPUT NFI'!$C$3:$K$282, 7, FALSE) * G29 / M29</f>
        <v>59911730.055145599</v>
      </c>
      <c r="I29" s="111">
        <f>+VLOOKUP(C29, 'INPUT NFI'!C29:K308, 8, FALSE) * G29 / M29</f>
        <v>1975026.6535697249</v>
      </c>
      <c r="J29" s="213">
        <f t="shared" si="2"/>
        <v>190.94190705585558</v>
      </c>
      <c r="K29" s="4"/>
      <c r="L29" s="183">
        <f>+VLOOKUP(C29, 'INPUT NFI'!$C$3:$K$282, 3, FALSE)</f>
        <v>320200</v>
      </c>
      <c r="M29" s="184">
        <f>+VLOOKUP(C29, 'INPUT NFI'!$C$3:$K$282, 6, FALSE)</f>
        <v>61553318.333400004</v>
      </c>
      <c r="N29" s="201">
        <f>+VLOOKUP(B29, 'AREA CorrFactor'!$B$3:$J$40, 9, FALSE)</f>
        <v>1.2220526239278965E-2</v>
      </c>
      <c r="O29" s="202">
        <f>+IF(N29&gt;0, VLOOKUP(C29, 'INPUT CBM'!$N$3:$P$282, 3, FALSE), M29/L29)</f>
        <v>38.579384707653617</v>
      </c>
      <c r="P29" s="200">
        <f>+VLOOKUP(B29, 'INPUT CBM'!$B$3:$K$29, 10, FALSE)</f>
        <v>2.9645316545485537E-3</v>
      </c>
      <c r="Q29" s="183">
        <f t="shared" si="3"/>
        <v>182476.76064186814</v>
      </c>
      <c r="R29" s="78">
        <f t="shared" si="4"/>
        <v>3913.0125018171248</v>
      </c>
      <c r="S29" s="184">
        <f t="shared" si="5"/>
        <v>150961.61467346101</v>
      </c>
      <c r="T29" s="14"/>
      <c r="U29" s="205" t="s">
        <v>490</v>
      </c>
      <c r="V29" s="207"/>
      <c r="W29" s="208">
        <f>SUM(W3:W28)</f>
        <v>17662541137.946594</v>
      </c>
      <c r="X29" s="209">
        <f>SUM(X3:X28)</f>
        <v>19512682794.389229</v>
      </c>
      <c r="Y29" s="206">
        <f>(X29-W29)/W29</f>
        <v>0.10474946056701599</v>
      </c>
    </row>
    <row r="30" spans="1:25" x14ac:dyDescent="0.25">
      <c r="A30" s="107" t="s">
        <v>57</v>
      </c>
      <c r="B30" s="108" t="s">
        <v>8</v>
      </c>
      <c r="C30" s="187" t="s">
        <v>60</v>
      </c>
      <c r="D30" s="181">
        <f t="shared" si="0"/>
        <v>406305.31923244655</v>
      </c>
      <c r="E30" s="111">
        <f>+VLOOKUP(C30, 'INPUT NFI'!$C$3:$K$282, 4, FALSE) * D30 / L30</f>
        <v>370470.51562886615</v>
      </c>
      <c r="F30" s="111">
        <f>+VLOOKUP(C30, 'INPUT NFI'!$C$3:$K$282, 5, FALSE) * D30 / L30</f>
        <v>35834.803603580418</v>
      </c>
      <c r="G30" s="111">
        <f t="shared" si="1"/>
        <v>89813734.547093481</v>
      </c>
      <c r="H30" s="111">
        <f>+VLOOKUP(C30, 'INPUT NFI'!$C$3:$K$282, 7, FALSE) * G30 / M30</f>
        <v>82695546.599332348</v>
      </c>
      <c r="I30" s="111">
        <f>+VLOOKUP(C30, 'INPUT NFI'!C30:K309, 8, FALSE) * G30 / M30</f>
        <v>7118187.9477611221</v>
      </c>
      <c r="J30" s="213">
        <f t="shared" si="2"/>
        <v>221.04986150996268</v>
      </c>
      <c r="K30" s="4"/>
      <c r="L30" s="183">
        <f>+VLOOKUP(C30, 'INPUT NFI'!$C$3:$K$282, 3, FALSE)</f>
        <v>401400</v>
      </c>
      <c r="M30" s="184">
        <f>+VLOOKUP(C30, 'INPUT NFI'!$C$3:$K$282, 6, FALSE)</f>
        <v>89354315.887899995</v>
      </c>
      <c r="N30" s="201">
        <f>+VLOOKUP(B30, 'AREA CorrFactor'!$B$3:$J$40, 9, FALSE)</f>
        <v>1.2220526239278965E-2</v>
      </c>
      <c r="O30" s="202">
        <f>+IF(N30&gt;0, VLOOKUP(C30, 'INPUT CBM'!$N$3:$P$282, 3, FALSE), M30/L30)</f>
        <v>39.655922898267193</v>
      </c>
      <c r="P30" s="200">
        <f>+VLOOKUP(B30, 'INPUT CBM'!$B$3:$K$29, 10, FALSE)</f>
        <v>2.9645316545485537E-3</v>
      </c>
      <c r="Q30" s="183">
        <f t="shared" si="3"/>
        <v>264893.69792021031</v>
      </c>
      <c r="R30" s="78">
        <f t="shared" si="4"/>
        <v>4905.3192324465763</v>
      </c>
      <c r="S30" s="184">
        <f t="shared" si="5"/>
        <v>194524.96127328865</v>
      </c>
      <c r="T30" s="14"/>
      <c r="U30" s="6"/>
      <c r="V30" s="6"/>
      <c r="W30" s="6"/>
    </row>
    <row r="31" spans="1:25" x14ac:dyDescent="0.25">
      <c r="A31" s="107" t="s">
        <v>57</v>
      </c>
      <c r="B31" s="108" t="s">
        <v>8</v>
      </c>
      <c r="C31" s="187" t="s">
        <v>61</v>
      </c>
      <c r="D31" s="181">
        <f t="shared" si="0"/>
        <v>312776.14260793722</v>
      </c>
      <c r="E31" s="111">
        <f>+VLOOKUP(C31, 'INPUT NFI'!$C$3:$K$282, 4, FALSE) * D31 / L31</f>
        <v>279775.7302498378</v>
      </c>
      <c r="F31" s="111">
        <f>+VLOOKUP(C31, 'INPUT NFI'!$C$3:$K$282, 5, FALSE) * D31 / L31</f>
        <v>33000.412358099449</v>
      </c>
      <c r="G31" s="111">
        <f t="shared" si="1"/>
        <v>63720236.529642515</v>
      </c>
      <c r="H31" s="111">
        <f>+VLOOKUP(C31, 'INPUT NFI'!$C$3:$K$282, 7, FALSE) * G31 / M31</f>
        <v>57827023.645114809</v>
      </c>
      <c r="I31" s="111">
        <f>+VLOOKUP(C31, 'INPUT NFI'!C31:K310, 8, FALSE) * G31 / M31</f>
        <v>5893212.8845277121</v>
      </c>
      <c r="J31" s="213">
        <f t="shared" si="2"/>
        <v>203.72473424072948</v>
      </c>
      <c r="K31" s="4"/>
      <c r="L31" s="183">
        <f>+VLOOKUP(C31, 'INPUT NFI'!$C$3:$K$282, 3, FALSE)</f>
        <v>309000</v>
      </c>
      <c r="M31" s="184">
        <f>+VLOOKUP(C31, 'INPUT NFI'!$C$3:$K$282, 6, FALSE)</f>
        <v>63382590.413900003</v>
      </c>
      <c r="N31" s="201">
        <f>+VLOOKUP(B31, 'AREA CorrFactor'!$B$3:$J$40, 9, FALSE)</f>
        <v>1.2220526239278965E-2</v>
      </c>
      <c r="O31" s="202">
        <f>+IF(N31&gt;0, VLOOKUP(C31, 'INPUT CBM'!$N$3:$P$282, 3, FALSE), M31/L31)</f>
        <v>39.655922898267193</v>
      </c>
      <c r="P31" s="200">
        <f>+VLOOKUP(B31, 'INPUT CBM'!$B$3:$K$29, 10, FALSE)</f>
        <v>2.9645316545485537E-3</v>
      </c>
      <c r="Q31" s="183">
        <f t="shared" si="3"/>
        <v>187899.69562929228</v>
      </c>
      <c r="R31" s="78">
        <f t="shared" si="4"/>
        <v>3776.1426079372004</v>
      </c>
      <c r="S31" s="184">
        <f t="shared" si="5"/>
        <v>149746.42011321921</v>
      </c>
      <c r="T31" s="14"/>
      <c r="U31" s="6"/>
      <c r="V31" s="6"/>
      <c r="W31" s="6"/>
    </row>
    <row r="32" spans="1:25" x14ac:dyDescent="0.25">
      <c r="A32" s="107" t="s">
        <v>57</v>
      </c>
      <c r="B32" s="108" t="s">
        <v>8</v>
      </c>
      <c r="C32" s="187" t="s">
        <v>62</v>
      </c>
      <c r="D32" s="181">
        <f t="shared" si="0"/>
        <v>149808.63788341329</v>
      </c>
      <c r="E32" s="111">
        <f>+VLOOKUP(C32, 'INPUT NFI'!$C$3:$K$282, 4, FALSE) * D32 / L32</f>
        <v>145354.59449765756</v>
      </c>
      <c r="F32" s="111">
        <f>+VLOOKUP(C32, 'INPUT NFI'!$C$3:$K$282, 5, FALSE) * D32 / L32</f>
        <v>4454.0433857557509</v>
      </c>
      <c r="G32" s="111">
        <f t="shared" si="1"/>
        <v>27501319.953296423</v>
      </c>
      <c r="H32" s="111">
        <f>+VLOOKUP(C32, 'INPUT NFI'!$C$3:$K$282, 7, FALSE) * G32 / M32</f>
        <v>26907020.229869604</v>
      </c>
      <c r="I32" s="111">
        <f>+VLOOKUP(C32, 'INPUT NFI'!C32:K311, 8, FALSE) * G32 / M32</f>
        <v>594299.72342681733</v>
      </c>
      <c r="J32" s="213">
        <f t="shared" si="2"/>
        <v>183.57633005580749</v>
      </c>
      <c r="K32" s="4"/>
      <c r="L32" s="183">
        <f>+VLOOKUP(C32, 'INPUT NFI'!$C$3:$K$282, 3, FALSE)</f>
        <v>148000</v>
      </c>
      <c r="M32" s="184">
        <f>+VLOOKUP(C32, 'INPUT NFI'!$C$3:$K$282, 6, FALSE)</f>
        <v>27349018.664900001</v>
      </c>
      <c r="N32" s="201">
        <f>+VLOOKUP(B32, 'AREA CorrFactor'!$B$3:$J$40, 9, FALSE)</f>
        <v>1.2220526239278965E-2</v>
      </c>
      <c r="O32" s="202">
        <f>+IF(N32&gt;0, VLOOKUP(C32, 'INPUT CBM'!$N$3:$P$282, 3, FALSE), M32/L32)</f>
        <v>39.38005362857443</v>
      </c>
      <c r="P32" s="200">
        <f>+VLOOKUP(B32, 'INPUT CBM'!$B$3:$K$29, 10, FALSE)</f>
        <v>2.9645316545485537E-3</v>
      </c>
      <c r="Q32" s="183">
        <f t="shared" si="3"/>
        <v>81077.031552935281</v>
      </c>
      <c r="R32" s="78">
        <f t="shared" si="4"/>
        <v>1808.6378834132868</v>
      </c>
      <c r="S32" s="184">
        <f t="shared" si="5"/>
        <v>71224.256843486583</v>
      </c>
      <c r="T32" s="14"/>
      <c r="U32" s="6"/>
      <c r="V32" s="6"/>
      <c r="W32" s="6"/>
    </row>
    <row r="33" spans="1:25" x14ac:dyDescent="0.25">
      <c r="A33" s="107" t="s">
        <v>57</v>
      </c>
      <c r="B33" s="108" t="s">
        <v>8</v>
      </c>
      <c r="C33" s="187" t="s">
        <v>63</v>
      </c>
      <c r="D33" s="181">
        <f t="shared" si="0"/>
        <v>172887.26588166883</v>
      </c>
      <c r="E33" s="111">
        <f>+VLOOKUP(C33, 'INPUT NFI'!$C$3:$K$282, 4, FALSE) * D33 / L33</f>
        <v>167016.02687317261</v>
      </c>
      <c r="F33" s="111">
        <f>+VLOOKUP(C33, 'INPUT NFI'!$C$3:$K$282, 5, FALSE) * D33 / L33</f>
        <v>5871.2390084962199</v>
      </c>
      <c r="G33" s="111">
        <f t="shared" si="1"/>
        <v>26648115.191529356</v>
      </c>
      <c r="H33" s="111">
        <f>+VLOOKUP(C33, 'INPUT NFI'!$C$3:$K$282, 7, FALSE) * G33 / M33</f>
        <v>25875801.322684962</v>
      </c>
      <c r="I33" s="111">
        <f>+VLOOKUP(C33, 'INPUT NFI'!C33:K312, 8, FALSE) * G33 / M33</f>
        <v>772313.86884439189</v>
      </c>
      <c r="J33" s="213">
        <f t="shared" si="2"/>
        <v>154.1357893285699</v>
      </c>
      <c r="K33" s="4"/>
      <c r="L33" s="183">
        <f>+VLOOKUP(C33, 'INPUT NFI'!$C$3:$K$282, 3, FALSE)</f>
        <v>170800</v>
      </c>
      <c r="M33" s="184">
        <f>+VLOOKUP(C33, 'INPUT NFI'!$C$3:$K$282, 6, FALSE)</f>
        <v>26487395.825800002</v>
      </c>
      <c r="N33" s="201">
        <f>+VLOOKUP(B33, 'AREA CorrFactor'!$B$3:$J$40, 9, FALSE)</f>
        <v>1.2220526239278965E-2</v>
      </c>
      <c r="O33" s="202">
        <f>+IF(N33&gt;0, VLOOKUP(C33, 'INPUT CBM'!$N$3:$P$282, 3, FALSE), M33/L33)</f>
        <v>39.38005362857443</v>
      </c>
      <c r="P33" s="200">
        <f>+VLOOKUP(B33, 'INPUT CBM'!$B$3:$K$29, 10, FALSE)</f>
        <v>2.9645316545485537E-3</v>
      </c>
      <c r="Q33" s="183">
        <f t="shared" si="3"/>
        <v>78522.723372141336</v>
      </c>
      <c r="R33" s="78">
        <f t="shared" si="4"/>
        <v>2087.2658816688472</v>
      </c>
      <c r="S33" s="184">
        <f t="shared" si="5"/>
        <v>82196.642357212899</v>
      </c>
      <c r="T33" s="14"/>
      <c r="U33" s="6"/>
      <c r="V33" s="6"/>
      <c r="W33" s="6"/>
    </row>
    <row r="34" spans="1:25" x14ac:dyDescent="0.25">
      <c r="A34" s="107" t="s">
        <v>57</v>
      </c>
      <c r="B34" s="108" t="s">
        <v>8</v>
      </c>
      <c r="C34" s="187" t="s">
        <v>64</v>
      </c>
      <c r="D34" s="181">
        <f t="shared" si="0"/>
        <v>145962.19988370402</v>
      </c>
      <c r="E34" s="111">
        <f>+VLOOKUP(C34, 'INPUT NFI'!$C$3:$K$282, 4, FALSE) * D34 / L34</f>
        <v>124704.26554259709</v>
      </c>
      <c r="F34" s="111">
        <f>+VLOOKUP(C34, 'INPUT NFI'!$C$3:$K$282, 5, FALSE) * D34 / L34</f>
        <v>21257.934341106942</v>
      </c>
      <c r="G34" s="111">
        <f t="shared" si="1"/>
        <v>28003572.581938088</v>
      </c>
      <c r="H34" s="111">
        <f>+VLOOKUP(C34, 'INPUT NFI'!$C$3:$K$282, 7, FALSE) * G34 / M34</f>
        <v>24385296.761231862</v>
      </c>
      <c r="I34" s="111">
        <f>+VLOOKUP(C34, 'INPUT NFI'!C34:K313, 8, FALSE) * G34 / M34</f>
        <v>3618275.8207062236</v>
      </c>
      <c r="J34" s="213">
        <f t="shared" si="2"/>
        <v>191.85496384851729</v>
      </c>
      <c r="K34" s="4"/>
      <c r="L34" s="183">
        <f>+VLOOKUP(C34, 'INPUT NFI'!$C$3:$K$282, 3, FALSE)</f>
        <v>144200</v>
      </c>
      <c r="M34" s="184">
        <f>+VLOOKUP(C34, 'INPUT NFI'!$C$3:$K$282, 6, FALSE)</f>
        <v>27850430.994399998</v>
      </c>
      <c r="N34" s="201">
        <f>+VLOOKUP(B34, 'AREA CorrFactor'!$B$3:$J$40, 9, FALSE)</f>
        <v>1.2220526239278965E-2</v>
      </c>
      <c r="O34" s="202">
        <f>+IF(N34&gt;0, VLOOKUP(C34, 'INPUT CBM'!$N$3:$P$282, 3, FALSE), M34/L34)</f>
        <v>40.051133764702797</v>
      </c>
      <c r="P34" s="200">
        <f>+VLOOKUP(B34, 'INPUT CBM'!$B$3:$K$29, 10, FALSE)</f>
        <v>2.9645316545485537E-3</v>
      </c>
      <c r="Q34" s="183">
        <f t="shared" si="3"/>
        <v>82563.484275718947</v>
      </c>
      <c r="R34" s="78">
        <f t="shared" si="4"/>
        <v>1762.1998837040269</v>
      </c>
      <c r="S34" s="184">
        <f t="shared" si="5"/>
        <v>70578.103262373697</v>
      </c>
      <c r="T34" s="14"/>
      <c r="U34" s="6"/>
      <c r="V34" s="6"/>
      <c r="W34" s="6"/>
    </row>
    <row r="35" spans="1:25" x14ac:dyDescent="0.25">
      <c r="A35" s="107" t="s">
        <v>57</v>
      </c>
      <c r="B35" s="108" t="s">
        <v>8</v>
      </c>
      <c r="C35" s="187" t="s">
        <v>65</v>
      </c>
      <c r="D35" s="181">
        <f t="shared" si="0"/>
        <v>159930.84314580608</v>
      </c>
      <c r="E35" s="111">
        <f>+VLOOKUP(C35, 'INPUT NFI'!$C$3:$K$282, 4, FALSE) * D35 / L35</f>
        <v>128347.62641044713</v>
      </c>
      <c r="F35" s="111">
        <f>+VLOOKUP(C35, 'INPUT NFI'!$C$3:$K$282, 5, FALSE) * D35 / L35</f>
        <v>31583.216735358958</v>
      </c>
      <c r="G35" s="111">
        <f t="shared" si="1"/>
        <v>33837663.659495361</v>
      </c>
      <c r="H35" s="111">
        <f>+VLOOKUP(C35, 'INPUT NFI'!$C$3:$K$282, 7, FALSE) * G35 / M35</f>
        <v>28863935.931980915</v>
      </c>
      <c r="I35" s="111">
        <f>+VLOOKUP(C35, 'INPUT NFI'!C35:K314, 8, FALSE) * G35 / M35</f>
        <v>4973727.7275144458</v>
      </c>
      <c r="J35" s="213">
        <f t="shared" si="2"/>
        <v>211.57684780443614</v>
      </c>
      <c r="K35" s="4"/>
      <c r="L35" s="183">
        <f>+VLOOKUP(C35, 'INPUT NFI'!$C$3:$K$282, 3, FALSE)</f>
        <v>158000</v>
      </c>
      <c r="M35" s="184">
        <f>+VLOOKUP(C35, 'INPUT NFI'!$C$3:$K$282, 6, FALSE)</f>
        <v>33660543.455799997</v>
      </c>
      <c r="N35" s="201">
        <f>+VLOOKUP(B35, 'AREA CorrFactor'!$B$3:$J$40, 9, FALSE)</f>
        <v>1.2220526239278965E-2</v>
      </c>
      <c r="O35" s="202">
        <f>+IF(N35&gt;0, VLOOKUP(C35, 'INPUT CBM'!$N$3:$P$282, 3, FALSE), M35/L35)</f>
        <v>40.051133764702797</v>
      </c>
      <c r="P35" s="200">
        <f>+VLOOKUP(B35, 'INPUT CBM'!$B$3:$K$29, 10, FALSE)</f>
        <v>2.9645316545485537E-3</v>
      </c>
      <c r="Q35" s="183">
        <f t="shared" si="3"/>
        <v>99787.746584026259</v>
      </c>
      <c r="R35" s="78">
        <f t="shared" si="4"/>
        <v>1930.8431458060766</v>
      </c>
      <c r="S35" s="184">
        <f t="shared" si="5"/>
        <v>77332.457111338721</v>
      </c>
      <c r="T35" s="14"/>
      <c r="U35" s="6"/>
      <c r="V35" s="6"/>
      <c r="W35" s="6"/>
    </row>
    <row r="36" spans="1:25" x14ac:dyDescent="0.25">
      <c r="A36" s="107" t="s">
        <v>57</v>
      </c>
      <c r="B36" s="108" t="s">
        <v>8</v>
      </c>
      <c r="C36" s="187" t="s">
        <v>66</v>
      </c>
      <c r="D36" s="181">
        <f t="shared" si="0"/>
        <v>138471.76798953337</v>
      </c>
      <c r="E36" s="111">
        <f>+VLOOKUP(C36, 'INPUT NFI'!$C$3:$K$282, 4, FALSE) * D36 / L36</f>
        <v>136042.28977912117</v>
      </c>
      <c r="F36" s="111">
        <f>+VLOOKUP(C36, 'INPUT NFI'!$C$3:$K$282, 5, FALSE) * D36 / L36</f>
        <v>2429.4782104122264</v>
      </c>
      <c r="G36" s="111">
        <f t="shared" si="1"/>
        <v>32611254.129171647</v>
      </c>
      <c r="H36" s="111">
        <f>+VLOOKUP(C36, 'INPUT NFI'!$C$3:$K$282, 7, FALSE) * G36 / M36</f>
        <v>32097750.861159664</v>
      </c>
      <c r="I36" s="111">
        <f>+VLOOKUP(C36, 'INPUT NFI'!C36:K315, 8, FALSE) * G36 / M36</f>
        <v>513503.26801197889</v>
      </c>
      <c r="J36" s="213">
        <f t="shared" si="2"/>
        <v>235.50832492899653</v>
      </c>
      <c r="K36" s="4"/>
      <c r="L36" s="183">
        <f>+VLOOKUP(C36, 'INPUT NFI'!$C$3:$K$282, 3, FALSE)</f>
        <v>136800</v>
      </c>
      <c r="M36" s="184">
        <f>+VLOOKUP(C36, 'INPUT NFI'!$C$3:$K$282, 6, FALSE)</f>
        <v>32448104.492899999</v>
      </c>
      <c r="N36" s="201">
        <f>+VLOOKUP(B36, 'AREA CorrFactor'!$B$3:$J$40, 9, FALSE)</f>
        <v>1.2220526239278965E-2</v>
      </c>
      <c r="O36" s="202">
        <f>+IF(N36&gt;0, VLOOKUP(C36, 'INPUT CBM'!$N$3:$P$282, 3, FALSE), M36/L36)</f>
        <v>40.051133764702797</v>
      </c>
      <c r="P36" s="200">
        <f>+VLOOKUP(B36, 'INPUT CBM'!$B$3:$K$29, 10, FALSE)</f>
        <v>2.9645316545485537E-3</v>
      </c>
      <c r="Q36" s="183">
        <f t="shared" si="3"/>
        <v>96193.432899301188</v>
      </c>
      <c r="R36" s="78">
        <f t="shared" si="4"/>
        <v>1671.7679895333624</v>
      </c>
      <c r="S36" s="184">
        <f t="shared" si="5"/>
        <v>66956.203372348959</v>
      </c>
      <c r="T36" s="14"/>
      <c r="U36" s="6"/>
      <c r="V36" s="6"/>
      <c r="W36" s="6"/>
    </row>
    <row r="37" spans="1:25" x14ac:dyDescent="0.25">
      <c r="A37" s="107" t="s">
        <v>57</v>
      </c>
      <c r="B37" s="108" t="s">
        <v>8</v>
      </c>
      <c r="C37" s="187" t="s">
        <v>67</v>
      </c>
      <c r="D37" s="181">
        <f t="shared" si="0"/>
        <v>209124.76072103504</v>
      </c>
      <c r="E37" s="111">
        <f>+VLOOKUP(C37, 'INPUT NFI'!$C$3:$K$282, 4, FALSE) * D37 / L37</f>
        <v>206695.28251062281</v>
      </c>
      <c r="F37" s="111">
        <f>+VLOOKUP(C37, 'INPUT NFI'!$C$3:$K$282, 5, FALSE) * D37 / L37</f>
        <v>2429.4782104122264</v>
      </c>
      <c r="G37" s="111">
        <f t="shared" si="1"/>
        <v>48702696.402165949</v>
      </c>
      <c r="H37" s="111">
        <f>+VLOOKUP(C37, 'INPUT NFI'!$C$3:$K$282, 7, FALSE) * G37 / M37</f>
        <v>48075258.606346913</v>
      </c>
      <c r="I37" s="111">
        <f>+VLOOKUP(C37, 'INPUT NFI'!C37:K316, 8, FALSE) * G37 / M37</f>
        <v>627437.79581903946</v>
      </c>
      <c r="J37" s="213">
        <f t="shared" si="2"/>
        <v>232.88823491893245</v>
      </c>
      <c r="K37" s="4"/>
      <c r="L37" s="183">
        <f>+VLOOKUP(C37, 'INPUT NFI'!$C$3:$K$282, 3, FALSE)</f>
        <v>206600</v>
      </c>
      <c r="M37" s="184">
        <f>+VLOOKUP(C37, 'INPUT NFI'!$C$3:$K$282, 6, FALSE)</f>
        <v>48459435.827</v>
      </c>
      <c r="N37" s="201">
        <f>+VLOOKUP(B37, 'AREA CorrFactor'!$B$3:$J$40, 9, FALSE)</f>
        <v>1.2220526239278965E-2</v>
      </c>
      <c r="O37" s="202">
        <f>+IF(N37&gt;0, VLOOKUP(C37, 'INPUT CBM'!$N$3:$P$282, 3, FALSE), M37/L37)</f>
        <v>39.449696308017181</v>
      </c>
      <c r="P37" s="200">
        <f>+VLOOKUP(B37, 'INPUT CBM'!$B$3:$K$29, 10, FALSE)</f>
        <v>2.9645316545485537E-3</v>
      </c>
      <c r="Q37" s="183">
        <f t="shared" si="3"/>
        <v>143659.53147070576</v>
      </c>
      <c r="R37" s="78">
        <f t="shared" si="4"/>
        <v>2524.7607210350343</v>
      </c>
      <c r="S37" s="184">
        <f t="shared" si="5"/>
        <v>99601.043695242595</v>
      </c>
      <c r="T37" s="14"/>
      <c r="U37" s="6"/>
      <c r="V37" s="6"/>
      <c r="W37" s="6"/>
    </row>
    <row r="38" spans="1:25" x14ac:dyDescent="0.25">
      <c r="A38" s="107" t="s">
        <v>57</v>
      </c>
      <c r="B38" s="108" t="s">
        <v>8</v>
      </c>
      <c r="C38" s="187" t="s">
        <v>68</v>
      </c>
      <c r="D38" s="181">
        <f t="shared" si="0"/>
        <v>206492.9873528129</v>
      </c>
      <c r="E38" s="111">
        <f>+VLOOKUP(C38, 'INPUT NFI'!$C$3:$K$282, 4, FALSE) * D38 / L38</f>
        <v>198192.27013390447</v>
      </c>
      <c r="F38" s="111">
        <f>+VLOOKUP(C38, 'INPUT NFI'!$C$3:$K$282, 5, FALSE) * D38 / L38</f>
        <v>8300.7172189084467</v>
      </c>
      <c r="G38" s="111">
        <f t="shared" si="1"/>
        <v>39505274.888571821</v>
      </c>
      <c r="H38" s="111">
        <f>+VLOOKUP(C38, 'INPUT NFI'!$C$3:$K$282, 7, FALSE) * G38 / M38</f>
        <v>37957629.357551925</v>
      </c>
      <c r="I38" s="111">
        <f>+VLOOKUP(C38, 'INPUT NFI'!C38:K317, 8, FALSE) * G38 / M38</f>
        <v>1547645.5310198953</v>
      </c>
      <c r="J38" s="213">
        <f t="shared" si="2"/>
        <v>191.31533421555525</v>
      </c>
      <c r="K38" s="4"/>
      <c r="L38" s="183">
        <f>+VLOOKUP(C38, 'INPUT NFI'!$C$3:$K$282, 3, FALSE)</f>
        <v>204000</v>
      </c>
      <c r="M38" s="184">
        <f>+VLOOKUP(C38, 'INPUT NFI'!$C$3:$K$282, 6, FALSE)</f>
        <v>39290449.513300002</v>
      </c>
      <c r="N38" s="201">
        <f>+VLOOKUP(B38, 'AREA CorrFactor'!$B$3:$J$40, 9, FALSE)</f>
        <v>1.2220526239278965E-2</v>
      </c>
      <c r="O38" s="202">
        <f>+IF(N38&gt;0, VLOOKUP(C38, 'INPUT CBM'!$N$3:$P$282, 3, FALSE), M38/L38)</f>
        <v>39.449696308017181</v>
      </c>
      <c r="P38" s="200">
        <f>+VLOOKUP(B38, 'INPUT CBM'!$B$3:$K$29, 10, FALSE)</f>
        <v>2.9645316545485537E-3</v>
      </c>
      <c r="Q38" s="183">
        <f t="shared" si="3"/>
        <v>116477.78130361967</v>
      </c>
      <c r="R38" s="78">
        <f t="shared" si="4"/>
        <v>2492.9873528129087</v>
      </c>
      <c r="S38" s="184">
        <f t="shared" si="5"/>
        <v>98347.593968196932</v>
      </c>
      <c r="T38" s="14"/>
      <c r="U38" s="6"/>
      <c r="V38" s="6"/>
      <c r="W38" s="6"/>
    </row>
    <row r="39" spans="1:25" x14ac:dyDescent="0.25">
      <c r="A39" s="107" t="s">
        <v>57</v>
      </c>
      <c r="B39" s="108" t="s">
        <v>8</v>
      </c>
      <c r="C39" s="187" t="s">
        <v>69</v>
      </c>
      <c r="D39" s="181">
        <f t="shared" si="0"/>
        <v>184629.02398604449</v>
      </c>
      <c r="E39" s="111">
        <f>+VLOOKUP(C39, 'INPUT NFI'!$C$3:$K$282, 4, FALSE) * D39 / L39</f>
        <v>178555.32846001393</v>
      </c>
      <c r="F39" s="111">
        <f>+VLOOKUP(C39, 'INPUT NFI'!$C$3:$K$282, 5, FALSE) * D39 / L39</f>
        <v>6073.6955260305722</v>
      </c>
      <c r="G39" s="111">
        <f t="shared" si="1"/>
        <v>41894792.239491567</v>
      </c>
      <c r="H39" s="111">
        <f>+VLOOKUP(C39, 'INPUT NFI'!$C$3:$K$282, 7, FALSE) * G39 / M39</f>
        <v>40928952.755466633</v>
      </c>
      <c r="I39" s="111">
        <f>+VLOOKUP(C39, 'INPUT NFI'!C39:K318, 8, FALSE) * G39 / M39</f>
        <v>965839.48402493505</v>
      </c>
      <c r="J39" s="213">
        <f t="shared" si="2"/>
        <v>226.91336028867411</v>
      </c>
      <c r="K39" s="4"/>
      <c r="L39" s="183">
        <f>+VLOOKUP(C39, 'INPUT NFI'!$C$3:$K$282, 3, FALSE)</f>
        <v>182400</v>
      </c>
      <c r="M39" s="184">
        <f>+VLOOKUP(C39, 'INPUT NFI'!$C$3:$K$282, 6, FALSE)</f>
        <v>41684815.7205</v>
      </c>
      <c r="N39" s="201">
        <f>+VLOOKUP(B39, 'AREA CorrFactor'!$B$3:$J$40, 9, FALSE)</f>
        <v>1.2220526239278965E-2</v>
      </c>
      <c r="O39" s="202">
        <f>+IF(N39&gt;0, VLOOKUP(C39, 'INPUT CBM'!$N$3:$P$282, 3, FALSE), M39/L39)</f>
        <v>38.761612174235559</v>
      </c>
      <c r="P39" s="200">
        <f>+VLOOKUP(B39, 'INPUT CBM'!$B$3:$K$29, 10, FALSE)</f>
        <v>2.9645316545485537E-3</v>
      </c>
      <c r="Q39" s="183">
        <f t="shared" si="3"/>
        <v>123575.95571744542</v>
      </c>
      <c r="R39" s="78">
        <f t="shared" si="4"/>
        <v>2229.0239860444831</v>
      </c>
      <c r="S39" s="184">
        <f t="shared" si="5"/>
        <v>86400.563274124914</v>
      </c>
      <c r="U39" s="6"/>
      <c r="V39" s="6"/>
      <c r="W39" s="6"/>
      <c r="Y39" s="19"/>
    </row>
    <row r="40" spans="1:25" x14ac:dyDescent="0.25">
      <c r="A40" s="107" t="s">
        <v>57</v>
      </c>
      <c r="B40" s="108" t="s">
        <v>8</v>
      </c>
      <c r="C40" s="187" t="s">
        <v>70</v>
      </c>
      <c r="D40" s="181">
        <f t="shared" si="0"/>
        <v>172887.26588166883</v>
      </c>
      <c r="E40" s="111">
        <f>+VLOOKUP(C40, 'INPUT NFI'!$C$3:$K$282, 4, FALSE) * D40 / L40</f>
        <v>170862.70070632533</v>
      </c>
      <c r="F40" s="111">
        <f>+VLOOKUP(C40, 'INPUT NFI'!$C$3:$K$282, 5, FALSE) * D40 / L40</f>
        <v>2024.5651753435236</v>
      </c>
      <c r="G40" s="111">
        <f t="shared" si="1"/>
        <v>44026468.478141762</v>
      </c>
      <c r="H40" s="111">
        <f>+VLOOKUP(C40, 'INPUT NFI'!$C$3:$K$282, 7, FALSE) * G40 / M40</f>
        <v>43508248.64108859</v>
      </c>
      <c r="I40" s="111">
        <f>+VLOOKUP(C40, 'INPUT NFI'!C40:K319, 8, FALSE) * G40 / M40</f>
        <v>518219.83705317258</v>
      </c>
      <c r="J40" s="213">
        <f t="shared" si="2"/>
        <v>254.65420054867019</v>
      </c>
      <c r="K40" s="4"/>
      <c r="L40" s="183">
        <f>+VLOOKUP(C40, 'INPUT NFI'!$C$3:$K$282, 3, FALSE)</f>
        <v>170800</v>
      </c>
      <c r="M40" s="184">
        <f>+VLOOKUP(C40, 'INPUT NFI'!$C$3:$K$282, 6, FALSE)</f>
        <v>43815669.747599997</v>
      </c>
      <c r="N40" s="201">
        <f>+VLOOKUP(B40, 'AREA CorrFactor'!$B$3:$J$40, 9, FALSE)</f>
        <v>1.2220526239278965E-2</v>
      </c>
      <c r="O40" s="202">
        <f>+IF(N40&gt;0, VLOOKUP(C40, 'INPUT CBM'!$N$3:$P$282, 3, FALSE), M40/L40)</f>
        <v>38.761612174235559</v>
      </c>
      <c r="P40" s="200">
        <f>+VLOOKUP(B40, 'INPUT CBM'!$B$3:$K$29, 10, FALSE)</f>
        <v>2.9645316545485537E-3</v>
      </c>
      <c r="Q40" s="183">
        <f t="shared" si="3"/>
        <v>129892.93993200563</v>
      </c>
      <c r="R40" s="78">
        <f t="shared" si="4"/>
        <v>2087.2658816688472</v>
      </c>
      <c r="S40" s="184">
        <f t="shared" si="5"/>
        <v>80905.790609761709</v>
      </c>
      <c r="U40" s="6"/>
      <c r="V40" s="6"/>
      <c r="W40" s="6"/>
      <c r="Y40" s="20"/>
    </row>
    <row r="41" spans="1:25" x14ac:dyDescent="0.25">
      <c r="A41" s="107" t="s">
        <v>57</v>
      </c>
      <c r="B41" s="108" t="s">
        <v>8</v>
      </c>
      <c r="C41" s="187" t="s">
        <v>71</v>
      </c>
      <c r="D41" s="181">
        <f t="shared" si="0"/>
        <v>197180.55851141154</v>
      </c>
      <c r="E41" s="111">
        <f>+VLOOKUP(C41, 'INPUT NFI'!$C$3:$K$282, 4, FALSE) * D41 / L41</f>
        <v>194143.71074839626</v>
      </c>
      <c r="F41" s="111">
        <f>+VLOOKUP(C41, 'INPUT NFI'!$C$3:$K$282, 5, FALSE) * D41 / L41</f>
        <v>3036.8477630152906</v>
      </c>
      <c r="G41" s="111">
        <f t="shared" si="1"/>
        <v>45415383.759640388</v>
      </c>
      <c r="H41" s="111">
        <f>+VLOOKUP(C41, 'INPUT NFI'!$C$3:$K$282, 7, FALSE) * G41 / M41</f>
        <v>44668835.63745328</v>
      </c>
      <c r="I41" s="111">
        <f>+VLOOKUP(C41, 'INPUT NFI'!C41:K320, 8, FALSE) * G41 / M41</f>
        <v>746548.1221871064</v>
      </c>
      <c r="J41" s="213">
        <f t="shared" si="2"/>
        <v>230.32384177475609</v>
      </c>
      <c r="K41" s="4"/>
      <c r="L41" s="183">
        <f>+VLOOKUP(C41, 'INPUT NFI'!$C$3:$K$282, 3, FALSE)</f>
        <v>194800</v>
      </c>
      <c r="M41" s="184">
        <f>+VLOOKUP(C41, 'INPUT NFI'!$C$3:$K$282, 6, FALSE)</f>
        <v>45191506.809299998</v>
      </c>
      <c r="N41" s="201">
        <f>+VLOOKUP(B41, 'AREA CorrFactor'!$B$3:$J$40, 9, FALSE)</f>
        <v>1.2220526239278965E-2</v>
      </c>
      <c r="O41" s="202">
        <f>+IF(N41&gt;0, VLOOKUP(C41, 'INPUT CBM'!$N$3:$P$282, 3, FALSE), M41/L41)</f>
        <v>37.766472639298428</v>
      </c>
      <c r="P41" s="200">
        <f>+VLOOKUP(B41, 'INPUT CBM'!$B$3:$K$29, 10, FALSE)</f>
        <v>2.9645316545485537E-3</v>
      </c>
      <c r="Q41" s="183">
        <f t="shared" si="3"/>
        <v>133971.65245291634</v>
      </c>
      <c r="R41" s="78">
        <f t="shared" si="4"/>
        <v>2380.5585114115424</v>
      </c>
      <c r="S41" s="184">
        <f t="shared" si="5"/>
        <v>89905.297887473018</v>
      </c>
      <c r="U41" s="6"/>
      <c r="V41" s="6"/>
      <c r="W41" s="6"/>
      <c r="Y41" s="19"/>
    </row>
    <row r="42" spans="1:25" x14ac:dyDescent="0.25">
      <c r="A42" s="107" t="s">
        <v>72</v>
      </c>
      <c r="B42" s="108" t="s">
        <v>9</v>
      </c>
      <c r="C42" s="187" t="s">
        <v>73</v>
      </c>
      <c r="D42" s="181">
        <f t="shared" si="0"/>
        <v>1330566.9946075906</v>
      </c>
      <c r="E42" s="111">
        <f>+VLOOKUP(C42, 'INPUT NFI'!$C$3:$K$282, 4, FALSE) * D42 / L42</f>
        <v>1314570.0126489843</v>
      </c>
      <c r="F42" s="111">
        <f>+VLOOKUP(C42, 'INPUT NFI'!$C$3:$K$282, 5, FALSE) * D42 / L42</f>
        <v>15996.981958606242</v>
      </c>
      <c r="G42" s="111">
        <f t="shared" si="1"/>
        <v>311515336.46726853</v>
      </c>
      <c r="H42" s="111">
        <f>+VLOOKUP(C42, 'INPUT NFI'!$C$3:$K$282, 7, FALSE) * G42 / M42</f>
        <v>307297870.82444787</v>
      </c>
      <c r="I42" s="111">
        <f>+VLOOKUP(C42, 'INPUT NFI'!C42:K321, 8, FALSE) * G42 / M42</f>
        <v>4217465.642820687</v>
      </c>
      <c r="J42" s="213">
        <f t="shared" si="2"/>
        <v>234.12224843224845</v>
      </c>
      <c r="K42" s="4"/>
      <c r="L42" s="183">
        <f>+VLOOKUP(C42, 'INPUT NFI'!$C$3:$K$282, 3, FALSE)</f>
        <v>1323226.5385368899</v>
      </c>
      <c r="M42" s="184">
        <f>+VLOOKUP(C42, 'INPUT NFI'!$C$3:$K$282, 6, FALSE)</f>
        <v>266834681.61850467</v>
      </c>
      <c r="N42" s="201">
        <f>+VLOOKUP(B42, 'AREA CorrFactor'!$B$3:$J$40, 9, FALSE)</f>
        <v>5.5473918160810235E-3</v>
      </c>
      <c r="O42" s="202">
        <f>+IF(N42&gt;0, VLOOKUP(C42, 'INPUT CBM'!$N$3:$P$282, 3, FALSE), M42/L42)</f>
        <v>50.924921106055898</v>
      </c>
      <c r="P42" s="200">
        <f>+VLOOKUP(B42, 'INPUT CBM'!$B$3:$K$29, 10, FALSE)</f>
        <v>0.16604604181785762</v>
      </c>
      <c r="Q42" s="183">
        <f t="shared" si="3"/>
        <v>44306842.702480949</v>
      </c>
      <c r="R42" s="78">
        <f t="shared" si="4"/>
        <v>7340.456070700764</v>
      </c>
      <c r="S42" s="184">
        <f t="shared" si="5"/>
        <v>373812.14628290548</v>
      </c>
      <c r="U42" s="6"/>
      <c r="V42" s="6"/>
      <c r="W42" s="6"/>
      <c r="Y42" s="19"/>
    </row>
    <row r="43" spans="1:25" x14ac:dyDescent="0.25">
      <c r="A43" s="107" t="s">
        <v>72</v>
      </c>
      <c r="B43" s="108" t="s">
        <v>9</v>
      </c>
      <c r="C43" s="187" t="s">
        <v>74</v>
      </c>
      <c r="D43" s="181">
        <f t="shared" si="0"/>
        <v>2441113.2867653873</v>
      </c>
      <c r="E43" s="111">
        <f>+VLOOKUP(C43, 'INPUT NFI'!$C$3:$K$282, 4, FALSE) * D43 / L43</f>
        <v>2294626.5203255475</v>
      </c>
      <c r="F43" s="111">
        <f>+VLOOKUP(C43, 'INPUT NFI'!$C$3:$K$282, 5, FALSE) * D43 / L43</f>
        <v>146486.76643983991</v>
      </c>
      <c r="G43" s="111">
        <f t="shared" si="1"/>
        <v>595571492.116117</v>
      </c>
      <c r="H43" s="111">
        <f>+VLOOKUP(C43, 'INPUT NFI'!$C$3:$K$282, 7, FALSE) * G43 / M43</f>
        <v>565306402.60536301</v>
      </c>
      <c r="I43" s="111">
        <f>+VLOOKUP(C43, 'INPUT NFI'!C43:K322, 8, FALSE) * G43 / M43</f>
        <v>30265089.510753982</v>
      </c>
      <c r="J43" s="213">
        <f t="shared" si="2"/>
        <v>243.97535966275566</v>
      </c>
      <c r="K43" s="4"/>
      <c r="L43" s="183">
        <f>+VLOOKUP(C43, 'INPUT NFI'!$C$3:$K$282, 3, FALSE)</f>
        <v>2427646.1822019001</v>
      </c>
      <c r="M43" s="184">
        <f>+VLOOKUP(C43, 'INPUT NFI'!$C$3:$K$282, 6, FALSE)</f>
        <v>510135773.47659022</v>
      </c>
      <c r="N43" s="201">
        <f>+VLOOKUP(B43, 'AREA CorrFactor'!$B$3:$J$40, 9, FALSE)</f>
        <v>5.5473918160810235E-3</v>
      </c>
      <c r="O43" s="202">
        <f>+IF(N43&gt;0, VLOOKUP(C43, 'INPUT CBM'!$N$3:$P$282, 3, FALSE), M43/L43)</f>
        <v>54.183336930950823</v>
      </c>
      <c r="P43" s="200">
        <f>+VLOOKUP(B43, 'INPUT CBM'!$B$3:$K$29, 10, FALSE)</f>
        <v>0.16604604181785762</v>
      </c>
      <c r="Q43" s="183">
        <f t="shared" si="3"/>
        <v>84706025.975479037</v>
      </c>
      <c r="R43" s="78">
        <f t="shared" si="4"/>
        <v>13467.104563487163</v>
      </c>
      <c r="S43" s="184">
        <f t="shared" si="5"/>
        <v>729692.66404777032</v>
      </c>
      <c r="U43" s="6"/>
      <c r="V43" s="6"/>
      <c r="W43" s="6"/>
      <c r="Y43" s="19"/>
    </row>
    <row r="44" spans="1:25" x14ac:dyDescent="0.25">
      <c r="A44" s="107" t="s">
        <v>72</v>
      </c>
      <c r="B44" s="108" t="s">
        <v>9</v>
      </c>
      <c r="C44" s="187" t="s">
        <v>75</v>
      </c>
      <c r="D44" s="181">
        <f t="shared" si="0"/>
        <v>14011.174943100217</v>
      </c>
      <c r="E44" s="111">
        <f>+VLOOKUP(C44, 'INPUT NFI'!$C$3:$K$282, 4, FALSE) * D44 / L44</f>
        <v>11286.77500613548</v>
      </c>
      <c r="F44" s="111">
        <f>+VLOOKUP(C44, 'INPUT NFI'!$C$3:$K$282, 5, FALSE) * D44 / L44</f>
        <v>2724.3999369647354</v>
      </c>
      <c r="G44" s="111">
        <f t="shared" si="1"/>
        <v>2733887.6312724384</v>
      </c>
      <c r="H44" s="111">
        <f>+VLOOKUP(C44, 'INPUT NFI'!$C$3:$K$282, 7, FALSE) * G44 / M44</f>
        <v>2196998.2697035093</v>
      </c>
      <c r="I44" s="111">
        <f>+VLOOKUP(C44, 'INPUT NFI'!C44:K323, 8, FALSE) * G44 / M44</f>
        <v>536889.36156892928</v>
      </c>
      <c r="J44" s="213">
        <f t="shared" si="2"/>
        <v>195.12193962139753</v>
      </c>
      <c r="K44" s="4"/>
      <c r="L44" s="183">
        <f>+VLOOKUP(C44, 'INPUT NFI'!$C$3:$K$282, 3, FALSE)</f>
        <v>13933.8782608696</v>
      </c>
      <c r="M44" s="184">
        <f>+VLOOKUP(C44, 'INPUT NFI'!$C$3:$K$282, 6, FALSE)</f>
        <v>2342206.2092400058</v>
      </c>
      <c r="N44" s="201">
        <f>+VLOOKUP(B44, 'AREA CorrFactor'!$B$3:$J$40, 9, FALSE)</f>
        <v>5.5473918160810235E-3</v>
      </c>
      <c r="O44" s="202">
        <f>+IF(N44&gt;0, VLOOKUP(C44, 'INPUT CBM'!$N$3:$P$282, 3, FALSE), M44/L44)</f>
        <v>35.801690151002219</v>
      </c>
      <c r="P44" s="200">
        <f>+VLOOKUP(B44, 'INPUT CBM'!$B$3:$K$29, 10, FALSE)</f>
        <v>0.16604604181785762</v>
      </c>
      <c r="Q44" s="183">
        <f t="shared" si="3"/>
        <v>388914.0701655118</v>
      </c>
      <c r="R44" s="78">
        <f t="shared" si="4"/>
        <v>77.296682230617307</v>
      </c>
      <c r="S44" s="184">
        <f t="shared" si="5"/>
        <v>2767.3518669210398</v>
      </c>
      <c r="U44" s="6"/>
      <c r="V44" s="6"/>
      <c r="W44" s="6"/>
      <c r="Y44" s="19"/>
    </row>
    <row r="45" spans="1:25" x14ac:dyDescent="0.25">
      <c r="A45" s="107" t="s">
        <v>72</v>
      </c>
      <c r="B45" s="108" t="s">
        <v>9</v>
      </c>
      <c r="C45" s="187" t="s">
        <v>76</v>
      </c>
      <c r="D45" s="181">
        <f t="shared" si="0"/>
        <v>979391.14668576221</v>
      </c>
      <c r="E45" s="111">
        <f>+VLOOKUP(C45, 'INPUT NFI'!$C$3:$K$282, 4, FALSE) * D45 / L45</f>
        <v>930937.89034108224</v>
      </c>
      <c r="F45" s="111">
        <f>+VLOOKUP(C45, 'INPUT NFI'!$C$3:$K$282, 5, FALSE) * D45 / L45</f>
        <v>48453.256344680085</v>
      </c>
      <c r="G45" s="111">
        <f t="shared" si="1"/>
        <v>143831765.42320916</v>
      </c>
      <c r="H45" s="111">
        <f>+VLOOKUP(C45, 'INPUT NFI'!$C$3:$K$282, 7, FALSE) * G45 / M45</f>
        <v>135433431.56906059</v>
      </c>
      <c r="I45" s="111">
        <f>+VLOOKUP(C45, 'INPUT NFI'!C45:K324, 8, FALSE) * G45 / M45</f>
        <v>8398333.8541485686</v>
      </c>
      <c r="J45" s="213">
        <f t="shared" si="2"/>
        <v>146.85834756617174</v>
      </c>
      <c r="K45" s="4"/>
      <c r="L45" s="183">
        <f>+VLOOKUP(C45, 'INPUT NFI'!$C$3:$K$282, 3, FALSE)</f>
        <v>973988.05332975998</v>
      </c>
      <c r="M45" s="184">
        <f>+VLOOKUP(C45, 'INPUT NFI'!$C$3:$K$282, 6, FALSE)</f>
        <v>123184094.27906421</v>
      </c>
      <c r="N45" s="201">
        <f>+VLOOKUP(B45, 'AREA CorrFactor'!$B$3:$J$40, 9, FALSE)</f>
        <v>5.5473918160810235E-3</v>
      </c>
      <c r="O45" s="202">
        <f>+IF(N45&gt;0, VLOOKUP(C45, 'INPUT CBM'!$N$3:$P$282, 3, FALSE), M45/L45)</f>
        <v>35.801690151002219</v>
      </c>
      <c r="P45" s="200">
        <f>+VLOOKUP(B45, 'INPUT CBM'!$B$3:$K$29, 10, FALSE)</f>
        <v>0.16604604181785762</v>
      </c>
      <c r="Q45" s="183">
        <f t="shared" si="3"/>
        <v>20454231.26995641</v>
      </c>
      <c r="R45" s="78">
        <f t="shared" si="4"/>
        <v>5403.0933560021977</v>
      </c>
      <c r="S45" s="184">
        <f t="shared" si="5"/>
        <v>193439.87418852941</v>
      </c>
      <c r="U45" s="6"/>
      <c r="V45" s="6"/>
      <c r="W45" s="6"/>
      <c r="Y45" s="19"/>
    </row>
    <row r="46" spans="1:25" x14ac:dyDescent="0.25">
      <c r="A46" s="107" t="s">
        <v>72</v>
      </c>
      <c r="B46" s="108" t="s">
        <v>9</v>
      </c>
      <c r="C46" s="187" t="s">
        <v>77</v>
      </c>
      <c r="D46" s="181">
        <f t="shared" si="0"/>
        <v>3251.7793775505156</v>
      </c>
      <c r="E46" s="111">
        <f>+VLOOKUP(C46, 'INPUT NFI'!$C$3:$K$282, 4, FALSE) * D46 / L46</f>
        <v>2032.3621109690723</v>
      </c>
      <c r="F46" s="111">
        <f>+VLOOKUP(C46, 'INPUT NFI'!$C$3:$K$282, 5, FALSE) * D46 / L46</f>
        <v>1219.4172665814433</v>
      </c>
      <c r="G46" s="111">
        <f t="shared" si="1"/>
        <v>761215.15755618794</v>
      </c>
      <c r="H46" s="111">
        <f>+VLOOKUP(C46, 'INPUT NFI'!$C$3:$K$282, 7, FALSE) * G46 / M46</f>
        <v>699536.52756604564</v>
      </c>
      <c r="I46" s="111">
        <f>+VLOOKUP(C46, 'INPUT NFI'!C46:K325, 8, FALSE) * G46 / M46</f>
        <v>61678.62999014221</v>
      </c>
      <c r="J46" s="213">
        <f t="shared" si="2"/>
        <v>234.09188298918124</v>
      </c>
      <c r="K46" s="4"/>
      <c r="L46" s="183">
        <f>+VLOOKUP(C46, 'INPUT NFI'!$C$3:$K$282, 3, FALSE)</f>
        <v>3233.84</v>
      </c>
      <c r="M46" s="184">
        <f>+VLOOKUP(C46, 'INPUT NFI'!$C$3:$K$282, 6, FALSE)</f>
        <v>652243.45704200002</v>
      </c>
      <c r="N46" s="201">
        <f>+VLOOKUP(B46, 'AREA CorrFactor'!$B$3:$J$40, 9, FALSE)</f>
        <v>5.5473918160810235E-3</v>
      </c>
      <c r="O46" s="202">
        <f>+IF(N46&gt;0, VLOOKUP(C46, 'INPUT CBM'!$N$3:$P$282, 3, FALSE), M46/L46)</f>
        <v>37.306543601267038</v>
      </c>
      <c r="P46" s="200">
        <f>+VLOOKUP(B46, 'INPUT CBM'!$B$3:$K$29, 10, FALSE)</f>
        <v>0.16604604181785762</v>
      </c>
      <c r="Q46" s="183">
        <f t="shared" si="3"/>
        <v>108302.44434341995</v>
      </c>
      <c r="R46" s="78">
        <f t="shared" si="4"/>
        <v>17.939377550515459</v>
      </c>
      <c r="S46" s="184">
        <f t="shared" si="5"/>
        <v>669.25617076789604</v>
      </c>
      <c r="U46" s="6"/>
      <c r="V46" s="6"/>
      <c r="W46" s="6"/>
      <c r="Y46" s="20"/>
    </row>
    <row r="47" spans="1:25" x14ac:dyDescent="0.25">
      <c r="A47" s="107" t="s">
        <v>72</v>
      </c>
      <c r="B47" s="108" t="s">
        <v>9</v>
      </c>
      <c r="C47" s="187" t="s">
        <v>78</v>
      </c>
      <c r="D47" s="181">
        <f t="shared" si="0"/>
        <v>1967.6686825400004</v>
      </c>
      <c r="E47" s="111">
        <f>+VLOOKUP(C47, 'INPUT NFI'!$C$3:$K$282, 4, FALSE) * D47 / L47</f>
        <v>1180.5965725437995</v>
      </c>
      <c r="F47" s="111">
        <f>+VLOOKUP(C47, 'INPUT NFI'!$C$3:$K$282, 5, FALSE) * D47 / L47</f>
        <v>787.07210999620111</v>
      </c>
      <c r="G47" s="111">
        <f t="shared" si="1"/>
        <v>397126.88013338036</v>
      </c>
      <c r="H47" s="111">
        <f>+VLOOKUP(C47, 'INPUT NFI'!$C$3:$K$282, 7, FALSE) * G47 / M47</f>
        <v>316672.54360487818</v>
      </c>
      <c r="I47" s="111">
        <f>+VLOOKUP(C47, 'INPUT NFI'!C47:K326, 8, FALSE) * G47 / M47</f>
        <v>80454.336528502157</v>
      </c>
      <c r="J47" s="213">
        <f t="shared" si="2"/>
        <v>201.8260917893667</v>
      </c>
      <c r="K47" s="4"/>
      <c r="L47" s="183">
        <f>+VLOOKUP(C47, 'INPUT NFI'!$C$3:$K$282, 3, FALSE)</f>
        <v>1956.8134715025899</v>
      </c>
      <c r="M47" s="184">
        <f>+VLOOKUP(C47, 'INPUT NFI'!$C$3:$K$282, 6, FALSE)</f>
        <v>340228.34047875635</v>
      </c>
      <c r="N47" s="201">
        <f>+VLOOKUP(B47, 'AREA CorrFactor'!$B$3:$J$40, 9, FALSE)</f>
        <v>5.5473918160810235E-3</v>
      </c>
      <c r="O47" s="202">
        <f>+IF(N47&gt;0, VLOOKUP(C47, 'INPUT CBM'!$N$3:$P$282, 3, FALSE), M47/L47)</f>
        <v>37.306543601267038</v>
      </c>
      <c r="P47" s="200">
        <f>+VLOOKUP(B47, 'INPUT CBM'!$B$3:$K$29, 10, FALSE)</f>
        <v>0.16604604181785762</v>
      </c>
      <c r="Q47" s="183">
        <f t="shared" si="3"/>
        <v>56493.569250755878</v>
      </c>
      <c r="R47" s="78">
        <f t="shared" si="4"/>
        <v>10.855211037410564</v>
      </c>
      <c r="S47" s="184">
        <f t="shared" si="5"/>
        <v>404.97040386811238</v>
      </c>
      <c r="U47" s="6"/>
      <c r="V47" s="6"/>
      <c r="W47" s="6"/>
      <c r="Y47" s="19"/>
    </row>
    <row r="48" spans="1:25" x14ac:dyDescent="0.25">
      <c r="A48" s="107" t="s">
        <v>72</v>
      </c>
      <c r="B48" s="108" t="s">
        <v>9</v>
      </c>
      <c r="C48" s="187" t="s">
        <v>79</v>
      </c>
      <c r="D48" s="181">
        <f t="shared" si="0"/>
        <v>836008.11707434966</v>
      </c>
      <c r="E48" s="111">
        <f>+VLOOKUP(C48, 'INPUT NFI'!$C$3:$K$282, 4, FALSE) * D48 / L48</f>
        <v>797002.45108305593</v>
      </c>
      <c r="F48" s="111">
        <f>+VLOOKUP(C48, 'INPUT NFI'!$C$3:$K$282, 5, FALSE) * D48 / L48</f>
        <v>39005.665991293856</v>
      </c>
      <c r="G48" s="111">
        <f t="shared" si="1"/>
        <v>183961419.62149021</v>
      </c>
      <c r="H48" s="111">
        <f>+VLOOKUP(C48, 'INPUT NFI'!$C$3:$K$282, 7, FALSE) * G48 / M48</f>
        <v>173792370.77246401</v>
      </c>
      <c r="I48" s="111">
        <f>+VLOOKUP(C48, 'INPUT NFI'!C48:K327, 8, FALSE) * G48 / M48</f>
        <v>10169048.849026198</v>
      </c>
      <c r="J48" s="213">
        <f t="shared" si="2"/>
        <v>220.04740846927658</v>
      </c>
      <c r="K48" s="4"/>
      <c r="L48" s="183">
        <f>+VLOOKUP(C48, 'INPUT NFI'!$C$3:$K$282, 3, FALSE)</f>
        <v>831396.03749999998</v>
      </c>
      <c r="M48" s="184">
        <f>+VLOOKUP(C48, 'INPUT NFI'!$C$3:$K$282, 6, FALSE)</f>
        <v>157567008.86284599</v>
      </c>
      <c r="N48" s="201">
        <f>+VLOOKUP(B48, 'AREA CorrFactor'!$B$3:$J$40, 9, FALSE)</f>
        <v>5.5473918160810235E-3</v>
      </c>
      <c r="O48" s="202">
        <f>+IF(N48&gt;0, VLOOKUP(C48, 'INPUT CBM'!$N$3:$P$282, 3, FALSE), M48/L48)</f>
        <v>50.092937939371602</v>
      </c>
      <c r="P48" s="200">
        <f>+VLOOKUP(B48, 'INPUT CBM'!$B$3:$K$29, 10, FALSE)</f>
        <v>0.16604604181785762</v>
      </c>
      <c r="Q48" s="183">
        <f t="shared" si="3"/>
        <v>26163378.142754868</v>
      </c>
      <c r="R48" s="78">
        <f t="shared" si="4"/>
        <v>4612.0795743496919</v>
      </c>
      <c r="S48" s="184">
        <f t="shared" si="5"/>
        <v>231032.6158893425</v>
      </c>
      <c r="U48" s="6"/>
      <c r="V48" s="6"/>
      <c r="W48" s="6"/>
      <c r="Y48" s="19"/>
    </row>
    <row r="49" spans="1:25" x14ac:dyDescent="0.25">
      <c r="A49" s="107" t="s">
        <v>72</v>
      </c>
      <c r="B49" s="108" t="s">
        <v>9</v>
      </c>
      <c r="C49" s="187" t="s">
        <v>80</v>
      </c>
      <c r="D49" s="181">
        <f t="shared" si="0"/>
        <v>503397.05155995826</v>
      </c>
      <c r="E49" s="111">
        <f>+VLOOKUP(C49, 'INPUT NFI'!$C$3:$K$282, 4, FALSE) * D49 / L49</f>
        <v>435432.46534417034</v>
      </c>
      <c r="F49" s="111">
        <f>+VLOOKUP(C49, 'INPUT NFI'!$C$3:$K$282, 5, FALSE) * D49 / L49</f>
        <v>67964.586215787858</v>
      </c>
      <c r="G49" s="111">
        <f t="shared" si="1"/>
        <v>93983238.098174781</v>
      </c>
      <c r="H49" s="111">
        <f>+VLOOKUP(C49, 'INPUT NFI'!$C$3:$K$282, 7, FALSE) * G49 / M49</f>
        <v>80835923.509832487</v>
      </c>
      <c r="I49" s="111">
        <f>+VLOOKUP(C49, 'INPUT NFI'!C49:K328, 8, FALSE) * G49 / M49</f>
        <v>13147314.588342292</v>
      </c>
      <c r="J49" s="213">
        <f t="shared" si="2"/>
        <v>186.69803052467958</v>
      </c>
      <c r="K49" s="4"/>
      <c r="L49" s="183">
        <f>+VLOOKUP(C49, 'INPUT NFI'!$C$3:$K$282, 3, FALSE)</f>
        <v>500619.91673091799</v>
      </c>
      <c r="M49" s="184">
        <f>+VLOOKUP(C49, 'INPUT NFI'!$C$3:$K$282, 6, FALSE)</f>
        <v>80485257.95831129</v>
      </c>
      <c r="N49" s="201">
        <f>+VLOOKUP(B49, 'AREA CorrFactor'!$B$3:$J$40, 9, FALSE)</f>
        <v>5.5473918160810235E-3</v>
      </c>
      <c r="O49" s="202">
        <f>+IF(N49&gt;0, VLOOKUP(C49, 'INPUT CBM'!$N$3:$P$282, 3, FALSE), M49/L49)</f>
        <v>48.150932320015592</v>
      </c>
      <c r="P49" s="200">
        <f>+VLOOKUP(B49, 'INPUT CBM'!$B$3:$K$29, 10, FALSE)</f>
        <v>0.16604604181785762</v>
      </c>
      <c r="Q49" s="183">
        <f t="shared" si="3"/>
        <v>13364258.508666813</v>
      </c>
      <c r="R49" s="78">
        <f t="shared" si="4"/>
        <v>2777.134829040258</v>
      </c>
      <c r="S49" s="184">
        <f t="shared" si="5"/>
        <v>133721.63119667553</v>
      </c>
      <c r="U49" s="6"/>
      <c r="V49" s="6"/>
      <c r="W49" s="6"/>
      <c r="Y49" s="19"/>
    </row>
    <row r="50" spans="1:25" x14ac:dyDescent="0.25">
      <c r="A50" s="107" t="s">
        <v>72</v>
      </c>
      <c r="B50" s="108" t="s">
        <v>9</v>
      </c>
      <c r="C50" s="187" t="s">
        <v>81</v>
      </c>
      <c r="D50" s="181">
        <f t="shared" si="0"/>
        <v>1107845.8981166906</v>
      </c>
      <c r="E50" s="111">
        <f>+VLOOKUP(C50, 'INPUT NFI'!$C$3:$K$282, 4, FALSE) * D50 / L50</f>
        <v>1034377.4482517972</v>
      </c>
      <c r="F50" s="111">
        <f>+VLOOKUP(C50, 'INPUT NFI'!$C$3:$K$282, 5, FALSE) * D50 / L50</f>
        <v>73468.449864893177</v>
      </c>
      <c r="G50" s="111">
        <f t="shared" si="1"/>
        <v>193469748.98217642</v>
      </c>
      <c r="H50" s="111">
        <f>+VLOOKUP(C50, 'INPUT NFI'!$C$3:$K$282, 7, FALSE) * G50 / M50</f>
        <v>183661618.53911623</v>
      </c>
      <c r="I50" s="111">
        <f>+VLOOKUP(C50, 'INPUT NFI'!C50:K329, 8, FALSE) * G50 / M50</f>
        <v>9808130.4430601895</v>
      </c>
      <c r="J50" s="213">
        <f t="shared" si="2"/>
        <v>174.6359753744361</v>
      </c>
      <c r="K50" s="4"/>
      <c r="L50" s="183">
        <f>+VLOOKUP(C50, 'INPUT NFI'!$C$3:$K$282, 3, FALSE)</f>
        <v>1101734.1471254299</v>
      </c>
      <c r="M50" s="184">
        <f>+VLOOKUP(C50, 'INPUT NFI'!$C$3:$K$282, 6, FALSE)</f>
        <v>165723936.91768667</v>
      </c>
      <c r="N50" s="201">
        <f>+VLOOKUP(B50, 'AREA CorrFactor'!$B$3:$J$40, 9, FALSE)</f>
        <v>5.5473918160810235E-3</v>
      </c>
      <c r="O50" s="202">
        <f>+IF(N50&gt;0, VLOOKUP(C50, 'INPUT CBM'!$N$3:$P$282, 3, FALSE), M50/L50)</f>
        <v>37.306543601267038</v>
      </c>
      <c r="P50" s="200">
        <f>+VLOOKUP(B50, 'INPUT CBM'!$B$3:$K$29, 10, FALSE)</f>
        <v>0.16604604181785762</v>
      </c>
      <c r="Q50" s="183">
        <f t="shared" si="3"/>
        <v>27517803.759654198</v>
      </c>
      <c r="R50" s="78">
        <f t="shared" si="4"/>
        <v>6111.7509912606165</v>
      </c>
      <c r="S50" s="184">
        <f t="shared" si="5"/>
        <v>228008.30483555121</v>
      </c>
      <c r="U50" s="6"/>
      <c r="V50" s="6"/>
      <c r="W50" s="6"/>
      <c r="Y50" s="20"/>
    </row>
    <row r="51" spans="1:25" x14ac:dyDescent="0.25">
      <c r="A51" s="107" t="s">
        <v>72</v>
      </c>
      <c r="B51" s="108" t="s">
        <v>9</v>
      </c>
      <c r="C51" s="187" t="s">
        <v>82</v>
      </c>
      <c r="D51" s="181">
        <f t="shared" si="0"/>
        <v>856123.33226838429</v>
      </c>
      <c r="E51" s="111">
        <f>+VLOOKUP(C51, 'INPUT NFI'!$C$3:$K$282, 4, FALSE) * D51 / L51</f>
        <v>780183.35752462025</v>
      </c>
      <c r="F51" s="111">
        <f>+VLOOKUP(C51, 'INPUT NFI'!$C$3:$K$282, 5, FALSE) * D51 / L51</f>
        <v>75939.974743764004</v>
      </c>
      <c r="G51" s="111">
        <f t="shared" si="1"/>
        <v>179554835.05611989</v>
      </c>
      <c r="H51" s="111">
        <f>+VLOOKUP(C51, 'INPUT NFI'!$C$3:$K$282, 7, FALSE) * G51 / M51</f>
        <v>164446764.25580671</v>
      </c>
      <c r="I51" s="111">
        <f>+VLOOKUP(C51, 'INPUT NFI'!C51:K330, 8, FALSE) * G51 / M51</f>
        <v>15108070.80031316</v>
      </c>
      <c r="J51" s="213">
        <f t="shared" si="2"/>
        <v>209.73010346578386</v>
      </c>
      <c r="K51" s="4"/>
      <c r="L51" s="183">
        <f>+VLOOKUP(C51, 'INPUT NFI'!$C$3:$K$282, 3, FALSE)</f>
        <v>851400.28131560504</v>
      </c>
      <c r="M51" s="184">
        <f>+VLOOKUP(C51, 'INPUT NFI'!$C$3:$K$282, 6, FALSE)</f>
        <v>153785277.2666209</v>
      </c>
      <c r="N51" s="201">
        <f>+VLOOKUP(B51, 'AREA CorrFactor'!$B$3:$J$40, 9, FALSE)</f>
        <v>5.5473918160810235E-3</v>
      </c>
      <c r="O51" s="202">
        <f>+IF(N51&gt;0, VLOOKUP(C51, 'INPUT CBM'!$N$3:$P$282, 3, FALSE), M51/L51)</f>
        <v>49.569909758664167</v>
      </c>
      <c r="P51" s="200">
        <f>+VLOOKUP(B51, 'INPUT CBM'!$B$3:$K$29, 10, FALSE)</f>
        <v>0.16604604181785762</v>
      </c>
      <c r="Q51" s="183">
        <f t="shared" si="3"/>
        <v>25535436.579984162</v>
      </c>
      <c r="R51" s="78">
        <f t="shared" si="4"/>
        <v>4723.0509527792683</v>
      </c>
      <c r="S51" s="184">
        <f t="shared" si="5"/>
        <v>234121.20951484115</v>
      </c>
      <c r="U51" s="6"/>
      <c r="V51" s="6"/>
      <c r="W51" s="6"/>
      <c r="Y51" s="19"/>
    </row>
    <row r="52" spans="1:25" x14ac:dyDescent="0.25">
      <c r="A52" s="107" t="s">
        <v>72</v>
      </c>
      <c r="B52" s="108" t="s">
        <v>9</v>
      </c>
      <c r="C52" s="187" t="s">
        <v>83</v>
      </c>
      <c r="D52" s="181">
        <f t="shared" si="0"/>
        <v>810926.54499609</v>
      </c>
      <c r="E52" s="111">
        <f>+VLOOKUP(C52, 'INPUT NFI'!$C$3:$K$282, 4, FALSE) * D52 / L52</f>
        <v>768899.25936975831</v>
      </c>
      <c r="F52" s="111">
        <f>+VLOOKUP(C52, 'INPUT NFI'!$C$3:$K$282, 5, FALSE) * D52 / L52</f>
        <v>42027.285626331584</v>
      </c>
      <c r="G52" s="111">
        <f t="shared" si="1"/>
        <v>160316674.33911321</v>
      </c>
      <c r="H52" s="111">
        <f>+VLOOKUP(C52, 'INPUT NFI'!$C$3:$K$282, 7, FALSE) * G52 / M52</f>
        <v>153408844.85880885</v>
      </c>
      <c r="I52" s="111">
        <f>+VLOOKUP(C52, 'INPUT NFI'!C52:K331, 8, FALSE) * G52 / M52</f>
        <v>6907829.4803043306</v>
      </c>
      <c r="J52" s="213">
        <f t="shared" si="2"/>
        <v>197.69567950187917</v>
      </c>
      <c r="K52" s="4"/>
      <c r="L52" s="183">
        <f>+VLOOKUP(C52, 'INPUT NFI'!$C$3:$K$282, 3, FALSE)</f>
        <v>806452.83513838798</v>
      </c>
      <c r="M52" s="184">
        <f>+VLOOKUP(C52, 'INPUT NFI'!$C$3:$K$282, 6, FALSE)</f>
        <v>137301650.54823151</v>
      </c>
      <c r="N52" s="201">
        <f>+VLOOKUP(B52, 'AREA CorrFactor'!$B$3:$J$40, 9, FALSE)</f>
        <v>5.5473918160810235E-3</v>
      </c>
      <c r="O52" s="202">
        <f>+IF(N52&gt;0, VLOOKUP(C52, 'INPUT CBM'!$N$3:$P$282, 3, FALSE), M52/L52)</f>
        <v>48.422492557538149</v>
      </c>
      <c r="P52" s="200">
        <f>+VLOOKUP(B52, 'INPUT CBM'!$B$3:$K$29, 10, FALSE)</f>
        <v>0.16604604181785762</v>
      </c>
      <c r="Q52" s="183">
        <f t="shared" si="3"/>
        <v>22798395.608592525</v>
      </c>
      <c r="R52" s="78">
        <f t="shared" si="4"/>
        <v>4473.7098577020324</v>
      </c>
      <c r="S52" s="184">
        <f t="shared" si="5"/>
        <v>216628.18228916172</v>
      </c>
      <c r="U52" s="6"/>
      <c r="V52" s="6"/>
      <c r="W52" s="6"/>
      <c r="Y52" s="20"/>
    </row>
    <row r="53" spans="1:25" x14ac:dyDescent="0.25">
      <c r="A53" s="107" t="s">
        <v>72</v>
      </c>
      <c r="B53" s="108" t="s">
        <v>9</v>
      </c>
      <c r="C53" s="187" t="s">
        <v>84</v>
      </c>
      <c r="D53" s="181">
        <f t="shared" si="0"/>
        <v>95734.882284472682</v>
      </c>
      <c r="E53" s="111">
        <f>+VLOOKUP(C53, 'INPUT NFI'!$C$3:$K$282, 4, FALSE) * D53 / L53</f>
        <v>91401.204301645485</v>
      </c>
      <c r="F53" s="111">
        <f>+VLOOKUP(C53, 'INPUT NFI'!$C$3:$K$282, 5, FALSE) * D53 / L53</f>
        <v>4333.677982827192</v>
      </c>
      <c r="G53" s="111">
        <f t="shared" si="1"/>
        <v>17197188.979288917</v>
      </c>
      <c r="H53" s="111">
        <f>+VLOOKUP(C53, 'INPUT NFI'!$C$3:$K$282, 7, FALSE) * G53 / M53</f>
        <v>16668827.101980941</v>
      </c>
      <c r="I53" s="111">
        <f>+VLOOKUP(C53, 'INPUT NFI'!C53:K332, 8, FALSE) * G53 / M53</f>
        <v>528361.87730797497</v>
      </c>
      <c r="J53" s="213">
        <f t="shared" si="2"/>
        <v>179.63346868895815</v>
      </c>
      <c r="K53" s="4"/>
      <c r="L53" s="183">
        <f>+VLOOKUP(C53, 'INPUT NFI'!$C$3:$K$282, 3, FALSE)</f>
        <v>95206.733231707301</v>
      </c>
      <c r="M53" s="184">
        <f>+VLOOKUP(C53, 'INPUT NFI'!$C$3:$K$282, 6, FALSE)</f>
        <v>14723257.406330748</v>
      </c>
      <c r="N53" s="201">
        <f>+VLOOKUP(B53, 'AREA CorrFactor'!$B$3:$J$40, 9, FALSE)</f>
        <v>5.5473918160810235E-3</v>
      </c>
      <c r="O53" s="202">
        <f>+IF(N53&gt;0, VLOOKUP(C53, 'INPUT CBM'!$N$3:$P$282, 3, FALSE), M53/L53)</f>
        <v>55.274089423497799</v>
      </c>
      <c r="P53" s="200">
        <f>+VLOOKUP(B53, 'INPUT CBM'!$B$3:$K$29, 10, FALSE)</f>
        <v>0.16604604181785762</v>
      </c>
      <c r="Q53" s="183">
        <f t="shared" si="3"/>
        <v>2444738.6149866772</v>
      </c>
      <c r="R53" s="78">
        <f t="shared" si="4"/>
        <v>528.14905276538229</v>
      </c>
      <c r="S53" s="184">
        <f t="shared" si="5"/>
        <v>29192.957971489399</v>
      </c>
      <c r="U53" s="6"/>
      <c r="V53" s="6"/>
      <c r="W53" s="6"/>
      <c r="Y53" s="19"/>
    </row>
    <row r="54" spans="1:25" x14ac:dyDescent="0.25">
      <c r="A54" s="107" t="s">
        <v>72</v>
      </c>
      <c r="B54" s="108" t="s">
        <v>9</v>
      </c>
      <c r="C54" s="187" t="s">
        <v>85</v>
      </c>
      <c r="D54" s="181">
        <f t="shared" si="0"/>
        <v>483460.72963315924</v>
      </c>
      <c r="E54" s="111">
        <f>+VLOOKUP(C54, 'INPUT NFI'!$C$3:$K$282, 4, FALSE) * D54 / L54</f>
        <v>415740.1596029434</v>
      </c>
      <c r="F54" s="111">
        <f>+VLOOKUP(C54, 'INPUT NFI'!$C$3:$K$282, 5, FALSE) * D54 / L54</f>
        <v>67720.570030215851</v>
      </c>
      <c r="G54" s="111">
        <f t="shared" si="1"/>
        <v>77343039.613411233</v>
      </c>
      <c r="H54" s="111">
        <f>+VLOOKUP(C54, 'INPUT NFI'!$C$3:$K$282, 7, FALSE) * G54 / M54</f>
        <v>63880625.277729213</v>
      </c>
      <c r="I54" s="111">
        <f>+VLOOKUP(C54, 'INPUT NFI'!C54:K333, 8, FALSE) * G54 / M54</f>
        <v>13462414.335682018</v>
      </c>
      <c r="J54" s="213">
        <f t="shared" si="2"/>
        <v>159.97791521164015</v>
      </c>
      <c r="K54" s="4"/>
      <c r="L54" s="183">
        <f>+VLOOKUP(C54, 'INPUT NFI'!$C$3:$K$282, 3, FALSE)</f>
        <v>480793.579266313</v>
      </c>
      <c r="M54" s="184">
        <f>+VLOOKUP(C54, 'INPUT NFI'!$C$3:$K$282, 6, FALSE)</f>
        <v>66220620.811305583</v>
      </c>
      <c r="N54" s="201">
        <f>+VLOOKUP(B54, 'AREA CorrFactor'!$B$3:$J$40, 9, FALSE)</f>
        <v>5.5473918160810235E-3</v>
      </c>
      <c r="O54" s="202">
        <f>+IF(N54&gt;0, VLOOKUP(C54, 'INPUT CBM'!$N$3:$P$282, 3, FALSE), M54/L54)</f>
        <v>47.521441326524233</v>
      </c>
      <c r="P54" s="200">
        <f>+VLOOKUP(B54, 'INPUT CBM'!$B$3:$K$29, 10, FALSE)</f>
        <v>0.16604604181785762</v>
      </c>
      <c r="Q54" s="183">
        <f t="shared" si="3"/>
        <v>10995671.972438538</v>
      </c>
      <c r="R54" s="78">
        <f t="shared" si="4"/>
        <v>2667.1503668462478</v>
      </c>
      <c r="S54" s="184">
        <f t="shared" si="5"/>
        <v>126746.82966710156</v>
      </c>
      <c r="U54" s="6"/>
      <c r="V54" s="6"/>
      <c r="W54" s="6"/>
      <c r="Y54" s="19"/>
    </row>
    <row r="55" spans="1:25" x14ac:dyDescent="0.25">
      <c r="A55" s="107" t="s">
        <v>72</v>
      </c>
      <c r="B55" s="108" t="s">
        <v>9</v>
      </c>
      <c r="C55" s="187" t="s">
        <v>86</v>
      </c>
      <c r="D55" s="181">
        <f t="shared" si="0"/>
        <v>476904.89798159769</v>
      </c>
      <c r="E55" s="111">
        <f>+VLOOKUP(C55, 'INPUT NFI'!$C$3:$K$282, 4, FALSE) * D55 / L55</f>
        <v>441642.71398697846</v>
      </c>
      <c r="F55" s="111">
        <f>+VLOOKUP(C55, 'INPUT NFI'!$C$3:$K$282, 5, FALSE) * D55 / L55</f>
        <v>35262.183994619198</v>
      </c>
      <c r="G55" s="111">
        <f t="shared" si="1"/>
        <v>72910000.055403069</v>
      </c>
      <c r="H55" s="111">
        <f>+VLOOKUP(C55, 'INPUT NFI'!$C$3:$K$282, 7, FALSE) * G55 / M55</f>
        <v>67434648.580348045</v>
      </c>
      <c r="I55" s="111">
        <f>+VLOOKUP(C55, 'INPUT NFI'!C55:K334, 8, FALSE) * G55 / M55</f>
        <v>5475351.4750550194</v>
      </c>
      <c r="J55" s="213">
        <f t="shared" si="2"/>
        <v>152.88163397771697</v>
      </c>
      <c r="K55" s="4"/>
      <c r="L55" s="183">
        <f>+VLOOKUP(C55, 'INPUT NFI'!$C$3:$K$282, 3, FALSE)</f>
        <v>474273.91474834201</v>
      </c>
      <c r="M55" s="184">
        <f>+VLOOKUP(C55, 'INPUT NFI'!$C$3:$K$282, 6, FALSE)</f>
        <v>62456198.961555369</v>
      </c>
      <c r="N55" s="201">
        <f>+VLOOKUP(B55, 'AREA CorrFactor'!$B$3:$J$40, 9, FALSE)</f>
        <v>5.5473918160810235E-3</v>
      </c>
      <c r="O55" s="202">
        <f>+IF(N55&gt;0, VLOOKUP(C55, 'INPUT CBM'!$N$3:$P$282, 3, FALSE), M55/L55)</f>
        <v>31.621816604998148</v>
      </c>
      <c r="P55" s="200">
        <f>+VLOOKUP(B55, 'INPUT CBM'!$B$3:$K$29, 10, FALSE)</f>
        <v>0.16604604181785762</v>
      </c>
      <c r="Q55" s="183">
        <f t="shared" si="3"/>
        <v>10370604.624554858</v>
      </c>
      <c r="R55" s="78">
        <f t="shared" si="4"/>
        <v>2630.9832332556616</v>
      </c>
      <c r="S55" s="184">
        <f t="shared" si="5"/>
        <v>83196.469292835594</v>
      </c>
      <c r="U55" s="6"/>
      <c r="V55" s="6"/>
      <c r="W55" s="6"/>
      <c r="Y55" s="19"/>
    </row>
    <row r="56" spans="1:25" x14ac:dyDescent="0.25">
      <c r="A56" s="107" t="s">
        <v>72</v>
      </c>
      <c r="B56" s="108" t="s">
        <v>9</v>
      </c>
      <c r="C56" s="187" t="s">
        <v>87</v>
      </c>
      <c r="D56" s="181">
        <f t="shared" si="0"/>
        <v>157922.26125754527</v>
      </c>
      <c r="E56" s="111">
        <f>+VLOOKUP(C56, 'INPUT NFI'!$C$3:$K$282, 4, FALSE) * D56 / L56</f>
        <v>143711.2621879653</v>
      </c>
      <c r="F56" s="111">
        <f>+VLOOKUP(C56, 'INPUT NFI'!$C$3:$K$282, 5, FALSE) * D56 / L56</f>
        <v>14210.999069579948</v>
      </c>
      <c r="G56" s="111">
        <f t="shared" si="1"/>
        <v>30804458.3684218</v>
      </c>
      <c r="H56" s="111">
        <f>+VLOOKUP(C56, 'INPUT NFI'!$C$3:$K$282, 7, FALSE) * G56 / M56</f>
        <v>27614920.335564043</v>
      </c>
      <c r="I56" s="111">
        <f>+VLOOKUP(C56, 'INPUT NFI'!C56:K335, 8, FALSE) * G56 / M56</f>
        <v>3189538.0328577561</v>
      </c>
      <c r="J56" s="213">
        <f t="shared" si="2"/>
        <v>195.06089973081623</v>
      </c>
      <c r="K56" s="4"/>
      <c r="L56" s="183">
        <f>+VLOOKUP(C56, 'INPUT NFI'!$C$3:$K$282, 3, FALSE)</f>
        <v>157051.037616763</v>
      </c>
      <c r="M56" s="184">
        <f>+VLOOKUP(C56, 'INPUT NFI'!$C$3:$K$282, 6, FALSE)</f>
        <v>26390768.400603909</v>
      </c>
      <c r="N56" s="201">
        <f>+VLOOKUP(B56, 'AREA CorrFactor'!$B$3:$J$40, 9, FALSE)</f>
        <v>5.5473918160810235E-3</v>
      </c>
      <c r="O56" s="202">
        <f>+IF(N56&gt;0, VLOOKUP(C56, 'INPUT CBM'!$N$3:$P$282, 3, FALSE), M56/L56)</f>
        <v>36.279243223288717</v>
      </c>
      <c r="P56" s="200">
        <f>+VLOOKUP(B56, 'INPUT CBM'!$B$3:$K$29, 10, FALSE)</f>
        <v>0.16604604181785762</v>
      </c>
      <c r="Q56" s="183">
        <f t="shared" si="3"/>
        <v>4382082.6334520718</v>
      </c>
      <c r="R56" s="78">
        <f t="shared" si="4"/>
        <v>871.22364078226406</v>
      </c>
      <c r="S56" s="184">
        <f t="shared" si="5"/>
        <v>31607.334365818875</v>
      </c>
      <c r="U56" s="6"/>
      <c r="V56" s="6"/>
      <c r="W56" s="6"/>
      <c r="Y56" s="20"/>
    </row>
    <row r="57" spans="1:25" x14ac:dyDescent="0.25">
      <c r="A57" s="107" t="s">
        <v>72</v>
      </c>
      <c r="B57" s="108" t="s">
        <v>9</v>
      </c>
      <c r="C57" s="187" t="s">
        <v>88</v>
      </c>
      <c r="D57" s="181">
        <f t="shared" si="0"/>
        <v>505370.55699606892</v>
      </c>
      <c r="E57" s="111">
        <f>+VLOOKUP(C57, 'INPUT NFI'!$C$3:$K$282, 4, FALSE) * D57 / L57</f>
        <v>483336.38916268595</v>
      </c>
      <c r="F57" s="111">
        <f>+VLOOKUP(C57, 'INPUT NFI'!$C$3:$K$282, 5, FALSE) * D57 / L57</f>
        <v>22034.167833382977</v>
      </c>
      <c r="G57" s="111">
        <f t="shared" si="1"/>
        <v>101350162.24227704</v>
      </c>
      <c r="H57" s="111">
        <f>+VLOOKUP(C57, 'INPUT NFI'!$C$3:$K$282, 7, FALSE) * G57 / M57</f>
        <v>95881668.051291421</v>
      </c>
      <c r="I57" s="111">
        <f>+VLOOKUP(C57, 'INPUT NFI'!C57:K336, 8, FALSE) * G57 / M57</f>
        <v>5468494.1909856265</v>
      </c>
      <c r="J57" s="213">
        <f t="shared" si="2"/>
        <v>200.54623451889265</v>
      </c>
      <c r="K57" s="4"/>
      <c r="L57" s="183">
        <f>+VLOOKUP(C57, 'INPUT NFI'!$C$3:$K$282, 3, FALSE)</f>
        <v>502582.534755859</v>
      </c>
      <c r="M57" s="184">
        <f>+VLOOKUP(C57, 'INPUT NFI'!$C$3:$K$282, 6, FALSE)</f>
        <v>86823680.060338557</v>
      </c>
      <c r="N57" s="201">
        <f>+VLOOKUP(B57, 'AREA CorrFactor'!$B$3:$J$40, 9, FALSE)</f>
        <v>5.5473918160810235E-3</v>
      </c>
      <c r="O57" s="202">
        <f>+IF(N57&gt;0, VLOOKUP(C57, 'INPUT CBM'!$N$3:$P$282, 3, FALSE), M57/L57)</f>
        <v>39.366175160405227</v>
      </c>
      <c r="P57" s="200">
        <f>+VLOOKUP(B57, 'INPUT CBM'!$B$3:$K$29, 10, FALSE)</f>
        <v>0.16604604181785762</v>
      </c>
      <c r="Q57" s="183">
        <f t="shared" si="3"/>
        <v>14416728.410079267</v>
      </c>
      <c r="R57" s="78">
        <f t="shared" si="4"/>
        <v>2788.0222402099089</v>
      </c>
      <c r="S57" s="184">
        <f t="shared" si="5"/>
        <v>109753.77185920865</v>
      </c>
      <c r="U57" s="6"/>
      <c r="V57" s="6"/>
      <c r="W57" s="6"/>
      <c r="Y57" s="20"/>
    </row>
    <row r="58" spans="1:25" x14ac:dyDescent="0.25">
      <c r="A58" s="107" t="s">
        <v>324</v>
      </c>
      <c r="B58" s="108" t="s">
        <v>10</v>
      </c>
      <c r="C58" s="187" t="s">
        <v>470</v>
      </c>
      <c r="D58" s="181">
        <f t="shared" si="0"/>
        <v>835.9678623226398</v>
      </c>
      <c r="E58" s="111" t="e">
        <f>+VLOOKUP(C58, 'INPUT NFI'!$C$3:$K$282, 4, FALSE) * D58 / L58</f>
        <v>#N/A</v>
      </c>
      <c r="F58" s="111" t="e">
        <f>+VLOOKUP(C58, 'INPUT NFI'!$C$3:$K$282, 5, FALSE) * D58 / L58</f>
        <v>#N/A</v>
      </c>
      <c r="G58" s="111">
        <f t="shared" si="1"/>
        <v>71106.625621109808</v>
      </c>
      <c r="H58" s="111" t="e">
        <f>+VLOOKUP(C58, 'INPUT NFI'!$C$3:$K$282, 7, FALSE) * G58 / M58</f>
        <v>#N/A</v>
      </c>
      <c r="I58" s="111" t="e">
        <f>+VLOOKUP(C58, 'INPUT NFI'!C58:K337, 8, FALSE) * G58 / M58</f>
        <v>#N/A</v>
      </c>
      <c r="J58" s="213">
        <f t="shared" si="2"/>
        <v>85.059042130576998</v>
      </c>
      <c r="K58" s="4"/>
      <c r="L58" s="183">
        <f>+VLOOKUP(C58, 'INPUT NFI'!$C$3:$K$282, 3, FALSE)</f>
        <v>825.40618877770532</v>
      </c>
      <c r="M58" s="184">
        <f>+VLOOKUP(C58, 'INPUT NFI'!$C$3:$K$282, 6, FALSE)</f>
        <v>66778.557629766641</v>
      </c>
      <c r="N58" s="201">
        <f>+VLOOKUP(B58, 'AREA CorrFactor'!$B$3:$J$40, 9, FALSE)</f>
        <v>1.2795728561927356E-2</v>
      </c>
      <c r="O58" s="202">
        <f>+IF(N58&gt;0, VLOOKUP(C58, 'INPUT CBM'!$N$3:$P$282, 3, FALSE), M58/L58)</f>
        <v>27.553291735757519</v>
      </c>
      <c r="P58" s="200">
        <f>+VLOOKUP(B58, 'INPUT CBM'!$B$3:$K$29, 10, FALSE)</f>
        <v>6.045442223121994E-2</v>
      </c>
      <c r="Q58" s="183">
        <f t="shared" si="3"/>
        <v>4037.0591189417664</v>
      </c>
      <c r="R58" s="78">
        <f t="shared" si="4"/>
        <v>10.561673544934488</v>
      </c>
      <c r="S58" s="184">
        <f t="shared" si="5"/>
        <v>291.00887240141225</v>
      </c>
      <c r="U58" s="6"/>
      <c r="V58" s="6"/>
      <c r="W58" s="6"/>
      <c r="Y58" s="20"/>
    </row>
    <row r="59" spans="1:25" x14ac:dyDescent="0.25">
      <c r="A59" s="107" t="s">
        <v>324</v>
      </c>
      <c r="B59" s="108" t="s">
        <v>10</v>
      </c>
      <c r="C59" s="187" t="s">
        <v>471</v>
      </c>
      <c r="D59" s="181">
        <f t="shared" si="0"/>
        <v>4937.0346496966258</v>
      </c>
      <c r="E59" s="111" t="e">
        <f>+VLOOKUP(C59, 'INPUT NFI'!$C$3:$K$282, 4, FALSE) * D59 / L59</f>
        <v>#N/A</v>
      </c>
      <c r="F59" s="111" t="e">
        <f>+VLOOKUP(C59, 'INPUT NFI'!$C$3:$K$282, 5, FALSE) * D59 / L59</f>
        <v>#N/A</v>
      </c>
      <c r="G59" s="111">
        <f t="shared" si="1"/>
        <v>758757.90761936945</v>
      </c>
      <c r="H59" s="111" t="e">
        <f>+VLOOKUP(C59, 'INPUT NFI'!$C$3:$K$282, 7, FALSE) * G59 / M59</f>
        <v>#N/A</v>
      </c>
      <c r="I59" s="111" t="e">
        <f>+VLOOKUP(C59, 'INPUT NFI'!C59:K338, 8, FALSE) * G59 / M59</f>
        <v>#N/A</v>
      </c>
      <c r="J59" s="213">
        <f t="shared" si="2"/>
        <v>153.68697233388752</v>
      </c>
      <c r="K59" s="4"/>
      <c r="L59" s="183">
        <f>+VLOOKUP(C59, 'INPUT NFI'!$C$3:$K$282, 3, FALSE)</f>
        <v>4874.6598257347914</v>
      </c>
      <c r="M59" s="184">
        <f>+VLOOKUP(C59, 'INPUT NFI'!$C$3:$K$282, 6, FALSE)</f>
        <v>713881.95478024869</v>
      </c>
      <c r="N59" s="201">
        <f>+VLOOKUP(B59, 'AREA CorrFactor'!$B$3:$J$40, 9, FALSE)</f>
        <v>1.2795728561927356E-2</v>
      </c>
      <c r="O59" s="202">
        <f>+IF(N59&gt;0, VLOOKUP(C59, 'INPUT CBM'!$N$3:$P$282, 3, FALSE), M59/L59)</f>
        <v>27.553291735757519</v>
      </c>
      <c r="P59" s="200">
        <f>+VLOOKUP(B59, 'INPUT CBM'!$B$3:$K$29, 10, FALSE)</f>
        <v>6.045442223121994E-2</v>
      </c>
      <c r="Q59" s="183">
        <f t="shared" si="3"/>
        <v>43157.321117533815</v>
      </c>
      <c r="R59" s="78">
        <f t="shared" si="4"/>
        <v>62.374823961834501</v>
      </c>
      <c r="S59" s="184">
        <f t="shared" si="5"/>
        <v>1718.6317215869446</v>
      </c>
      <c r="U59" s="6"/>
      <c r="V59" s="6"/>
      <c r="W59" s="6"/>
      <c r="Y59" s="20"/>
    </row>
    <row r="60" spans="1:25" x14ac:dyDescent="0.25">
      <c r="A60" s="107" t="s">
        <v>324</v>
      </c>
      <c r="B60" s="108" t="s">
        <v>10</v>
      </c>
      <c r="C60" s="187" t="s">
        <v>472</v>
      </c>
      <c r="D60" s="181">
        <f t="shared" si="0"/>
        <v>27714.596884712595</v>
      </c>
      <c r="E60" s="111" t="e">
        <f>+VLOOKUP(C60, 'INPUT NFI'!$C$3:$K$282, 4, FALSE) * D60 / L60</f>
        <v>#N/A</v>
      </c>
      <c r="F60" s="111" t="e">
        <f>+VLOOKUP(C60, 'INPUT NFI'!$C$3:$K$282, 5, FALSE) * D60 / L60</f>
        <v>#N/A</v>
      </c>
      <c r="G60" s="111">
        <f t="shared" si="1"/>
        <v>4747940.5463327635</v>
      </c>
      <c r="H60" s="111" t="e">
        <f>+VLOOKUP(C60, 'INPUT NFI'!$C$3:$K$282, 7, FALSE) * G60 / M60</f>
        <v>#N/A</v>
      </c>
      <c r="I60" s="111" t="e">
        <f>+VLOOKUP(C60, 'INPUT NFI'!C60:K339, 8, FALSE) * G60 / M60</f>
        <v>#N/A</v>
      </c>
      <c r="J60" s="213">
        <f t="shared" si="2"/>
        <v>171.31551889725421</v>
      </c>
      <c r="K60" s="4"/>
      <c r="L60" s="183">
        <f>+VLOOKUP(C60, 'INPUT NFI'!$C$3:$K$282, 3, FALSE)</f>
        <v>27364.448825297339</v>
      </c>
      <c r="M60" s="184">
        <f>+VLOOKUP(C60, 'INPUT NFI'!$C$3:$K$282, 6, FALSE)</f>
        <v>4468172.0547041623</v>
      </c>
      <c r="N60" s="201">
        <f>+VLOOKUP(B60, 'AREA CorrFactor'!$B$3:$J$40, 9, FALSE)</f>
        <v>1.2795728561927356E-2</v>
      </c>
      <c r="O60" s="202">
        <f>+IF(N60&gt;0, VLOOKUP(C60, 'INPUT CBM'!$N$3:$P$282, 3, FALSE), M60/L60)</f>
        <v>27.553291735757519</v>
      </c>
      <c r="P60" s="200">
        <f>+VLOOKUP(B60, 'INPUT CBM'!$B$3:$K$29, 10, FALSE)</f>
        <v>6.045442223121994E-2</v>
      </c>
      <c r="Q60" s="183">
        <f t="shared" si="3"/>
        <v>270120.75999682298</v>
      </c>
      <c r="R60" s="78">
        <f t="shared" si="4"/>
        <v>350.14805941525663</v>
      </c>
      <c r="S60" s="184">
        <f t="shared" si="5"/>
        <v>9647.7316317779223</v>
      </c>
      <c r="U60" s="6"/>
      <c r="V60" s="6"/>
      <c r="W60" s="6"/>
      <c r="Y60" s="20"/>
    </row>
    <row r="61" spans="1:25" x14ac:dyDescent="0.25">
      <c r="A61" s="107" t="s">
        <v>324</v>
      </c>
      <c r="B61" s="108" t="s">
        <v>10</v>
      </c>
      <c r="C61" s="187" t="s">
        <v>473</v>
      </c>
      <c r="D61" s="181">
        <f t="shared" si="0"/>
        <v>14697.641801196216</v>
      </c>
      <c r="E61" s="111" t="e">
        <f>+VLOOKUP(C61, 'INPUT NFI'!$C$3:$K$282, 4, FALSE) * D61 / L61</f>
        <v>#N/A</v>
      </c>
      <c r="F61" s="111" t="e">
        <f>+VLOOKUP(C61, 'INPUT NFI'!$C$3:$K$282, 5, FALSE) * D61 / L61</f>
        <v>#N/A</v>
      </c>
      <c r="G61" s="111">
        <f t="shared" si="1"/>
        <v>2116694.8809872642</v>
      </c>
      <c r="H61" s="111" t="e">
        <f>+VLOOKUP(C61, 'INPUT NFI'!$C$3:$K$282, 7, FALSE) * G61 / M61</f>
        <v>#N/A</v>
      </c>
      <c r="I61" s="111" t="e">
        <f>+VLOOKUP(C61, 'INPUT NFI'!C61:K340, 8, FALSE) * G61 / M61</f>
        <v>#N/A</v>
      </c>
      <c r="J61" s="213">
        <f t="shared" si="2"/>
        <v>144.01595232882801</v>
      </c>
      <c r="K61" s="4"/>
      <c r="L61" s="183">
        <f>+VLOOKUP(C61, 'INPUT NFI'!$C$3:$K$282, 3, FALSE)</f>
        <v>14511.950817629786</v>
      </c>
      <c r="M61" s="184">
        <f>+VLOOKUP(C61, 'INPUT NFI'!$C$3:$K$282, 6, FALSE)</f>
        <v>1991201.5442413359</v>
      </c>
      <c r="N61" s="201">
        <f>+VLOOKUP(B61, 'AREA CorrFactor'!$B$3:$J$40, 9, FALSE)</f>
        <v>1.2795728561927356E-2</v>
      </c>
      <c r="O61" s="202">
        <f>+IF(N61&gt;0, VLOOKUP(C61, 'INPUT CBM'!$N$3:$P$282, 3, FALSE), M61/L61)</f>
        <v>27.553291735757519</v>
      </c>
      <c r="P61" s="200">
        <f>+VLOOKUP(B61, 'INPUT CBM'!$B$3:$K$29, 10, FALSE)</f>
        <v>6.045442223121994E-2</v>
      </c>
      <c r="Q61" s="183">
        <f t="shared" si="3"/>
        <v>120376.93890302289</v>
      </c>
      <c r="R61" s="78">
        <f t="shared" si="4"/>
        <v>185.6909835664305</v>
      </c>
      <c r="S61" s="184">
        <f t="shared" si="5"/>
        <v>5116.3978429056151</v>
      </c>
      <c r="U61" s="6"/>
      <c r="V61" s="6"/>
      <c r="W61" s="6"/>
      <c r="Y61" s="20"/>
    </row>
    <row r="62" spans="1:25" x14ac:dyDescent="0.25">
      <c r="A62" s="107" t="s">
        <v>324</v>
      </c>
      <c r="B62" s="108" t="s">
        <v>10</v>
      </c>
      <c r="C62" s="187" t="s">
        <v>474</v>
      </c>
      <c r="D62" s="181">
        <f t="shared" si="0"/>
        <v>9943.3368739583202</v>
      </c>
      <c r="E62" s="111" t="e">
        <f>+VLOOKUP(C62, 'INPUT NFI'!$C$3:$K$282, 4, FALSE) * D62 / L62</f>
        <v>#N/A</v>
      </c>
      <c r="F62" s="111" t="e">
        <f>+VLOOKUP(C62, 'INPUT NFI'!$C$3:$K$282, 5, FALSE) * D62 / L62</f>
        <v>#N/A</v>
      </c>
      <c r="G62" s="111">
        <f t="shared" si="1"/>
        <v>1501345.3197967282</v>
      </c>
      <c r="H62" s="111" t="e">
        <f>+VLOOKUP(C62, 'INPUT NFI'!$C$3:$K$282, 7, FALSE) * G62 / M62</f>
        <v>#N/A</v>
      </c>
      <c r="I62" s="111" t="e">
        <f>+VLOOKUP(C62, 'INPUT NFI'!C62:K341, 8, FALSE) * G62 / M62</f>
        <v>#N/A</v>
      </c>
      <c r="J62" s="213">
        <f t="shared" si="2"/>
        <v>150.99008902421517</v>
      </c>
      <c r="K62" s="4"/>
      <c r="L62" s="183">
        <f>+VLOOKUP(C62, 'INPUT NFI'!$C$3:$K$282, 3, FALSE)</f>
        <v>9817.7120948929187</v>
      </c>
      <c r="M62" s="184">
        <f>+VLOOKUP(C62, 'INPUT NFI'!$C$3:$K$282, 6, FALSE)</f>
        <v>1412535.1495665801</v>
      </c>
      <c r="N62" s="201">
        <f>+VLOOKUP(B62, 'AREA CorrFactor'!$B$3:$J$40, 9, FALSE)</f>
        <v>1.2795728561927356E-2</v>
      </c>
      <c r="O62" s="202">
        <f>+IF(N62&gt;0, VLOOKUP(C62, 'INPUT CBM'!$N$3:$P$282, 3, FALSE), M62/L62)</f>
        <v>27.193471759517021</v>
      </c>
      <c r="P62" s="200">
        <f>+VLOOKUP(B62, 'INPUT CBM'!$B$3:$K$29, 10, FALSE)</f>
        <v>6.045442223121994E-2</v>
      </c>
      <c r="Q62" s="183">
        <f t="shared" si="3"/>
        <v>85393.996348337445</v>
      </c>
      <c r="R62" s="78">
        <f t="shared" si="4"/>
        <v>125.62477906540099</v>
      </c>
      <c r="S62" s="184">
        <f t="shared" si="5"/>
        <v>3416.1738818105468</v>
      </c>
      <c r="U62" s="6"/>
      <c r="V62" s="6"/>
      <c r="W62" s="6"/>
      <c r="Y62" s="20"/>
    </row>
    <row r="63" spans="1:25" x14ac:dyDescent="0.25">
      <c r="A63" s="107" t="s">
        <v>324</v>
      </c>
      <c r="B63" s="108" t="s">
        <v>10</v>
      </c>
      <c r="C63" s="187" t="s">
        <v>475</v>
      </c>
      <c r="D63" s="181">
        <f t="shared" si="0"/>
        <v>90156.459476498771</v>
      </c>
      <c r="E63" s="111" t="e">
        <f>+VLOOKUP(C63, 'INPUT NFI'!$C$3:$K$282, 4, FALSE) * D63 / L63</f>
        <v>#N/A</v>
      </c>
      <c r="F63" s="111" t="e">
        <f>+VLOOKUP(C63, 'INPUT NFI'!$C$3:$K$282, 5, FALSE) * D63 / L63</f>
        <v>#N/A</v>
      </c>
      <c r="G63" s="111">
        <f t="shared" si="1"/>
        <v>16233170.752526788</v>
      </c>
      <c r="H63" s="111" t="e">
        <f>+VLOOKUP(C63, 'INPUT NFI'!$C$3:$K$282, 7, FALSE) * G63 / M63</f>
        <v>#N/A</v>
      </c>
      <c r="I63" s="111" t="e">
        <f>+VLOOKUP(C63, 'INPUT NFI'!C63:K342, 8, FALSE) * G63 / M63</f>
        <v>#N/A</v>
      </c>
      <c r="J63" s="213">
        <f t="shared" si="2"/>
        <v>180.0555483964886</v>
      </c>
      <c r="K63" s="4"/>
      <c r="L63" s="183">
        <f>+VLOOKUP(C63, 'INPUT NFI'!$C$3:$K$282, 3, FALSE)</f>
        <v>89017.416774172496</v>
      </c>
      <c r="M63" s="184">
        <f>+VLOOKUP(C63, 'INPUT NFI'!$C$3:$K$282, 6, FALSE)</f>
        <v>15278540.866356529</v>
      </c>
      <c r="N63" s="201">
        <f>+VLOOKUP(B63, 'AREA CorrFactor'!$B$3:$J$40, 9, FALSE)</f>
        <v>1.2795728561927356E-2</v>
      </c>
      <c r="O63" s="202">
        <f>+IF(N63&gt;0, VLOOKUP(C63, 'INPUT CBM'!$N$3:$P$282, 3, FALSE), M63/L63)</f>
        <v>27.193471759517021</v>
      </c>
      <c r="P63" s="200">
        <f>+VLOOKUP(B63, 'INPUT CBM'!$B$3:$K$29, 10, FALSE)</f>
        <v>6.045442223121994E-2</v>
      </c>
      <c r="Q63" s="183">
        <f t="shared" si="3"/>
        <v>923655.36061166658</v>
      </c>
      <c r="R63" s="78">
        <f t="shared" si="4"/>
        <v>1139.0427023262703</v>
      </c>
      <c r="S63" s="184">
        <f t="shared" si="5"/>
        <v>30974.525558593381</v>
      </c>
      <c r="U63" s="6"/>
      <c r="V63" s="6"/>
      <c r="W63" s="6"/>
      <c r="Y63" s="20"/>
    </row>
    <row r="64" spans="1:25" x14ac:dyDescent="0.25">
      <c r="A64" s="107" t="s">
        <v>324</v>
      </c>
      <c r="B64" s="108" t="s">
        <v>10</v>
      </c>
      <c r="C64" s="187" t="s">
        <v>476</v>
      </c>
      <c r="D64" s="181">
        <f t="shared" si="0"/>
        <v>35111.766906993907</v>
      </c>
      <c r="E64" s="111" t="e">
        <f>+VLOOKUP(C64, 'INPUT NFI'!$C$3:$K$282, 4, FALSE) * D64 / L64</f>
        <v>#N/A</v>
      </c>
      <c r="F64" s="111" t="e">
        <f>+VLOOKUP(C64, 'INPUT NFI'!$C$3:$K$282, 5, FALSE) * D64 / L64</f>
        <v>#N/A</v>
      </c>
      <c r="G64" s="111">
        <f t="shared" si="1"/>
        <v>5191443.6117199371</v>
      </c>
      <c r="H64" s="111" t="e">
        <f>+VLOOKUP(C64, 'INPUT NFI'!$C$3:$K$282, 7, FALSE) * G64 / M64</f>
        <v>#N/A</v>
      </c>
      <c r="I64" s="111" t="e">
        <f>+VLOOKUP(C64, 'INPUT NFI'!C64:K343, 8, FALSE) * G64 / M64</f>
        <v>#N/A</v>
      </c>
      <c r="J64" s="213">
        <f t="shared" si="2"/>
        <v>147.85480962753414</v>
      </c>
      <c r="K64" s="4"/>
      <c r="L64" s="183">
        <f>+VLOOKUP(C64, 'INPUT NFI'!$C$3:$K$282, 3, FALSE)</f>
        <v>34668.162509778005</v>
      </c>
      <c r="M64" s="184">
        <f>+VLOOKUP(C64, 'INPUT NFI'!$C$3:$K$282, 6, FALSE)</f>
        <v>4886271.3250466604</v>
      </c>
      <c r="N64" s="201">
        <f>+VLOOKUP(B64, 'AREA CorrFactor'!$B$3:$J$40, 9, FALSE)</f>
        <v>1.2795728561927356E-2</v>
      </c>
      <c r="O64" s="202">
        <f>+IF(N64&gt;0, VLOOKUP(C64, 'INPUT CBM'!$N$3:$P$282, 3, FALSE), M64/L64)</f>
        <v>22.03669962235675</v>
      </c>
      <c r="P64" s="200">
        <f>+VLOOKUP(B64, 'INPUT CBM'!$B$3:$K$29, 10, FALSE)</f>
        <v>6.045442223121994E-2</v>
      </c>
      <c r="Q64" s="183">
        <f t="shared" si="3"/>
        <v>295396.70982067334</v>
      </c>
      <c r="R64" s="78">
        <f t="shared" si="4"/>
        <v>443.60439721590558</v>
      </c>
      <c r="S64" s="184">
        <f t="shared" si="5"/>
        <v>9775.5768526035408</v>
      </c>
      <c r="U64" s="6"/>
      <c r="V64" s="6"/>
      <c r="W64" s="6"/>
      <c r="Y64" s="20"/>
    </row>
    <row r="65" spans="1:25" x14ac:dyDescent="0.25">
      <c r="A65" s="107" t="s">
        <v>324</v>
      </c>
      <c r="B65" s="108" t="s">
        <v>10</v>
      </c>
      <c r="C65" s="187" t="s">
        <v>477</v>
      </c>
      <c r="D65" s="181">
        <f t="shared" si="0"/>
        <v>108661.98291074796</v>
      </c>
      <c r="E65" s="111" t="e">
        <f>+VLOOKUP(C65, 'INPUT NFI'!$C$3:$K$282, 4, FALSE) * D65 / L65</f>
        <v>#N/A</v>
      </c>
      <c r="F65" s="111" t="e">
        <f>+VLOOKUP(C65, 'INPUT NFI'!$C$3:$K$282, 5, FALSE) * D65 / L65</f>
        <v>#N/A</v>
      </c>
      <c r="G65" s="111">
        <f t="shared" si="1"/>
        <v>9615512.559211893</v>
      </c>
      <c r="H65" s="111" t="e">
        <f>+VLOOKUP(C65, 'INPUT NFI'!$C$3:$K$282, 7, FALSE) * G65 / M65</f>
        <v>#N/A</v>
      </c>
      <c r="I65" s="111" t="e">
        <f>+VLOOKUP(C65, 'INPUT NFI'!C65:K344, 8, FALSE) * G65 / M65</f>
        <v>#N/A</v>
      </c>
      <c r="J65" s="213">
        <f t="shared" si="2"/>
        <v>88.490126000275708</v>
      </c>
      <c r="K65" s="4"/>
      <c r="L65" s="183">
        <f>+VLOOKUP(C65, 'INPUT NFI'!$C$3:$K$282, 3, FALSE)</f>
        <v>107289.14019516802</v>
      </c>
      <c r="M65" s="184">
        <f>+VLOOKUP(C65, 'INPUT NFI'!$C$3:$K$282, 6, FALSE)</f>
        <v>9038822.8251171</v>
      </c>
      <c r="N65" s="201">
        <f>+VLOOKUP(B65, 'AREA CorrFactor'!$B$3:$J$40, 9, FALSE)</f>
        <v>1.2795728561927356E-2</v>
      </c>
      <c r="O65" s="202">
        <f>+IF(N65&gt;0, VLOOKUP(C65, 'INPUT CBM'!$N$3:$P$282, 3, FALSE), M65/L65)</f>
        <v>22.03669962235675</v>
      </c>
      <c r="P65" s="200">
        <f>+VLOOKUP(B65, 'INPUT CBM'!$B$3:$K$29, 10, FALSE)</f>
        <v>6.045442223121994E-2</v>
      </c>
      <c r="Q65" s="183">
        <f t="shared" si="3"/>
        <v>546436.81154281739</v>
      </c>
      <c r="R65" s="78">
        <f t="shared" si="4"/>
        <v>1372.8427155799397</v>
      </c>
      <c r="S65" s="184">
        <f t="shared" si="5"/>
        <v>30252.922551975673</v>
      </c>
      <c r="U65" s="6"/>
      <c r="V65" s="6"/>
      <c r="W65" s="6"/>
      <c r="Y65" s="20"/>
    </row>
    <row r="66" spans="1:25" x14ac:dyDescent="0.25">
      <c r="A66" s="107" t="s">
        <v>324</v>
      </c>
      <c r="B66" s="108" t="s">
        <v>10</v>
      </c>
      <c r="C66" s="187" t="s">
        <v>478</v>
      </c>
      <c r="D66" s="181">
        <f t="shared" si="0"/>
        <v>112216.32444741621</v>
      </c>
      <c r="E66" s="111" t="e">
        <f>+VLOOKUP(C66, 'INPUT NFI'!$C$3:$K$282, 4, FALSE) * D66 / L66</f>
        <v>#N/A</v>
      </c>
      <c r="F66" s="111" t="e">
        <f>+VLOOKUP(C66, 'INPUT NFI'!$C$3:$K$282, 5, FALSE) * D66 / L66</f>
        <v>#N/A</v>
      </c>
      <c r="G66" s="111">
        <f t="shared" si="1"/>
        <v>9329341.2504995856</v>
      </c>
      <c r="H66" s="111" t="e">
        <f>+VLOOKUP(C66, 'INPUT NFI'!$C$3:$K$282, 7, FALSE) * G66 / M66</f>
        <v>#N/A</v>
      </c>
      <c r="I66" s="111" t="e">
        <f>+VLOOKUP(C66, 'INPUT NFI'!C66:K345, 8, FALSE) * G66 / M66</f>
        <v>#N/A</v>
      </c>
      <c r="J66" s="213">
        <f t="shared" si="2"/>
        <v>83.137113039834503</v>
      </c>
      <c r="K66" s="4"/>
      <c r="L66" s="183">
        <f>+VLOOKUP(C66, 'INPUT NFI'!$C$3:$K$282, 3, FALSE)</f>
        <v>110798.57594458124</v>
      </c>
      <c r="M66" s="184">
        <f>+VLOOKUP(C66, 'INPUT NFI'!$C$3:$K$282, 6, FALSE)</f>
        <v>8773497.4515637383</v>
      </c>
      <c r="N66" s="201">
        <f>+VLOOKUP(B66, 'AREA CorrFactor'!$B$3:$J$40, 9, FALSE)</f>
        <v>1.2795728561927356E-2</v>
      </c>
      <c r="O66" s="202">
        <f>+IF(N66&gt;0, VLOOKUP(C66, 'INPUT CBM'!$N$3:$P$282, 3, FALSE), M66/L66)</f>
        <v>17.948937701994669</v>
      </c>
      <c r="P66" s="200">
        <f>+VLOOKUP(B66, 'INPUT CBM'!$B$3:$K$29, 10, FALSE)</f>
        <v>6.045442223121994E-2</v>
      </c>
      <c r="Q66" s="183">
        <f t="shared" si="3"/>
        <v>530396.71938136639</v>
      </c>
      <c r="R66" s="78">
        <f t="shared" si="4"/>
        <v>1417.7485028349556</v>
      </c>
      <c r="S66" s="184">
        <f t="shared" si="5"/>
        <v>25447.079554480832</v>
      </c>
      <c r="U66" s="6"/>
      <c r="V66" s="6"/>
      <c r="W66" s="6"/>
      <c r="Y66" s="20"/>
    </row>
    <row r="67" spans="1:25" x14ac:dyDescent="0.25">
      <c r="A67" s="107" t="s">
        <v>324</v>
      </c>
      <c r="B67" s="108" t="s">
        <v>10</v>
      </c>
      <c r="C67" s="187" t="s">
        <v>479</v>
      </c>
      <c r="D67" s="181">
        <f t="shared" ref="D67:D130" si="7">+L67+R67</f>
        <v>107185.77490043387</v>
      </c>
      <c r="E67" s="111" t="e">
        <f>+VLOOKUP(C67, 'INPUT NFI'!$C$3:$K$282, 4, FALSE) * D67 / L67</f>
        <v>#N/A</v>
      </c>
      <c r="F67" s="111" t="e">
        <f>+VLOOKUP(C67, 'INPUT NFI'!$C$3:$K$282, 5, FALSE) * D67 / L67</f>
        <v>#N/A</v>
      </c>
      <c r="G67" s="111">
        <f t="shared" si="1"/>
        <v>14564325.409975424</v>
      </c>
      <c r="H67" s="111" t="e">
        <f>+VLOOKUP(C67, 'INPUT NFI'!$C$3:$K$282, 7, FALSE) * G67 / M67</f>
        <v>#N/A</v>
      </c>
      <c r="I67" s="111" t="e">
        <f>+VLOOKUP(C67, 'INPUT NFI'!C67:K346, 8, FALSE) * G67 / M67</f>
        <v>#N/A</v>
      </c>
      <c r="J67" s="213">
        <f t="shared" si="2"/>
        <v>135.87927524435401</v>
      </c>
      <c r="K67" s="4"/>
      <c r="L67" s="183">
        <f>+VLOOKUP(C67, 'INPUT NFI'!$C$3:$K$282, 3, FALSE)</f>
        <v>105831.58269498961</v>
      </c>
      <c r="M67" s="184">
        <f>+VLOOKUP(C67, 'INPUT NFI'!$C$3:$K$282, 6, FALSE)</f>
        <v>13711121.1888304</v>
      </c>
      <c r="N67" s="201">
        <f>+VLOOKUP(B67, 'AREA CorrFactor'!$B$3:$J$40, 9, FALSE)</f>
        <v>1.2795728561927356E-2</v>
      </c>
      <c r="O67" s="202">
        <f>+IF(N67&gt;0, VLOOKUP(C67, 'INPUT CBM'!$N$3:$P$282, 3, FALSE), M67/L67)</f>
        <v>17.948937701994669</v>
      </c>
      <c r="P67" s="200">
        <f>+VLOOKUP(B67, 'INPUT CBM'!$B$3:$K$29, 10, FALSE)</f>
        <v>6.045442223121994E-2</v>
      </c>
      <c r="Q67" s="183">
        <f t="shared" si="3"/>
        <v>828897.90961297927</v>
      </c>
      <c r="R67" s="78">
        <f t="shared" si="4"/>
        <v>1354.1922054442555</v>
      </c>
      <c r="S67" s="184">
        <f t="shared" si="5"/>
        <v>24306.311532045707</v>
      </c>
      <c r="U67" s="6"/>
      <c r="V67" s="6"/>
      <c r="W67" s="6"/>
      <c r="Y67" s="20"/>
    </row>
    <row r="68" spans="1:25" x14ac:dyDescent="0.25">
      <c r="A68" s="107" t="s">
        <v>324</v>
      </c>
      <c r="B68" s="108" t="s">
        <v>10</v>
      </c>
      <c r="C68" s="187" t="s">
        <v>480</v>
      </c>
      <c r="D68" s="181">
        <f t="shared" si="7"/>
        <v>116979.1132860229</v>
      </c>
      <c r="E68" s="111" t="e">
        <f>+VLOOKUP(C68, 'INPUT NFI'!$C$3:$K$282, 4, FALSE) * D68 / L68</f>
        <v>#N/A</v>
      </c>
      <c r="F68" s="111" t="e">
        <f>+VLOOKUP(C68, 'INPUT NFI'!$C$3:$K$282, 5, FALSE) * D68 / L68</f>
        <v>#N/A</v>
      </c>
      <c r="G68" s="111">
        <f t="shared" ref="G68:G131" si="8">+M68+Q68+S68</f>
        <v>11386533.222723832</v>
      </c>
      <c r="H68" s="111" t="e">
        <f>+VLOOKUP(C68, 'INPUT NFI'!$C$3:$K$282, 7, FALSE) * G68 / M68</f>
        <v>#N/A</v>
      </c>
      <c r="I68" s="111" t="e">
        <f>+VLOOKUP(C68, 'INPUT NFI'!C68:K347, 8, FALSE) * G68 / M68</f>
        <v>#N/A</v>
      </c>
      <c r="J68" s="213">
        <f t="shared" ref="J68:J131" si="9">+G68/D68</f>
        <v>97.338173481302476</v>
      </c>
      <c r="K68" s="4"/>
      <c r="L68" s="183">
        <f>+VLOOKUP(C68, 'INPUT NFI'!$C$3:$K$282, 3, FALSE)</f>
        <v>115501.1913923867</v>
      </c>
      <c r="M68" s="184">
        <f>+VLOOKUP(C68, 'INPUT NFI'!$C$3:$K$282, 6, FALSE)</f>
        <v>10713895.382137125</v>
      </c>
      <c r="N68" s="201">
        <f>+VLOOKUP(B68, 'AREA CorrFactor'!$B$3:$J$40, 9, FALSE)</f>
        <v>1.2795728561927356E-2</v>
      </c>
      <c r="O68" s="202">
        <f>+IF(N68&gt;0, VLOOKUP(C68, 'INPUT CBM'!$N$3:$P$282, 3, FALSE), M68/L68)</f>
        <v>16.871991355728419</v>
      </c>
      <c r="P68" s="200">
        <f>+VLOOKUP(B68, 'INPUT CBM'!$B$3:$K$29, 10, FALSE)</f>
        <v>6.045442223121994E-2</v>
      </c>
      <c r="Q68" s="183">
        <f t="shared" ref="Q68:Q131" si="10">+M68*P68</f>
        <v>647702.35517283529</v>
      </c>
      <c r="R68" s="78">
        <f t="shared" ref="R68:R131" si="11">+L68*N68</f>
        <v>1477.9218936362006</v>
      </c>
      <c r="S68" s="184">
        <f t="shared" ref="S68:S131" si="12">+R68*O68</f>
        <v>24935.485413871753</v>
      </c>
      <c r="U68" s="6"/>
      <c r="V68" s="6"/>
      <c r="W68" s="6"/>
      <c r="Y68" s="20"/>
    </row>
    <row r="69" spans="1:25" x14ac:dyDescent="0.25">
      <c r="A69" s="107" t="s">
        <v>89</v>
      </c>
      <c r="B69" s="108" t="s">
        <v>12</v>
      </c>
      <c r="C69" s="187" t="s">
        <v>90</v>
      </c>
      <c r="D69" s="181">
        <f>+L69+R69</f>
        <v>397132.56965639535</v>
      </c>
      <c r="E69" s="111">
        <f>+VLOOKUP(C69, 'INPUT NFI'!$C$3:$K$282, 4, FALSE) * D69 / L69</f>
        <v>376442.54637923528</v>
      </c>
      <c r="F69" s="111">
        <f>+VLOOKUP(C69, 'INPUT NFI'!$C$3:$K$282, 5, FALSE) * D69 / L69</f>
        <v>20690.023277161239</v>
      </c>
      <c r="G69" s="111">
        <f>+M69+Q69+S69</f>
        <v>38945298.749537848</v>
      </c>
      <c r="H69" s="111">
        <f>+VLOOKUP(C69, 'INPUT NFI'!$C$3:$K$282, 7, FALSE) * G69 / M69</f>
        <v>37753447.703814521</v>
      </c>
      <c r="I69" s="111">
        <f>+VLOOKUP(C69, 'INPUT NFI'!C69:K348, 8, FALSE) * G69 / M69</f>
        <v>1191851.0457233312</v>
      </c>
      <c r="J69" s="213">
        <f t="shared" si="9"/>
        <v>98.066242170048824</v>
      </c>
      <c r="K69" s="4"/>
      <c r="L69" s="183">
        <f>+VLOOKUP(C69, 'INPUT NFI'!$C$3:$K$282, 3, FALSE)</f>
        <v>396348.33348375134</v>
      </c>
      <c r="M69" s="184">
        <f>+VLOOKUP(C69, 'INPUT NFI'!$C$3:$K$282, 6, FALSE)</f>
        <v>34643713.452200301</v>
      </c>
      <c r="N69" s="201">
        <f>+VLOOKUP(B69, 'AREA CorrFactor'!$B$3:$J$40, 9, FALSE)</f>
        <v>1.9786538920218357E-3</v>
      </c>
      <c r="O69" s="202">
        <f>+IF(N69&gt;0, VLOOKUP(C69, 'INPUT CBM'!$N$3:$P$282, 3, FALSE), M69/L69)</f>
        <v>52.401961509449741</v>
      </c>
      <c r="P69" s="200">
        <f>+('INPUT CBM'!$K$9 / 18) * (2020- VLOOKUP(C69, 'INPUT NFI'!$C$69:$D$118, 2, FALSE))</f>
        <v>0.1229801703989601</v>
      </c>
      <c r="Q69" s="183">
        <f>+M69*P69</f>
        <v>4260489.7836043397</v>
      </c>
      <c r="R69" s="78">
        <f>+L69*N69</f>
        <v>784.23617264399309</v>
      </c>
      <c r="S69" s="184">
        <f>+R69*O69</f>
        <v>41095.513733208711</v>
      </c>
      <c r="U69" s="6"/>
      <c r="V69" s="6"/>
      <c r="W69" s="6"/>
      <c r="Y69" s="19"/>
    </row>
    <row r="70" spans="1:25" x14ac:dyDescent="0.25">
      <c r="A70" s="107" t="s">
        <v>89</v>
      </c>
      <c r="B70" s="108" t="s">
        <v>12</v>
      </c>
      <c r="C70" s="187" t="s">
        <v>91</v>
      </c>
      <c r="D70" s="181">
        <f t="shared" si="7"/>
        <v>461064.50802029803</v>
      </c>
      <c r="E70" s="111">
        <f>+VLOOKUP(C70, 'INPUT NFI'!$C$3:$K$282, 4, FALSE) * D70 / L70</f>
        <v>438272.21864772844</v>
      </c>
      <c r="F70" s="111">
        <f>+VLOOKUP(C70, 'INPUT NFI'!$C$3:$K$282, 5, FALSE) * D70 / L70</f>
        <v>22792.28937257006</v>
      </c>
      <c r="G70" s="111">
        <f t="shared" si="8"/>
        <v>47374025.116665199</v>
      </c>
      <c r="H70" s="111">
        <f>+VLOOKUP(C70, 'INPUT NFI'!$C$3:$K$282, 7, FALSE) * G70 / M70</f>
        <v>45463888.430036299</v>
      </c>
      <c r="I70" s="111">
        <f>+VLOOKUP(C70, 'INPUT NFI'!C70:K349, 8, FALSE) * G70 / M70</f>
        <v>1910136.6866289007</v>
      </c>
      <c r="J70" s="213">
        <f t="shared" si="9"/>
        <v>102.74923420169134</v>
      </c>
      <c r="K70" s="4"/>
      <c r="L70" s="183">
        <f>+VLOOKUP(C70, 'INPUT NFI'!$C$3:$K$282, 3, FALSE)</f>
        <v>460154.02247280272</v>
      </c>
      <c r="M70" s="184">
        <f>+VLOOKUP(C70, 'INPUT NFI'!$C$3:$K$282, 6, FALSE)</f>
        <v>42345121.47110343</v>
      </c>
      <c r="N70" s="201">
        <f>+VLOOKUP(B70, 'AREA CorrFactor'!$B$3:$J$40, 9, FALSE)</f>
        <v>1.9786538920218357E-3</v>
      </c>
      <c r="O70" s="202">
        <f>+IF(N70&gt;0, VLOOKUP(C70, 'INPUT CBM'!$N$3:$P$282, 3, FALSE), M70/L70)</f>
        <v>52.401961509449741</v>
      </c>
      <c r="P70" s="200">
        <f>+('INPUT CBM'!$K$9 / 18) * (2020- VLOOKUP(C70, 'INPUT NFI'!$C$69:$D$118, 2, FALSE))</f>
        <v>0.11763320646857053</v>
      </c>
      <c r="Q70" s="183">
        <f t="shared" si="10"/>
        <v>4981192.416947009</v>
      </c>
      <c r="R70" s="78">
        <f t="shared" si="11"/>
        <v>910.48554749531434</v>
      </c>
      <c r="S70" s="184">
        <f t="shared" si="12"/>
        <v>47711.228614759733</v>
      </c>
      <c r="U70" s="6"/>
      <c r="V70" s="6"/>
      <c r="W70" s="6"/>
      <c r="Y70" s="19"/>
    </row>
    <row r="71" spans="1:25" x14ac:dyDescent="0.25">
      <c r="A71" s="107" t="s">
        <v>89</v>
      </c>
      <c r="B71" s="108" t="s">
        <v>12</v>
      </c>
      <c r="C71" s="187" t="s">
        <v>92</v>
      </c>
      <c r="D71" s="181">
        <f t="shared" si="7"/>
        <v>318939.51896911848</v>
      </c>
      <c r="E71" s="111">
        <f>+VLOOKUP(C71, 'INPUT NFI'!$C$3:$K$282, 4, FALSE) * D71 / L71</f>
        <v>297054.22360998468</v>
      </c>
      <c r="F71" s="111">
        <f>+VLOOKUP(C71, 'INPUT NFI'!$C$3:$K$282, 5, FALSE) * D71 / L71</f>
        <v>21885.295359133772</v>
      </c>
      <c r="G71" s="111">
        <f t="shared" si="8"/>
        <v>22785482.123754732</v>
      </c>
      <c r="H71" s="111">
        <f>+VLOOKUP(C71, 'INPUT NFI'!$C$3:$K$282, 7, FALSE) * G71 / M71</f>
        <v>21837726.502256215</v>
      </c>
      <c r="I71" s="111">
        <f>+VLOOKUP(C71, 'INPUT NFI'!C71:K350, 8, FALSE) * G71 / M71</f>
        <v>947755.62149852351</v>
      </c>
      <c r="J71" s="213">
        <f t="shared" si="9"/>
        <v>71.441388628798151</v>
      </c>
      <c r="K71" s="4"/>
      <c r="L71" s="183">
        <f>+VLOOKUP(C71, 'INPUT NFI'!$C$3:$K$282, 3, FALSE)</f>
        <v>318309.6942537151</v>
      </c>
      <c r="M71" s="184">
        <f>+VLOOKUP(C71, 'INPUT NFI'!$C$3:$K$282, 6, FALSE)</f>
        <v>20357732.699399978</v>
      </c>
      <c r="N71" s="201">
        <f>+VLOOKUP(B71, 'AREA CorrFactor'!$B$3:$J$40, 9, FALSE)</f>
        <v>1.9786538920218357E-3</v>
      </c>
      <c r="O71" s="202">
        <f>+IF(N71&gt;0, VLOOKUP(C71, 'INPUT CBM'!$N$3:$P$282, 3, FALSE), M71/L71)</f>
        <v>52.401961509449741</v>
      </c>
      <c r="P71" s="200">
        <f>+('INPUT CBM'!$K$9 / 18) * (2020- VLOOKUP(C71, 'INPUT NFI'!$C$69:$D$118, 2, FALSE))</f>
        <v>0.11763320646857053</v>
      </c>
      <c r="Q71" s="183">
        <f t="shared" si="10"/>
        <v>2394745.3738604872</v>
      </c>
      <c r="R71" s="78">
        <f t="shared" si="11"/>
        <v>629.82471540339395</v>
      </c>
      <c r="S71" s="184">
        <f t="shared" si="12"/>
        <v>33004.050494268784</v>
      </c>
      <c r="U71" s="6"/>
      <c r="V71" s="6"/>
      <c r="W71" s="6"/>
      <c r="Y71" s="19"/>
    </row>
    <row r="72" spans="1:25" x14ac:dyDescent="0.25">
      <c r="A72" s="107" t="s">
        <v>89</v>
      </c>
      <c r="B72" s="108" t="s">
        <v>12</v>
      </c>
      <c r="C72" s="187" t="s">
        <v>93</v>
      </c>
      <c r="D72" s="181">
        <f t="shared" si="7"/>
        <v>221871.84095621374</v>
      </c>
      <c r="E72" s="111">
        <f>+VLOOKUP(C72, 'INPUT NFI'!$C$3:$K$282, 4, FALSE) * D72 / L72</f>
        <v>209783.69379146653</v>
      </c>
      <c r="F72" s="111">
        <f>+VLOOKUP(C72, 'INPUT NFI'!$C$3:$K$282, 5, FALSE) * D72 / L72</f>
        <v>12088.147164747214</v>
      </c>
      <c r="G72" s="111">
        <f t="shared" si="8"/>
        <v>21442937.786231928</v>
      </c>
      <c r="H72" s="111">
        <f>+VLOOKUP(C72, 'INPUT NFI'!$C$3:$K$282, 7, FALSE) * G72 / M72</f>
        <v>20901547.960747026</v>
      </c>
      <c r="I72" s="111">
        <f>+VLOOKUP(C72, 'INPUT NFI'!C72:K351, 8, FALSE) * G72 / M72</f>
        <v>541389.82548490341</v>
      </c>
      <c r="J72" s="213">
        <f t="shared" si="9"/>
        <v>96.64560267683396</v>
      </c>
      <c r="K72" s="4"/>
      <c r="L72" s="183">
        <f>+VLOOKUP(C72, 'INPUT NFI'!$C$3:$K$282, 3, FALSE)</f>
        <v>221433.70030328384</v>
      </c>
      <c r="M72" s="184">
        <f>+VLOOKUP(C72, 'INPUT NFI'!$C$3:$K$282, 6, FALSE)</f>
        <v>19165481.333793681</v>
      </c>
      <c r="N72" s="201">
        <f>+VLOOKUP(B72, 'AREA CorrFactor'!$B$3:$J$40, 9, FALSE)</f>
        <v>1.9786538920218357E-3</v>
      </c>
      <c r="O72" s="202">
        <f>+IF(N72&gt;0, VLOOKUP(C72, 'INPUT CBM'!$N$3:$P$282, 3, FALSE), M72/L72)</f>
        <v>52.401961509449741</v>
      </c>
      <c r="P72" s="200">
        <f>+('INPUT CBM'!$K$9 / 18) * (2020- VLOOKUP(C72, 'INPUT NFI'!$C$69:$D$118, 2, FALSE))</f>
        <v>0.11763320646857053</v>
      </c>
      <c r="Q72" s="183">
        <f t="shared" si="10"/>
        <v>2254497.0228076866</v>
      </c>
      <c r="R72" s="78">
        <f t="shared" si="11"/>
        <v>438.14065292988931</v>
      </c>
      <c r="S72" s="184">
        <f t="shared" si="12"/>
        <v>22959.429630557239</v>
      </c>
      <c r="T72" s="4"/>
      <c r="U72" s="6"/>
      <c r="V72" s="6"/>
      <c r="W72" s="6"/>
    </row>
    <row r="73" spans="1:25" x14ac:dyDescent="0.25">
      <c r="A73" s="107" t="s">
        <v>89</v>
      </c>
      <c r="B73" s="108" t="s">
        <v>12</v>
      </c>
      <c r="C73" s="187" t="s">
        <v>94</v>
      </c>
      <c r="D73" s="181">
        <f t="shared" si="7"/>
        <v>445525.6357396766</v>
      </c>
      <c r="E73" s="111">
        <f>+VLOOKUP(C73, 'INPUT NFI'!$C$3:$K$282, 4, FALSE) * D73 / L73</f>
        <v>408059.23778736877</v>
      </c>
      <c r="F73" s="111">
        <f>+VLOOKUP(C73, 'INPUT NFI'!$C$3:$K$282, 5, FALSE) * D73 / L73</f>
        <v>37466.397952307037</v>
      </c>
      <c r="G73" s="111">
        <f t="shared" si="8"/>
        <v>48294937.174253143</v>
      </c>
      <c r="H73" s="111">
        <f>+VLOOKUP(C73, 'INPUT NFI'!$C$3:$K$282, 7, FALSE) * G73 / M73</f>
        <v>44912929.242013738</v>
      </c>
      <c r="I73" s="111">
        <f>+VLOOKUP(C73, 'INPUT NFI'!C73:K352, 8, FALSE) * G73 / M73</f>
        <v>3382007.932239397</v>
      </c>
      <c r="J73" s="213">
        <f t="shared" si="9"/>
        <v>108.3999063130728</v>
      </c>
      <c r="K73" s="4"/>
      <c r="L73" s="183">
        <f>+VLOOKUP(C73, 'INPUT NFI'!$C$3:$K$282, 3, FALSE)</f>
        <v>444645.83552664053</v>
      </c>
      <c r="M73" s="184">
        <f>+VLOOKUP(C73, 'INPUT NFI'!$C$3:$K$282, 6, FALSE)</f>
        <v>43158395.406373233</v>
      </c>
      <c r="N73" s="201">
        <f>+VLOOKUP(B73, 'AREA CorrFactor'!$B$3:$J$40, 9, FALSE)</f>
        <v>1.9786538920218357E-3</v>
      </c>
      <c r="O73" s="202">
        <f>+IF(N73&gt;0, VLOOKUP(C73, 'INPUT CBM'!$N$3:$P$282, 3, FALSE), M73/L73)</f>
        <v>67.835094042374052</v>
      </c>
      <c r="P73" s="200">
        <f>+('INPUT CBM'!$K$9 / 18) * (2020- VLOOKUP(C73, 'INPUT NFI'!$C$69:$D$118, 2, FALSE))</f>
        <v>0.11763320646857053</v>
      </c>
      <c r="Q73" s="183">
        <f t="shared" si="10"/>
        <v>5076860.437690109</v>
      </c>
      <c r="R73" s="78">
        <f t="shared" si="11"/>
        <v>879.80021303608828</v>
      </c>
      <c r="S73" s="184">
        <f t="shared" si="12"/>
        <v>59681.330189803775</v>
      </c>
      <c r="T73" s="4"/>
      <c r="U73" s="6"/>
      <c r="V73" s="6"/>
      <c r="W73" s="6"/>
    </row>
    <row r="74" spans="1:25" x14ac:dyDescent="0.25">
      <c r="A74" s="107" t="s">
        <v>89</v>
      </c>
      <c r="B74" s="108" t="s">
        <v>12</v>
      </c>
      <c r="C74" s="187" t="s">
        <v>95</v>
      </c>
      <c r="D74" s="181">
        <f t="shared" si="7"/>
        <v>214498.66578079737</v>
      </c>
      <c r="E74" s="111">
        <f>+VLOOKUP(C74, 'INPUT NFI'!$C$3:$K$282, 4, FALSE) * D74 / L74</f>
        <v>196381.32520588761</v>
      </c>
      <c r="F74" s="111">
        <f>+VLOOKUP(C74, 'INPUT NFI'!$C$3:$K$282, 5, FALSE) * D74 / L74</f>
        <v>18117.340574909289</v>
      </c>
      <c r="G74" s="111">
        <f t="shared" si="8"/>
        <v>26230388.351337254</v>
      </c>
      <c r="H74" s="111">
        <f>+VLOOKUP(C74, 'INPUT NFI'!$C$3:$K$282, 7, FALSE) * G74 / M74</f>
        <v>24090345.022962678</v>
      </c>
      <c r="I74" s="111">
        <f>+VLOOKUP(C74, 'INPUT NFI'!C74:K353, 8, FALSE) * G74 / M74</f>
        <v>2140043.3283745763</v>
      </c>
      <c r="J74" s="213">
        <f t="shared" si="9"/>
        <v>122.28695342162582</v>
      </c>
      <c r="K74" s="4"/>
      <c r="L74" s="183">
        <f>+VLOOKUP(C74, 'INPUT NFI'!$C$3:$K$282, 3, FALSE)</f>
        <v>214075.08528012293</v>
      </c>
      <c r="M74" s="184">
        <f>+VLOOKUP(C74, 'INPUT NFI'!$C$3:$K$282, 6, FALSE)</f>
        <v>23672915.014220551</v>
      </c>
      <c r="N74" s="201">
        <f>+VLOOKUP(B74, 'AREA CorrFactor'!$B$3:$J$40, 9, FALSE)</f>
        <v>1.9786538920218357E-3</v>
      </c>
      <c r="O74" s="202">
        <f>+IF(N74&gt;0, VLOOKUP(C74, 'INPUT CBM'!$N$3:$P$282, 3, FALSE), M74/L74)</f>
        <v>61.166373124234212</v>
      </c>
      <c r="P74" s="200">
        <f>+('INPUT CBM'!$K$9 / 18) * (2020- VLOOKUP(C74, 'INPUT NFI'!$C$69:$D$118, 2, FALSE))</f>
        <v>0.1069392786077914</v>
      </c>
      <c r="Q74" s="183">
        <f t="shared" si="10"/>
        <v>2531564.4541642996</v>
      </c>
      <c r="R74" s="78">
        <f t="shared" si="11"/>
        <v>423.58050067442161</v>
      </c>
      <c r="S74" s="184">
        <f t="shared" si="12"/>
        <v>25908.882952401615</v>
      </c>
      <c r="T74" s="4"/>
      <c r="U74" s="6"/>
      <c r="V74" s="6"/>
      <c r="W74" s="6"/>
    </row>
    <row r="75" spans="1:25" x14ac:dyDescent="0.25">
      <c r="A75" s="107" t="s">
        <v>89</v>
      </c>
      <c r="B75" s="108" t="s">
        <v>12</v>
      </c>
      <c r="C75" s="187" t="s">
        <v>96</v>
      </c>
      <c r="D75" s="181">
        <f t="shared" si="7"/>
        <v>141274.21669917009</v>
      </c>
      <c r="E75" s="111">
        <f>+VLOOKUP(C75, 'INPUT NFI'!$C$3:$K$282, 4, FALSE) * D75 / L75</f>
        <v>139872.66807766381</v>
      </c>
      <c r="F75" s="111">
        <f>+VLOOKUP(C75, 'INPUT NFI'!$C$3:$K$282, 5, FALSE) * D75 / L75</f>
        <v>1401.5486215062454</v>
      </c>
      <c r="G75" s="111">
        <f t="shared" si="8"/>
        <v>19856654.450649619</v>
      </c>
      <c r="H75" s="111">
        <f>+VLOOKUP(C75, 'INPUT NFI'!$C$3:$K$282, 7, FALSE) * G75 / M75</f>
        <v>19620363.01605906</v>
      </c>
      <c r="I75" s="111">
        <f>+VLOOKUP(C75, 'INPUT NFI'!C75:K354, 8, FALSE) * G75 / M75</f>
        <v>236291.43459055579</v>
      </c>
      <c r="J75" s="213">
        <f t="shared" si="9"/>
        <v>140.55398723556516</v>
      </c>
      <c r="K75" s="4"/>
      <c r="L75" s="183">
        <f>+VLOOKUP(C75, 'INPUT NFI'!$C$3:$K$282, 3, FALSE)</f>
        <v>140995.23592684692</v>
      </c>
      <c r="M75" s="184">
        <f>+VLOOKUP(C75, 'INPUT NFI'!$C$3:$K$282, 6, FALSE)</f>
        <v>18361651.808304802</v>
      </c>
      <c r="N75" s="201">
        <f>+VLOOKUP(B75, 'AREA CorrFactor'!$B$3:$J$40, 9, FALSE)</f>
        <v>1.9786538920218357E-3</v>
      </c>
      <c r="O75" s="202">
        <f>+IF(N75&gt;0, VLOOKUP(C75, 'INPUT CBM'!$N$3:$P$282, 3, FALSE), M75/L75)</f>
        <v>79.992227917026696</v>
      </c>
      <c r="P75" s="200">
        <f>+('INPUT CBM'!$K$9 / 18) * (2020- VLOOKUP(C75, 'INPUT NFI'!$C$69:$D$118, 2, FALSE))</f>
        <v>8.0204458955843549E-2</v>
      </c>
      <c r="Q75" s="183">
        <f t="shared" si="10"/>
        <v>1472686.3488206728</v>
      </c>
      <c r="R75" s="78">
        <f t="shared" si="11"/>
        <v>278.98077232319258</v>
      </c>
      <c r="S75" s="184">
        <f t="shared" si="12"/>
        <v>22316.293524144956</v>
      </c>
      <c r="T75" s="4"/>
      <c r="U75" s="6"/>
      <c r="V75" s="6"/>
      <c r="W75" s="6"/>
    </row>
    <row r="76" spans="1:25" x14ac:dyDescent="0.25">
      <c r="A76" s="107" t="s">
        <v>89</v>
      </c>
      <c r="B76" s="108" t="s">
        <v>12</v>
      </c>
      <c r="C76" s="187" t="s">
        <v>97</v>
      </c>
      <c r="D76" s="181">
        <f t="shared" si="7"/>
        <v>122837.36111422742</v>
      </c>
      <c r="E76" s="111">
        <f>+VLOOKUP(C76, 'INPUT NFI'!$C$3:$K$282, 4, FALSE) * D76 / L76</f>
        <v>122353.97568094201</v>
      </c>
      <c r="F76" s="111">
        <f>+VLOOKUP(C76, 'INPUT NFI'!$C$3:$K$282, 5, FALSE) * D76 / L76</f>
        <v>483.38543328540231</v>
      </c>
      <c r="G76" s="111">
        <f t="shared" si="8"/>
        <v>18658863.930384934</v>
      </c>
      <c r="H76" s="111">
        <f>+VLOOKUP(C76, 'INPUT NFI'!$C$3:$K$282, 7, FALSE) * G76 / M76</f>
        <v>18636880.179745469</v>
      </c>
      <c r="I76" s="111">
        <f>+VLOOKUP(C76, 'INPUT NFI'!C76:K355, 8, FALSE) * G76 / M76</f>
        <v>21983.750639468075</v>
      </c>
      <c r="J76" s="213">
        <f t="shared" si="9"/>
        <v>151.8989317348971</v>
      </c>
      <c r="K76" s="4"/>
      <c r="L76" s="183">
        <f>+VLOOKUP(C76, 'INPUT NFI'!$C$3:$K$282, 3, FALSE)</f>
        <v>122594.78845890162</v>
      </c>
      <c r="M76" s="184">
        <f>+VLOOKUP(C76, 'INPUT NFI'!$C$3:$K$282, 6, FALSE)</f>
        <v>17255492.558576465</v>
      </c>
      <c r="N76" s="201">
        <f>+VLOOKUP(B76, 'AREA CorrFactor'!$B$3:$J$40, 9, FALSE)</f>
        <v>1.9786538920218357E-3</v>
      </c>
      <c r="O76" s="202">
        <f>+IF(N76&gt;0, VLOOKUP(C76, 'INPUT CBM'!$N$3:$P$282, 3, FALSE), M76/L76)</f>
        <v>79.992227917026696</v>
      </c>
      <c r="P76" s="200">
        <f>+('INPUT CBM'!$K$9 / 18) * (2020- VLOOKUP(C76, 'INPUT NFI'!$C$69:$D$118, 2, FALSE))</f>
        <v>8.0204458955843549E-2</v>
      </c>
      <c r="Q76" s="183">
        <f t="shared" si="10"/>
        <v>1383967.4446772099</v>
      </c>
      <c r="R76" s="78">
        <f t="shared" si="11"/>
        <v>242.5726553257993</v>
      </c>
      <c r="S76" s="184">
        <f t="shared" si="12"/>
        <v>19403.927131259697</v>
      </c>
      <c r="T76" s="4"/>
      <c r="U76" s="6"/>
      <c r="V76" s="6"/>
      <c r="W76" s="6"/>
    </row>
    <row r="77" spans="1:25" x14ac:dyDescent="0.25">
      <c r="A77" s="107" t="s">
        <v>89</v>
      </c>
      <c r="B77" s="108" t="s">
        <v>12</v>
      </c>
      <c r="C77" s="187" t="s">
        <v>98</v>
      </c>
      <c r="D77" s="181">
        <f t="shared" si="7"/>
        <v>126880.6341410145</v>
      </c>
      <c r="E77" s="111">
        <f>+VLOOKUP(C77, 'INPUT NFI'!$C$3:$K$282, 4, FALSE) * D77 / L77</f>
        <v>125808.35191698925</v>
      </c>
      <c r="F77" s="111">
        <f>+VLOOKUP(C77, 'INPUT NFI'!$C$3:$K$282, 5, FALSE) * D77 / L77</f>
        <v>1072.282224025249</v>
      </c>
      <c r="G77" s="111">
        <f t="shared" si="8"/>
        <v>15573838.744192341</v>
      </c>
      <c r="H77" s="111">
        <f>+VLOOKUP(C77, 'INPUT NFI'!$C$3:$K$282, 7, FALSE) * G77 / M77</f>
        <v>15488868.972223299</v>
      </c>
      <c r="I77" s="111">
        <f>+VLOOKUP(C77, 'INPUT NFI'!C77:K356, 8, FALSE) * G77 / M77</f>
        <v>84969.771969043257</v>
      </c>
      <c r="J77" s="213">
        <f t="shared" si="9"/>
        <v>122.74401723815201</v>
      </c>
      <c r="K77" s="4"/>
      <c r="L77" s="183">
        <f>+VLOOKUP(C77, 'INPUT NFI'!$C$3:$K$282, 3, FALSE)</f>
        <v>126630.07704621997</v>
      </c>
      <c r="M77" s="184">
        <f>+VLOOKUP(C77, 'INPUT NFI'!$C$3:$K$282, 6, FALSE)</f>
        <v>14398937.159539271</v>
      </c>
      <c r="N77" s="201">
        <f>+VLOOKUP(B77, 'AREA CorrFactor'!$B$3:$J$40, 9, FALSE)</f>
        <v>1.9786538920218357E-3</v>
      </c>
      <c r="O77" s="202">
        <f>+IF(N77&gt;0, VLOOKUP(C77, 'INPUT CBM'!$N$3:$P$282, 3, FALSE), M77/L77)</f>
        <v>79.992227917026696</v>
      </c>
      <c r="P77" s="200">
        <f>+('INPUT CBM'!$K$9 / 18) * (2020- VLOOKUP(C77, 'INPUT NFI'!$C$69:$D$118, 2, FALSE))</f>
        <v>8.0204458955843549E-2</v>
      </c>
      <c r="Q77" s="183">
        <f t="shared" si="10"/>
        <v>1154858.964420038</v>
      </c>
      <c r="R77" s="78">
        <f t="shared" si="11"/>
        <v>250.55709479452807</v>
      </c>
      <c r="S77" s="184">
        <f t="shared" si="12"/>
        <v>20042.620233031954</v>
      </c>
      <c r="T77" s="4"/>
      <c r="U77" s="6"/>
      <c r="V77" s="6"/>
      <c r="W77" s="6"/>
    </row>
    <row r="78" spans="1:25" x14ac:dyDescent="0.25">
      <c r="A78" s="107" t="s">
        <v>89</v>
      </c>
      <c r="B78" s="108" t="s">
        <v>12</v>
      </c>
      <c r="C78" s="187" t="s">
        <v>99</v>
      </c>
      <c r="D78" s="181">
        <f t="shared" si="7"/>
        <v>455672.82721692417</v>
      </c>
      <c r="E78" s="111">
        <f>+VLOOKUP(C78, 'INPUT NFI'!$C$3:$K$282, 4, FALSE) * D78 / L78</f>
        <v>413270.02176201908</v>
      </c>
      <c r="F78" s="111">
        <f>+VLOOKUP(C78, 'INPUT NFI'!$C$3:$K$282, 5, FALSE) * D78 / L78</f>
        <v>42402.805454902293</v>
      </c>
      <c r="G78" s="111">
        <f t="shared" si="8"/>
        <v>62789545.090974726</v>
      </c>
      <c r="H78" s="111">
        <f>+VLOOKUP(C78, 'INPUT NFI'!$C$3:$K$282, 7, FALSE) * G78 / M78</f>
        <v>58351588.327815652</v>
      </c>
      <c r="I78" s="111">
        <f>+VLOOKUP(C78, 'INPUT NFI'!C78:K357, 8, FALSE) * G78 / M78</f>
        <v>4437956.7631590702</v>
      </c>
      <c r="J78" s="213">
        <f t="shared" si="9"/>
        <v>137.79523671505567</v>
      </c>
      <c r="K78" s="4"/>
      <c r="L78" s="183">
        <f>+VLOOKUP(C78, 'INPUT NFI'!$C$3:$K$282, 3, FALSE)</f>
        <v>454772.9888725052</v>
      </c>
      <c r="M78" s="184">
        <f>+VLOOKUP(C78, 'INPUT NFI'!$C$3:$K$282, 6, FALSE)</f>
        <v>56386880.616473645</v>
      </c>
      <c r="N78" s="201">
        <f>+VLOOKUP(B78, 'AREA CorrFactor'!$B$3:$J$40, 9, FALSE)</f>
        <v>1.9786538920218357E-3</v>
      </c>
      <c r="O78" s="202">
        <f>+IF(N78&gt;0, VLOOKUP(C78, 'INPUT CBM'!$N$3:$P$282, 3, FALSE), M78/L78)</f>
        <v>79.118123905064564</v>
      </c>
      <c r="P78" s="200">
        <f>+('INPUT CBM'!$K$9 / 18) * (2020- VLOOKUP(C78, 'INPUT NFI'!$C$69:$D$118, 2, FALSE))</f>
        <v>0.11228624253818097</v>
      </c>
      <c r="Q78" s="183">
        <f t="shared" si="10"/>
        <v>6331470.9528728146</v>
      </c>
      <c r="R78" s="78">
        <f t="shared" si="11"/>
        <v>899.83834441898534</v>
      </c>
      <c r="S78" s="184">
        <f t="shared" si="12"/>
        <v>71193.521628269446</v>
      </c>
      <c r="T78" s="4"/>
      <c r="U78" s="6"/>
      <c r="V78" s="6"/>
      <c r="W78" s="6"/>
    </row>
    <row r="79" spans="1:25" x14ac:dyDescent="0.25">
      <c r="A79" s="107" t="s">
        <v>89</v>
      </c>
      <c r="B79" s="108" t="s">
        <v>12</v>
      </c>
      <c r="C79" s="187" t="s">
        <v>100</v>
      </c>
      <c r="D79" s="181">
        <f t="shared" si="7"/>
        <v>165745.84929830965</v>
      </c>
      <c r="E79" s="111">
        <f>+VLOOKUP(C79, 'INPUT NFI'!$C$3:$K$282, 4, FALSE) * D79 / L79</f>
        <v>148538.22364781919</v>
      </c>
      <c r="F79" s="111">
        <f>+VLOOKUP(C79, 'INPUT NFI'!$C$3:$K$282, 5, FALSE) * D79 / L79</f>
        <v>17207.625650489754</v>
      </c>
      <c r="G79" s="111">
        <f t="shared" si="8"/>
        <v>16216873.461035416</v>
      </c>
      <c r="H79" s="111">
        <f>+VLOOKUP(C79, 'INPUT NFI'!$C$3:$K$282, 7, FALSE) * G79 / M79</f>
        <v>14755575.246952057</v>
      </c>
      <c r="I79" s="111">
        <f>+VLOOKUP(C79, 'INPUT NFI'!C79:K358, 8, FALSE) * G79 / M79</f>
        <v>1461298.2140833556</v>
      </c>
      <c r="J79" s="213">
        <f t="shared" si="9"/>
        <v>97.841807379732685</v>
      </c>
      <c r="K79" s="4"/>
      <c r="L79" s="183">
        <f>+VLOOKUP(C79, 'INPUT NFI'!$C$3:$K$282, 3, FALSE)</f>
        <v>165418.54325388776</v>
      </c>
      <c r="M79" s="184">
        <f>+VLOOKUP(C79, 'INPUT NFI'!$C$3:$K$282, 6, FALSE)</f>
        <v>14561020.552017031</v>
      </c>
      <c r="N79" s="201">
        <f>+VLOOKUP(B79, 'AREA CorrFactor'!$B$3:$J$40, 9, FALSE)</f>
        <v>1.9786538920218357E-3</v>
      </c>
      <c r="O79" s="202">
        <f>+IF(N79&gt;0, VLOOKUP(C79, 'INPUT CBM'!$N$3:$P$282, 3, FALSE), M79/L79)</f>
        <v>63.703753922384372</v>
      </c>
      <c r="P79" s="200">
        <f>+('INPUT CBM'!$K$9 / 18) * (2020- VLOOKUP(C79, 'INPUT NFI'!$C$69:$D$118, 2, FALSE))</f>
        <v>0.11228624253818097</v>
      </c>
      <c r="Q79" s="183">
        <f t="shared" si="10"/>
        <v>1635002.285307222</v>
      </c>
      <c r="R79" s="78">
        <f t="shared" si="11"/>
        <v>327.30604442188741</v>
      </c>
      <c r="S79" s="184">
        <f t="shared" si="12"/>
        <v>20850.623711160923</v>
      </c>
      <c r="T79" s="4"/>
      <c r="U79" s="6"/>
      <c r="V79" s="6"/>
      <c r="W79" s="6"/>
    </row>
    <row r="80" spans="1:25" x14ac:dyDescent="0.25">
      <c r="A80" s="107" t="s">
        <v>89</v>
      </c>
      <c r="B80" s="108" t="s">
        <v>12</v>
      </c>
      <c r="C80" s="187" t="s">
        <v>101</v>
      </c>
      <c r="D80" s="181">
        <f t="shared" si="7"/>
        <v>605365.18360269407</v>
      </c>
      <c r="E80" s="111">
        <f>+VLOOKUP(C80, 'INPUT NFI'!$C$3:$K$282, 4, FALSE) * D80 / L80</f>
        <v>544994.13847880578</v>
      </c>
      <c r="F80" s="111">
        <f>+VLOOKUP(C80, 'INPUT NFI'!$C$3:$K$282, 5, FALSE) * D80 / L80</f>
        <v>60371.045123886914</v>
      </c>
      <c r="G80" s="111">
        <f t="shared" si="8"/>
        <v>49189209.586721599</v>
      </c>
      <c r="H80" s="111">
        <f>+VLOOKUP(C80, 'INPUT NFI'!$C$3:$K$282, 7, FALSE) * G80 / M80</f>
        <v>42943081.073353879</v>
      </c>
      <c r="I80" s="111">
        <f>+VLOOKUP(C80, 'INPUT NFI'!C80:K359, 8, FALSE) * G80 / M80</f>
        <v>6246128.5133677134</v>
      </c>
      <c r="J80" s="213">
        <f t="shared" si="9"/>
        <v>81.255432124429646</v>
      </c>
      <c r="K80" s="4"/>
      <c r="L80" s="183">
        <f>+VLOOKUP(C80, 'INPUT NFI'!$C$3:$K$282, 3, FALSE)</f>
        <v>604169.74079363095</v>
      </c>
      <c r="M80" s="184">
        <f>+VLOOKUP(C80, 'INPUT NFI'!$C$3:$K$282, 6, FALSE)</f>
        <v>45253380.740977794</v>
      </c>
      <c r="N80" s="201">
        <f>+VLOOKUP(B80, 'AREA CorrFactor'!$B$3:$J$40, 9, FALSE)</f>
        <v>1.9786538920218357E-3</v>
      </c>
      <c r="O80" s="202">
        <f>+IF(N80&gt;0, VLOOKUP(C80, 'INPUT CBM'!$N$3:$P$282, 3, FALSE), M80/L80)</f>
        <v>53.819164290359467</v>
      </c>
      <c r="P80" s="200">
        <f>+('INPUT CBM'!$K$9 / 18) * (2020- VLOOKUP(C80, 'INPUT NFI'!$C$69:$D$118, 2, FALSE))</f>
        <v>8.5551422886233117E-2</v>
      </c>
      <c r="Q80" s="183">
        <f t="shared" si="10"/>
        <v>3871491.1128031085</v>
      </c>
      <c r="R80" s="78">
        <f t="shared" si="11"/>
        <v>1195.4428090631416</v>
      </c>
      <c r="S80" s="184">
        <f t="shared" si="12"/>
        <v>64337.732940698043</v>
      </c>
      <c r="T80" s="4"/>
      <c r="U80" s="6"/>
      <c r="V80" s="6"/>
      <c r="W80" s="6"/>
    </row>
    <row r="81" spans="1:23" x14ac:dyDescent="0.25">
      <c r="A81" s="107" t="s">
        <v>89</v>
      </c>
      <c r="B81" s="108" t="s">
        <v>12</v>
      </c>
      <c r="C81" s="187" t="s">
        <v>102</v>
      </c>
      <c r="D81" s="181">
        <f t="shared" si="7"/>
        <v>587513.80816556874</v>
      </c>
      <c r="E81" s="111">
        <f>+VLOOKUP(C81, 'INPUT NFI'!$C$3:$K$282, 4, FALSE) * D81 / L81</f>
        <v>547963.57394624804</v>
      </c>
      <c r="F81" s="111">
        <f>+VLOOKUP(C81, 'INPUT NFI'!$C$3:$K$282, 5, FALSE) * D81 / L81</f>
        <v>39550.234219323167</v>
      </c>
      <c r="G81" s="111">
        <f t="shared" si="8"/>
        <v>30673869.332073409</v>
      </c>
      <c r="H81" s="111">
        <f>+VLOOKUP(C81, 'INPUT NFI'!$C$3:$K$282, 7, FALSE) * G81 / M81</f>
        <v>29322863.698774528</v>
      </c>
      <c r="I81" s="111">
        <f>+VLOOKUP(C81, 'INPUT NFI'!C81:K360, 8, FALSE) * G81 / M81</f>
        <v>1351005.63329888</v>
      </c>
      <c r="J81" s="213">
        <f t="shared" si="9"/>
        <v>52.209614320126974</v>
      </c>
      <c r="K81" s="4"/>
      <c r="L81" s="183">
        <f>+VLOOKUP(C81, 'INPUT NFI'!$C$3:$K$282, 3, FALSE)</f>
        <v>586353.6172985998</v>
      </c>
      <c r="M81" s="184">
        <f>+VLOOKUP(C81, 'INPUT NFI'!$C$3:$K$282, 6, FALSE)</f>
        <v>28198967.072243374</v>
      </c>
      <c r="N81" s="201">
        <f>+VLOOKUP(B81, 'AREA CorrFactor'!$B$3:$J$40, 9, FALSE)</f>
        <v>1.9786538920218357E-3</v>
      </c>
      <c r="O81" s="202">
        <f>+IF(N81&gt;0, VLOOKUP(C81, 'INPUT CBM'!$N$3:$P$282, 3, FALSE), M81/L81)</f>
        <v>53.819164290359467</v>
      </c>
      <c r="P81" s="200">
        <f>+('INPUT CBM'!$K$9 / 18) * (2020- VLOOKUP(C81, 'INPUT NFI'!$C$69:$D$118, 2, FALSE))</f>
        <v>8.5551422886233117E-2</v>
      </c>
      <c r="Q81" s="183">
        <f t="shared" si="10"/>
        <v>2412461.7569524557</v>
      </c>
      <c r="R81" s="78">
        <f t="shared" si="11"/>
        <v>1160.1908669689565</v>
      </c>
      <c r="S81" s="184">
        <f t="shared" si="12"/>
        <v>62440.502877576851</v>
      </c>
      <c r="T81" s="4"/>
      <c r="U81" s="6"/>
      <c r="V81" s="6"/>
      <c r="W81" s="6"/>
    </row>
    <row r="82" spans="1:23" x14ac:dyDescent="0.25">
      <c r="A82" s="107" t="s">
        <v>89</v>
      </c>
      <c r="B82" s="108" t="s">
        <v>12</v>
      </c>
      <c r="C82" s="187" t="s">
        <v>103</v>
      </c>
      <c r="D82" s="181">
        <f t="shared" si="7"/>
        <v>372431.13659224537</v>
      </c>
      <c r="E82" s="111">
        <f>+VLOOKUP(C82, 'INPUT NFI'!$C$3:$K$282, 4, FALSE) * D82 / L82</f>
        <v>350051.40715343889</v>
      </c>
      <c r="F82" s="111">
        <f>+VLOOKUP(C82, 'INPUT NFI'!$C$3:$K$282, 5, FALSE) * D82 / L82</f>
        <v>22379.729438806866</v>
      </c>
      <c r="G82" s="111">
        <f t="shared" si="8"/>
        <v>16346353.362193292</v>
      </c>
      <c r="H82" s="111">
        <f>+VLOOKUP(C82, 'INPUT NFI'!$C$3:$K$282, 7, FALSE) * G82 / M82</f>
        <v>15677458.268696725</v>
      </c>
      <c r="I82" s="111">
        <f>+VLOOKUP(C82, 'INPUT NFI'!C82:K361, 8, FALSE) * G82 / M82</f>
        <v>668895.09349656315</v>
      </c>
      <c r="J82" s="213">
        <f t="shared" si="9"/>
        <v>43.890941857769604</v>
      </c>
      <c r="K82" s="4"/>
      <c r="L82" s="183">
        <f>+VLOOKUP(C82, 'INPUT NFI'!$C$3:$K$282, 3, FALSE)</f>
        <v>371695.67948937602</v>
      </c>
      <c r="M82" s="184">
        <f>+VLOOKUP(C82, 'INPUT NFI'!$C$3:$K$282, 6, FALSE)</f>
        <v>15021648.290220536</v>
      </c>
      <c r="N82" s="201">
        <f>+VLOOKUP(B82, 'AREA CorrFactor'!$B$3:$J$40, 9, FALSE)</f>
        <v>1.9786538920218357E-3</v>
      </c>
      <c r="O82" s="202">
        <f>+IF(N82&gt;0, VLOOKUP(C82, 'INPUT CBM'!$N$3:$P$282, 3, FALSE), M82/L82)</f>
        <v>53.819164290359467</v>
      </c>
      <c r="P82" s="200">
        <f>+('INPUT CBM'!$K$9 / 18) * (2020- VLOOKUP(C82, 'INPUT NFI'!$C$69:$D$118, 2, FALSE))</f>
        <v>8.5551422886233117E-2</v>
      </c>
      <c r="Q82" s="183">
        <f t="shared" si="10"/>
        <v>1285123.3853249177</v>
      </c>
      <c r="R82" s="78">
        <f t="shared" si="11"/>
        <v>735.45710286935469</v>
      </c>
      <c r="S82" s="184">
        <f t="shared" si="12"/>
        <v>39581.686647837603</v>
      </c>
      <c r="T82" s="4"/>
      <c r="U82" s="6"/>
      <c r="V82" s="6"/>
      <c r="W82" s="6"/>
    </row>
    <row r="83" spans="1:23" x14ac:dyDescent="0.25">
      <c r="A83" s="107" t="s">
        <v>89</v>
      </c>
      <c r="B83" s="108" t="s">
        <v>12</v>
      </c>
      <c r="C83" s="187" t="s">
        <v>104</v>
      </c>
      <c r="D83" s="181">
        <f t="shared" si="7"/>
        <v>270603.95066942315</v>
      </c>
      <c r="E83" s="111">
        <f>+VLOOKUP(C83, 'INPUT NFI'!$C$3:$K$282, 4, FALSE) * D83 / L83</f>
        <v>231982.44616666567</v>
      </c>
      <c r="F83" s="111">
        <f>+VLOOKUP(C83, 'INPUT NFI'!$C$3:$K$282, 5, FALSE) * D83 / L83</f>
        <v>38621.504502756849</v>
      </c>
      <c r="G83" s="111">
        <f t="shared" si="8"/>
        <v>12832819.763640609</v>
      </c>
      <c r="H83" s="111">
        <f>+VLOOKUP(C83, 'INPUT NFI'!$C$3:$K$282, 7, FALSE) * G83 / M83</f>
        <v>10814608.856419833</v>
      </c>
      <c r="I83" s="111">
        <f>+VLOOKUP(C83, 'INPUT NFI'!C83:K362, 8, FALSE) * G83 / M83</f>
        <v>2018210.9072207743</v>
      </c>
      <c r="J83" s="213">
        <f t="shared" si="9"/>
        <v>47.422884004075449</v>
      </c>
      <c r="K83" s="4"/>
      <c r="L83" s="183">
        <f>+VLOOKUP(C83, 'INPUT NFI'!$C$3:$K$282, 3, FALSE)</f>
        <v>270069.57645086199</v>
      </c>
      <c r="M83" s="184">
        <f>+VLOOKUP(C83, 'INPUT NFI'!$C$3:$K$282, 6, FALSE)</f>
        <v>11570065.156218797</v>
      </c>
      <c r="N83" s="201">
        <f>+VLOOKUP(B83, 'AREA CorrFactor'!$B$3:$J$40, 9, FALSE)</f>
        <v>1.9786538920218357E-3</v>
      </c>
      <c r="O83" s="202">
        <f>+IF(N83&gt;0, VLOOKUP(C83, 'INPUT CBM'!$N$3:$P$282, 3, FALSE), M83/L83)</f>
        <v>47.644862506994713</v>
      </c>
      <c r="P83" s="200">
        <f>+('INPUT CBM'!$K$9 / 18) * (2020- VLOOKUP(C83, 'INPUT NFI'!$C$69:$D$118, 2, FALSE))</f>
        <v>0.1069392786077914</v>
      </c>
      <c r="Q83" s="183">
        <f t="shared" si="10"/>
        <v>1237294.4212511815</v>
      </c>
      <c r="R83" s="78">
        <f t="shared" si="11"/>
        <v>534.37421856118681</v>
      </c>
      <c r="S83" s="184">
        <f t="shared" si="12"/>
        <v>25460.186170630488</v>
      </c>
      <c r="T83" s="4"/>
      <c r="U83" s="6"/>
      <c r="V83" s="6"/>
      <c r="W83" s="6"/>
    </row>
    <row r="84" spans="1:23" x14ac:dyDescent="0.25">
      <c r="A84" s="107" t="s">
        <v>89</v>
      </c>
      <c r="B84" s="108" t="s">
        <v>12</v>
      </c>
      <c r="C84" s="187" t="s">
        <v>105</v>
      </c>
      <c r="D84" s="181">
        <f t="shared" si="7"/>
        <v>235772.07160443987</v>
      </c>
      <c r="E84" s="111">
        <f>+VLOOKUP(C84, 'INPUT NFI'!$C$3:$K$282, 4, FALSE) * D84 / L84</f>
        <v>219051.46074894033</v>
      </c>
      <c r="F84" s="111">
        <f>+VLOOKUP(C84, 'INPUT NFI'!$C$3:$K$282, 5, FALSE) * D84 / L84</f>
        <v>16720.610855500483</v>
      </c>
      <c r="G84" s="111">
        <f t="shared" si="8"/>
        <v>16651683.012426846</v>
      </c>
      <c r="H84" s="111">
        <f>+VLOOKUP(C84, 'INPUT NFI'!$C$3:$K$282, 7, FALSE) * G84 / M84</f>
        <v>15458136.335585553</v>
      </c>
      <c r="I84" s="111">
        <f>+VLOOKUP(C84, 'INPUT NFI'!C84:K363, 8, FALSE) * G84 / M84</f>
        <v>1193546.6768412902</v>
      </c>
      <c r="J84" s="213">
        <f t="shared" si="9"/>
        <v>70.626189519018823</v>
      </c>
      <c r="K84" s="4"/>
      <c r="L84" s="183">
        <f>+VLOOKUP(C84, 'INPUT NFI'!$C$3:$K$282, 3, FALSE)</f>
        <v>235306.4815189644</v>
      </c>
      <c r="M84" s="184">
        <f>+VLOOKUP(C84, 'INPUT NFI'!$C$3:$K$282, 6, FALSE)</f>
        <v>15166953.511877153</v>
      </c>
      <c r="N84" s="201">
        <f>+VLOOKUP(B84, 'AREA CorrFactor'!$B$3:$J$40, 9, FALSE)</f>
        <v>1.9786538920218357E-3</v>
      </c>
      <c r="O84" s="202">
        <f>+IF(N84&gt;0, VLOOKUP(C84, 'INPUT CBM'!$N$3:$P$282, 3, FALSE), M84/L84)</f>
        <v>53.653934683629977</v>
      </c>
      <c r="P84" s="200">
        <f>+('INPUT CBM'!$K$9 / 18) * (2020- VLOOKUP(C84, 'INPUT NFI'!$C$69:$D$118, 2, FALSE))</f>
        <v>9.6245350747012251E-2</v>
      </c>
      <c r="Q84" s="183">
        <f t="shared" si="10"/>
        <v>1459748.7605142458</v>
      </c>
      <c r="R84" s="78">
        <f t="shared" si="11"/>
        <v>465.59008547546307</v>
      </c>
      <c r="S84" s="184">
        <f t="shared" si="12"/>
        <v>24980.740035446193</v>
      </c>
      <c r="T84" s="4"/>
      <c r="U84" s="6"/>
      <c r="V84" s="6"/>
      <c r="W84" s="6"/>
    </row>
    <row r="85" spans="1:23" x14ac:dyDescent="0.25">
      <c r="A85" s="107" t="s">
        <v>89</v>
      </c>
      <c r="B85" s="108" t="s">
        <v>12</v>
      </c>
      <c r="C85" s="187" t="s">
        <v>106</v>
      </c>
      <c r="D85" s="181">
        <f t="shared" si="7"/>
        <v>476269.22510468523</v>
      </c>
      <c r="E85" s="111">
        <f>+VLOOKUP(C85, 'INPUT NFI'!$C$3:$K$282, 4, FALSE) * D85 / L85</f>
        <v>454321.02598800894</v>
      </c>
      <c r="F85" s="111">
        <f>+VLOOKUP(C85, 'INPUT NFI'!$C$3:$K$282, 5, FALSE) * D85 / L85</f>
        <v>21948.199116677701</v>
      </c>
      <c r="G85" s="111">
        <f t="shared" si="8"/>
        <v>39578536.87967626</v>
      </c>
      <c r="H85" s="111">
        <f>+VLOOKUP(C85, 'INPUT NFI'!$C$3:$K$282, 7, FALSE) * G85 / M85</f>
        <v>38445345.308785692</v>
      </c>
      <c r="I85" s="111">
        <f>+VLOOKUP(C85, 'INPUT NFI'!C85:K364, 8, FALSE) * G85 / M85</f>
        <v>1133191.570890568</v>
      </c>
      <c r="J85" s="213">
        <f t="shared" si="9"/>
        <v>83.101184778371504</v>
      </c>
      <c r="K85" s="4"/>
      <c r="L85" s="183">
        <f>+VLOOKUP(C85, 'INPUT NFI'!$C$3:$K$282, 3, FALSE)</f>
        <v>475328.71409455233</v>
      </c>
      <c r="M85" s="184">
        <f>+VLOOKUP(C85, 'INPUT NFI'!$C$3:$K$282, 6, FALSE)</f>
        <v>36234424.06832885</v>
      </c>
      <c r="N85" s="201">
        <f>+VLOOKUP(B85, 'AREA CorrFactor'!$B$3:$J$40, 9, FALSE)</f>
        <v>1.9786538920218357E-3</v>
      </c>
      <c r="O85" s="202">
        <f>+IF(N85&gt;0, VLOOKUP(C85, 'INPUT CBM'!$N$3:$P$282, 3, FALSE), M85/L85)</f>
        <v>53.653934683629977</v>
      </c>
      <c r="P85" s="200">
        <f>+('INPUT CBM'!$K$9 / 18) * (2020- VLOOKUP(C85, 'INPUT NFI'!$C$69:$D$118, 2, FALSE))</f>
        <v>9.0898386816622684E-2</v>
      </c>
      <c r="Q85" s="183">
        <f t="shared" si="10"/>
        <v>3293650.6950404989</v>
      </c>
      <c r="R85" s="78">
        <f t="shared" si="11"/>
        <v>940.51101013292032</v>
      </c>
      <c r="S85" s="184">
        <f t="shared" si="12"/>
        <v>50462.116306906559</v>
      </c>
      <c r="T85" s="4"/>
      <c r="U85" s="6"/>
      <c r="V85" s="6"/>
      <c r="W85" s="6"/>
    </row>
    <row r="86" spans="1:23" x14ac:dyDescent="0.25">
      <c r="A86" s="107" t="s">
        <v>89</v>
      </c>
      <c r="B86" s="108" t="s">
        <v>12</v>
      </c>
      <c r="C86" s="187" t="s">
        <v>107</v>
      </c>
      <c r="D86" s="181">
        <f t="shared" si="7"/>
        <v>527224.20287209633</v>
      </c>
      <c r="E86" s="111">
        <f>+VLOOKUP(C86, 'INPUT NFI'!$C$3:$K$282, 4, FALSE) * D86 / L86</f>
        <v>487764.81969867006</v>
      </c>
      <c r="F86" s="111">
        <f>+VLOOKUP(C86, 'INPUT NFI'!$C$3:$K$282, 5, FALSE) * D86 / L86</f>
        <v>39459.383173425107</v>
      </c>
      <c r="G86" s="111">
        <f t="shared" si="8"/>
        <v>31667574.227600865</v>
      </c>
      <c r="H86" s="111">
        <f>+VLOOKUP(C86, 'INPUT NFI'!$C$3:$K$282, 7, FALSE) * G86 / M86</f>
        <v>28369639.250018626</v>
      </c>
      <c r="I86" s="111">
        <f>+VLOOKUP(C86, 'INPUT NFI'!C86:K365, 8, FALSE) * G86 / M86</f>
        <v>3297934.9775822409</v>
      </c>
      <c r="J86" s="213">
        <f t="shared" si="9"/>
        <v>60.064720198900588</v>
      </c>
      <c r="K86" s="4"/>
      <c r="L86" s="183">
        <f>+VLOOKUP(C86, 'INPUT NFI'!$C$3:$K$282, 3, FALSE)</f>
        <v>526183.06869530631</v>
      </c>
      <c r="M86" s="184">
        <f>+VLOOKUP(C86, 'INPUT NFI'!$C$3:$K$282, 6, FALSE)</f>
        <v>28977688.173808191</v>
      </c>
      <c r="N86" s="201">
        <f>+VLOOKUP(B86, 'AREA CorrFactor'!$B$3:$J$40, 9, FALSE)</f>
        <v>1.9786538920218357E-3</v>
      </c>
      <c r="O86" s="202">
        <f>+IF(N86&gt;0, VLOOKUP(C86, 'INPUT CBM'!$N$3:$P$282, 3, FALSE), M86/L86)</f>
        <v>53.653934683629977</v>
      </c>
      <c r="P86" s="200">
        <f>+('INPUT CBM'!$K$9 / 18) * (2020- VLOOKUP(C86, 'INPUT NFI'!$C$69:$D$118, 2, FALSE))</f>
        <v>9.0898386816622684E-2</v>
      </c>
      <c r="Q86" s="183">
        <f t="shared" si="10"/>
        <v>2634025.1086742897</v>
      </c>
      <c r="R86" s="78">
        <f t="shared" si="11"/>
        <v>1041.1341767899607</v>
      </c>
      <c r="S86" s="184">
        <f t="shared" si="12"/>
        <v>55860.945118383417</v>
      </c>
      <c r="T86" s="4"/>
      <c r="U86" s="6"/>
      <c r="V86" s="6"/>
      <c r="W86" s="6"/>
    </row>
    <row r="87" spans="1:23" x14ac:dyDescent="0.25">
      <c r="A87" s="107" t="s">
        <v>89</v>
      </c>
      <c r="B87" s="108" t="s">
        <v>12</v>
      </c>
      <c r="C87" s="187" t="s">
        <v>108</v>
      </c>
      <c r="D87" s="181">
        <f t="shared" si="7"/>
        <v>174286.037314749</v>
      </c>
      <c r="E87" s="111">
        <f>+VLOOKUP(C87, 'INPUT NFI'!$C$3:$K$282, 4, FALSE) * D87 / L87</f>
        <v>171208.92315316288</v>
      </c>
      <c r="F87" s="111">
        <f>+VLOOKUP(C87, 'INPUT NFI'!$C$3:$K$282, 5, FALSE) * D87 / L87</f>
        <v>3077.1141615862002</v>
      </c>
      <c r="G87" s="111">
        <f t="shared" si="8"/>
        <v>11273341.28446565</v>
      </c>
      <c r="H87" s="111">
        <f>+VLOOKUP(C87, 'INPUT NFI'!$C$3:$K$282, 7, FALSE) * G87 / M87</f>
        <v>11242265.107311614</v>
      </c>
      <c r="I87" s="111">
        <f>+VLOOKUP(C87, 'INPUT NFI'!C87:K366, 8, FALSE) * G87 / M87</f>
        <v>31076.177154034631</v>
      </c>
      <c r="J87" s="213">
        <f t="shared" si="9"/>
        <v>64.682985844165728</v>
      </c>
      <c r="K87" s="4"/>
      <c r="L87" s="183">
        <f>+VLOOKUP(C87, 'INPUT NFI'!$C$3:$K$282, 3, FALSE)</f>
        <v>173941.86656348762</v>
      </c>
      <c r="M87" s="184">
        <f>+VLOOKUP(C87, 'INPUT NFI'!$C$3:$K$282, 6, FALSE)</f>
        <v>10317070.137302689</v>
      </c>
      <c r="N87" s="201">
        <f>+VLOOKUP(B87, 'AREA CorrFactor'!$B$3:$J$40, 9, FALSE)</f>
        <v>1.9786538920218357E-3</v>
      </c>
      <c r="O87" s="202">
        <f>+IF(N87&gt;0, VLOOKUP(C87, 'INPUT CBM'!$N$3:$P$282, 3, FALSE), M87/L87)</f>
        <v>53.653934683629977</v>
      </c>
      <c r="P87" s="200">
        <f>+('INPUT CBM'!$K$9 / 18) * (2020- VLOOKUP(C87, 'INPUT NFI'!$C$69:$D$118, 2, FALSE))</f>
        <v>9.0898386816622684E-2</v>
      </c>
      <c r="Q87" s="183">
        <f t="shared" si="10"/>
        <v>937805.03215476638</v>
      </c>
      <c r="R87" s="78">
        <f t="shared" si="11"/>
        <v>344.17075126138758</v>
      </c>
      <c r="S87" s="184">
        <f t="shared" si="12"/>
        <v>18466.115008194349</v>
      </c>
      <c r="T87" s="4"/>
      <c r="U87" s="6"/>
      <c r="V87" s="6"/>
      <c r="W87" s="6"/>
    </row>
    <row r="88" spans="1:23" x14ac:dyDescent="0.25">
      <c r="A88" s="107" t="s">
        <v>89</v>
      </c>
      <c r="B88" s="108" t="s">
        <v>12</v>
      </c>
      <c r="C88" s="187" t="s">
        <v>109</v>
      </c>
      <c r="D88" s="181">
        <f t="shared" si="7"/>
        <v>534396.61231133807</v>
      </c>
      <c r="E88" s="111">
        <f>+VLOOKUP(C88, 'INPUT NFI'!$C$3:$K$282, 4, FALSE) * D88 / L88</f>
        <v>510776.50968923123</v>
      </c>
      <c r="F88" s="111">
        <f>+VLOOKUP(C88, 'INPUT NFI'!$C$3:$K$282, 5, FALSE) * D88 / L88</f>
        <v>23620.102622107814</v>
      </c>
      <c r="G88" s="111">
        <f t="shared" si="8"/>
        <v>25704895.549452107</v>
      </c>
      <c r="H88" s="111">
        <f>+VLOOKUP(C88, 'INPUT NFI'!$C$3:$K$282, 7, FALSE) * G88 / M88</f>
        <v>25051149.643138934</v>
      </c>
      <c r="I88" s="111">
        <f>+VLOOKUP(C88, 'INPUT NFI'!C88:K367, 8, FALSE) * G88 / M88</f>
        <v>653745.90631317429</v>
      </c>
      <c r="J88" s="213">
        <f t="shared" si="9"/>
        <v>48.100783121125964</v>
      </c>
      <c r="K88" s="4"/>
      <c r="L88" s="183">
        <f>+VLOOKUP(C88, 'INPUT NFI'!$C$3:$K$282, 3, FALSE)</f>
        <v>533341.31444373797</v>
      </c>
      <c r="M88" s="184">
        <f>+VLOOKUP(C88, 'INPUT NFI'!$C$3:$K$282, 6, FALSE)</f>
        <v>23396472.923798181</v>
      </c>
      <c r="N88" s="201">
        <f>+VLOOKUP(B88, 'AREA CorrFactor'!$B$3:$J$40, 9, FALSE)</f>
        <v>1.9786538920218357E-3</v>
      </c>
      <c r="O88" s="202">
        <f>+IF(N88&gt;0, VLOOKUP(C88, 'INPUT CBM'!$N$3:$P$282, 3, FALSE), M88/L88)</f>
        <v>53.653934683629977</v>
      </c>
      <c r="P88" s="200">
        <f>+('INPUT CBM'!$K$9 / 18) * (2020- VLOOKUP(C88, 'INPUT NFI'!$C$69:$D$118, 2, FALSE))</f>
        <v>9.6245350747012251E-2</v>
      </c>
      <c r="Q88" s="183">
        <f t="shared" si="10"/>
        <v>2251801.7427939312</v>
      </c>
      <c r="R88" s="78">
        <f t="shared" si="11"/>
        <v>1055.2978676001437</v>
      </c>
      <c r="S88" s="184">
        <f t="shared" si="12"/>
        <v>56620.882859992103</v>
      </c>
      <c r="T88" s="14"/>
      <c r="U88" s="6"/>
      <c r="V88" s="6"/>
      <c r="W88" s="6"/>
    </row>
    <row r="89" spans="1:23" x14ac:dyDescent="0.25">
      <c r="A89" s="107" t="s">
        <v>89</v>
      </c>
      <c r="B89" s="108" t="s">
        <v>12</v>
      </c>
      <c r="C89" s="187" t="s">
        <v>110</v>
      </c>
      <c r="D89" s="181">
        <f t="shared" si="7"/>
        <v>244904.43504722882</v>
      </c>
      <c r="E89" s="111">
        <f>+VLOOKUP(C89, 'INPUT NFI'!$C$3:$K$282, 4, FALSE) * D89 / L89</f>
        <v>228574.72063403396</v>
      </c>
      <c r="F89" s="111">
        <f>+VLOOKUP(C89, 'INPUT NFI'!$C$3:$K$282, 5, FALSE) * D89 / L89</f>
        <v>16329.714413194597</v>
      </c>
      <c r="G89" s="111">
        <f t="shared" si="8"/>
        <v>21088740.806848999</v>
      </c>
      <c r="H89" s="111">
        <f>+VLOOKUP(C89, 'INPUT NFI'!$C$3:$K$282, 7, FALSE) * G89 / M89</f>
        <v>19738074.788178496</v>
      </c>
      <c r="I89" s="111">
        <f>+VLOOKUP(C89, 'INPUT NFI'!C89:K368, 8, FALSE) * G89 / M89</f>
        <v>1350666.0186705077</v>
      </c>
      <c r="J89" s="213">
        <f t="shared" si="9"/>
        <v>86.110081276323641</v>
      </c>
      <c r="K89" s="4"/>
      <c r="L89" s="183">
        <f>+VLOOKUP(C89, 'INPUT NFI'!$C$3:$K$282, 3, FALSE)</f>
        <v>244420.81085853247</v>
      </c>
      <c r="M89" s="184">
        <f>+VLOOKUP(C89, 'INPUT NFI'!$C$3:$K$282, 6, FALSE)</f>
        <v>19402850.958654828</v>
      </c>
      <c r="N89" s="201">
        <f>+VLOOKUP(B89, 'AREA CorrFactor'!$B$3:$J$40, 9, FALSE)</f>
        <v>1.9786538920218357E-3</v>
      </c>
      <c r="O89" s="202">
        <f>+IF(N89&gt;0, VLOOKUP(C89, 'INPUT CBM'!$N$3:$P$282, 3, FALSE), M89/L89)</f>
        <v>53.653934683629977</v>
      </c>
      <c r="P89" s="200">
        <f>+('INPUT CBM'!$K$9 / 18) * (2020- VLOOKUP(C89, 'INPUT NFI'!$C$69:$D$118, 2, FALSE))</f>
        <v>8.5551422886233117E-2</v>
      </c>
      <c r="Q89" s="183">
        <f t="shared" si="10"/>
        <v>1659941.5075624329</v>
      </c>
      <c r="R89" s="78">
        <f t="shared" si="11"/>
        <v>483.62418869636821</v>
      </c>
      <c r="S89" s="184">
        <f t="shared" si="12"/>
        <v>25948.34063173848</v>
      </c>
      <c r="T89" s="14"/>
      <c r="U89" s="6"/>
      <c r="V89" s="6"/>
      <c r="W89" s="6"/>
    </row>
    <row r="90" spans="1:23" x14ac:dyDescent="0.25">
      <c r="A90" s="107" t="s">
        <v>89</v>
      </c>
      <c r="B90" s="108" t="s">
        <v>12</v>
      </c>
      <c r="C90" s="187" t="s">
        <v>111</v>
      </c>
      <c r="D90" s="181">
        <f t="shared" si="7"/>
        <v>419647.376218608</v>
      </c>
      <c r="E90" s="111">
        <f>+VLOOKUP(C90, 'INPUT NFI'!$C$3:$K$282, 4, FALSE) * D90 / L90</f>
        <v>409401.57424663956</v>
      </c>
      <c r="F90" s="111">
        <f>+VLOOKUP(C90, 'INPUT NFI'!$C$3:$K$282, 5, FALSE) * D90 / L90</f>
        <v>10245.801971968533</v>
      </c>
      <c r="G90" s="111">
        <f t="shared" si="8"/>
        <v>33475700.041875467</v>
      </c>
      <c r="H90" s="111">
        <f>+VLOOKUP(C90, 'INPUT NFI'!$C$3:$K$282, 7, FALSE) * G90 / M90</f>
        <v>33442343.459438939</v>
      </c>
      <c r="I90" s="111">
        <f>+VLOOKUP(C90, 'INPUT NFI'!C90:K369, 8, FALSE) * G90 / M90</f>
        <v>33356.582436533397</v>
      </c>
      <c r="J90" s="213">
        <f t="shared" si="9"/>
        <v>79.771021907776401</v>
      </c>
      <c r="K90" s="4"/>
      <c r="L90" s="183">
        <f>+VLOOKUP(C90, 'INPUT NFI'!$C$3:$K$282, 3, FALSE)</f>
        <v>418818.67900933471</v>
      </c>
      <c r="M90" s="184">
        <f>+VLOOKUP(C90, 'INPUT NFI'!$C$3:$K$282, 6, FALSE)</f>
        <v>30796548.621391509</v>
      </c>
      <c r="N90" s="201">
        <f>+VLOOKUP(B90, 'AREA CorrFactor'!$B$3:$J$40, 9, FALSE)</f>
        <v>1.9786538920218357E-3</v>
      </c>
      <c r="O90" s="202">
        <f>+IF(N90&gt;0, VLOOKUP(C90, 'INPUT CBM'!$N$3:$P$282, 3, FALSE), M90/L90)</f>
        <v>53.653934683629977</v>
      </c>
      <c r="P90" s="200">
        <f>+('INPUT CBM'!$K$9 / 18) * (2020- VLOOKUP(C90, 'INPUT NFI'!$C$69:$D$118, 2, FALSE))</f>
        <v>8.5551422886233117E-2</v>
      </c>
      <c r="Q90" s="183">
        <f t="shared" si="10"/>
        <v>2634688.5545451045</v>
      </c>
      <c r="R90" s="78">
        <f t="shared" si="11"/>
        <v>828.69720927326398</v>
      </c>
      <c r="S90" s="184">
        <f t="shared" si="12"/>
        <v>44462.865938854149</v>
      </c>
      <c r="T90" s="14"/>
      <c r="U90" s="6"/>
      <c r="V90" s="6"/>
      <c r="W90" s="6"/>
    </row>
    <row r="91" spans="1:23" x14ac:dyDescent="0.25">
      <c r="A91" s="107" t="s">
        <v>89</v>
      </c>
      <c r="B91" s="108" t="s">
        <v>12</v>
      </c>
      <c r="C91" s="187" t="s">
        <v>112</v>
      </c>
      <c r="D91" s="181">
        <f t="shared" si="7"/>
        <v>126129.52112016692</v>
      </c>
      <c r="E91" s="111">
        <f>+VLOOKUP(C91, 'INPUT NFI'!$C$3:$K$282, 4, FALSE) * D91 / L91</f>
        <v>119258.68700910524</v>
      </c>
      <c r="F91" s="111">
        <f>+VLOOKUP(C91, 'INPUT NFI'!$C$3:$K$282, 5, FALSE) * D91 / L91</f>
        <v>6870.8341110618994</v>
      </c>
      <c r="G91" s="111">
        <f t="shared" si="8"/>
        <v>7619127.4536089562</v>
      </c>
      <c r="H91" s="111">
        <f>+VLOOKUP(C91, 'INPUT NFI'!$C$3:$K$282, 7, FALSE) * G91 / M91</f>
        <v>7329374.9609948359</v>
      </c>
      <c r="I91" s="111">
        <f>+VLOOKUP(C91, 'INPUT NFI'!C91:K370, 8, FALSE) * G91 / M91</f>
        <v>289752.49261411972</v>
      </c>
      <c r="J91" s="213">
        <f t="shared" si="9"/>
        <v>60.407170232177549</v>
      </c>
      <c r="K91" s="4"/>
      <c r="L91" s="183">
        <f>+VLOOKUP(C91, 'INPUT NFI'!$C$3:$K$282, 3, FALSE)</f>
        <v>125880.44728322052</v>
      </c>
      <c r="M91" s="184">
        <f>+VLOOKUP(C91, 'INPUT NFI'!$C$3:$K$282, 6, FALSE)</f>
        <v>6938012.2406423464</v>
      </c>
      <c r="N91" s="201">
        <f>+VLOOKUP(B91, 'AREA CorrFactor'!$B$3:$J$40, 9, FALSE)</f>
        <v>1.9786538920218357E-3</v>
      </c>
      <c r="O91" s="202">
        <f>+IF(N91&gt;0, VLOOKUP(C91, 'INPUT CBM'!$N$3:$P$282, 3, FALSE), M91/L91)</f>
        <v>53.653934683629977</v>
      </c>
      <c r="P91" s="200">
        <f>+('INPUT CBM'!$K$9 / 18) * (2020- VLOOKUP(C91, 'INPUT NFI'!$C$69:$D$118, 2, FALSE))</f>
        <v>9.6245350747012251E-2</v>
      </c>
      <c r="Q91" s="183">
        <f t="shared" si="10"/>
        <v>667751.42158768699</v>
      </c>
      <c r="R91" s="78">
        <f t="shared" si="11"/>
        <v>249.07383694639378</v>
      </c>
      <c r="S91" s="184">
        <f t="shared" si="12"/>
        <v>13363.791378922915</v>
      </c>
      <c r="T91" s="14"/>
      <c r="U91" s="6"/>
      <c r="V91" s="6"/>
      <c r="W91" s="6"/>
    </row>
    <row r="92" spans="1:23" x14ac:dyDescent="0.25">
      <c r="A92" s="107" t="s">
        <v>89</v>
      </c>
      <c r="B92" s="108" t="s">
        <v>12</v>
      </c>
      <c r="C92" s="187" t="s">
        <v>113</v>
      </c>
      <c r="D92" s="181">
        <f t="shared" si="7"/>
        <v>246002.20332810408</v>
      </c>
      <c r="E92" s="111">
        <f>+VLOOKUP(C92, 'INPUT NFI'!$C$3:$K$282, 4, FALSE) * D92 / L92</f>
        <v>230331.9971606358</v>
      </c>
      <c r="F92" s="111">
        <f>+VLOOKUP(C92, 'INPUT NFI'!$C$3:$K$282, 5, FALSE) * D92 / L92</f>
        <v>15670.206167467995</v>
      </c>
      <c r="G92" s="111">
        <f t="shared" si="8"/>
        <v>11102353.155741662</v>
      </c>
      <c r="H92" s="111">
        <f>+VLOOKUP(C92, 'INPUT NFI'!$C$3:$K$282, 7, FALSE) * G92 / M92</f>
        <v>10698381.092347752</v>
      </c>
      <c r="I92" s="111">
        <f>+VLOOKUP(C92, 'INPUT NFI'!C92:K371, 8, FALSE) * G92 / M92</f>
        <v>403972.06339391146</v>
      </c>
      <c r="J92" s="213">
        <f t="shared" si="9"/>
        <v>45.131112671108717</v>
      </c>
      <c r="K92" s="4"/>
      <c r="L92" s="183">
        <f>+VLOOKUP(C92, 'INPUT NFI'!$C$3:$K$282, 3, FALSE)</f>
        <v>245516.41132528009</v>
      </c>
      <c r="M92" s="184">
        <f>+VLOOKUP(C92, 'INPUT NFI'!$C$3:$K$282, 6, FALSE)</f>
        <v>10103840.801518219</v>
      </c>
      <c r="N92" s="201">
        <f>+VLOOKUP(B92, 'AREA CorrFactor'!$B$3:$J$40, 9, FALSE)</f>
        <v>1.9786538920218357E-3</v>
      </c>
      <c r="O92" s="202">
        <f>+IF(N92&gt;0, VLOOKUP(C92, 'INPUT CBM'!$N$3:$P$282, 3, FALSE), M92/L92)</f>
        <v>53.653934683629977</v>
      </c>
      <c r="P92" s="200">
        <f>+('INPUT CBM'!$K$9 / 18) * (2020- VLOOKUP(C92, 'INPUT NFI'!$C$69:$D$118, 2, FALSE))</f>
        <v>9.6245350747012251E-2</v>
      </c>
      <c r="Q92" s="183">
        <f t="shared" si="10"/>
        <v>972447.70183409436</v>
      </c>
      <c r="R92" s="78">
        <f t="shared" si="11"/>
        <v>485.79200282399933</v>
      </c>
      <c r="S92" s="184">
        <f t="shared" si="12"/>
        <v>26064.652389348648</v>
      </c>
      <c r="T92" s="14"/>
      <c r="U92" s="6"/>
      <c r="V92" s="6"/>
      <c r="W92" s="6"/>
    </row>
    <row r="93" spans="1:23" x14ac:dyDescent="0.25">
      <c r="A93" s="107" t="s">
        <v>89</v>
      </c>
      <c r="B93" s="108" t="s">
        <v>12</v>
      </c>
      <c r="C93" s="187" t="s">
        <v>114</v>
      </c>
      <c r="D93" s="181">
        <f t="shared" si="7"/>
        <v>474831.62810815033</v>
      </c>
      <c r="E93" s="111">
        <f>+VLOOKUP(C93, 'INPUT NFI'!$C$3:$K$282, 4, FALSE) * D93 / L93</f>
        <v>427200.74086201331</v>
      </c>
      <c r="F93" s="111">
        <f>+VLOOKUP(C93, 'INPUT NFI'!$C$3:$K$282, 5, FALSE) * D93 / L93</f>
        <v>47630.887246139886</v>
      </c>
      <c r="G93" s="111">
        <f t="shared" si="8"/>
        <v>16819643.093894579</v>
      </c>
      <c r="H93" s="111">
        <f>+VLOOKUP(C93, 'INPUT NFI'!$C$3:$K$282, 7, FALSE) * G93 / M93</f>
        <v>15198427.134477824</v>
      </c>
      <c r="I93" s="111">
        <f>+VLOOKUP(C93, 'INPUT NFI'!C93:K372, 8, FALSE) * G93 / M93</f>
        <v>1621215.9594167571</v>
      </c>
      <c r="J93" s="213">
        <f t="shared" si="9"/>
        <v>35.422330986898039</v>
      </c>
      <c r="K93" s="4"/>
      <c r="L93" s="183">
        <f>+VLOOKUP(C93, 'INPUT NFI'!$C$3:$K$282, 3, FALSE)</f>
        <v>473893.9559877296</v>
      </c>
      <c r="M93" s="184">
        <f>+VLOOKUP(C93, 'INPUT NFI'!$C$3:$K$282, 6, FALSE)</f>
        <v>15453092.323591933</v>
      </c>
      <c r="N93" s="201">
        <f>+VLOOKUP(B93, 'AREA CorrFactor'!$B$3:$J$40, 9, FALSE)</f>
        <v>1.9786538920218357E-3</v>
      </c>
      <c r="O93" s="202">
        <f>+IF(N93&gt;0, VLOOKUP(C93, 'INPUT CBM'!$N$3:$P$282, 3, FALSE), M93/L93)</f>
        <v>47.475799970520598</v>
      </c>
      <c r="P93" s="200">
        <f>+('INPUT CBM'!$K$9 / 18) * (2020- VLOOKUP(C93, 'INPUT NFI'!$C$69:$D$118, 2, FALSE))</f>
        <v>8.5551422886233117E-2</v>
      </c>
      <c r="Q93" s="183">
        <f t="shared" si="10"/>
        <v>1322034.0362756161</v>
      </c>
      <c r="R93" s="78">
        <f t="shared" si="11"/>
        <v>937.67212042074561</v>
      </c>
      <c r="S93" s="184">
        <f t="shared" si="12"/>
        <v>44516.734027029219</v>
      </c>
      <c r="T93" s="14"/>
      <c r="U93" s="6"/>
      <c r="V93" s="6"/>
      <c r="W93" s="6"/>
    </row>
    <row r="94" spans="1:23" x14ac:dyDescent="0.25">
      <c r="A94" s="107" t="s">
        <v>89</v>
      </c>
      <c r="B94" s="108" t="s">
        <v>12</v>
      </c>
      <c r="C94" s="187" t="s">
        <v>115</v>
      </c>
      <c r="D94" s="181">
        <f t="shared" si="7"/>
        <v>650092.11042220006</v>
      </c>
      <c r="E94" s="111">
        <f>+VLOOKUP(C94, 'INPUT NFI'!$C$3:$K$282, 4, FALSE) * D94 / L94</f>
        <v>598635.9434014241</v>
      </c>
      <c r="F94" s="111">
        <f>+VLOOKUP(C94, 'INPUT NFI'!$C$3:$K$282, 5, FALSE) * D94 / L94</f>
        <v>51456.167020774985</v>
      </c>
      <c r="G94" s="111">
        <f t="shared" si="8"/>
        <v>21555343.279467881</v>
      </c>
      <c r="H94" s="111">
        <f>+VLOOKUP(C94, 'INPUT NFI'!$C$3:$K$282, 7, FALSE) * G94 / M94</f>
        <v>20097245.711472247</v>
      </c>
      <c r="I94" s="111">
        <f>+VLOOKUP(C94, 'INPUT NFI'!C94:K373, 8, FALSE) * G94 / M94</f>
        <v>1458097.5679956346</v>
      </c>
      <c r="J94" s="213">
        <f t="shared" si="9"/>
        <v>33.157367908170485</v>
      </c>
      <c r="K94" s="4"/>
      <c r="L94" s="183">
        <f>+VLOOKUP(C94, 'INPUT NFI'!$C$3:$K$282, 3, FALSE)</f>
        <v>648808.34326861543</v>
      </c>
      <c r="M94" s="184">
        <f>+VLOOKUP(C94, 'INPUT NFI'!$C$3:$K$282, 6, FALSE)</f>
        <v>19800439.623326994</v>
      </c>
      <c r="N94" s="201">
        <f>+VLOOKUP(B94, 'AREA CorrFactor'!$B$3:$J$40, 9, FALSE)</f>
        <v>1.9786538920218357E-3</v>
      </c>
      <c r="O94" s="202">
        <f>+IF(N94&gt;0, VLOOKUP(C94, 'INPUT CBM'!$N$3:$P$282, 3, FALSE), M94/L94)</f>
        <v>47.475799970520598</v>
      </c>
      <c r="P94" s="200">
        <f>+('INPUT CBM'!$K$9 / 18) * (2020- VLOOKUP(C94, 'INPUT NFI'!$C$69:$D$118, 2, FALSE))</f>
        <v>8.5551422886233117E-2</v>
      </c>
      <c r="Q94" s="183">
        <f t="shared" si="10"/>
        <v>1693955.783548574</v>
      </c>
      <c r="R94" s="78">
        <f t="shared" si="11"/>
        <v>1283.767153584685</v>
      </c>
      <c r="S94" s="184">
        <f t="shared" si="12"/>
        <v>60947.872592311105</v>
      </c>
      <c r="T94" s="14"/>
      <c r="U94" s="6"/>
      <c r="V94" s="6"/>
      <c r="W94" s="6"/>
    </row>
    <row r="95" spans="1:23" x14ac:dyDescent="0.25">
      <c r="A95" s="107" t="s">
        <v>89</v>
      </c>
      <c r="B95" s="108" t="s">
        <v>12</v>
      </c>
      <c r="C95" s="187" t="s">
        <v>116</v>
      </c>
      <c r="D95" s="181">
        <f t="shared" si="7"/>
        <v>702006.88152033207</v>
      </c>
      <c r="E95" s="111">
        <f>+VLOOKUP(C95, 'INPUT NFI'!$C$3:$K$282, 4, FALSE) * D95 / L95</f>
        <v>673753.43928420043</v>
      </c>
      <c r="F95" s="111">
        <f>+VLOOKUP(C95, 'INPUT NFI'!$C$3:$K$282, 5, FALSE) * D95 / L95</f>
        <v>28253.442236132771</v>
      </c>
      <c r="G95" s="111">
        <f t="shared" si="8"/>
        <v>37759625.973452143</v>
      </c>
      <c r="H95" s="111">
        <f>+VLOOKUP(C95, 'INPUT NFI'!$C$3:$K$282, 7, FALSE) * G95 / M95</f>
        <v>36659274.375738107</v>
      </c>
      <c r="I95" s="111">
        <f>+VLOOKUP(C95, 'INPUT NFI'!C95:K374, 8, FALSE) * G95 / M95</f>
        <v>1100351.5977140442</v>
      </c>
      <c r="J95" s="213">
        <f t="shared" si="9"/>
        <v>53.788113717170901</v>
      </c>
      <c r="K95" s="4"/>
      <c r="L95" s="183">
        <f>+VLOOKUP(C95, 'INPUT NFI'!$C$3:$K$282, 3, FALSE)</f>
        <v>700620.59585151984</v>
      </c>
      <c r="M95" s="184">
        <f>+VLOOKUP(C95, 'INPUT NFI'!$C$3:$K$282, 6, FALSE)</f>
        <v>34552999.076598555</v>
      </c>
      <c r="N95" s="201">
        <f>+VLOOKUP(B95, 'AREA CorrFactor'!$B$3:$J$40, 9, FALSE)</f>
        <v>1.9786538920218357E-3</v>
      </c>
      <c r="O95" s="202">
        <f>+IF(N95&gt;0, VLOOKUP(C95, 'INPUT CBM'!$N$3:$P$282, 3, FALSE), M95/L95)</f>
        <v>47.475799970520598</v>
      </c>
      <c r="P95" s="200">
        <f>+('INPUT CBM'!$K$9 / 18) * (2020- VLOOKUP(C95, 'INPUT NFI'!$C$69:$D$118, 2, FALSE))</f>
        <v>9.0898386816622684E-2</v>
      </c>
      <c r="Q95" s="183">
        <f t="shared" si="10"/>
        <v>3140811.8757390617</v>
      </c>
      <c r="R95" s="78">
        <f t="shared" si="11"/>
        <v>1386.2856688122672</v>
      </c>
      <c r="S95" s="184">
        <f t="shared" si="12"/>
        <v>65815.021114530566</v>
      </c>
      <c r="T95" s="14"/>
      <c r="U95" s="6"/>
      <c r="V95" s="6"/>
      <c r="W95" s="6"/>
    </row>
    <row r="96" spans="1:23" x14ac:dyDescent="0.25">
      <c r="A96" s="107" t="s">
        <v>89</v>
      </c>
      <c r="B96" s="108" t="s">
        <v>12</v>
      </c>
      <c r="C96" s="187" t="s">
        <v>117</v>
      </c>
      <c r="D96" s="181">
        <f t="shared" si="7"/>
        <v>554482.04989080678</v>
      </c>
      <c r="E96" s="111">
        <f>+VLOOKUP(C96, 'INPUT NFI'!$C$3:$K$282, 4, FALSE) * D96 / L96</f>
        <v>532123.78524192516</v>
      </c>
      <c r="F96" s="111">
        <f>+VLOOKUP(C96, 'INPUT NFI'!$C$3:$K$282, 5, FALSE) * D96 / L96</f>
        <v>22358.264648880326</v>
      </c>
      <c r="G96" s="111">
        <f t="shared" si="8"/>
        <v>28757517.963024464</v>
      </c>
      <c r="H96" s="111">
        <f>+VLOOKUP(C96, 'INPUT NFI'!$C$3:$K$282, 7, FALSE) * G96 / M96</f>
        <v>28227149.899833169</v>
      </c>
      <c r="I96" s="111">
        <f>+VLOOKUP(C96, 'INPUT NFI'!C96:K375, 8, FALSE) * G96 / M96</f>
        <v>530368.0631912956</v>
      </c>
      <c r="J96" s="213">
        <f t="shared" si="9"/>
        <v>51.863749184825068</v>
      </c>
      <c r="K96" s="4"/>
      <c r="L96" s="183">
        <f>+VLOOKUP(C96, 'INPUT NFI'!$C$3:$K$282, 3, FALSE)</f>
        <v>553387.0883745997</v>
      </c>
      <c r="M96" s="184">
        <f>+VLOOKUP(C96, 'INPUT NFI'!$C$3:$K$282, 6, FALSE)</f>
        <v>26313664.165250003</v>
      </c>
      <c r="N96" s="201">
        <f>+VLOOKUP(B96, 'AREA CorrFactor'!$B$3:$J$40, 9, FALSE)</f>
        <v>1.9786538920218357E-3</v>
      </c>
      <c r="O96" s="202">
        <f>+IF(N96&gt;0, VLOOKUP(C96, 'INPUT CBM'!$N$3:$P$282, 3, FALSE), M96/L96)</f>
        <v>47.475799970520598</v>
      </c>
      <c r="P96" s="200">
        <f>+('INPUT CBM'!$K$9 / 18) * (2020- VLOOKUP(C96, 'INPUT NFI'!$C$69:$D$118, 2, FALSE))</f>
        <v>9.0898386816622684E-2</v>
      </c>
      <c r="Q96" s="183">
        <f t="shared" si="10"/>
        <v>2391869.6238555978</v>
      </c>
      <c r="R96" s="78">
        <f t="shared" si="11"/>
        <v>1094.9615162070331</v>
      </c>
      <c r="S96" s="184">
        <f t="shared" si="12"/>
        <v>51984.173918863053</v>
      </c>
      <c r="T96" s="14"/>
      <c r="U96" s="6"/>
      <c r="V96" s="6"/>
      <c r="W96" s="6"/>
    </row>
    <row r="97" spans="1:23" x14ac:dyDescent="0.25">
      <c r="A97" s="107" t="s">
        <v>89</v>
      </c>
      <c r="B97" s="108" t="s">
        <v>12</v>
      </c>
      <c r="C97" s="187" t="s">
        <v>118</v>
      </c>
      <c r="D97" s="181">
        <f t="shared" si="7"/>
        <v>381897.06024836638</v>
      </c>
      <c r="E97" s="111">
        <f>+VLOOKUP(C97, 'INPUT NFI'!$C$3:$K$282, 4, FALSE) * D97 / L97</f>
        <v>364955.45359310193</v>
      </c>
      <c r="F97" s="111">
        <f>+VLOOKUP(C97, 'INPUT NFI'!$C$3:$K$282, 5, FALSE) * D97 / L97</f>
        <v>16941.606655263819</v>
      </c>
      <c r="G97" s="111">
        <f t="shared" si="8"/>
        <v>16220809.746216755</v>
      </c>
      <c r="H97" s="111">
        <f>+VLOOKUP(C97, 'INPUT NFI'!$C$3:$K$282, 7, FALSE) * G97 / M97</f>
        <v>15757480.565387728</v>
      </c>
      <c r="I97" s="111">
        <f>+VLOOKUP(C97, 'INPUT NFI'!C97:K376, 8, FALSE) * G97 / M97</f>
        <v>463329.18082902877</v>
      </c>
      <c r="J97" s="213">
        <f t="shared" si="9"/>
        <v>42.474298533923168</v>
      </c>
      <c r="K97" s="4"/>
      <c r="L97" s="183">
        <f>+VLOOKUP(C97, 'INPUT NFI'!$C$3:$K$282, 3, FALSE)</f>
        <v>381142.91034539492</v>
      </c>
      <c r="M97" s="184">
        <f>+VLOOKUP(C97, 'INPUT NFI'!$C$3:$K$282, 6, FALSE)</f>
        <v>14909478.754348885</v>
      </c>
      <c r="N97" s="201">
        <f>+VLOOKUP(B97, 'AREA CorrFactor'!$B$3:$J$40, 9, FALSE)</f>
        <v>1.9786538920218357E-3</v>
      </c>
      <c r="O97" s="202">
        <f>+IF(N97&gt;0, VLOOKUP(C97, 'INPUT CBM'!$N$3:$P$282, 3, FALSE), M97/L97)</f>
        <v>47.475799970520598</v>
      </c>
      <c r="P97" s="200">
        <f>+('INPUT CBM'!$K$9 / 18) * (2020- VLOOKUP(C97, 'INPUT NFI'!$C$69:$D$118, 2, FALSE))</f>
        <v>8.5551422886233117E-2</v>
      </c>
      <c r="Q97" s="183">
        <f t="shared" si="10"/>
        <v>1275527.1219266097</v>
      </c>
      <c r="R97" s="78">
        <f t="shared" si="11"/>
        <v>754.14990297144527</v>
      </c>
      <c r="S97" s="184">
        <f t="shared" si="12"/>
        <v>35803.869941259851</v>
      </c>
      <c r="T97" s="14"/>
      <c r="U97" s="6"/>
      <c r="V97" s="6"/>
      <c r="W97" s="6"/>
    </row>
    <row r="98" spans="1:23" x14ac:dyDescent="0.25">
      <c r="A98" s="107" t="s">
        <v>89</v>
      </c>
      <c r="B98" s="108" t="s">
        <v>12</v>
      </c>
      <c r="C98" s="187" t="s">
        <v>119</v>
      </c>
      <c r="D98" s="181">
        <f t="shared" si="7"/>
        <v>893696.59788113821</v>
      </c>
      <c r="E98" s="111">
        <f>+VLOOKUP(C98, 'INPUT NFI'!$C$3:$K$282, 4, FALSE) * D98 / L98</f>
        <v>865292.76106960152</v>
      </c>
      <c r="F98" s="111">
        <f>+VLOOKUP(C98, 'INPUT NFI'!$C$3:$K$282, 5, FALSE) * D98 / L98</f>
        <v>28403.836811536297</v>
      </c>
      <c r="G98" s="111">
        <f t="shared" si="8"/>
        <v>41468194.144522466</v>
      </c>
      <c r="H98" s="111">
        <f>+VLOOKUP(C98, 'INPUT NFI'!$C$3:$K$282, 7, FALSE) * G98 / M98</f>
        <v>41068356.986646563</v>
      </c>
      <c r="I98" s="111">
        <f>+VLOOKUP(C98, 'INPUT NFI'!C98:K377, 8, FALSE) * G98 / M98</f>
        <v>399837.15787590877</v>
      </c>
      <c r="J98" s="213">
        <f t="shared" si="9"/>
        <v>46.400751936215542</v>
      </c>
      <c r="K98" s="4"/>
      <c r="L98" s="183">
        <f>+VLOOKUP(C98, 'INPUT NFI'!$C$3:$K$282, 3, FALSE)</f>
        <v>891931.77360587497</v>
      </c>
      <c r="M98" s="184">
        <f>+VLOOKUP(C98, 'INPUT NFI'!$C$3:$K$282, 6, FALSE)</f>
        <v>37561952.006449029</v>
      </c>
      <c r="N98" s="201">
        <f>+VLOOKUP(B98, 'AREA CorrFactor'!$B$3:$J$40, 9, FALSE)</f>
        <v>1.9786538920218357E-3</v>
      </c>
      <c r="O98" s="202">
        <f>+IF(N98&gt;0, VLOOKUP(C98, 'INPUT CBM'!$N$3:$P$282, 3, FALSE), M98/L98)</f>
        <v>51.130580648514808</v>
      </c>
      <c r="P98" s="200">
        <f>+('INPUT CBM'!$K$9 / 18) * (2020- VLOOKUP(C98, 'INPUT NFI'!$C$69:$D$118, 2, FALSE))</f>
        <v>0.10159231467740183</v>
      </c>
      <c r="Q98" s="183">
        <f t="shared" si="10"/>
        <v>3816005.6481366348</v>
      </c>
      <c r="R98" s="78">
        <f t="shared" si="11"/>
        <v>1764.8242752632034</v>
      </c>
      <c r="S98" s="184">
        <f t="shared" si="12"/>
        <v>90236.489936801925</v>
      </c>
      <c r="T98" s="14"/>
      <c r="U98" s="6"/>
      <c r="V98" s="6"/>
      <c r="W98" s="6"/>
    </row>
    <row r="99" spans="1:23" x14ac:dyDescent="0.25">
      <c r="A99" s="107" t="s">
        <v>89</v>
      </c>
      <c r="B99" s="108" t="s">
        <v>12</v>
      </c>
      <c r="C99" s="187" t="s">
        <v>120</v>
      </c>
      <c r="D99" s="181">
        <f>+L99+R99</f>
        <v>1031183.5707344054</v>
      </c>
      <c r="E99" s="111">
        <f>+VLOOKUP(C99, 'INPUT NFI'!$C$3:$K$282, 4, FALSE) * D99 / L99</f>
        <v>967629.35281912121</v>
      </c>
      <c r="F99" s="111">
        <f>+VLOOKUP(C99, 'INPUT NFI'!$C$3:$K$282, 5, FALSE) * D99 / L99</f>
        <v>63554.217915280788</v>
      </c>
      <c r="G99" s="111">
        <f>+M99+Q99+S99</f>
        <v>40398811.959992364</v>
      </c>
      <c r="H99" s="111">
        <f>+VLOOKUP(C99, 'INPUT NFI'!$C$3:$K$282, 7, FALSE) * G99 / M99</f>
        <v>38784249.442188166</v>
      </c>
      <c r="I99" s="111">
        <f>+VLOOKUP(C99, 'INPUT NFI'!C99:K378, 8, FALSE) * G99 / M99</f>
        <v>1614562.5178041838</v>
      </c>
      <c r="J99" s="213">
        <f t="shared" si="9"/>
        <v>39.17712918100554</v>
      </c>
      <c r="K99" s="4"/>
      <c r="L99" s="183">
        <f>+VLOOKUP(C99, 'INPUT NFI'!$C$3:$K$282, 3, FALSE)</f>
        <v>1029147.2445335456</v>
      </c>
      <c r="M99" s="184">
        <f>+VLOOKUP(C99, 'INPUT NFI'!$C$3:$K$282, 6, FALSE)</f>
        <v>36578589.812287137</v>
      </c>
      <c r="N99" s="201">
        <f>+VLOOKUP(B99, 'AREA CorrFactor'!$B$3:$J$40, 9, FALSE)</f>
        <v>1.9786538920218357E-3</v>
      </c>
      <c r="O99" s="202">
        <f>+IF(N99&gt;0, VLOOKUP(C99, 'INPUT CBM'!$N$3:$P$282, 3, FALSE), M99/L99)</f>
        <v>51.130580648514808</v>
      </c>
      <c r="P99" s="200">
        <f>+('INPUT CBM'!$K$9 / 18) * (2020- VLOOKUP(C99, 'INPUT NFI'!$C$69:$D$118, 2, FALSE))</f>
        <v>0.10159231467740183</v>
      </c>
      <c r="Q99" s="183">
        <f>+M99*P99</f>
        <v>3716103.6066654795</v>
      </c>
      <c r="R99" s="78">
        <f>+L99*N99</f>
        <v>2036.3262008598479</v>
      </c>
      <c r="S99" s="184">
        <f>+R99*O99</f>
        <v>104118.54103974822</v>
      </c>
      <c r="T99" s="14"/>
      <c r="U99" s="6"/>
      <c r="V99" s="6"/>
      <c r="W99" s="6"/>
    </row>
    <row r="100" spans="1:23" x14ac:dyDescent="0.25">
      <c r="A100" s="107" t="s">
        <v>89</v>
      </c>
      <c r="B100" s="108" t="s">
        <v>12</v>
      </c>
      <c r="C100" s="187" t="s">
        <v>121</v>
      </c>
      <c r="D100" s="181">
        <f t="shared" si="7"/>
        <v>470263.80548038892</v>
      </c>
      <c r="E100" s="111">
        <f>+VLOOKUP(C100, 'INPUT NFI'!$C$3:$K$282, 4, FALSE) * D100 / L100</f>
        <v>415553.16830170993</v>
      </c>
      <c r="F100" s="111">
        <f>+VLOOKUP(C100, 'INPUT NFI'!$C$3:$K$282, 5, FALSE) * D100 / L100</f>
        <v>54710.637178676334</v>
      </c>
      <c r="G100" s="111">
        <f t="shared" si="8"/>
        <v>33499244.70081735</v>
      </c>
      <c r="H100" s="111">
        <f>+VLOOKUP(C100, 'INPUT NFI'!$C$3:$K$282, 7, FALSE) * G100 / M100</f>
        <v>29958287.224554013</v>
      </c>
      <c r="I100" s="111">
        <f>+VLOOKUP(C100, 'INPUT NFI'!C100:K379, 8, FALSE) * G100 / M100</f>
        <v>3540957.4762633373</v>
      </c>
      <c r="J100" s="213">
        <f t="shared" si="9"/>
        <v>71.235005353212003</v>
      </c>
      <c r="K100" s="4"/>
      <c r="L100" s="183">
        <f>+VLOOKUP(C100, 'INPUT NFI'!$C$3:$K$282, 3, FALSE)</f>
        <v>469335.1536519528</v>
      </c>
      <c r="M100" s="184">
        <f>+VLOOKUP(C100, 'INPUT NFI'!$C$3:$K$282, 6, FALSE)</f>
        <v>30365994.823051907</v>
      </c>
      <c r="N100" s="201">
        <f>+VLOOKUP(B100, 'AREA CorrFactor'!$B$3:$J$40, 9, FALSE)</f>
        <v>1.9786538920218357E-3</v>
      </c>
      <c r="O100" s="202">
        <f>+IF(N100&gt;0, VLOOKUP(C100, 'INPUT CBM'!$N$3:$P$282, 3, FALSE), M100/L100)</f>
        <v>52.008917368885513</v>
      </c>
      <c r="P100" s="200">
        <f>+('INPUT CBM'!$K$9 / 18) * (2020- VLOOKUP(C100, 'INPUT NFI'!$C$69:$D$118, 2, FALSE))</f>
        <v>0.10159231467740183</v>
      </c>
      <c r="Q100" s="183">
        <f t="shared" si="10"/>
        <v>3084951.7015558444</v>
      </c>
      <c r="R100" s="78">
        <f t="shared" si="11"/>
        <v>928.65182843610262</v>
      </c>
      <c r="S100" s="184">
        <f t="shared" si="12"/>
        <v>48298.17620959771</v>
      </c>
      <c r="T100" s="14"/>
      <c r="U100" s="6"/>
      <c r="V100" s="6"/>
      <c r="W100" s="6"/>
    </row>
    <row r="101" spans="1:23" x14ac:dyDescent="0.25">
      <c r="A101" s="107" t="s">
        <v>89</v>
      </c>
      <c r="B101" s="108" t="s">
        <v>12</v>
      </c>
      <c r="C101" s="187" t="s">
        <v>122</v>
      </c>
      <c r="D101" s="181">
        <f t="shared" si="7"/>
        <v>366287.21395758109</v>
      </c>
      <c r="E101" s="111">
        <f>+VLOOKUP(C101, 'INPUT NFI'!$C$3:$K$282, 4, FALSE) * D101 / L101</f>
        <v>328389.85393338051</v>
      </c>
      <c r="F101" s="111">
        <f>+VLOOKUP(C101, 'INPUT NFI'!$C$3:$K$282, 5, FALSE) * D101 / L101</f>
        <v>37897.360024201582</v>
      </c>
      <c r="G101" s="111">
        <f t="shared" si="8"/>
        <v>39678198.615607522</v>
      </c>
      <c r="H101" s="111">
        <f>+VLOOKUP(C101, 'INPUT NFI'!$C$3:$K$282, 7, FALSE) * G101 / M101</f>
        <v>35318954.570093825</v>
      </c>
      <c r="I101" s="111">
        <f>+VLOOKUP(C101, 'INPUT NFI'!C101:K380, 8, FALSE) * G101 / M101</f>
        <v>4359244.0455136951</v>
      </c>
      <c r="J101" s="213">
        <f t="shared" si="9"/>
        <v>108.32537174011912</v>
      </c>
      <c r="K101" s="4"/>
      <c r="L101" s="183">
        <f>+VLOOKUP(C101, 'INPUT NFI'!$C$3:$K$282, 3, FALSE)</f>
        <v>365563.88954475074</v>
      </c>
      <c r="M101" s="184">
        <f>+VLOOKUP(C101, 'INPUT NFI'!$C$3:$K$282, 6, FALSE)</f>
        <v>35984800.155035906</v>
      </c>
      <c r="N101" s="201">
        <f>+VLOOKUP(B101, 'AREA CorrFactor'!$B$3:$J$40, 9, FALSE)</f>
        <v>1.9786538920218357E-3</v>
      </c>
      <c r="O101" s="202">
        <f>+IF(N101&gt;0, VLOOKUP(C101, 'INPUT CBM'!$N$3:$P$282, 3, FALSE), M101/L101)</f>
        <v>52.008917368885513</v>
      </c>
      <c r="P101" s="200">
        <f>+('INPUT CBM'!$K$9 / 18) * (2020- VLOOKUP(C101, 'INPUT NFI'!$C$69:$D$118, 2, FALSE))</f>
        <v>0.10159231467740183</v>
      </c>
      <c r="Q101" s="183">
        <f t="shared" si="10"/>
        <v>3655779.1409538258</v>
      </c>
      <c r="R101" s="78">
        <f t="shared" si="11"/>
        <v>723.32441283036144</v>
      </c>
      <c r="S101" s="184">
        <f t="shared" si="12"/>
        <v>37619.319617791902</v>
      </c>
      <c r="T101" s="14"/>
      <c r="U101" s="6"/>
      <c r="V101" s="6"/>
      <c r="W101" s="6"/>
    </row>
    <row r="102" spans="1:23" x14ac:dyDescent="0.25">
      <c r="A102" s="107" t="s">
        <v>89</v>
      </c>
      <c r="B102" s="108" t="s">
        <v>12</v>
      </c>
      <c r="C102" s="187" t="s">
        <v>123</v>
      </c>
      <c r="D102" s="181">
        <f t="shared" si="7"/>
        <v>533966.89622137218</v>
      </c>
      <c r="E102" s="111">
        <f>+VLOOKUP(C102, 'INPUT NFI'!$C$3:$K$282, 4, FALSE) * D102 / L102</f>
        <v>442288.59245684161</v>
      </c>
      <c r="F102" s="111">
        <f>+VLOOKUP(C102, 'INPUT NFI'!$C$3:$K$282, 5, FALSE) * D102 / L102</f>
        <v>91678.303764527955</v>
      </c>
      <c r="G102" s="111">
        <f t="shared" si="8"/>
        <v>42806691.903336339</v>
      </c>
      <c r="H102" s="111">
        <f>+VLOOKUP(C102, 'INPUT NFI'!$C$3:$K$282, 7, FALSE) * G102 / M102</f>
        <v>35403494.343913555</v>
      </c>
      <c r="I102" s="111">
        <f>+VLOOKUP(C102, 'INPUT NFI'!C102:K381, 8, FALSE) * G102 / M102</f>
        <v>7403197.5594227863</v>
      </c>
      <c r="J102" s="213">
        <f t="shared" si="9"/>
        <v>80.167314128008272</v>
      </c>
      <c r="K102" s="4"/>
      <c r="L102" s="183">
        <f>+VLOOKUP(C102, 'INPUT NFI'!$C$3:$K$282, 3, FALSE)</f>
        <v>532912.44693413912</v>
      </c>
      <c r="M102" s="184">
        <f>+VLOOKUP(C102, 'INPUT NFI'!$C$3:$K$282, 6, FALSE)</f>
        <v>38809140.702844054</v>
      </c>
      <c r="N102" s="201">
        <f>+VLOOKUP(B102, 'AREA CorrFactor'!$B$3:$J$40, 9, FALSE)</f>
        <v>1.9786538920218357E-3</v>
      </c>
      <c r="O102" s="202">
        <f>+IF(N102&gt;0, VLOOKUP(C102, 'INPUT CBM'!$N$3:$P$282, 3, FALSE), M102/L102)</f>
        <v>52.008917368885513</v>
      </c>
      <c r="P102" s="200">
        <f>+('INPUT CBM'!$K$9 / 18) * (2020- VLOOKUP(C102, 'INPUT NFI'!$C$69:$D$118, 2, FALSE))</f>
        <v>0.10159231467740183</v>
      </c>
      <c r="Q102" s="183">
        <f t="shared" si="10"/>
        <v>3942710.434642897</v>
      </c>
      <c r="R102" s="78">
        <f t="shared" si="11"/>
        <v>1054.4492872331143</v>
      </c>
      <c r="S102" s="184">
        <f t="shared" si="12"/>
        <v>54840.765849387266</v>
      </c>
      <c r="T102" s="14"/>
      <c r="U102" s="6"/>
      <c r="V102" s="6"/>
      <c r="W102" s="6"/>
    </row>
    <row r="103" spans="1:23" x14ac:dyDescent="0.25">
      <c r="A103" s="107" t="s">
        <v>89</v>
      </c>
      <c r="B103" s="108" t="s">
        <v>12</v>
      </c>
      <c r="C103" s="187" t="s">
        <v>124</v>
      </c>
      <c r="D103" s="181">
        <f t="shared" si="7"/>
        <v>253351.77604493228</v>
      </c>
      <c r="E103" s="111">
        <f>+VLOOKUP(C103, 'INPUT NFI'!$C$3:$K$282, 4, FALSE) * D103 / L103</f>
        <v>228166.18222293057</v>
      </c>
      <c r="F103" s="111">
        <f>+VLOOKUP(C103, 'INPUT NFI'!$C$3:$K$282, 5, FALSE) * D103 / L103</f>
        <v>25185.59382200097</v>
      </c>
      <c r="G103" s="111">
        <f t="shared" si="8"/>
        <v>11789448.931591367</v>
      </c>
      <c r="H103" s="111">
        <f>+VLOOKUP(C103, 'INPUT NFI'!$C$3:$K$282, 7, FALSE) * G103 / M103</f>
        <v>10751722.220215349</v>
      </c>
      <c r="I103" s="111">
        <f>+VLOOKUP(C103, 'INPUT NFI'!C103:K382, 8, FALSE) * G103 / M103</f>
        <v>1037726.7113760196</v>
      </c>
      <c r="J103" s="213">
        <f t="shared" si="9"/>
        <v>46.533910737221326</v>
      </c>
      <c r="K103" s="4"/>
      <c r="L103" s="183">
        <f>+VLOOKUP(C103, 'INPUT NFI'!$C$3:$K$282, 3, FALSE)</f>
        <v>252851.47049872653</v>
      </c>
      <c r="M103" s="184">
        <f>+VLOOKUP(C103, 'INPUT NFI'!$C$3:$K$282, 6, FALSE)</f>
        <v>10626986.329886623</v>
      </c>
      <c r="N103" s="201">
        <f>+VLOOKUP(B103, 'AREA CorrFactor'!$B$3:$J$40, 9, FALSE)</f>
        <v>1.9786538920218357E-3</v>
      </c>
      <c r="O103" s="202">
        <f>+IF(N103&gt;0, VLOOKUP(C103, 'INPUT CBM'!$N$3:$P$282, 3, FALSE), M103/L103)</f>
        <v>52.008917368885513</v>
      </c>
      <c r="P103" s="200">
        <f>+('INPUT CBM'!$K$9 / 18) * (2020- VLOOKUP(C103, 'INPUT NFI'!$C$69:$D$118, 2, FALSE))</f>
        <v>0.1069392786077914</v>
      </c>
      <c r="Q103" s="183">
        <f t="shared" si="10"/>
        <v>1136442.2518929362</v>
      </c>
      <c r="R103" s="78">
        <f t="shared" si="11"/>
        <v>500.30554620574958</v>
      </c>
      <c r="S103" s="184">
        <f t="shared" si="12"/>
        <v>26020.349811809963</v>
      </c>
      <c r="T103" s="14"/>
      <c r="U103" s="6"/>
      <c r="V103" s="6"/>
      <c r="W103" s="6"/>
    </row>
    <row r="104" spans="1:23" x14ac:dyDescent="0.25">
      <c r="A104" s="107" t="s">
        <v>89</v>
      </c>
      <c r="B104" s="108" t="s">
        <v>12</v>
      </c>
      <c r="C104" s="187" t="s">
        <v>125</v>
      </c>
      <c r="D104" s="181">
        <f t="shared" si="7"/>
        <v>132836.48862610562</v>
      </c>
      <c r="E104" s="111">
        <f>+VLOOKUP(C104, 'INPUT NFI'!$C$3:$K$282, 4, FALSE) * D104 / L104</f>
        <v>105881.9894439076</v>
      </c>
      <c r="F104" s="111">
        <f>+VLOOKUP(C104, 'INPUT NFI'!$C$3:$K$282, 5, FALSE) * D104 / L104</f>
        <v>26954.499182198095</v>
      </c>
      <c r="G104" s="111">
        <f t="shared" si="8"/>
        <v>3060065.1725182761</v>
      </c>
      <c r="H104" s="111">
        <f>+VLOOKUP(C104, 'INPUT NFI'!$C$3:$K$282, 7, FALSE) * G104 / M104</f>
        <v>2450359.7968170759</v>
      </c>
      <c r="I104" s="111">
        <f>+VLOOKUP(C104, 'INPUT NFI'!C104:K383, 8, FALSE) * G104 / M104</f>
        <v>609705.37570119987</v>
      </c>
      <c r="J104" s="213">
        <f t="shared" si="9"/>
        <v>23.036329883210254</v>
      </c>
      <c r="K104" s="4"/>
      <c r="L104" s="183">
        <f>+VLOOKUP(C104, 'INPUT NFI'!$C$3:$K$282, 3, FALSE)</f>
        <v>132574.17022820201</v>
      </c>
      <c r="M104" s="184">
        <f>+VLOOKUP(C104, 'INPUT NFI'!$C$3:$K$282, 6, FALSE)</f>
        <v>2838345.8861854379</v>
      </c>
      <c r="N104" s="201">
        <f>+VLOOKUP(B104, 'AREA CorrFactor'!$B$3:$J$40, 9, FALSE)</f>
        <v>1.9786538920218357E-3</v>
      </c>
      <c r="O104" s="202">
        <f>+IF(N104&gt;0, VLOOKUP(C104, 'INPUT CBM'!$N$3:$P$282, 3, FALSE), M104/L104)</f>
        <v>35.254192428365862</v>
      </c>
      <c r="P104" s="200">
        <f>+('INPUT CBM'!$K$9 / 18) * (2020- VLOOKUP(C104, 'INPUT NFI'!$C$69:$D$118, 2, FALSE))</f>
        <v>7.4857495025453982E-2</v>
      </c>
      <c r="Q104" s="183">
        <f t="shared" si="10"/>
        <v>212471.46305564418</v>
      </c>
      <c r="R104" s="78">
        <f t="shared" si="11"/>
        <v>262.31839790359726</v>
      </c>
      <c r="S104" s="184">
        <f t="shared" si="12"/>
        <v>9247.823277194062</v>
      </c>
      <c r="T104" s="14"/>
      <c r="U104" s="6"/>
      <c r="V104" s="6"/>
      <c r="W104" s="6"/>
    </row>
    <row r="105" spans="1:23" x14ac:dyDescent="0.25">
      <c r="A105" s="107" t="s">
        <v>89</v>
      </c>
      <c r="B105" s="108" t="s">
        <v>12</v>
      </c>
      <c r="C105" s="187" t="s">
        <v>126</v>
      </c>
      <c r="D105" s="181">
        <f t="shared" si="7"/>
        <v>271406.83144588937</v>
      </c>
      <c r="E105" s="111">
        <f>+VLOOKUP(C105, 'INPUT NFI'!$C$3:$K$282, 4, FALSE) * D105 / L105</f>
        <v>247680.55312138633</v>
      </c>
      <c r="F105" s="111">
        <f>+VLOOKUP(C105, 'INPUT NFI'!$C$3:$K$282, 5, FALSE) * D105 / L105</f>
        <v>23726.278324503302</v>
      </c>
      <c r="G105" s="111">
        <f t="shared" si="8"/>
        <v>12766740.75680102</v>
      </c>
      <c r="H105" s="111">
        <f>+VLOOKUP(C105, 'INPUT NFI'!$C$3:$K$282, 7, FALSE) * G105 / M105</f>
        <v>11865401.198682537</v>
      </c>
      <c r="I105" s="111">
        <f>+VLOOKUP(C105, 'INPUT NFI'!C105:K384, 8, FALSE) * G105 / M105</f>
        <v>901339.55811848375</v>
      </c>
      <c r="J105" s="213">
        <f t="shared" si="9"/>
        <v>47.039128266549682</v>
      </c>
      <c r="K105" s="4"/>
      <c r="L105" s="183">
        <f>+VLOOKUP(C105, 'INPUT NFI'!$C$3:$K$282, 3, FALSE)</f>
        <v>270870.87174128316</v>
      </c>
      <c r="M105" s="184">
        <f>+VLOOKUP(C105, 'INPUT NFI'!$C$3:$K$282, 6, FALSE)</f>
        <v>11860033.529318318</v>
      </c>
      <c r="N105" s="201">
        <f>+VLOOKUP(B105, 'AREA CorrFactor'!$B$3:$J$40, 9, FALSE)</f>
        <v>1.9786538920218357E-3</v>
      </c>
      <c r="O105" s="202">
        <f>+IF(N105&gt;0, VLOOKUP(C105, 'INPUT CBM'!$N$3:$P$282, 3, FALSE), M105/L105)</f>
        <v>35.254192428365862</v>
      </c>
      <c r="P105" s="200">
        <f>+('INPUT CBM'!$K$9 / 18) * (2020- VLOOKUP(C105, 'INPUT NFI'!$C$69:$D$118, 2, FALSE))</f>
        <v>7.4857495025453982E-2</v>
      </c>
      <c r="Q105" s="183">
        <f t="shared" si="10"/>
        <v>887812.40092266339</v>
      </c>
      <c r="R105" s="78">
        <f t="shared" si="11"/>
        <v>535.95970460623744</v>
      </c>
      <c r="S105" s="184">
        <f t="shared" si="12"/>
        <v>18894.826560038418</v>
      </c>
      <c r="T105" s="14"/>
      <c r="U105" s="6"/>
      <c r="V105" s="6"/>
      <c r="W105" s="6"/>
    </row>
    <row r="106" spans="1:23" x14ac:dyDescent="0.25">
      <c r="A106" s="107" t="s">
        <v>89</v>
      </c>
      <c r="B106" s="108" t="s">
        <v>12</v>
      </c>
      <c r="C106" s="187" t="s">
        <v>127</v>
      </c>
      <c r="D106" s="181">
        <f t="shared" si="7"/>
        <v>351194.47913070471</v>
      </c>
      <c r="E106" s="111">
        <f>+VLOOKUP(C106, 'INPUT NFI'!$C$3:$K$282, 4, FALSE) * D106 / L106</f>
        <v>327236.70764506375</v>
      </c>
      <c r="F106" s="111">
        <f>+VLOOKUP(C106, 'INPUT NFI'!$C$3:$K$282, 5, FALSE) * D106 / L106</f>
        <v>23957.771485640475</v>
      </c>
      <c r="G106" s="111">
        <f t="shared" si="8"/>
        <v>10133601.59993338</v>
      </c>
      <c r="H106" s="111">
        <f>+VLOOKUP(C106, 'INPUT NFI'!$C$3:$K$282, 7, FALSE) * G106 / M106</f>
        <v>9529420.5116919223</v>
      </c>
      <c r="I106" s="111">
        <f>+VLOOKUP(C106, 'INPUT NFI'!C106:K385, 8, FALSE) * G106 / M106</f>
        <v>604181.08824145747</v>
      </c>
      <c r="J106" s="213">
        <f t="shared" si="9"/>
        <v>28.854672274509014</v>
      </c>
      <c r="K106" s="4"/>
      <c r="L106" s="183">
        <f>+VLOOKUP(C106, 'INPUT NFI'!$C$3:$K$282, 3, FALSE)</f>
        <v>350500.95904393506</v>
      </c>
      <c r="M106" s="184">
        <f>+VLOOKUP(C106, 'INPUT NFI'!$C$3:$K$282, 6, FALSE)</f>
        <v>9405109.194593342</v>
      </c>
      <c r="N106" s="201">
        <f>+VLOOKUP(B106, 'AREA CorrFactor'!$B$3:$J$40, 9, FALSE)</f>
        <v>1.9786538920218357E-3</v>
      </c>
      <c r="O106" s="202">
        <f>+IF(N106&gt;0, VLOOKUP(C106, 'INPUT CBM'!$N$3:$P$282, 3, FALSE), M106/L106)</f>
        <v>35.254192428365862</v>
      </c>
      <c r="P106" s="200">
        <f>+('INPUT CBM'!$K$9 / 18) * (2020- VLOOKUP(C106, 'INPUT NFI'!$C$69:$D$118, 2, FALSE))</f>
        <v>7.4857495025453982E-2</v>
      </c>
      <c r="Q106" s="183">
        <f t="shared" si="10"/>
        <v>704042.91474812257</v>
      </c>
      <c r="R106" s="78">
        <f t="shared" si="11"/>
        <v>693.52008676966807</v>
      </c>
      <c r="S106" s="184">
        <f t="shared" si="12"/>
        <v>24449.490591914866</v>
      </c>
      <c r="T106" s="14"/>
      <c r="U106" s="6"/>
      <c r="V106" s="6"/>
      <c r="W106" s="6"/>
    </row>
    <row r="107" spans="1:23" x14ac:dyDescent="0.25">
      <c r="A107" s="107" t="s">
        <v>89</v>
      </c>
      <c r="B107" s="108" t="s">
        <v>12</v>
      </c>
      <c r="C107" s="187" t="s">
        <v>300</v>
      </c>
      <c r="D107" s="181">
        <f t="shared" si="7"/>
        <v>176632.98908414168</v>
      </c>
      <c r="E107" s="111">
        <f>+VLOOKUP(C107, 'INPUT NFI'!$C$3:$K$282, 4, FALSE) * D107 / L107</f>
        <v>154266.44636089497</v>
      </c>
      <c r="F107" s="111">
        <f>+VLOOKUP(C107, 'INPUT NFI'!$C$3:$K$282, 5, FALSE) * D107 / L107</f>
        <v>22366.542723246708</v>
      </c>
      <c r="G107" s="111">
        <f t="shared" si="8"/>
        <v>8918246.0462921988</v>
      </c>
      <c r="H107" s="111">
        <f>+VLOOKUP(C107, 'INPUT NFI'!$C$3:$K$282, 7, FALSE) * G107 / M107</f>
        <v>7921042.3090024907</v>
      </c>
      <c r="I107" s="111">
        <f>+VLOOKUP(C107, 'INPUT NFI'!C107:K386, 8, FALSE) * G107 / M107</f>
        <v>997203.73728970648</v>
      </c>
      <c r="J107" s="213">
        <f t="shared" si="9"/>
        <v>50.490262846901508</v>
      </c>
      <c r="K107" s="4"/>
      <c r="L107" s="183">
        <f>+VLOOKUP(C107, 'INPUT NFI'!$C$3:$K$282, 3, FALSE)</f>
        <v>176284.18369796581</v>
      </c>
      <c r="M107" s="184">
        <f>+VLOOKUP(C107, 'INPUT NFI'!$C$3:$K$282, 6, FALSE)</f>
        <v>8004054.6531402394</v>
      </c>
      <c r="N107" s="201">
        <f>+VLOOKUP(B107, 'AREA CorrFactor'!$B$3:$J$40, 9, FALSE)</f>
        <v>1.9786538920218357E-3</v>
      </c>
      <c r="O107" s="202">
        <f>+IF(N107&gt;0, VLOOKUP(C107, 'INPUT CBM'!$N$3:$P$282, 3, FALSE), M107/L107)</f>
        <v>44.28306354423863</v>
      </c>
      <c r="P107" s="200">
        <f>+('INPUT CBM'!$K$9 / 18) * (2020- VLOOKUP(C107, 'INPUT NFI'!$C$69:$D$118, 2, FALSE))</f>
        <v>0.11228624253818097</v>
      </c>
      <c r="Q107" s="183">
        <f t="shared" si="10"/>
        <v>898745.2220713608</v>
      </c>
      <c r="R107" s="78">
        <f t="shared" si="11"/>
        <v>348.80538617587229</v>
      </c>
      <c r="S107" s="184">
        <f t="shared" si="12"/>
        <v>15446.171080598848</v>
      </c>
      <c r="T107" s="14"/>
      <c r="U107" s="6"/>
      <c r="V107" s="6"/>
      <c r="W107" s="6"/>
    </row>
    <row r="108" spans="1:23" x14ac:dyDescent="0.25">
      <c r="A108" s="107" t="s">
        <v>89</v>
      </c>
      <c r="B108" s="108" t="s">
        <v>12</v>
      </c>
      <c r="C108" s="187" t="s">
        <v>128</v>
      </c>
      <c r="D108" s="181">
        <f t="shared" si="7"/>
        <v>170988.49184041069</v>
      </c>
      <c r="E108" s="111">
        <f>+VLOOKUP(C108, 'INPUT NFI'!$C$3:$K$282, 4, FALSE) * D108 / L108</f>
        <v>142065.27579575437</v>
      </c>
      <c r="F108" s="111">
        <f>+VLOOKUP(C108, 'INPUT NFI'!$C$3:$K$282, 5, FALSE) * D108 / L108</f>
        <v>28923.216044657329</v>
      </c>
      <c r="G108" s="111">
        <f t="shared" si="8"/>
        <v>5414199.4835173739</v>
      </c>
      <c r="H108" s="111">
        <f>+VLOOKUP(C108, 'INPUT NFI'!$C$3:$K$282, 7, FALSE) * G108 / M108</f>
        <v>4556731.4389667818</v>
      </c>
      <c r="I108" s="111">
        <f>+VLOOKUP(C108, 'INPUT NFI'!C108:K387, 8, FALSE) * G108 / M108</f>
        <v>857468.04455059173</v>
      </c>
      <c r="J108" s="213">
        <f t="shared" si="9"/>
        <v>31.66411625275126</v>
      </c>
      <c r="K108" s="4"/>
      <c r="L108" s="183">
        <f>+VLOOKUP(C108, 'INPUT NFI'!$C$3:$K$282, 3, FALSE)</f>
        <v>170650.83290570506</v>
      </c>
      <c r="M108" s="184">
        <f>+VLOOKUP(C108, 'INPUT NFI'!$C$3:$K$282, 6, FALSE)</f>
        <v>5046423.1145251244</v>
      </c>
      <c r="N108" s="201">
        <f>+VLOOKUP(B108, 'AREA CorrFactor'!$B$3:$J$40, 9, FALSE)</f>
        <v>1.9786538920218357E-3</v>
      </c>
      <c r="O108" s="202">
        <f>+IF(N108&gt;0, VLOOKUP(C108, 'INPUT CBM'!$N$3:$P$282, 3, FALSE), M108/L108)</f>
        <v>50.33723803581956</v>
      </c>
      <c r="P108" s="200">
        <f>+('INPUT CBM'!$K$9 / 18) * (2020- VLOOKUP(C108, 'INPUT NFI'!$C$69:$D$118, 2, FALSE))</f>
        <v>6.9510531095064401E-2</v>
      </c>
      <c r="Q108" s="183">
        <f t="shared" si="10"/>
        <v>350779.55082105042</v>
      </c>
      <c r="R108" s="78">
        <f t="shared" si="11"/>
        <v>337.65893470564123</v>
      </c>
      <c r="S108" s="184">
        <f t="shared" si="12"/>
        <v>16996.818171199116</v>
      </c>
      <c r="T108" s="14"/>
      <c r="U108" s="6"/>
      <c r="V108" s="6"/>
      <c r="W108" s="6"/>
    </row>
    <row r="109" spans="1:23" x14ac:dyDescent="0.25">
      <c r="A109" s="107" t="s">
        <v>89</v>
      </c>
      <c r="B109" s="108" t="s">
        <v>12</v>
      </c>
      <c r="C109" s="187" t="s">
        <v>129</v>
      </c>
      <c r="D109" s="181">
        <f t="shared" si="7"/>
        <v>239685.95668138925</v>
      </c>
      <c r="E109" s="111">
        <f>+VLOOKUP(C109, 'INPUT NFI'!$C$3:$K$282, 4, FALSE) * D109 / L109</f>
        <v>215481.25851404908</v>
      </c>
      <c r="F109" s="111">
        <f>+VLOOKUP(C109, 'INPUT NFI'!$C$3:$K$282, 5, FALSE) * D109 / L109</f>
        <v>24204.698167339167</v>
      </c>
      <c r="G109" s="111">
        <f t="shared" si="8"/>
        <v>12616737.598173898</v>
      </c>
      <c r="H109" s="111">
        <f>+VLOOKUP(C109, 'INPUT NFI'!$C$3:$K$282, 7, FALSE) * G109 / M109</f>
        <v>10846106.114848759</v>
      </c>
      <c r="I109" s="111">
        <f>+VLOOKUP(C109, 'INPUT NFI'!C109:K388, 8, FALSE) * G109 / M109</f>
        <v>1770631.4833251394</v>
      </c>
      <c r="J109" s="213">
        <f t="shared" si="9"/>
        <v>52.638618352368169</v>
      </c>
      <c r="K109" s="4"/>
      <c r="L109" s="183">
        <f>+VLOOKUP(C109, 'INPUT NFI'!$C$3:$K$282, 3, FALSE)</f>
        <v>239212.63766485287</v>
      </c>
      <c r="M109" s="184">
        <f>+VLOOKUP(C109, 'INPUT NFI'!$C$3:$K$282, 6, FALSE)</f>
        <v>11774462.859452007</v>
      </c>
      <c r="N109" s="201">
        <f>+VLOOKUP(B109, 'AREA CorrFactor'!$B$3:$J$40, 9, FALSE)</f>
        <v>1.9786538920218357E-3</v>
      </c>
      <c r="O109" s="202">
        <f>+IF(N109&gt;0, VLOOKUP(C109, 'INPUT CBM'!$N$3:$P$282, 3, FALSE), M109/L109)</f>
        <v>50.33723803581956</v>
      </c>
      <c r="P109" s="200">
        <f>+('INPUT CBM'!$K$9 / 18) * (2020- VLOOKUP(C109, 'INPUT NFI'!$C$69:$D$118, 2, FALSE))</f>
        <v>6.9510531095064401E-2</v>
      </c>
      <c r="Q109" s="183">
        <f t="shared" si="10"/>
        <v>818449.16671961965</v>
      </c>
      <c r="R109" s="78">
        <f t="shared" si="11"/>
        <v>473.31901653637027</v>
      </c>
      <c r="S109" s="184">
        <f t="shared" si="12"/>
        <v>23825.572002271285</v>
      </c>
      <c r="T109" s="14"/>
      <c r="U109" s="6"/>
      <c r="V109" s="6"/>
      <c r="W109" s="6"/>
    </row>
    <row r="110" spans="1:23" x14ac:dyDescent="0.25">
      <c r="A110" s="107" t="s">
        <v>89</v>
      </c>
      <c r="B110" s="108" t="s">
        <v>12</v>
      </c>
      <c r="C110" s="187" t="s">
        <v>130</v>
      </c>
      <c r="D110" s="181">
        <f t="shared" si="7"/>
        <v>595385.45350102358</v>
      </c>
      <c r="E110" s="111">
        <f>+VLOOKUP(C110, 'INPUT NFI'!$C$3:$K$282, 4, FALSE) * D110 / L110</f>
        <v>567781.33296620683</v>
      </c>
      <c r="F110" s="111">
        <f>+VLOOKUP(C110, 'INPUT NFI'!$C$3:$K$282, 5, FALSE) * D110 / L110</f>
        <v>27604.120534817343</v>
      </c>
      <c r="G110" s="111">
        <f t="shared" si="8"/>
        <v>24585561.717965931</v>
      </c>
      <c r="H110" s="111">
        <f>+VLOOKUP(C110, 'INPUT NFI'!$C$3:$K$282, 7, FALSE) * G110 / M110</f>
        <v>23847021.705601007</v>
      </c>
      <c r="I110" s="111">
        <f>+VLOOKUP(C110, 'INPUT NFI'!C110:K389, 8, FALSE) * G110 / M110</f>
        <v>738540.01236491988</v>
      </c>
      <c r="J110" s="213">
        <f t="shared" si="9"/>
        <v>41.293520984425029</v>
      </c>
      <c r="K110" s="4"/>
      <c r="L110" s="183">
        <f>+VLOOKUP(C110, 'INPUT NFI'!$C$3:$K$282, 3, FALSE)</f>
        <v>594209.71812956932</v>
      </c>
      <c r="M110" s="184">
        <f>+VLOOKUP(C110, 'INPUT NFI'!$C$3:$K$282, 6, FALSE)</f>
        <v>22818260.616143435</v>
      </c>
      <c r="N110" s="201">
        <f>+VLOOKUP(B110, 'AREA CorrFactor'!$B$3:$J$40, 9, FALSE)</f>
        <v>1.9786538920218357E-3</v>
      </c>
      <c r="O110" s="202">
        <f>+IF(N110&gt;0, VLOOKUP(C110, 'INPUT CBM'!$N$3:$P$282, 3, FALSE), M110/L110)</f>
        <v>50.33723803581956</v>
      </c>
      <c r="P110" s="200">
        <f>+('INPUT CBM'!$K$9 / 18) * (2020- VLOOKUP(C110, 'INPUT NFI'!$C$69:$D$118, 2, FALSE))</f>
        <v>7.4857495025453982E-2</v>
      </c>
      <c r="Q110" s="183">
        <f t="shared" si="10"/>
        <v>1708117.8305624698</v>
      </c>
      <c r="R110" s="78">
        <f t="shared" si="11"/>
        <v>1175.7353714542703</v>
      </c>
      <c r="S110" s="184">
        <f t="shared" si="12"/>
        <v>59183.271260026333</v>
      </c>
      <c r="T110" s="14"/>
      <c r="U110" s="6"/>
      <c r="V110" s="6"/>
      <c r="W110" s="6"/>
    </row>
    <row r="111" spans="1:23" x14ac:dyDescent="0.25">
      <c r="A111" s="107" t="s">
        <v>89</v>
      </c>
      <c r="B111" s="108" t="s">
        <v>12</v>
      </c>
      <c r="C111" s="187" t="s">
        <v>131</v>
      </c>
      <c r="D111" s="181">
        <f t="shared" si="7"/>
        <v>336591.55428864405</v>
      </c>
      <c r="E111" s="111">
        <f>+VLOOKUP(C111, 'INPUT NFI'!$C$3:$K$282, 4, FALSE) * D111 / L111</f>
        <v>291103.92980103201</v>
      </c>
      <c r="F111" s="111">
        <f>+VLOOKUP(C111, 'INPUT NFI'!$C$3:$K$282, 5, FALSE) * D111 / L111</f>
        <v>45487.62448761057</v>
      </c>
      <c r="G111" s="111">
        <f t="shared" si="8"/>
        <v>13364228.881720092</v>
      </c>
      <c r="H111" s="111">
        <f>+VLOOKUP(C111, 'INPUT NFI'!$C$3:$K$282, 7, FALSE) * G111 / M111</f>
        <v>10822582.62702392</v>
      </c>
      <c r="I111" s="111">
        <f>+VLOOKUP(C111, 'INPUT NFI'!C111:K390, 8, FALSE) * G111 / M111</f>
        <v>2541646.2546961736</v>
      </c>
      <c r="J111" s="213">
        <f t="shared" si="9"/>
        <v>39.704587686295895</v>
      </c>
      <c r="K111" s="4"/>
      <c r="L111" s="183">
        <f>+VLOOKUP(C111, 'INPUT NFI'!$C$3:$K$282, 3, FALSE)</f>
        <v>335926.8712773564</v>
      </c>
      <c r="M111" s="184">
        <f>+VLOOKUP(C111, 'INPUT NFI'!$C$3:$K$282, 6, FALSE)</f>
        <v>12464365.882506324</v>
      </c>
      <c r="N111" s="201">
        <f>+VLOOKUP(B111, 'AREA CorrFactor'!$B$3:$J$40, 9, FALSE)</f>
        <v>1.9786538920218357E-3</v>
      </c>
      <c r="O111" s="202">
        <f>+IF(N111&gt;0, VLOOKUP(C111, 'INPUT CBM'!$N$3:$P$282, 3, FALSE), M111/L111)</f>
        <v>50.33723803581956</v>
      </c>
      <c r="P111" s="200">
        <f>+('INPUT CBM'!$K$9 / 18) * (2020- VLOOKUP(C111, 'INPUT NFI'!$C$69:$D$118, 2, FALSE))</f>
        <v>6.9510531095064401E-2</v>
      </c>
      <c r="Q111" s="183">
        <f t="shared" si="10"/>
        <v>866404.69225621573</v>
      </c>
      <c r="R111" s="78">
        <f t="shared" si="11"/>
        <v>664.6830112876595</v>
      </c>
      <c r="S111" s="184">
        <f t="shared" si="12"/>
        <v>33458.306957552253</v>
      </c>
      <c r="T111" s="14"/>
      <c r="U111" s="6"/>
      <c r="V111" s="6"/>
      <c r="W111" s="6"/>
    </row>
    <row r="112" spans="1:23" x14ac:dyDescent="0.25">
      <c r="A112" s="107" t="s">
        <v>89</v>
      </c>
      <c r="B112" s="108" t="s">
        <v>12</v>
      </c>
      <c r="C112" s="187" t="s">
        <v>132</v>
      </c>
      <c r="D112" s="181">
        <f t="shared" si="7"/>
        <v>609467.6895758959</v>
      </c>
      <c r="E112" s="111">
        <f>+VLOOKUP(C112, 'INPUT NFI'!$C$3:$K$282, 4, FALSE) * D112 / L112</f>
        <v>570745.39612918894</v>
      </c>
      <c r="F112" s="111">
        <f>+VLOOKUP(C112, 'INPUT NFI'!$C$3:$K$282, 5, FALSE) * D112 / L112</f>
        <v>38722.293446702941</v>
      </c>
      <c r="G112" s="111">
        <f t="shared" si="8"/>
        <v>21197304.193086825</v>
      </c>
      <c r="H112" s="111">
        <f>+VLOOKUP(C112, 'INPUT NFI'!$C$3:$K$282, 7, FALSE) * G112 / M112</f>
        <v>20366314.596721586</v>
      </c>
      <c r="I112" s="111">
        <f>+VLOOKUP(C112, 'INPUT NFI'!C112:K391, 8, FALSE) * G112 / M112</f>
        <v>830989.59636524122</v>
      </c>
      <c r="J112" s="213">
        <f t="shared" si="9"/>
        <v>34.78002945133511</v>
      </c>
      <c r="K112" s="4"/>
      <c r="L112" s="183">
        <f>+VLOOKUP(C112, 'INPUT NFI'!$C$3:$K$282, 3, FALSE)</f>
        <v>608264.14535730728</v>
      </c>
      <c r="M112" s="184">
        <f>+VLOOKUP(C112, 'INPUT NFI'!$C$3:$K$282, 6, FALSE)</f>
        <v>19862285.980702322</v>
      </c>
      <c r="N112" s="201">
        <f>+VLOOKUP(B112, 'AREA CorrFactor'!$B$3:$J$40, 9, FALSE)</f>
        <v>1.9786538920218357E-3</v>
      </c>
      <c r="O112" s="202">
        <f>+IF(N112&gt;0, VLOOKUP(C112, 'INPUT CBM'!$N$3:$P$282, 3, FALSE), M112/L112)</f>
        <v>50.33723803581956</v>
      </c>
      <c r="P112" s="200">
        <f>+('INPUT CBM'!$K$9 / 18) * (2020- VLOOKUP(C112, 'INPUT NFI'!$C$69:$D$118, 2, FALSE))</f>
        <v>6.4163567164674834E-2</v>
      </c>
      <c r="Q112" s="183">
        <f t="shared" si="10"/>
        <v>1274435.1205667728</v>
      </c>
      <c r="R112" s="78">
        <f t="shared" si="11"/>
        <v>1203.5442185885715</v>
      </c>
      <c r="S112" s="184">
        <f t="shared" si="12"/>
        <v>60583.091817727371</v>
      </c>
      <c r="T112" s="14"/>
      <c r="U112" s="6"/>
      <c r="V112" s="6"/>
      <c r="W112" s="6"/>
    </row>
    <row r="113" spans="1:23" x14ac:dyDescent="0.25">
      <c r="A113" s="107" t="s">
        <v>89</v>
      </c>
      <c r="B113" s="108" t="s">
        <v>12</v>
      </c>
      <c r="C113" s="187" t="s">
        <v>133</v>
      </c>
      <c r="D113" s="181">
        <f t="shared" si="7"/>
        <v>481797.2617472019</v>
      </c>
      <c r="E113" s="111">
        <f>+VLOOKUP(C113, 'INPUT NFI'!$C$3:$K$282, 4, FALSE) * D113 / L113</f>
        <v>439186.7581743031</v>
      </c>
      <c r="F113" s="111">
        <f>+VLOOKUP(C113, 'INPUT NFI'!$C$3:$K$282, 5, FALSE) * D113 / L113</f>
        <v>42610.50357289883</v>
      </c>
      <c r="G113" s="111">
        <f t="shared" si="8"/>
        <v>25849928.917410973</v>
      </c>
      <c r="H113" s="111">
        <f>+VLOOKUP(C113, 'INPUT NFI'!$C$3:$K$282, 7, FALSE) * G113 / M113</f>
        <v>24609042.777019881</v>
      </c>
      <c r="I113" s="111">
        <f>+VLOOKUP(C113, 'INPUT NFI'!C113:K392, 8, FALSE) * G113 / M113</f>
        <v>1240886.1403910944</v>
      </c>
      <c r="J113" s="213">
        <f t="shared" si="9"/>
        <v>53.653125432195544</v>
      </c>
      <c r="K113" s="4"/>
      <c r="L113" s="183">
        <f>+VLOOKUP(C113, 'INPUT NFI'!$C$3:$K$282, 3, FALSE)</f>
        <v>480845.83426576946</v>
      </c>
      <c r="M113" s="184">
        <f>+VLOOKUP(C113, 'INPUT NFI'!$C$3:$K$282, 6, FALSE)</f>
        <v>24005076.770845111</v>
      </c>
      <c r="N113" s="201">
        <f>+VLOOKUP(B113, 'AREA CorrFactor'!$B$3:$J$40, 9, FALSE)</f>
        <v>1.9786538920218357E-3</v>
      </c>
      <c r="O113" s="202">
        <f>+IF(N113&gt;0, VLOOKUP(C113, 'INPUT CBM'!$N$3:$P$282, 3, FALSE), M113/L113)</f>
        <v>50.33723803581956</v>
      </c>
      <c r="P113" s="200">
        <f>+('INPUT CBM'!$K$9 / 18) * (2020- VLOOKUP(C113, 'INPUT NFI'!$C$69:$D$118, 2, FALSE))</f>
        <v>7.4857495025453982E-2</v>
      </c>
      <c r="Q113" s="183">
        <f t="shared" si="10"/>
        <v>1796959.9149591788</v>
      </c>
      <c r="R113" s="78">
        <f t="shared" si="11"/>
        <v>951.42748143245126</v>
      </c>
      <c r="S113" s="184">
        <f t="shared" si="12"/>
        <v>47892.231606685593</v>
      </c>
      <c r="T113" s="14"/>
      <c r="U113" s="6"/>
      <c r="V113" s="6"/>
      <c r="W113" s="6"/>
    </row>
    <row r="114" spans="1:23" x14ac:dyDescent="0.25">
      <c r="A114" s="107" t="s">
        <v>89</v>
      </c>
      <c r="B114" s="108" t="s">
        <v>12</v>
      </c>
      <c r="C114" s="187" t="s">
        <v>134</v>
      </c>
      <c r="D114" s="181">
        <f t="shared" si="7"/>
        <v>210405.82296757304</v>
      </c>
      <c r="E114" s="111">
        <f>+VLOOKUP(C114, 'INPUT NFI'!$C$3:$K$282, 4, FALSE) * D114 / L114</f>
        <v>168745.49051582356</v>
      </c>
      <c r="F114" s="111">
        <f>+VLOOKUP(C114, 'INPUT NFI'!$C$3:$K$282, 5, FALSE) * D114 / L114</f>
        <v>41660.332451749018</v>
      </c>
      <c r="G114" s="111">
        <f t="shared" si="8"/>
        <v>9230035.401485879</v>
      </c>
      <c r="H114" s="111">
        <f>+VLOOKUP(C114, 'INPUT NFI'!$C$3:$K$282, 7, FALSE) * G114 / M114</f>
        <v>7824316.7733218605</v>
      </c>
      <c r="I114" s="111">
        <f>+VLOOKUP(C114, 'INPUT NFI'!C114:K393, 8, FALSE) * G114 / M114</f>
        <v>1405718.628164019</v>
      </c>
      <c r="J114" s="213">
        <f t="shared" si="9"/>
        <v>43.867775479333467</v>
      </c>
      <c r="K114" s="4"/>
      <c r="L114" s="183">
        <f>+VLOOKUP(C114, 'INPUT NFI'!$C$3:$K$282, 3, FALSE)</f>
        <v>209990.3247941322</v>
      </c>
      <c r="M114" s="184">
        <f>+VLOOKUP(C114, 'INPUT NFI'!$C$3:$K$282, 6, FALSE)</f>
        <v>8610593.4474500064</v>
      </c>
      <c r="N114" s="201">
        <f>+VLOOKUP(B114, 'AREA CorrFactor'!$B$3:$J$40, 9, FALSE)</f>
        <v>1.9786538920218357E-3</v>
      </c>
      <c r="O114" s="202">
        <f>+IF(N114&gt;0, VLOOKUP(C114, 'INPUT CBM'!$N$3:$P$282, 3, FALSE), M114/L114)</f>
        <v>50.33723803581956</v>
      </c>
      <c r="P114" s="200">
        <f>+('INPUT CBM'!$K$9 / 18) * (2020- VLOOKUP(C114, 'INPUT NFI'!$C$69:$D$118, 2, FALSE))</f>
        <v>6.9510531095064401E-2</v>
      </c>
      <c r="Q114" s="183">
        <f t="shared" si="10"/>
        <v>598526.92357593146</v>
      </c>
      <c r="R114" s="78">
        <f t="shared" si="11"/>
        <v>415.49817344083908</v>
      </c>
      <c r="S114" s="184">
        <f t="shared" si="12"/>
        <v>20915.030459939757</v>
      </c>
      <c r="T114" s="14"/>
      <c r="U114" s="6"/>
      <c r="V114" s="6"/>
      <c r="W114" s="6"/>
    </row>
    <row r="115" spans="1:23" x14ac:dyDescent="0.25">
      <c r="A115" s="107" t="s">
        <v>89</v>
      </c>
      <c r="B115" s="108" t="s">
        <v>12</v>
      </c>
      <c r="C115" s="187" t="s">
        <v>135</v>
      </c>
      <c r="D115" s="181">
        <f t="shared" si="7"/>
        <v>344153.30057361035</v>
      </c>
      <c r="E115" s="111">
        <f>+VLOOKUP(C115, 'INPUT NFI'!$C$3:$K$282, 4, FALSE) * D115 / L115</f>
        <v>328911.16692762618</v>
      </c>
      <c r="F115" s="111">
        <f>+VLOOKUP(C115, 'INPUT NFI'!$C$3:$K$282, 5, FALSE) * D115 / L115</f>
        <v>15242.133645984111</v>
      </c>
      <c r="G115" s="111">
        <f t="shared" si="8"/>
        <v>11663337.270640412</v>
      </c>
      <c r="H115" s="111">
        <f>+VLOOKUP(C115, 'INPUT NFI'!$C$3:$K$282, 7, FALSE) * G115 / M115</f>
        <v>11407866.225470666</v>
      </c>
      <c r="I115" s="111">
        <f>+VLOOKUP(C115, 'INPUT NFI'!C115:K394, 8, FALSE) * G115 / M115</f>
        <v>255471.04516974578</v>
      </c>
      <c r="J115" s="213">
        <f t="shared" si="9"/>
        <v>33.889947448421353</v>
      </c>
      <c r="K115" s="4"/>
      <c r="L115" s="183">
        <f>+VLOOKUP(C115, 'INPUT NFI'!$C$3:$K$282, 3, FALSE)</f>
        <v>343473.68502991879</v>
      </c>
      <c r="M115" s="184">
        <f>+VLOOKUP(C115, 'INPUT NFI'!$C$3:$K$282, 6, FALSE)</f>
        <v>10873317.244794015</v>
      </c>
      <c r="N115" s="201">
        <f>+VLOOKUP(B115, 'AREA CorrFactor'!$B$3:$J$40, 9, FALSE)</f>
        <v>1.9786538920218357E-3</v>
      </c>
      <c r="O115" s="202">
        <f>+IF(N115&gt;0, VLOOKUP(C115, 'INPUT CBM'!$N$3:$P$282, 3, FALSE), M115/L115)</f>
        <v>50.33723803581956</v>
      </c>
      <c r="P115" s="200">
        <f>+('INPUT CBM'!$K$9 / 18) * (2020- VLOOKUP(C115, 'INPUT NFI'!$C$69:$D$118, 2, FALSE))</f>
        <v>6.9510531095064401E-2</v>
      </c>
      <c r="Q115" s="183">
        <f t="shared" si="10"/>
        <v>755810.0564507544</v>
      </c>
      <c r="R115" s="78">
        <f t="shared" si="11"/>
        <v>679.61554369153089</v>
      </c>
      <c r="S115" s="184">
        <f t="shared" si="12"/>
        <v>34209.969395643522</v>
      </c>
      <c r="T115" s="14"/>
      <c r="U115" s="6"/>
      <c r="V115" s="6"/>
      <c r="W115" s="6"/>
    </row>
    <row r="116" spans="1:23" x14ac:dyDescent="0.25">
      <c r="A116" s="107" t="s">
        <v>89</v>
      </c>
      <c r="B116" s="108" t="s">
        <v>12</v>
      </c>
      <c r="C116" s="187" t="s">
        <v>136</v>
      </c>
      <c r="D116" s="181">
        <f t="shared" si="7"/>
        <v>314808.2334920087</v>
      </c>
      <c r="E116" s="111">
        <f>+VLOOKUP(C116, 'INPUT NFI'!$C$3:$K$282, 4, FALSE) * D116 / L116</f>
        <v>273421.66733648657</v>
      </c>
      <c r="F116" s="111">
        <f>+VLOOKUP(C116, 'INPUT NFI'!$C$3:$K$282, 5, FALSE) * D116 / L116</f>
        <v>41386.566155526227</v>
      </c>
      <c r="G116" s="111">
        <f t="shared" si="8"/>
        <v>7076629.4835163727</v>
      </c>
      <c r="H116" s="111">
        <f>+VLOOKUP(C116, 'INPUT NFI'!$C$3:$K$282, 7, FALSE) * G116 / M116</f>
        <v>6469204.7507498628</v>
      </c>
      <c r="I116" s="111">
        <f>+VLOOKUP(C116, 'INPUT NFI'!C116:K395, 8, FALSE) * G116 / M116</f>
        <v>607424.73276650906</v>
      </c>
      <c r="J116" s="213">
        <f t="shared" si="9"/>
        <v>22.479175353893691</v>
      </c>
      <c r="K116" s="4"/>
      <c r="L116" s="183">
        <f>+VLOOKUP(C116, 'INPUT NFI'!$C$3:$K$282, 3, FALSE)</f>
        <v>314186.56701835687</v>
      </c>
      <c r="M116" s="184">
        <f>+VLOOKUP(C116, 'INPUT NFI'!$C$3:$K$282, 6, FALSE)</f>
        <v>6344684.0101763699</v>
      </c>
      <c r="N116" s="201">
        <f>+VLOOKUP(B116, 'AREA CorrFactor'!$B$3:$J$40, 9, FALSE)</f>
        <v>1.9786538920218357E-3</v>
      </c>
      <c r="O116" s="202">
        <f>+IF(N116&gt;0, VLOOKUP(C116, 'INPUT CBM'!$N$3:$P$282, 3, FALSE), M116/L116)</f>
        <v>31.40710746475634</v>
      </c>
      <c r="P116" s="200">
        <f>+('INPUT CBM'!$K$9 / 18) * (2020- VLOOKUP(C116, 'INPUT NFI'!$C$69:$D$118, 2, FALSE))</f>
        <v>0.11228624253818097</v>
      </c>
      <c r="Q116" s="183">
        <f t="shared" si="10"/>
        <v>712420.72759478248</v>
      </c>
      <c r="R116" s="78">
        <f t="shared" si="11"/>
        <v>621.66647365185111</v>
      </c>
      <c r="S116" s="184">
        <f t="shared" si="12"/>
        <v>19524.745745219803</v>
      </c>
      <c r="T116" s="14"/>
      <c r="U116" s="6"/>
      <c r="V116" s="6"/>
      <c r="W116" s="6"/>
    </row>
    <row r="117" spans="1:23" x14ac:dyDescent="0.25">
      <c r="A117" s="107" t="s">
        <v>89</v>
      </c>
      <c r="B117" s="108" t="s">
        <v>12</v>
      </c>
      <c r="C117" s="187" t="s">
        <v>137</v>
      </c>
      <c r="D117" s="181">
        <f t="shared" si="7"/>
        <v>112251.26090845748</v>
      </c>
      <c r="E117" s="111">
        <f>+VLOOKUP(C117, 'INPUT NFI'!$C$3:$K$282, 4, FALSE) * D117 / L117</f>
        <v>27171.067057300737</v>
      </c>
      <c r="F117" s="111">
        <f>+VLOOKUP(C117, 'INPUT NFI'!$C$3:$K$282, 5, FALSE) * D117 / L117</f>
        <v>85080.193851154661</v>
      </c>
      <c r="G117" s="111">
        <f t="shared" si="8"/>
        <v>9579052.2642874178</v>
      </c>
      <c r="H117" s="111">
        <f>+VLOOKUP(C117, 'INPUT NFI'!$C$3:$K$282, 7, FALSE) * G117 / M117</f>
        <v>1636897.0742613557</v>
      </c>
      <c r="I117" s="111">
        <f>+VLOOKUP(C117, 'INPUT NFI'!C117:K396, 8, FALSE) * G117 / M117</f>
        <v>7942155.1900260616</v>
      </c>
      <c r="J117" s="213">
        <f t="shared" si="9"/>
        <v>85.335809921095432</v>
      </c>
      <c r="K117" s="4"/>
      <c r="L117" s="183">
        <f>+VLOOKUP(C117, 'INPUT NFI'!$C$3:$K$282, 3, FALSE)</f>
        <v>112029.5931180129</v>
      </c>
      <c r="M117" s="184">
        <f>+VLOOKUP(C117, 'INPUT NFI'!$C$3:$K$282, 6, FALSE)</f>
        <v>8735451.4209517017</v>
      </c>
      <c r="N117" s="201">
        <f>+VLOOKUP(B117, 'AREA CorrFactor'!$B$3:$J$40, 9, FALSE)</f>
        <v>1.9786538920218357E-3</v>
      </c>
      <c r="O117" s="202">
        <f>+IF(N117&gt;0, VLOOKUP(C117, 'INPUT CBM'!$N$3:$P$282, 3, FALSE), M117/L117)</f>
        <v>12.876283861571499</v>
      </c>
      <c r="P117" s="200">
        <f>+('INPUT CBM'!$K$9 / 18) * (2020- VLOOKUP(C117, 'INPUT NFI'!$C$69:$D$118, 2, FALSE))</f>
        <v>9.6245350747012251E-2</v>
      </c>
      <c r="Q117" s="183">
        <f t="shared" si="10"/>
        <v>840746.58594298305</v>
      </c>
      <c r="R117" s="78">
        <f t="shared" si="11"/>
        <v>221.66779044457888</v>
      </c>
      <c r="S117" s="184">
        <f t="shared" si="12"/>
        <v>2854.2573927317439</v>
      </c>
      <c r="T117" s="14"/>
      <c r="U117" s="6"/>
      <c r="V117" s="6"/>
      <c r="W117" s="6"/>
    </row>
    <row r="118" spans="1:23" x14ac:dyDescent="0.25">
      <c r="A118" s="107" t="s">
        <v>89</v>
      </c>
      <c r="B118" s="108" t="s">
        <v>12</v>
      </c>
      <c r="C118" s="187" t="s">
        <v>138</v>
      </c>
      <c r="D118" s="181">
        <f t="shared" si="7"/>
        <v>20515.204083776542</v>
      </c>
      <c r="E118" s="111">
        <f>+VLOOKUP(C118, 'INPUT NFI'!$C$3:$K$282, 4, FALSE) * D118 / L118</f>
        <v>4608.6837897791802</v>
      </c>
      <c r="F118" s="111">
        <f>+VLOOKUP(C118, 'INPUT NFI'!$C$3:$K$282, 5, FALSE) * D118 / L118</f>
        <v>15906.520293997353</v>
      </c>
      <c r="G118" s="111">
        <f t="shared" si="8"/>
        <v>902468.05856181832</v>
      </c>
      <c r="H118" s="111">
        <f>+VLOOKUP(C118, 'INPUT NFI'!$C$3:$K$282, 7, FALSE) * G118 / M118</f>
        <v>138867.61459097921</v>
      </c>
      <c r="I118" s="111">
        <f>+VLOOKUP(C118, 'INPUT NFI'!C118:K397, 8, FALSE) * G118 / M118</f>
        <v>763600.44397083938</v>
      </c>
      <c r="J118" s="213">
        <f t="shared" si="9"/>
        <v>43.990206233214693</v>
      </c>
      <c r="K118" s="4"/>
      <c r="L118" s="183">
        <f>+VLOOKUP(C118, 'INPUT NFI'!$C$3:$K$282, 3, FALSE)</f>
        <v>20474.691755247073</v>
      </c>
      <c r="M118" s="184">
        <f>+VLOOKUP(C118, 'INPUT NFI'!$C$3:$K$282, 6, FALSE)</f>
        <v>822759.62192694191</v>
      </c>
      <c r="N118" s="201">
        <f>+VLOOKUP(B118, 'AREA CorrFactor'!$B$3:$J$40, 9, FALSE)</f>
        <v>1.9786538920218357E-3</v>
      </c>
      <c r="O118" s="202">
        <f>+IF(N118&gt;0, VLOOKUP(C118, 'INPUT CBM'!$N$3:$P$282, 3, FALSE), M118/L118)</f>
        <v>12.876283861571499</v>
      </c>
      <c r="P118" s="200">
        <f>+('INPUT CBM'!$K$9 / 18) * (2020- VLOOKUP(C118, 'INPUT NFI'!$C$69:$D$118, 2, FALSE))</f>
        <v>9.6245350747012251E-2</v>
      </c>
      <c r="Q118" s="183">
        <f t="shared" si="10"/>
        <v>79186.788392837712</v>
      </c>
      <c r="R118" s="78">
        <f t="shared" si="11"/>
        <v>40.512328529467013</v>
      </c>
      <c r="S118" s="184">
        <f t="shared" si="12"/>
        <v>521.64824203865874</v>
      </c>
      <c r="T118" s="14"/>
      <c r="U118" s="6"/>
      <c r="V118" s="6"/>
      <c r="W118" s="6"/>
    </row>
    <row r="119" spans="1:23" x14ac:dyDescent="0.25">
      <c r="A119" s="188" t="s">
        <v>330</v>
      </c>
      <c r="B119" s="108" t="s">
        <v>13</v>
      </c>
      <c r="C119" s="189" t="s">
        <v>314</v>
      </c>
      <c r="D119" s="181">
        <f t="shared" si="7"/>
        <v>4406382.1572682466</v>
      </c>
      <c r="E119" s="111" t="e">
        <f>+VLOOKUP(C119, 'INPUT NFI'!$C$3:$K$282, 4, FALSE) * D119 / L119</f>
        <v>#N/A</v>
      </c>
      <c r="F119" s="111" t="e">
        <f>+VLOOKUP(C119, 'INPUT NFI'!$C$3:$K$282, 5, FALSE) * D119 / L119</f>
        <v>#N/A</v>
      </c>
      <c r="G119" s="111">
        <f t="shared" si="8"/>
        <v>355222482.06231511</v>
      </c>
      <c r="H119" s="111" t="e">
        <f>+VLOOKUP(C119, 'INPUT NFI'!$C$3:$K$282, 7, FALSE) * G119 / M119</f>
        <v>#N/A</v>
      </c>
      <c r="I119" s="111" t="e">
        <f>+VLOOKUP(C119, 'INPUT NFI'!C119:K398, 8, FALSE) * G119 / M119</f>
        <v>#N/A</v>
      </c>
      <c r="J119" s="213">
        <f t="shared" si="9"/>
        <v>80.615450359062052</v>
      </c>
      <c r="K119" s="11"/>
      <c r="L119" s="183">
        <f>+VLOOKUP(C119, 'INPUT NFI'!$C$3:$K$282, 3, FALSE)</f>
        <v>4317761.17</v>
      </c>
      <c r="M119" s="184">
        <f>+VLOOKUP(C119, 'INPUT NFI'!$C$3:$K$282, 6, FALSE)</f>
        <v>309287165.44108421</v>
      </c>
      <c r="N119" s="201">
        <f>+VLOOKUP(B119, 'AREA CorrFactor'!$B$3:$J$40, 9, FALSE)</f>
        <v>2.0524754329625632E-2</v>
      </c>
      <c r="O119" s="202">
        <f>+IF(N119&gt;0, VLOOKUP(C119, 'INPUT CBM'!$N$3:$P$282, 3, FALSE), M119/L119)</f>
        <v>27.857994997883441</v>
      </c>
      <c r="P119" s="200">
        <f>+VLOOKUP(B119, 'INPUT CBM'!$B$3:$K$29, 10, FALSE)</f>
        <v>0.14053772176163734</v>
      </c>
      <c r="Q119" s="183">
        <f t="shared" si="10"/>
        <v>43466513.601204589</v>
      </c>
      <c r="R119" s="78">
        <f t="shared" si="11"/>
        <v>88620.987268246929</v>
      </c>
      <c r="S119" s="184">
        <f t="shared" si="12"/>
        <v>2468803.020026315</v>
      </c>
      <c r="T119" s="14"/>
      <c r="U119" s="6"/>
      <c r="V119" s="6"/>
      <c r="W119" s="6"/>
    </row>
    <row r="120" spans="1:23" x14ac:dyDescent="0.25">
      <c r="A120" s="188" t="s">
        <v>330</v>
      </c>
      <c r="B120" s="108" t="s">
        <v>13</v>
      </c>
      <c r="C120" s="189" t="s">
        <v>315</v>
      </c>
      <c r="D120" s="181">
        <f t="shared" si="7"/>
        <v>542912.67876592337</v>
      </c>
      <c r="E120" s="111" t="e">
        <f>+VLOOKUP(C120, 'INPUT NFI'!$C$3:$K$282, 4, FALSE) * D120 / L120</f>
        <v>#N/A</v>
      </c>
      <c r="F120" s="111" t="e">
        <f>+VLOOKUP(C120, 'INPUT NFI'!$C$3:$K$282, 5, FALSE) * D120 / L120</f>
        <v>#N/A</v>
      </c>
      <c r="G120" s="111">
        <f t="shared" si="8"/>
        <v>56618741.403113842</v>
      </c>
      <c r="H120" s="111" t="e">
        <f>+VLOOKUP(C120, 'INPUT NFI'!$C$3:$K$282, 7, FALSE) * G120 / M120</f>
        <v>#N/A</v>
      </c>
      <c r="I120" s="111" t="e">
        <f>+VLOOKUP(C120, 'INPUT NFI'!C120:K399, 8, FALSE) * G120 / M120</f>
        <v>#N/A</v>
      </c>
      <c r="J120" s="213">
        <f t="shared" si="9"/>
        <v>104.28701265885337</v>
      </c>
      <c r="K120" s="11"/>
      <c r="L120" s="183">
        <f>+VLOOKUP(C120, 'INPUT NFI'!$C$3:$K$282, 3, FALSE)</f>
        <v>531993.64</v>
      </c>
      <c r="M120" s="184">
        <f>+VLOOKUP(C120, 'INPUT NFI'!$C$3:$K$282, 6, FALSE)</f>
        <v>49375446.161315411</v>
      </c>
      <c r="N120" s="201">
        <f>+VLOOKUP(B120, 'AREA CorrFactor'!$B$3:$J$40, 9, FALSE)</f>
        <v>2.0524754329625632E-2</v>
      </c>
      <c r="O120" s="202">
        <f>+IF(N120&gt;0, VLOOKUP(C120, 'INPUT CBM'!$N$3:$P$282, 3, FALSE), M120/L120)</f>
        <v>27.857994997883441</v>
      </c>
      <c r="P120" s="200">
        <f>+VLOOKUP(B120, 'INPUT CBM'!$B$3:$K$29, 10, FALSE)</f>
        <v>0.14053772176163734</v>
      </c>
      <c r="Q120" s="183">
        <f t="shared" si="10"/>
        <v>6939112.7144756494</v>
      </c>
      <c r="R120" s="78">
        <f t="shared" si="11"/>
        <v>10919.0387659233</v>
      </c>
      <c r="S120" s="184">
        <f t="shared" si="12"/>
        <v>304182.52732278669</v>
      </c>
      <c r="T120" s="14"/>
      <c r="U120" s="6"/>
      <c r="V120" s="6"/>
      <c r="W120" s="6"/>
    </row>
    <row r="121" spans="1:23" x14ac:dyDescent="0.25">
      <c r="A121" s="188" t="s">
        <v>330</v>
      </c>
      <c r="B121" s="108" t="s">
        <v>13</v>
      </c>
      <c r="C121" s="189" t="s">
        <v>316</v>
      </c>
      <c r="D121" s="181">
        <f t="shared" si="7"/>
        <v>2098899.1279618936</v>
      </c>
      <c r="E121" s="111" t="e">
        <f>+VLOOKUP(C121, 'INPUT NFI'!$C$3:$K$282, 4, FALSE) * D121 / L121</f>
        <v>#N/A</v>
      </c>
      <c r="F121" s="111" t="e">
        <f>+VLOOKUP(C121, 'INPUT NFI'!$C$3:$K$282, 5, FALSE) * D121 / L121</f>
        <v>#N/A</v>
      </c>
      <c r="G121" s="111">
        <f t="shared" si="8"/>
        <v>200558330.56385294</v>
      </c>
      <c r="H121" s="111" t="e">
        <f>+VLOOKUP(C121, 'INPUT NFI'!$C$3:$K$282, 7, FALSE) * G121 / M121</f>
        <v>#N/A</v>
      </c>
      <c r="I121" s="111" t="e">
        <f>+VLOOKUP(C121, 'INPUT NFI'!C121:K400, 8, FALSE) * G121 / M121</f>
        <v>#N/A</v>
      </c>
      <c r="J121" s="213">
        <f t="shared" si="9"/>
        <v>95.5540587405943</v>
      </c>
      <c r="K121" s="11"/>
      <c r="L121" s="183">
        <f>+VLOOKUP(C121, 'INPUT NFI'!$C$3:$K$282, 3, FALSE)</f>
        <v>2056686.15</v>
      </c>
      <c r="M121" s="184">
        <f>+VLOOKUP(C121, 'INPUT NFI'!$C$3:$K$282, 6, FALSE)</f>
        <v>174814351.01242006</v>
      </c>
      <c r="N121" s="201">
        <f>+VLOOKUP(B121, 'AREA CorrFactor'!$B$3:$J$40, 9, FALSE)</f>
        <v>2.0524754329625632E-2</v>
      </c>
      <c r="O121" s="202">
        <f>+IF(N121&gt;0, VLOOKUP(C121, 'INPUT CBM'!$N$3:$P$282, 3, FALSE), M121/L121)</f>
        <v>27.857994997883441</v>
      </c>
      <c r="P121" s="200">
        <f>+VLOOKUP(B121, 'INPUT CBM'!$B$3:$K$29, 10, FALSE)</f>
        <v>0.14053772176163734</v>
      </c>
      <c r="Q121" s="183">
        <f t="shared" si="10"/>
        <v>24568010.622524694</v>
      </c>
      <c r="R121" s="78">
        <f t="shared" si="11"/>
        <v>42212.977961893572</v>
      </c>
      <c r="S121" s="184">
        <f t="shared" si="12"/>
        <v>1175968.9289081951</v>
      </c>
      <c r="T121" s="14"/>
      <c r="U121" s="6"/>
      <c r="V121" s="6"/>
      <c r="W121" s="6"/>
    </row>
    <row r="122" spans="1:23" x14ac:dyDescent="0.25">
      <c r="A122" s="188" t="s">
        <v>330</v>
      </c>
      <c r="B122" s="108" t="s">
        <v>13</v>
      </c>
      <c r="C122" s="189" t="s">
        <v>317</v>
      </c>
      <c r="D122" s="181">
        <f t="shared" si="7"/>
        <v>15270035.859734744</v>
      </c>
      <c r="E122" s="111" t="e">
        <f>+VLOOKUP(C122, 'INPUT NFI'!$C$3:$K$282, 4, FALSE) * D122 / L122</f>
        <v>#N/A</v>
      </c>
      <c r="F122" s="111" t="e">
        <f>+VLOOKUP(C122, 'INPUT NFI'!$C$3:$K$282, 5, FALSE) * D122 / L122</f>
        <v>#N/A</v>
      </c>
      <c r="G122" s="111">
        <f t="shared" si="8"/>
        <v>875493995.05529296</v>
      </c>
      <c r="H122" s="111" t="e">
        <f>+VLOOKUP(C122, 'INPUT NFI'!$C$3:$K$282, 7, FALSE) * G122 / M122</f>
        <v>#N/A</v>
      </c>
      <c r="I122" s="111" t="e">
        <f>+VLOOKUP(C122, 'INPUT NFI'!C122:K401, 8, FALSE) * G122 / M122</f>
        <v>#N/A</v>
      </c>
      <c r="J122" s="213">
        <f t="shared" si="9"/>
        <v>57.33411519771645</v>
      </c>
      <c r="K122" s="11"/>
      <c r="L122" s="183">
        <f>+VLOOKUP(C122, 'INPUT NFI'!$C$3:$K$282, 3, FALSE)</f>
        <v>14962925.49</v>
      </c>
      <c r="M122" s="184">
        <f>+VLOOKUP(C122, 'INPUT NFI'!$C$3:$K$282, 6, FALSE)</f>
        <v>761797297.47958636</v>
      </c>
      <c r="N122" s="201">
        <f>+VLOOKUP(B122, 'AREA CorrFactor'!$B$3:$J$40, 9, FALSE)</f>
        <v>2.0524754329625632E-2</v>
      </c>
      <c r="O122" s="202">
        <f>+IF(N122&gt;0, VLOOKUP(C122, 'INPUT CBM'!$N$3:$P$282, 3, FALSE), M122/L122)</f>
        <v>21.606046547644539</v>
      </c>
      <c r="P122" s="200">
        <f>+VLOOKUP(B122, 'INPUT CBM'!$B$3:$K$29, 10, FALSE)</f>
        <v>0.14053772176163734</v>
      </c>
      <c r="Q122" s="183">
        <f t="shared" si="10"/>
        <v>107061256.63195337</v>
      </c>
      <c r="R122" s="78">
        <f t="shared" si="11"/>
        <v>307110.3697347432</v>
      </c>
      <c r="S122" s="184">
        <f t="shared" si="12"/>
        <v>6635440.9437531866</v>
      </c>
      <c r="T122" s="14"/>
      <c r="U122" s="6"/>
      <c r="V122" s="6"/>
      <c r="W122" s="6"/>
    </row>
    <row r="123" spans="1:23" x14ac:dyDescent="0.25">
      <c r="A123" s="188" t="s">
        <v>330</v>
      </c>
      <c r="B123" s="108" t="s">
        <v>13</v>
      </c>
      <c r="C123" s="189" t="s">
        <v>318</v>
      </c>
      <c r="D123" s="181">
        <f t="shared" si="7"/>
        <v>90770.176269194359</v>
      </c>
      <c r="E123" s="111" t="e">
        <f>+VLOOKUP(C123, 'INPUT NFI'!$C$3:$K$282, 4, FALSE) * D123 / L123</f>
        <v>#N/A</v>
      </c>
      <c r="F123" s="111" t="e">
        <f>+VLOOKUP(C123, 'INPUT NFI'!$C$3:$K$282, 5, FALSE) * D123 / L123</f>
        <v>#N/A</v>
      </c>
      <c r="G123" s="111">
        <f t="shared" si="8"/>
        <v>8321381.2040705401</v>
      </c>
      <c r="H123" s="111" t="e">
        <f>+VLOOKUP(C123, 'INPUT NFI'!$C$3:$K$282, 7, FALSE) * G123 / M123</f>
        <v>#N/A</v>
      </c>
      <c r="I123" s="111" t="e">
        <f>+VLOOKUP(C123, 'INPUT NFI'!C123:K402, 8, FALSE) * G123 / M123</f>
        <v>#N/A</v>
      </c>
      <c r="J123" s="213">
        <f t="shared" si="9"/>
        <v>91.675278666332787</v>
      </c>
      <c r="K123" s="11"/>
      <c r="L123" s="183">
        <f>+VLOOKUP(C123, 'INPUT NFI'!$C$3:$K$282, 3, FALSE)</f>
        <v>88944.61</v>
      </c>
      <c r="M123" s="184">
        <f>+VLOOKUP(C123, 'INPUT NFI'!$C$3:$K$282, 6, FALSE)</f>
        <v>7251425.7356614526</v>
      </c>
      <c r="N123" s="201">
        <f>+VLOOKUP(B123, 'AREA CorrFactor'!$B$3:$J$40, 9, FALSE)</f>
        <v>2.0524754329625632E-2</v>
      </c>
      <c r="O123" s="202">
        <f>+IF(N123&gt;0, VLOOKUP(C123, 'INPUT CBM'!$N$3:$P$282, 3, FALSE), M123/L123)</f>
        <v>27.857994997883441</v>
      </c>
      <c r="P123" s="200">
        <f>+VLOOKUP(B123, 'INPUT CBM'!$B$3:$K$29, 10, FALSE)</f>
        <v>0.14053772176163734</v>
      </c>
      <c r="Q123" s="183">
        <f t="shared" si="10"/>
        <v>1019098.8524135656</v>
      </c>
      <c r="R123" s="78">
        <f t="shared" si="11"/>
        <v>1825.5662691943633</v>
      </c>
      <c r="S123" s="184">
        <f t="shared" si="12"/>
        <v>50856.615995521308</v>
      </c>
      <c r="T123" s="14"/>
      <c r="U123" s="6"/>
      <c r="V123" s="6"/>
      <c r="W123" s="6"/>
    </row>
    <row r="124" spans="1:23" x14ac:dyDescent="0.25">
      <c r="A124" s="107" t="s">
        <v>252</v>
      </c>
      <c r="B124" s="108" t="s">
        <v>14</v>
      </c>
      <c r="C124" s="187" t="s">
        <v>223</v>
      </c>
      <c r="D124" s="181">
        <f t="shared" si="7"/>
        <v>268921.57817827567</v>
      </c>
      <c r="E124" s="111">
        <f>+VLOOKUP(C124, 'INPUT NFI'!$C$3:$K$282, 4, FALSE) * D124 / L124</f>
        <v>262618.72868972231</v>
      </c>
      <c r="F124" s="111">
        <f>+VLOOKUP(C124, 'INPUT NFI'!$C$3:$K$282, 5, FALSE) * D124 / L124</f>
        <v>6302.8494885533355</v>
      </c>
      <c r="G124" s="111">
        <f t="shared" si="8"/>
        <v>45770119.458093517</v>
      </c>
      <c r="H124" s="111">
        <f>+VLOOKUP(C124, 'INPUT NFI'!$C$3:$K$282, 7, FALSE) * G124 / M124</f>
        <v>44697382.283294447</v>
      </c>
      <c r="I124" s="111">
        <f>+VLOOKUP(C124, 'INPUT NFI'!C124:K403, 8, FALSE) * G124 / M124</f>
        <v>1072737.1747990677</v>
      </c>
      <c r="J124" s="213">
        <f t="shared" si="9"/>
        <v>170.19876117100287</v>
      </c>
      <c r="K124" s="4"/>
      <c r="L124" s="183">
        <f>+VLOOKUP(C124, 'INPUT NFI'!$C$3:$K$282, 3, FALSE)</f>
        <v>256000</v>
      </c>
      <c r="M124" s="184">
        <f>+VLOOKUP(C124, 'INPUT NFI'!$C$3:$K$282, 6, FALSE)</f>
        <v>40933053.535744004</v>
      </c>
      <c r="N124" s="201">
        <f>+VLOOKUP(B124, 'AREA CorrFactor'!$B$3:$J$40, 9, FALSE)</f>
        <v>5.0474914758889433E-2</v>
      </c>
      <c r="O124" s="202">
        <f>+IF(N124&gt;0, VLOOKUP(C124, 'INPUT CBM'!$N$3:$P$282, 3, FALSE), M124/L124)</f>
        <v>65.400689044564118</v>
      </c>
      <c r="P124" s="200">
        <f>+VLOOKUP(B124, 'INPUT CBM'!$B$3:$K$29, 10, FALSE)</f>
        <v>9.7524749832336791E-2</v>
      </c>
      <c r="Q124" s="183">
        <f t="shared" si="10"/>
        <v>3991985.805947083</v>
      </c>
      <c r="R124" s="78">
        <f t="shared" si="11"/>
        <v>12921.578178275695</v>
      </c>
      <c r="S124" s="184">
        <f t="shared" si="12"/>
        <v>845080.11640243395</v>
      </c>
      <c r="T124" s="14"/>
      <c r="U124" s="6"/>
      <c r="V124" s="6"/>
      <c r="W124" s="6"/>
    </row>
    <row r="125" spans="1:23" x14ac:dyDescent="0.25">
      <c r="A125" s="107" t="s">
        <v>252</v>
      </c>
      <c r="B125" s="108" t="s">
        <v>14</v>
      </c>
      <c r="C125" s="187" t="s">
        <v>263</v>
      </c>
      <c r="D125" s="181">
        <f t="shared" si="7"/>
        <v>1005304.4934242571</v>
      </c>
      <c r="E125" s="111">
        <f>+VLOOKUP(C125, 'INPUT NFI'!$C$3:$K$282, 4, FALSE) * D125 / L125</f>
        <v>996900.69410618604</v>
      </c>
      <c r="F125" s="111">
        <f>+VLOOKUP(C125, 'INPUT NFI'!$C$3:$K$282, 5, FALSE) * D125 / L125</f>
        <v>8403.7993180711146</v>
      </c>
      <c r="G125" s="111">
        <f t="shared" si="8"/>
        <v>157079652.08005434</v>
      </c>
      <c r="H125" s="111">
        <f>+VLOOKUP(C125, 'INPUT NFI'!$C$3:$K$282, 7, FALSE) * G125 / M125</f>
        <v>155766551.5402002</v>
      </c>
      <c r="I125" s="111">
        <f>+VLOOKUP(C125, 'INPUT NFI'!C125:K404, 8, FALSE) * G125 / M125</f>
        <v>1313100.5398541428</v>
      </c>
      <c r="J125" s="213">
        <f t="shared" si="9"/>
        <v>156.25082062949042</v>
      </c>
      <c r="K125" s="4"/>
      <c r="L125" s="183">
        <f>+VLOOKUP(C125, 'INPUT NFI'!$C$3:$K$282, 3, FALSE)</f>
        <v>957000</v>
      </c>
      <c r="M125" s="184">
        <f>+VLOOKUP(C125, 'INPUT NFI'!$C$3:$K$282, 6, FALSE)</f>
        <v>141310655.75351998</v>
      </c>
      <c r="N125" s="201">
        <f>+VLOOKUP(B125, 'AREA CorrFactor'!$B$3:$J$40, 9, FALSE)</f>
        <v>5.0474914758889433E-2</v>
      </c>
      <c r="O125" s="202">
        <f>+IF(N125&gt;0, VLOOKUP(C125, 'INPUT CBM'!$N$3:$P$282, 3, FALSE), M125/L125)</f>
        <v>41.149587432184653</v>
      </c>
      <c r="P125" s="200">
        <f>+VLOOKUP(B125, 'INPUT CBM'!$B$3:$K$29, 10, FALSE)</f>
        <v>9.7524749832336791E-2</v>
      </c>
      <c r="Q125" s="183">
        <f t="shared" si="10"/>
        <v>13781286.3510055</v>
      </c>
      <c r="R125" s="78">
        <f t="shared" si="11"/>
        <v>48304.493424257191</v>
      </c>
      <c r="S125" s="184">
        <f t="shared" si="12"/>
        <v>1987709.97552886</v>
      </c>
      <c r="T125" s="14"/>
      <c r="U125" s="6"/>
      <c r="V125" s="6"/>
      <c r="W125" s="6"/>
    </row>
    <row r="126" spans="1:23" x14ac:dyDescent="0.25">
      <c r="A126" s="107" t="s">
        <v>252</v>
      </c>
      <c r="B126" s="108" t="s">
        <v>14</v>
      </c>
      <c r="C126" s="187" t="s">
        <v>266</v>
      </c>
      <c r="D126" s="181">
        <f t="shared" si="7"/>
        <v>1065181.5635655138</v>
      </c>
      <c r="E126" s="111">
        <f>+VLOOKUP(C126, 'INPUT NFI'!$C$3:$K$282, 4, FALSE) * D126 / L126</f>
        <v>1055727.2893326839</v>
      </c>
      <c r="F126" s="111">
        <f>+VLOOKUP(C126, 'INPUT NFI'!$C$3:$K$282, 5, FALSE) * D126 / L126</f>
        <v>9454.2742328300046</v>
      </c>
      <c r="G126" s="111">
        <f t="shared" si="8"/>
        <v>189140978.03211188</v>
      </c>
      <c r="H126" s="111">
        <f>+VLOOKUP(C126, 'INPUT NFI'!$C$3:$K$282, 7, FALSE) * G126 / M126</f>
        <v>187462211.95490378</v>
      </c>
      <c r="I126" s="111">
        <f>+VLOOKUP(C126, 'INPUT NFI'!C126:K405, 8, FALSE) * G126 / M126</f>
        <v>1678766.0772081043</v>
      </c>
      <c r="J126" s="213">
        <f t="shared" si="9"/>
        <v>177.56689047357776</v>
      </c>
      <c r="K126" s="4"/>
      <c r="L126" s="183">
        <f>+VLOOKUP(C126, 'INPUT NFI'!$C$3:$K$282, 3, FALSE)</f>
        <v>1014000</v>
      </c>
      <c r="M126" s="184">
        <f>+VLOOKUP(C126, 'INPUT NFI'!$C$3:$K$282, 6, FALSE)</f>
        <v>170519169.945306</v>
      </c>
      <c r="N126" s="201">
        <f>+VLOOKUP(B126, 'AREA CorrFactor'!$B$3:$J$40, 9, FALSE)</f>
        <v>5.0474914758889433E-2</v>
      </c>
      <c r="O126" s="202">
        <f>+IF(N126&gt;0, VLOOKUP(C126, 'INPUT CBM'!$N$3:$P$282, 3, FALSE), M126/L126)</f>
        <v>38.919653045034543</v>
      </c>
      <c r="P126" s="200">
        <f>+VLOOKUP(B126, 'INPUT CBM'!$B$3:$K$29, 10, FALSE)</f>
        <v>9.7524749832336791E-2</v>
      </c>
      <c r="Q126" s="183">
        <f t="shared" si="10"/>
        <v>16629839.390533689</v>
      </c>
      <c r="R126" s="78">
        <f t="shared" si="11"/>
        <v>51181.563565513883</v>
      </c>
      <c r="S126" s="184">
        <f t="shared" si="12"/>
        <v>1991968.6962721813</v>
      </c>
      <c r="T126" s="14"/>
      <c r="U126" s="6"/>
      <c r="V126" s="6"/>
      <c r="W126" s="6"/>
    </row>
    <row r="127" spans="1:23" x14ac:dyDescent="0.25">
      <c r="A127" s="107" t="s">
        <v>252</v>
      </c>
      <c r="B127" s="108" t="s">
        <v>14</v>
      </c>
      <c r="C127" s="187" t="s">
        <v>269</v>
      </c>
      <c r="D127" s="181">
        <f t="shared" si="7"/>
        <v>765796.21285923035</v>
      </c>
      <c r="E127" s="111">
        <f>+VLOOKUP(C127, 'INPUT NFI'!$C$3:$K$282, 4, FALSE) * D127 / L127</f>
        <v>748988.61422308814</v>
      </c>
      <c r="F127" s="111">
        <f>+VLOOKUP(C127, 'INPUT NFI'!$C$3:$K$282, 5, FALSE) * D127 / L127</f>
        <v>16807.598636142229</v>
      </c>
      <c r="G127" s="111">
        <f t="shared" si="8"/>
        <v>153231913.3547987</v>
      </c>
      <c r="H127" s="111">
        <f>+VLOOKUP(C127, 'INPUT NFI'!$C$3:$K$282, 7, FALSE) * G127 / M127</f>
        <v>149868798.65839708</v>
      </c>
      <c r="I127" s="111">
        <f>+VLOOKUP(C127, 'INPUT NFI'!C127:K406, 8, FALSE) * G127 / M127</f>
        <v>3363114.6964016124</v>
      </c>
      <c r="J127" s="213">
        <f t="shared" si="9"/>
        <v>200.09489571994789</v>
      </c>
      <c r="K127" s="4"/>
      <c r="L127" s="183">
        <f>+VLOOKUP(C127, 'INPUT NFI'!$C$3:$K$282, 3, FALSE)</f>
        <v>729000</v>
      </c>
      <c r="M127" s="184">
        <f>+VLOOKUP(C127, 'INPUT NFI'!$C$3:$K$282, 6, FALSE)</f>
        <v>137893050.06291002</v>
      </c>
      <c r="N127" s="201">
        <f>+VLOOKUP(B127, 'AREA CorrFactor'!$B$3:$J$40, 9, FALSE)</f>
        <v>5.0474914758889433E-2</v>
      </c>
      <c r="O127" s="202">
        <f>+IF(N127&gt;0, VLOOKUP(C127, 'INPUT CBM'!$N$3:$P$282, 3, FALSE), M127/L127)</f>
        <v>51.387844942612759</v>
      </c>
      <c r="P127" s="200">
        <f>+VLOOKUP(B127, 'INPUT CBM'!$B$3:$K$29, 10, FALSE)</f>
        <v>9.7524749832336791E-2</v>
      </c>
      <c r="Q127" s="183">
        <f t="shared" si="10"/>
        <v>13447985.211003192</v>
      </c>
      <c r="R127" s="78">
        <f t="shared" si="11"/>
        <v>36796.2128592304</v>
      </c>
      <c r="S127" s="184">
        <f t="shared" si="12"/>
        <v>1890878.0808855055</v>
      </c>
      <c r="T127" s="14"/>
      <c r="U127" s="6"/>
      <c r="V127" s="6"/>
      <c r="W127" s="6"/>
    </row>
    <row r="128" spans="1:23" x14ac:dyDescent="0.25">
      <c r="A128" s="107" t="s">
        <v>252</v>
      </c>
      <c r="B128" s="108" t="s">
        <v>14</v>
      </c>
      <c r="C128" s="187" t="s">
        <v>259</v>
      </c>
      <c r="D128" s="181">
        <f t="shared" si="7"/>
        <v>188035.0097418412</v>
      </c>
      <c r="E128" s="111">
        <f>+VLOOKUP(C128, 'INPUT NFI'!$C$3:$K$282, 4, FALSE) * D128 / L128</f>
        <v>185934.05991232343</v>
      </c>
      <c r="F128" s="111">
        <f>+VLOOKUP(C128, 'INPUT NFI'!$C$3:$K$282, 5, FALSE) * D128 / L128</f>
        <v>2100.9498295177787</v>
      </c>
      <c r="G128" s="111">
        <f t="shared" si="8"/>
        <v>30427914.198157448</v>
      </c>
      <c r="H128" s="111">
        <f>+VLOOKUP(C128, 'INPUT NFI'!$C$3:$K$282, 7, FALSE) * G128 / M128</f>
        <v>30087937.503205966</v>
      </c>
      <c r="I128" s="111">
        <f>+VLOOKUP(C128, 'INPUT NFI'!C128:K407, 8, FALSE) * G128 / M128</f>
        <v>339976.69495148025</v>
      </c>
      <c r="J128" s="213">
        <f t="shared" si="9"/>
        <v>161.82047289987554</v>
      </c>
      <c r="K128" s="4"/>
      <c r="L128" s="183">
        <f>+VLOOKUP(C128, 'INPUT NFI'!$C$3:$K$282, 3, FALSE)</f>
        <v>179000</v>
      </c>
      <c r="M128" s="184">
        <f>+VLOOKUP(C128, 'INPUT NFI'!$C$3:$K$282, 6, FALSE)</f>
        <v>27480157.046611998</v>
      </c>
      <c r="N128" s="201">
        <f>+VLOOKUP(B128, 'AREA CorrFactor'!$B$3:$J$40, 9, FALSE)</f>
        <v>5.0474914758889433E-2</v>
      </c>
      <c r="O128" s="202">
        <f>+IF(N128&gt;0, VLOOKUP(C128, 'INPUT CBM'!$N$3:$P$282, 3, FALSE), M128/L128)</f>
        <v>29.636017876248509</v>
      </c>
      <c r="P128" s="200">
        <f>+VLOOKUP(B128, 'INPUT CBM'!$B$3:$K$29, 10, FALSE)</f>
        <v>9.7524749832336791E-2</v>
      </c>
      <c r="Q128" s="183">
        <f t="shared" si="10"/>
        <v>2679995.4413241623</v>
      </c>
      <c r="R128" s="78">
        <f t="shared" si="11"/>
        <v>9035.0097418412079</v>
      </c>
      <c r="S128" s="184">
        <f t="shared" si="12"/>
        <v>267761.71022128547</v>
      </c>
      <c r="T128" s="14"/>
      <c r="U128" s="6"/>
      <c r="V128" s="6"/>
      <c r="W128" s="6"/>
    </row>
    <row r="129" spans="1:23" x14ac:dyDescent="0.25">
      <c r="A129" s="107" t="s">
        <v>252</v>
      </c>
      <c r="B129" s="108" t="s">
        <v>14</v>
      </c>
      <c r="C129" s="187" t="s">
        <v>260</v>
      </c>
      <c r="D129" s="181">
        <f t="shared" si="7"/>
        <v>242659.70530930345</v>
      </c>
      <c r="E129" s="111">
        <f>+VLOOKUP(C129, 'INPUT NFI'!$C$3:$K$282, 4, FALSE) * D129 / L129</f>
        <v>240558.75547978567</v>
      </c>
      <c r="F129" s="111">
        <f>+VLOOKUP(C129, 'INPUT NFI'!$C$3:$K$282, 5, FALSE) * D129 / L129</f>
        <v>2100.9498295177791</v>
      </c>
      <c r="G129" s="111">
        <f t="shared" si="8"/>
        <v>42683726.411665641</v>
      </c>
      <c r="H129" s="111">
        <f>+VLOOKUP(C129, 'INPUT NFI'!$C$3:$K$282, 7, FALSE) * G129 / M129</f>
        <v>42314170.33883737</v>
      </c>
      <c r="I129" s="111">
        <f>+VLOOKUP(C129, 'INPUT NFI'!C129:K408, 8, FALSE) * G129 / M129</f>
        <v>369556.0728282755</v>
      </c>
      <c r="J129" s="213">
        <f t="shared" si="9"/>
        <v>175.89952298532347</v>
      </c>
      <c r="K129" s="4"/>
      <c r="L129" s="183">
        <f>+VLOOKUP(C129, 'INPUT NFI'!$C$3:$K$282, 3, FALSE)</f>
        <v>231000</v>
      </c>
      <c r="M129" s="184">
        <f>+VLOOKUP(C129, 'INPUT NFI'!$C$3:$K$282, 6, FALSE)</f>
        <v>38504451.096111</v>
      </c>
      <c r="N129" s="201">
        <f>+VLOOKUP(B129, 'AREA CorrFactor'!$B$3:$J$40, 9, FALSE)</f>
        <v>5.0474914758889433E-2</v>
      </c>
      <c r="O129" s="202">
        <f>+IF(N129&gt;0, VLOOKUP(C129, 'INPUT CBM'!$N$3:$P$282, 3, FALSE), M129/L129)</f>
        <v>36.37642150668627</v>
      </c>
      <c r="P129" s="200">
        <f>+VLOOKUP(B129, 'INPUT CBM'!$B$3:$K$29, 10, FALSE)</f>
        <v>9.7524749832336791E-2</v>
      </c>
      <c r="Q129" s="183">
        <f t="shared" si="10"/>
        <v>3755136.9605796714</v>
      </c>
      <c r="R129" s="78">
        <f t="shared" si="11"/>
        <v>11659.705309303459</v>
      </c>
      <c r="S129" s="184">
        <f t="shared" si="12"/>
        <v>424138.35497497045</v>
      </c>
      <c r="T129" s="14"/>
      <c r="U129" s="6"/>
      <c r="V129" s="6"/>
      <c r="W129" s="6"/>
    </row>
    <row r="130" spans="1:23" x14ac:dyDescent="0.25">
      <c r="A130" s="107" t="s">
        <v>252</v>
      </c>
      <c r="B130" s="108" t="s">
        <v>14</v>
      </c>
      <c r="C130" s="187" t="s">
        <v>262</v>
      </c>
      <c r="D130" s="181">
        <f t="shared" si="7"/>
        <v>111350.34096444228</v>
      </c>
      <c r="E130" s="111">
        <f>+VLOOKUP(C130, 'INPUT NFI'!$C$3:$K$282, 4, FALSE) * D130 / L130</f>
        <v>109249.39113492449</v>
      </c>
      <c r="F130" s="111">
        <f>+VLOOKUP(C130, 'INPUT NFI'!$C$3:$K$282, 5, FALSE) * D130 / L130</f>
        <v>2100.9498295177791</v>
      </c>
      <c r="G130" s="111">
        <f t="shared" si="8"/>
        <v>20547324.449641105</v>
      </c>
      <c r="H130" s="111">
        <f>+VLOOKUP(C130, 'INPUT NFI'!$C$3:$K$282, 7, FALSE) * G130 / M130</f>
        <v>20159639.082666744</v>
      </c>
      <c r="I130" s="111">
        <f>+VLOOKUP(C130, 'INPUT NFI'!C130:K409, 8, FALSE) * G130 / M130</f>
        <v>387685.36697435792</v>
      </c>
      <c r="J130" s="213">
        <f t="shared" si="9"/>
        <v>184.52861726038648</v>
      </c>
      <c r="K130" s="4"/>
      <c r="L130" s="183">
        <f>+VLOOKUP(C130, 'INPUT NFI'!$C$3:$K$282, 3, FALSE)</f>
        <v>106000</v>
      </c>
      <c r="M130" s="184">
        <f>+VLOOKUP(C130, 'INPUT NFI'!$C$3:$K$282, 6, FALSE)</f>
        <v>18340527.114306003</v>
      </c>
      <c r="N130" s="201">
        <f>+VLOOKUP(B130, 'AREA CorrFactor'!$B$3:$J$40, 9, FALSE)</f>
        <v>5.0474914758889433E-2</v>
      </c>
      <c r="O130" s="202">
        <f>+IF(N130&gt;0, VLOOKUP(C130, 'INPUT CBM'!$N$3:$P$282, 3, FALSE), M130/L130)</f>
        <v>78.15240551922578</v>
      </c>
      <c r="P130" s="200">
        <f>+VLOOKUP(B130, 'INPUT CBM'!$B$3:$K$29, 10, FALSE)</f>
        <v>9.7524749832336791E-2</v>
      </c>
      <c r="Q130" s="183">
        <f t="shared" si="10"/>
        <v>1788655.3186158827</v>
      </c>
      <c r="R130" s="78">
        <f t="shared" si="11"/>
        <v>5350.34096444228</v>
      </c>
      <c r="S130" s="184">
        <f t="shared" si="12"/>
        <v>418142.01671921863</v>
      </c>
      <c r="T130" s="14"/>
      <c r="U130" s="6"/>
      <c r="V130" s="6"/>
      <c r="W130" s="6"/>
    </row>
    <row r="131" spans="1:23" x14ac:dyDescent="0.25">
      <c r="A131" s="107" t="s">
        <v>252</v>
      </c>
      <c r="B131" s="108" t="s">
        <v>14</v>
      </c>
      <c r="C131" s="187" t="s">
        <v>261</v>
      </c>
      <c r="D131" s="181">
        <f t="shared" ref="D131:D194" si="13">+L131+R131</f>
        <v>340353.87238188018</v>
      </c>
      <c r="E131" s="111">
        <f>+VLOOKUP(C131, 'INPUT NFI'!$C$3:$K$282, 4, FALSE) * D131 / L131</f>
        <v>333000.54797856795</v>
      </c>
      <c r="F131" s="111">
        <f>+VLOOKUP(C131, 'INPUT NFI'!$C$3:$K$282, 5, FALSE) * D131 / L131</f>
        <v>7353.3244033122255</v>
      </c>
      <c r="G131" s="111">
        <f t="shared" si="8"/>
        <v>65411509.091544561</v>
      </c>
      <c r="H131" s="111">
        <f>+VLOOKUP(C131, 'INPUT NFI'!$C$3:$K$282, 7, FALSE) * G131 / M131</f>
        <v>63998297.475369215</v>
      </c>
      <c r="I131" s="111">
        <f>+VLOOKUP(C131, 'INPUT NFI'!C131:K410, 8, FALSE) * G131 / M131</f>
        <v>1413211.6161753433</v>
      </c>
      <c r="J131" s="213">
        <f t="shared" si="9"/>
        <v>192.1867632466724</v>
      </c>
      <c r="K131" s="4"/>
      <c r="L131" s="183">
        <f>+VLOOKUP(C131, 'INPUT NFI'!$C$3:$K$282, 3, FALSE)</f>
        <v>324000</v>
      </c>
      <c r="M131" s="184">
        <f>+VLOOKUP(C131, 'INPUT NFI'!$C$3:$K$282, 6, FALSE)</f>
        <v>58501944.713916004</v>
      </c>
      <c r="N131" s="201">
        <f>+VLOOKUP(B131, 'AREA CorrFactor'!$B$3:$J$40, 9, FALSE)</f>
        <v>5.0474914758889433E-2</v>
      </c>
      <c r="O131" s="202">
        <f>+IF(N131&gt;0, VLOOKUP(C131, 'INPUT CBM'!$N$3:$P$282, 3, FALSE), M131/L131)</f>
        <v>73.632521190082912</v>
      </c>
      <c r="P131" s="200">
        <f>+VLOOKUP(B131, 'INPUT CBM'!$B$3:$K$29, 10, FALSE)</f>
        <v>9.7524749832336791E-2</v>
      </c>
      <c r="Q131" s="183">
        <f t="shared" si="10"/>
        <v>5705387.5229298556</v>
      </c>
      <c r="R131" s="78">
        <f t="shared" si="11"/>
        <v>16353.872381880175</v>
      </c>
      <c r="S131" s="184">
        <f t="shared" si="12"/>
        <v>1204176.8546987036</v>
      </c>
      <c r="T131" s="14"/>
      <c r="U131" s="6"/>
      <c r="V131" s="6"/>
      <c r="W131" s="6"/>
    </row>
    <row r="132" spans="1:23" x14ac:dyDescent="0.25">
      <c r="A132" s="107" t="s">
        <v>252</v>
      </c>
      <c r="B132" s="108" t="s">
        <v>14</v>
      </c>
      <c r="C132" s="187" t="s">
        <v>267</v>
      </c>
      <c r="D132" s="181">
        <f t="shared" si="13"/>
        <v>333000.54797856795</v>
      </c>
      <c r="E132" s="111">
        <f>+VLOOKUP(C132, 'INPUT NFI'!$C$3:$K$282, 4, FALSE) * D132 / L132</f>
        <v>326697.69849001459</v>
      </c>
      <c r="F132" s="111">
        <f>+VLOOKUP(C132, 'INPUT NFI'!$C$3:$K$282, 5, FALSE) * D132 / L132</f>
        <v>6302.8494885533364</v>
      </c>
      <c r="G132" s="111">
        <f t="shared" ref="G132:G195" si="14">+M132+Q132+S132</f>
        <v>68983075.492878392</v>
      </c>
      <c r="H132" s="111">
        <f>+VLOOKUP(C132, 'INPUT NFI'!$C$3:$K$282, 7, FALSE) * G132 / M132</f>
        <v>67677402.13970089</v>
      </c>
      <c r="I132" s="111">
        <f>+VLOOKUP(C132, 'INPUT NFI'!C132:K411, 8, FALSE) * G132 / M132</f>
        <v>1305673.3531775072</v>
      </c>
      <c r="J132" s="213">
        <f t="shared" ref="J132:J195" si="15">+G132/D132</f>
        <v>207.15604196939091</v>
      </c>
      <c r="K132" s="4"/>
      <c r="L132" s="183">
        <f>+VLOOKUP(C132, 'INPUT NFI'!$C$3:$K$282, 3, FALSE)</f>
        <v>317000</v>
      </c>
      <c r="M132" s="184">
        <f>+VLOOKUP(C132, 'INPUT NFI'!$C$3:$K$282, 6, FALSE)</f>
        <v>61945408.956556998</v>
      </c>
      <c r="N132" s="201">
        <f>+VLOOKUP(B132, 'AREA CorrFactor'!$B$3:$J$40, 9, FALSE)</f>
        <v>5.0474914758889433E-2</v>
      </c>
      <c r="O132" s="202">
        <f>+IF(N132&gt;0, VLOOKUP(C132, 'INPUT CBM'!$N$3:$P$282, 3, FALSE), M132/L132)</f>
        <v>62.276368653503923</v>
      </c>
      <c r="P132" s="200">
        <f>+VLOOKUP(B132, 'INPUT CBM'!$B$3:$K$29, 10, FALSE)</f>
        <v>9.7524749832336791E-2</v>
      </c>
      <c r="Q132" s="183">
        <f t="shared" ref="Q132:Q195" si="16">+M132*P132</f>
        <v>6041210.5117500164</v>
      </c>
      <c r="R132" s="78">
        <f t="shared" ref="R132:R195" si="17">+L132*N132</f>
        <v>16000.547978567951</v>
      </c>
      <c r="S132" s="184">
        <f t="shared" ref="S132:S195" si="18">+R132*O132</f>
        <v>996456.02457137464</v>
      </c>
      <c r="T132" s="14"/>
      <c r="U132" s="6"/>
      <c r="V132" s="6"/>
      <c r="W132" s="6"/>
    </row>
    <row r="133" spans="1:23" x14ac:dyDescent="0.25">
      <c r="A133" s="107" t="s">
        <v>252</v>
      </c>
      <c r="B133" s="108" t="s">
        <v>14</v>
      </c>
      <c r="C133" s="187" t="s">
        <v>265</v>
      </c>
      <c r="D133" s="181">
        <f t="shared" si="13"/>
        <v>755291.4637116415</v>
      </c>
      <c r="E133" s="111">
        <f>+VLOOKUP(C133, 'INPUT NFI'!$C$3:$K$282, 4, FALSE) * D133 / L133</f>
        <v>723777.21626887482</v>
      </c>
      <c r="F133" s="111">
        <f>+VLOOKUP(C133, 'INPUT NFI'!$C$3:$K$282, 5, FALSE) * D133 / L133</f>
        <v>31514.247442766682</v>
      </c>
      <c r="G133" s="111">
        <f t="shared" si="14"/>
        <v>128522873.11844467</v>
      </c>
      <c r="H133" s="111">
        <f>+VLOOKUP(C133, 'INPUT NFI'!$C$3:$K$282, 7, FALSE) * G133 / M133</f>
        <v>123160305.39444835</v>
      </c>
      <c r="I133" s="111">
        <f>+VLOOKUP(C133, 'INPUT NFI'!C133:K412, 8, FALSE) * G133 / M133</f>
        <v>5362567.7239963077</v>
      </c>
      <c r="J133" s="213">
        <f t="shared" si="15"/>
        <v>170.16328039358419</v>
      </c>
      <c r="K133" s="4"/>
      <c r="L133" s="183">
        <f>+VLOOKUP(C133, 'INPUT NFI'!$C$3:$K$282, 3, FALSE)</f>
        <v>719000</v>
      </c>
      <c r="M133" s="184">
        <f>+VLOOKUP(C133, 'INPUT NFI'!$C$3:$K$282, 6, FALSE)</f>
        <v>115375950.65339601</v>
      </c>
      <c r="N133" s="201">
        <f>+VLOOKUP(B133, 'AREA CorrFactor'!$B$3:$J$40, 9, FALSE)</f>
        <v>5.0474914758889433E-2</v>
      </c>
      <c r="O133" s="202">
        <f>+IF(N133&gt;0, VLOOKUP(C133, 'INPUT CBM'!$N$3:$P$282, 3, FALSE), M133/L133)</f>
        <v>52.213703915732012</v>
      </c>
      <c r="P133" s="200">
        <f>+VLOOKUP(B133, 'INPUT CBM'!$B$3:$K$29, 10, FALSE)</f>
        <v>9.7524749832336791E-2</v>
      </c>
      <c r="Q133" s="183">
        <f t="shared" si="16"/>
        <v>11252010.72414048</v>
      </c>
      <c r="R133" s="78">
        <f t="shared" si="17"/>
        <v>36291.463711641503</v>
      </c>
      <c r="S133" s="184">
        <f t="shared" si="18"/>
        <v>1894911.7409081822</v>
      </c>
      <c r="T133" s="14"/>
      <c r="U133" s="6"/>
      <c r="V133" s="6"/>
      <c r="W133" s="6"/>
    </row>
    <row r="134" spans="1:23" x14ac:dyDescent="0.25">
      <c r="A134" s="107" t="s">
        <v>252</v>
      </c>
      <c r="B134" s="108" t="s">
        <v>14</v>
      </c>
      <c r="C134" s="187" t="s">
        <v>268</v>
      </c>
      <c r="D134" s="181">
        <f t="shared" si="13"/>
        <v>924417.92498782265</v>
      </c>
      <c r="E134" s="111">
        <f>+VLOOKUP(C134, 'INPUT NFI'!$C$3:$K$282, 4, FALSE) * D134 / L134</f>
        <v>917064.60058451036</v>
      </c>
      <c r="F134" s="111">
        <f>+VLOOKUP(C134, 'INPUT NFI'!$C$3:$K$282, 5, FALSE) * D134 / L134</f>
        <v>7353.3244033122255</v>
      </c>
      <c r="G134" s="111">
        <f t="shared" si="14"/>
        <v>160075919.24746597</v>
      </c>
      <c r="H134" s="111">
        <f>+VLOOKUP(C134, 'INPUT NFI'!$C$3:$K$282, 7, FALSE) * G134 / M134</f>
        <v>158802588.07163385</v>
      </c>
      <c r="I134" s="111">
        <f>+VLOOKUP(C134, 'INPUT NFI'!C134:K413, 8, FALSE) * G134 / M134</f>
        <v>1273331.1758321119</v>
      </c>
      <c r="J134" s="213">
        <f t="shared" si="15"/>
        <v>173.16401480377465</v>
      </c>
      <c r="K134" s="4"/>
      <c r="L134" s="183">
        <f>+VLOOKUP(C134, 'INPUT NFI'!$C$3:$K$282, 3, FALSE)</f>
        <v>880000</v>
      </c>
      <c r="M134" s="184">
        <f>+VLOOKUP(C134, 'INPUT NFI'!$C$3:$K$282, 6, FALSE)</f>
        <v>144119356.10864002</v>
      </c>
      <c r="N134" s="201">
        <f>+VLOOKUP(B134, 'AREA CorrFactor'!$B$3:$J$40, 9, FALSE)</f>
        <v>5.0474914758889433E-2</v>
      </c>
      <c r="O134" s="202">
        <f>+IF(N134&gt;0, VLOOKUP(C134, 'INPUT CBM'!$N$3:$P$282, 3, FALSE), M134/L134)</f>
        <v>42.80611912543533</v>
      </c>
      <c r="P134" s="200">
        <f>+VLOOKUP(B134, 'INPUT CBM'!$B$3:$K$29, 10, FALSE)</f>
        <v>9.7524749832336791E-2</v>
      </c>
      <c r="Q134" s="183">
        <f t="shared" si="16"/>
        <v>14055204.150492577</v>
      </c>
      <c r="R134" s="78">
        <f t="shared" si="17"/>
        <v>44417.924987822698</v>
      </c>
      <c r="S134" s="184">
        <f t="shared" si="18"/>
        <v>1901358.9883333892</v>
      </c>
      <c r="T134" s="14"/>
      <c r="U134" s="6"/>
      <c r="V134" s="6"/>
      <c r="W134" s="6"/>
    </row>
    <row r="135" spans="1:23" x14ac:dyDescent="0.25">
      <c r="A135" s="107" t="s">
        <v>252</v>
      </c>
      <c r="B135" s="108" t="s">
        <v>14</v>
      </c>
      <c r="C135" s="187" t="s">
        <v>258</v>
      </c>
      <c r="D135" s="181">
        <f t="shared" si="13"/>
        <v>368716.69508037018</v>
      </c>
      <c r="E135" s="111">
        <f>+VLOOKUP(C135, 'INPUT NFI'!$C$3:$K$282, 4, FALSE) * D135 / L135</f>
        <v>363464.32050657569</v>
      </c>
      <c r="F135" s="111">
        <f>+VLOOKUP(C135, 'INPUT NFI'!$C$3:$K$282, 5, FALSE) * D135 / L135</f>
        <v>5252.3745737944473</v>
      </c>
      <c r="G135" s="111">
        <f t="shared" si="14"/>
        <v>55303690.903260767</v>
      </c>
      <c r="H135" s="111">
        <f>+VLOOKUP(C135, 'INPUT NFI'!$C$3:$K$282, 7, FALSE) * G135 / M135</f>
        <v>54515889.03854195</v>
      </c>
      <c r="I135" s="111">
        <f>+VLOOKUP(C135, 'INPUT NFI'!C135:K414, 8, FALSE) * G135 / M135</f>
        <v>787801.86471881496</v>
      </c>
      <c r="J135" s="213">
        <f t="shared" si="15"/>
        <v>149.98965775391883</v>
      </c>
      <c r="K135" s="4"/>
      <c r="L135" s="183">
        <f>+VLOOKUP(C135, 'INPUT NFI'!$C$3:$K$282, 3, FALSE)</f>
        <v>351000</v>
      </c>
      <c r="M135" s="184">
        <f>+VLOOKUP(C135, 'INPUT NFI'!$C$3:$K$282, 6, FALSE)</f>
        <v>49604605.913420998</v>
      </c>
      <c r="N135" s="201">
        <f>+VLOOKUP(B135, 'AREA CorrFactor'!$B$3:$J$40, 9, FALSE)</f>
        <v>5.0474914758889433E-2</v>
      </c>
      <c r="O135" s="202">
        <f>+IF(N135&gt;0, VLOOKUP(C135, 'INPUT CBM'!$N$3:$P$282, 3, FALSE), M135/L135)</f>
        <v>48.621269581828429</v>
      </c>
      <c r="P135" s="200">
        <f>+VLOOKUP(B135, 'INPUT CBM'!$B$3:$K$29, 10, FALSE)</f>
        <v>9.7524749832336791E-2</v>
      </c>
      <c r="Q135" s="183">
        <f t="shared" si="16"/>
        <v>4837676.7822380373</v>
      </c>
      <c r="R135" s="78">
        <f t="shared" si="17"/>
        <v>17716.695080370191</v>
      </c>
      <c r="S135" s="184">
        <f t="shared" si="18"/>
        <v>861408.20760173257</v>
      </c>
      <c r="T135" s="14"/>
      <c r="U135" s="6"/>
      <c r="V135" s="6"/>
      <c r="W135" s="6"/>
    </row>
    <row r="136" spans="1:23" x14ac:dyDescent="0.25">
      <c r="A136" s="107" t="s">
        <v>252</v>
      </c>
      <c r="B136" s="108" t="s">
        <v>14</v>
      </c>
      <c r="C136" s="187" t="s">
        <v>257</v>
      </c>
      <c r="D136" s="181">
        <f t="shared" si="13"/>
        <v>405483.31709693134</v>
      </c>
      <c r="E136" s="111">
        <f>+VLOOKUP(C136, 'INPUT NFI'!$C$3:$K$282, 4, FALSE) * D136 / L136</f>
        <v>401281.41743789578</v>
      </c>
      <c r="F136" s="111">
        <f>+VLOOKUP(C136, 'INPUT NFI'!$C$3:$K$282, 5, FALSE) * D136 / L136</f>
        <v>4201.8996590355582</v>
      </c>
      <c r="G136" s="111">
        <f t="shared" si="14"/>
        <v>61661658.516181923</v>
      </c>
      <c r="H136" s="111">
        <f>+VLOOKUP(C136, 'INPUT NFI'!$C$3:$K$282, 7, FALSE) * G136 / M136</f>
        <v>61022677.598915793</v>
      </c>
      <c r="I136" s="111">
        <f>+VLOOKUP(C136, 'INPUT NFI'!C136:K415, 8, FALSE) * G136 / M136</f>
        <v>638980.91726613266</v>
      </c>
      <c r="J136" s="213">
        <f t="shared" si="15"/>
        <v>152.0695326201093</v>
      </c>
      <c r="K136" s="4"/>
      <c r="L136" s="183">
        <f>+VLOOKUP(C136, 'INPUT NFI'!$C$3:$K$282, 3, FALSE)</f>
        <v>386000</v>
      </c>
      <c r="M136" s="184">
        <f>+VLOOKUP(C136, 'INPUT NFI'!$C$3:$K$282, 6, FALSE)</f>
        <v>55451836.542477995</v>
      </c>
      <c r="N136" s="201">
        <f>+VLOOKUP(B136, 'AREA CorrFactor'!$B$3:$J$40, 9, FALSE)</f>
        <v>5.0474914758889433E-2</v>
      </c>
      <c r="O136" s="202">
        <f>+IF(N136&gt;0, VLOOKUP(C136, 'INPUT CBM'!$N$3:$P$282, 3, FALSE), M136/L136)</f>
        <v>41.158057591817169</v>
      </c>
      <c r="P136" s="200">
        <f>+VLOOKUP(B136, 'INPUT CBM'!$B$3:$K$29, 10, FALSE)</f>
        <v>9.7524749832336791E-2</v>
      </c>
      <c r="Q136" s="183">
        <f t="shared" si="16"/>
        <v>5407926.4865487982</v>
      </c>
      <c r="R136" s="78">
        <f t="shared" si="17"/>
        <v>19483.317096931321</v>
      </c>
      <c r="S136" s="184">
        <f t="shared" si="18"/>
        <v>801895.48715513537</v>
      </c>
      <c r="T136" s="14"/>
      <c r="U136" s="6"/>
      <c r="V136" s="6"/>
      <c r="W136" s="6"/>
    </row>
    <row r="137" spans="1:23" x14ac:dyDescent="0.25">
      <c r="A137" s="107" t="s">
        <v>252</v>
      </c>
      <c r="B137" s="108" t="s">
        <v>14</v>
      </c>
      <c r="C137" s="187" t="s">
        <v>273</v>
      </c>
      <c r="D137" s="181">
        <f t="shared" si="13"/>
        <v>1929722.4184120798</v>
      </c>
      <c r="E137" s="111">
        <f>+VLOOKUP(C137, 'INPUT NFI'!$C$3:$K$282, 4, FALSE) * D137 / L137</f>
        <v>1908712.9201169021</v>
      </c>
      <c r="F137" s="111">
        <f>+VLOOKUP(C137, 'INPUT NFI'!$C$3:$K$282, 5, FALSE) * D137 / L137</f>
        <v>21009.498295177786</v>
      </c>
      <c r="G137" s="111">
        <f t="shared" si="14"/>
        <v>216232974.22635025</v>
      </c>
      <c r="H137" s="111">
        <f>+VLOOKUP(C137, 'INPUT NFI'!$C$3:$K$282, 7, FALSE) * G137 / M137</f>
        <v>213878777.44653153</v>
      </c>
      <c r="I137" s="111">
        <f>+VLOOKUP(C137, 'INPUT NFI'!C137:K416, 8, FALSE) * G137 / M137</f>
        <v>2354196.7798187197</v>
      </c>
      <c r="J137" s="213">
        <f t="shared" si="15"/>
        <v>112.05392659752739</v>
      </c>
      <c r="K137" s="4"/>
      <c r="L137" s="183">
        <f>+VLOOKUP(C137, 'INPUT NFI'!$C$3:$K$282, 3, FALSE)</f>
        <v>1837000</v>
      </c>
      <c r="M137" s="184">
        <f>+VLOOKUP(C137, 'INPUT NFI'!$C$3:$K$282, 6, FALSE)</f>
        <v>194485667.51046398</v>
      </c>
      <c r="N137" s="201">
        <f>+VLOOKUP(B137, 'AREA CorrFactor'!$B$3:$J$40, 9, FALSE)</f>
        <v>5.0474914758889433E-2</v>
      </c>
      <c r="O137" s="202">
        <f>+IF(N137&gt;0, VLOOKUP(C137, 'INPUT CBM'!$N$3:$P$282, 3, FALSE), M137/L137)</f>
        <v>29.983478575781351</v>
      </c>
      <c r="P137" s="200">
        <f>+VLOOKUP(B137, 'INPUT CBM'!$B$3:$K$29, 10, FALSE)</f>
        <v>9.7524749832336791E-2</v>
      </c>
      <c r="Q137" s="183">
        <f t="shared" si="16"/>
        <v>18967166.069933031</v>
      </c>
      <c r="R137" s="78">
        <f t="shared" si="17"/>
        <v>92722.418412079889</v>
      </c>
      <c r="S137" s="184">
        <f t="shared" si="18"/>
        <v>2780140.6459532315</v>
      </c>
      <c r="T137" s="14"/>
      <c r="U137" s="6"/>
      <c r="V137" s="6"/>
      <c r="W137" s="6"/>
    </row>
    <row r="138" spans="1:23" x14ac:dyDescent="0.25">
      <c r="A138" s="107" t="s">
        <v>252</v>
      </c>
      <c r="B138" s="108" t="s">
        <v>14</v>
      </c>
      <c r="C138" s="187" t="s">
        <v>271</v>
      </c>
      <c r="D138" s="181">
        <f t="shared" si="13"/>
        <v>600871.6512420848</v>
      </c>
      <c r="E138" s="111">
        <f>+VLOOKUP(C138, 'INPUT NFI'!$C$3:$K$282, 4, FALSE) * D138 / L138</f>
        <v>592467.8519240137</v>
      </c>
      <c r="F138" s="111">
        <f>+VLOOKUP(C138, 'INPUT NFI'!$C$3:$K$282, 5, FALSE) * D138 / L138</f>
        <v>8403.7993180711146</v>
      </c>
      <c r="G138" s="111">
        <f t="shared" si="14"/>
        <v>100611793.16474415</v>
      </c>
      <c r="H138" s="111">
        <f>+VLOOKUP(C138, 'INPUT NFI'!$C$3:$K$282, 7, FALSE) * G138 / M138</f>
        <v>99204635.218384102</v>
      </c>
      <c r="I138" s="111">
        <f>+VLOOKUP(C138, 'INPUT NFI'!C138:K417, 8, FALSE) * G138 / M138</f>
        <v>1407157.9463600544</v>
      </c>
      <c r="J138" s="213">
        <f t="shared" si="15"/>
        <v>167.44306867658952</v>
      </c>
      <c r="K138" s="4"/>
      <c r="L138" s="183">
        <f>+VLOOKUP(C138, 'INPUT NFI'!$C$3:$K$282, 3, FALSE)</f>
        <v>572000</v>
      </c>
      <c r="M138" s="184">
        <f>+VLOOKUP(C138, 'INPUT NFI'!$C$3:$K$282, 6, FALSE)</f>
        <v>90685246.720067993</v>
      </c>
      <c r="N138" s="201">
        <f>+VLOOKUP(B138, 'AREA CorrFactor'!$B$3:$J$40, 9, FALSE)</f>
        <v>5.0474914758889433E-2</v>
      </c>
      <c r="O138" s="202">
        <f>+IF(N138&gt;0, VLOOKUP(C138, 'INPUT CBM'!$N$3:$P$282, 3, FALSE), M138/L138)</f>
        <v>37.493194820804007</v>
      </c>
      <c r="P138" s="200">
        <f>+VLOOKUP(B138, 'INPUT CBM'!$B$3:$K$29, 10, FALSE)</f>
        <v>9.7524749832336791E-2</v>
      </c>
      <c r="Q138" s="183">
        <f t="shared" si="16"/>
        <v>8844055.9998583719</v>
      </c>
      <c r="R138" s="78">
        <f t="shared" si="17"/>
        <v>28871.651242084758</v>
      </c>
      <c r="S138" s="184">
        <f t="shared" si="18"/>
        <v>1082490.4448177917</v>
      </c>
      <c r="T138" s="14"/>
      <c r="U138" s="6"/>
      <c r="V138" s="6"/>
      <c r="W138" s="6"/>
    </row>
    <row r="139" spans="1:23" x14ac:dyDescent="0.25">
      <c r="A139" s="107" t="s">
        <v>252</v>
      </c>
      <c r="B139" s="108" t="s">
        <v>14</v>
      </c>
      <c r="C139" s="187" t="s">
        <v>264</v>
      </c>
      <c r="D139" s="181">
        <f t="shared" si="13"/>
        <v>440148.98928397469</v>
      </c>
      <c r="E139" s="111">
        <f>+VLOOKUP(C139, 'INPUT NFI'!$C$3:$K$282, 4, FALSE) * D139 / L139</f>
        <v>431745.18996590358</v>
      </c>
      <c r="F139" s="111">
        <f>+VLOOKUP(C139, 'INPUT NFI'!$C$3:$K$282, 5, FALSE) * D139 / L139</f>
        <v>8403.7993180711164</v>
      </c>
      <c r="G139" s="111">
        <f t="shared" si="14"/>
        <v>54825397.075311624</v>
      </c>
      <c r="H139" s="111">
        <f>+VLOOKUP(C139, 'INPUT NFI'!$C$3:$K$282, 7, FALSE) * G139 / M139</f>
        <v>53778611.450962</v>
      </c>
      <c r="I139" s="111">
        <f>+VLOOKUP(C139, 'INPUT NFI'!C139:K418, 8, FALSE) * G139 / M139</f>
        <v>1046785.6243496282</v>
      </c>
      <c r="J139" s="213">
        <f t="shared" si="15"/>
        <v>124.5609973216125</v>
      </c>
      <c r="K139" s="4"/>
      <c r="L139" s="183">
        <f>+VLOOKUP(C139, 'INPUT NFI'!$C$3:$K$282, 3, FALSE)</f>
        <v>419000</v>
      </c>
      <c r="M139" s="184">
        <f>+VLOOKUP(C139, 'INPUT NFI'!$C$3:$K$282, 6, FALSE)</f>
        <v>49268395.867013</v>
      </c>
      <c r="N139" s="201">
        <f>+VLOOKUP(B139, 'AREA CorrFactor'!$B$3:$J$40, 9, FALSE)</f>
        <v>5.0474914758889433E-2</v>
      </c>
      <c r="O139" s="202">
        <f>+IF(N139&gt;0, VLOOKUP(C139, 'INPUT CBM'!$N$3:$P$282, 3, FALSE), M139/L139)</f>
        <v>35.562608530779663</v>
      </c>
      <c r="P139" s="200">
        <f>+VLOOKUP(B139, 'INPUT CBM'!$B$3:$K$29, 10, FALSE)</f>
        <v>9.7524749832336791E-2</v>
      </c>
      <c r="Q139" s="183">
        <f t="shared" si="16"/>
        <v>4804887.9815709786</v>
      </c>
      <c r="R139" s="78">
        <f t="shared" si="17"/>
        <v>21148.989283974672</v>
      </c>
      <c r="S139" s="184">
        <f t="shared" si="18"/>
        <v>752113.22672764538</v>
      </c>
      <c r="T139" s="14"/>
      <c r="U139" s="6"/>
      <c r="V139" s="6"/>
      <c r="W139" s="6"/>
    </row>
    <row r="140" spans="1:23" ht="15" customHeight="1" x14ac:dyDescent="0.25">
      <c r="A140" s="107" t="s">
        <v>252</v>
      </c>
      <c r="B140" s="108" t="s">
        <v>14</v>
      </c>
      <c r="C140" s="187" t="s">
        <v>275</v>
      </c>
      <c r="D140" s="181">
        <f t="shared" si="13"/>
        <v>1314144.1183633707</v>
      </c>
      <c r="E140" s="111">
        <f>+VLOOKUP(C140, 'INPUT NFI'!$C$3:$K$282, 4, FALSE) * D140 / L140</f>
        <v>1216449.9512907939</v>
      </c>
      <c r="F140" s="111">
        <f>+VLOOKUP(C140, 'INPUT NFI'!$C$3:$K$282, 5, FALSE) * D140 / L140</f>
        <v>97694.167072576718</v>
      </c>
      <c r="G140" s="111">
        <f t="shared" si="14"/>
        <v>139560335.32701898</v>
      </c>
      <c r="H140" s="111">
        <f>+VLOOKUP(C140, 'INPUT NFI'!$C$3:$K$282, 7, FALSE) * G140 / M140</f>
        <v>129185346.36985449</v>
      </c>
      <c r="I140" s="111">
        <f>+VLOOKUP(C140, 'INPUT NFI'!C140:K419, 8, FALSE) * G140 / M140</f>
        <v>10374988.957164483</v>
      </c>
      <c r="J140" s="213">
        <f t="shared" si="15"/>
        <v>106.19865308291058</v>
      </c>
      <c r="K140" s="4"/>
      <c r="L140" s="183">
        <f>+VLOOKUP(C140, 'INPUT NFI'!$C$3:$K$282, 3, FALSE)</f>
        <v>1251000</v>
      </c>
      <c r="M140" s="184">
        <f>+VLOOKUP(C140, 'INPUT NFI'!$C$3:$K$282, 6, FALSE)</f>
        <v>126413244.310644</v>
      </c>
      <c r="N140" s="201">
        <f>+VLOOKUP(B140, 'AREA CorrFactor'!$B$3:$J$40, 9, FALSE)</f>
        <v>5.0474914758889433E-2</v>
      </c>
      <c r="O140" s="202">
        <f>+IF(N140&gt;0, VLOOKUP(C140, 'INPUT CBM'!$N$3:$P$282, 3, FALSE), M140/L140)</f>
        <v>12.96511869520775</v>
      </c>
      <c r="P140" s="200">
        <f>+VLOOKUP(B140, 'INPUT CBM'!$B$3:$K$29, 10, FALSE)</f>
        <v>9.7524749832336791E-2</v>
      </c>
      <c r="Q140" s="183">
        <f t="shared" si="16"/>
        <v>12328420.026889628</v>
      </c>
      <c r="R140" s="78">
        <f t="shared" si="17"/>
        <v>63144.118363370682</v>
      </c>
      <c r="S140" s="184">
        <f t="shared" si="18"/>
        <v>818670.98948534823</v>
      </c>
      <c r="T140" s="14"/>
      <c r="U140" s="6"/>
      <c r="V140" s="6"/>
      <c r="W140" s="6"/>
    </row>
    <row r="141" spans="1:23" ht="15" customHeight="1" x14ac:dyDescent="0.25">
      <c r="A141" s="107" t="s">
        <v>252</v>
      </c>
      <c r="B141" s="108" t="s">
        <v>14</v>
      </c>
      <c r="C141" s="187" t="s">
        <v>274</v>
      </c>
      <c r="D141" s="181">
        <f t="shared" si="13"/>
        <v>1451756.3321967851</v>
      </c>
      <c r="E141" s="111">
        <f>+VLOOKUP(C141, 'INPUT NFI'!$C$3:$K$282, 4, FALSE) * D141 / L141</f>
        <v>1363516.4393570384</v>
      </c>
      <c r="F141" s="111">
        <f>+VLOOKUP(C141, 'INPUT NFI'!$C$3:$K$282, 5, FALSE) * D141 / L141</f>
        <v>88239.89283974671</v>
      </c>
      <c r="G141" s="111">
        <f t="shared" si="14"/>
        <v>205182432.46810225</v>
      </c>
      <c r="H141" s="111">
        <f>+VLOOKUP(C141, 'INPUT NFI'!$C$3:$K$282, 7, FALSE) * G141 / M141</f>
        <v>192711141.34847811</v>
      </c>
      <c r="I141" s="111">
        <f>+VLOOKUP(C141, 'INPUT NFI'!C141:K420, 8, FALSE) * G141 / M141</f>
        <v>12471291.119624145</v>
      </c>
      <c r="J141" s="213">
        <f t="shared" si="15"/>
        <v>141.33393319361105</v>
      </c>
      <c r="K141" s="4"/>
      <c r="L141" s="183">
        <f>+VLOOKUP(C141, 'INPUT NFI'!$C$3:$K$282, 3, FALSE)</f>
        <v>1382000</v>
      </c>
      <c r="M141" s="184">
        <f>+VLOOKUP(C141, 'INPUT NFI'!$C$3:$K$282, 6, FALSE)</f>
        <v>185269565.63447198</v>
      </c>
      <c r="N141" s="201">
        <f>+VLOOKUP(B141, 'AREA CorrFactor'!$B$3:$J$40, 9, FALSE)</f>
        <v>5.0474914758889433E-2</v>
      </c>
      <c r="O141" s="202">
        <f>+IF(N141&gt;0, VLOOKUP(C141, 'INPUT CBM'!$N$3:$P$282, 3, FALSE), M141/L141)</f>
        <v>26.44202663034633</v>
      </c>
      <c r="P141" s="200">
        <f>+VLOOKUP(B141, 'INPUT CBM'!$B$3:$K$29, 10, FALSE)</f>
        <v>9.7524749832336791E-2</v>
      </c>
      <c r="Q141" s="183">
        <f t="shared" si="16"/>
        <v>18068368.040047582</v>
      </c>
      <c r="R141" s="78">
        <f t="shared" si="17"/>
        <v>69756.332196785195</v>
      </c>
      <c r="S141" s="184">
        <f t="shared" si="18"/>
        <v>1844498.7935826792</v>
      </c>
      <c r="T141" s="14"/>
      <c r="U141" s="6"/>
      <c r="V141" s="6"/>
      <c r="W141" s="6"/>
    </row>
    <row r="142" spans="1:23" ht="15" customHeight="1" x14ac:dyDescent="0.25">
      <c r="A142" s="107" t="s">
        <v>252</v>
      </c>
      <c r="B142" s="108" t="s">
        <v>14</v>
      </c>
      <c r="C142" s="187" t="s">
        <v>270</v>
      </c>
      <c r="D142" s="181">
        <f t="shared" si="13"/>
        <v>788906.66098392592</v>
      </c>
      <c r="E142" s="111">
        <f>+VLOOKUP(C142, 'INPUT NFI'!$C$3:$K$282, 4, FALSE) * D142 / L142</f>
        <v>752140.03896736482</v>
      </c>
      <c r="F142" s="111">
        <f>+VLOOKUP(C142, 'INPUT NFI'!$C$3:$K$282, 5, FALSE) * D142 / L142</f>
        <v>36766.62201656113</v>
      </c>
      <c r="G142" s="111">
        <f t="shared" si="14"/>
        <v>145801655.58231598</v>
      </c>
      <c r="H142" s="111">
        <f>+VLOOKUP(C142, 'INPUT NFI'!$C$3:$K$282, 7, FALSE) * G142 / M142</f>
        <v>139006638.34479126</v>
      </c>
      <c r="I142" s="111">
        <f>+VLOOKUP(C142, 'INPUT NFI'!C142:K421, 8, FALSE) * G142 / M142</f>
        <v>6795017.2375247115</v>
      </c>
      <c r="J142" s="213">
        <f t="shared" si="15"/>
        <v>184.81483652384412</v>
      </c>
      <c r="K142" s="4"/>
      <c r="L142" s="183">
        <f>+VLOOKUP(C142, 'INPUT NFI'!$C$3:$K$282, 3, FALSE)</f>
        <v>751000</v>
      </c>
      <c r="M142" s="184">
        <f>+VLOOKUP(C142, 'INPUT NFI'!$C$3:$K$282, 6, FALSE)</f>
        <v>131721317.25233498</v>
      </c>
      <c r="N142" s="201">
        <f>+VLOOKUP(B142, 'AREA CorrFactor'!$B$3:$J$40, 9, FALSE)</f>
        <v>5.0474914758889433E-2</v>
      </c>
      <c r="O142" s="202">
        <f>+IF(N142&gt;0, VLOOKUP(C142, 'INPUT CBM'!$N$3:$P$282, 3, FALSE), M142/L142)</f>
        <v>32.56023572966636</v>
      </c>
      <c r="P142" s="200">
        <f>+VLOOKUP(B142, 'INPUT CBM'!$B$3:$K$29, 10, FALSE)</f>
        <v>9.7524749832336791E-2</v>
      </c>
      <c r="Q142" s="183">
        <f t="shared" si="16"/>
        <v>12846088.512619838</v>
      </c>
      <c r="R142" s="78">
        <f t="shared" si="17"/>
        <v>37906.660983925962</v>
      </c>
      <c r="S142" s="184">
        <f t="shared" si="18"/>
        <v>1234249.8173611758</v>
      </c>
      <c r="T142" s="14"/>
      <c r="U142" s="6"/>
      <c r="V142" s="6"/>
      <c r="W142" s="6"/>
    </row>
    <row r="143" spans="1:23" ht="15" customHeight="1" x14ac:dyDescent="0.25">
      <c r="A143" s="107" t="s">
        <v>252</v>
      </c>
      <c r="B143" s="108" t="s">
        <v>14</v>
      </c>
      <c r="C143" s="187" t="s">
        <v>272</v>
      </c>
      <c r="D143" s="181">
        <f t="shared" si="13"/>
        <v>1833078.726254262</v>
      </c>
      <c r="E143" s="111">
        <f>+VLOOKUP(C143, 'INPUT NFI'!$C$3:$K$282, 4, FALSE) * D143 / L143</f>
        <v>1660800.8402338042</v>
      </c>
      <c r="F143" s="111">
        <f>+VLOOKUP(C143, 'INPUT NFI'!$C$3:$K$282, 5, FALSE) * D143 / L143</f>
        <v>172277.88602045787</v>
      </c>
      <c r="G143" s="111">
        <f t="shared" si="14"/>
        <v>282054788.83154488</v>
      </c>
      <c r="H143" s="111">
        <f>+VLOOKUP(C143, 'INPUT NFI'!$C$3:$K$282, 7, FALSE) * G143 / M143</f>
        <v>255546487.76084384</v>
      </c>
      <c r="I143" s="111">
        <f>+VLOOKUP(C143, 'INPUT NFI'!C143:K422, 8, FALSE) * G143 / M143</f>
        <v>26508301.07070104</v>
      </c>
      <c r="J143" s="213">
        <f t="shared" si="15"/>
        <v>153.86943549767744</v>
      </c>
      <c r="K143" s="4"/>
      <c r="L143" s="183">
        <f>+VLOOKUP(C143, 'INPUT NFI'!$C$3:$K$282, 3, FALSE)</f>
        <v>1745000</v>
      </c>
      <c r="M143" s="184">
        <f>+VLOOKUP(C143, 'INPUT NFI'!$C$3:$K$282, 6, FALSE)</f>
        <v>254487453.10744998</v>
      </c>
      <c r="N143" s="201">
        <f>+VLOOKUP(B143, 'AREA CorrFactor'!$B$3:$J$40, 9, FALSE)</f>
        <v>5.0474914758889433E-2</v>
      </c>
      <c r="O143" s="202">
        <f>+IF(N143&gt;0, VLOOKUP(C143, 'INPUT CBM'!$N$3:$P$282, 3, FALSE), M143/L143)</f>
        <v>31.205157490447881</v>
      </c>
      <c r="P143" s="200">
        <f>+VLOOKUP(B143, 'INPUT CBM'!$B$3:$K$29, 10, FALSE)</f>
        <v>9.7524749832336791E-2</v>
      </c>
      <c r="Q143" s="183">
        <f t="shared" si="16"/>
        <v>24818825.1997726</v>
      </c>
      <c r="R143" s="78">
        <f t="shared" si="17"/>
        <v>88078.726254262059</v>
      </c>
      <c r="S143" s="184">
        <f t="shared" si="18"/>
        <v>2748510.5243222942</v>
      </c>
      <c r="T143" s="14"/>
      <c r="U143" s="6"/>
      <c r="V143" s="6"/>
      <c r="W143" s="6"/>
    </row>
    <row r="144" spans="1:23" ht="15" customHeight="1" x14ac:dyDescent="0.25">
      <c r="A144" s="107" t="s">
        <v>252</v>
      </c>
      <c r="B144" s="108" t="s">
        <v>14</v>
      </c>
      <c r="C144" s="187" t="s">
        <v>276</v>
      </c>
      <c r="D144" s="181">
        <f t="shared" si="13"/>
        <v>1600923.7700925474</v>
      </c>
      <c r="E144" s="111">
        <f>+VLOOKUP(C144, 'INPUT NFI'!$C$3:$K$282, 4, FALSE) * D144 / L144</f>
        <v>1381374.5129079395</v>
      </c>
      <c r="F144" s="111">
        <f>+VLOOKUP(C144, 'INPUT NFI'!$C$3:$K$282, 5, FALSE) * D144 / L144</f>
        <v>219549.25718460788</v>
      </c>
      <c r="G144" s="111">
        <f t="shared" si="14"/>
        <v>142678369.65122619</v>
      </c>
      <c r="H144" s="111">
        <f>+VLOOKUP(C144, 'INPUT NFI'!$C$3:$K$282, 7, FALSE) * G144 / M144</f>
        <v>123111585.36178638</v>
      </c>
      <c r="I144" s="111">
        <f>+VLOOKUP(C144, 'INPUT NFI'!C144:K423, 8, FALSE) * G144 / M144</f>
        <v>19566784.289439816</v>
      </c>
      <c r="J144" s="213">
        <f t="shared" si="15"/>
        <v>89.122525579702113</v>
      </c>
      <c r="K144" s="4"/>
      <c r="L144" s="183">
        <f>+VLOOKUP(C144, 'INPUT NFI'!$C$3:$K$282, 3, FALSE)</f>
        <v>1524000</v>
      </c>
      <c r="M144" s="184">
        <f>+VLOOKUP(C144, 'INPUT NFI'!$C$3:$K$282, 6, FALSE)</f>
        <v>129277615.76652721</v>
      </c>
      <c r="N144" s="201">
        <f>+VLOOKUP(B144, 'AREA CorrFactor'!$B$3:$J$40, 9, FALSE)</f>
        <v>5.0474914758889433E-2</v>
      </c>
      <c r="O144" s="202">
        <f>+IF(N144&gt;0, VLOOKUP(C144, 'INPUT CBM'!$N$3:$P$282, 3, FALSE), M144/L144)</f>
        <v>10.308734831813389</v>
      </c>
      <c r="P144" s="200">
        <f>+VLOOKUP(B144, 'INPUT CBM'!$B$3:$K$29, 10, FALSE)</f>
        <v>9.7524749832336791E-2</v>
      </c>
      <c r="Q144" s="183">
        <f t="shared" si="16"/>
        <v>12607767.136551524</v>
      </c>
      <c r="R144" s="78">
        <f t="shared" si="17"/>
        <v>76923.770092547493</v>
      </c>
      <c r="S144" s="184">
        <f t="shared" si="18"/>
        <v>792986.74814744934</v>
      </c>
      <c r="T144" s="14"/>
      <c r="U144" s="6"/>
      <c r="V144" s="6"/>
      <c r="W144" s="6"/>
    </row>
    <row r="145" spans="1:23" ht="15" customHeight="1" x14ac:dyDescent="0.25">
      <c r="A145" s="107" t="s">
        <v>252</v>
      </c>
      <c r="B145" s="108" t="s">
        <v>14</v>
      </c>
      <c r="C145" s="187" t="s">
        <v>277</v>
      </c>
      <c r="D145" s="181">
        <f t="shared" si="13"/>
        <v>518934.60789089138</v>
      </c>
      <c r="E145" s="111">
        <f>+VLOOKUP(C145, 'INPUT NFI'!$C$3:$K$282, 4, FALSE) * D145 / L145</f>
        <v>421240.44081831467</v>
      </c>
      <c r="F145" s="111">
        <f>+VLOOKUP(C145, 'INPUT NFI'!$C$3:$K$282, 5, FALSE) * D145 / L145</f>
        <v>97694.167072576718</v>
      </c>
      <c r="G145" s="111">
        <f t="shared" si="14"/>
        <v>75753530.21355024</v>
      </c>
      <c r="H145" s="111">
        <f>+VLOOKUP(C145, 'INPUT NFI'!$C$3:$K$282, 7, FALSE) * G145 / M145</f>
        <v>61492238.088327214</v>
      </c>
      <c r="I145" s="111">
        <f>+VLOOKUP(C145, 'INPUT NFI'!C145:K424, 8, FALSE) * G145 / M145</f>
        <v>14261292.125223022</v>
      </c>
      <c r="J145" s="213">
        <f t="shared" si="15"/>
        <v>145.9789519944251</v>
      </c>
      <c r="K145" s="4"/>
      <c r="L145" s="183">
        <f>+VLOOKUP(C145, 'INPUT NFI'!$C$3:$K$282, 3, FALSE)</f>
        <v>494000</v>
      </c>
      <c r="M145" s="184">
        <f>+VLOOKUP(C145, 'INPUT NFI'!$C$3:$K$282, 6, FALSE)</f>
        <v>68590848.107027993</v>
      </c>
      <c r="N145" s="201">
        <f>+VLOOKUP(B145, 'AREA CorrFactor'!$B$3:$J$40, 9, FALSE)</f>
        <v>5.0474914758889433E-2</v>
      </c>
      <c r="O145" s="202">
        <f>+IF(N145&gt;0, VLOOKUP(C145, 'INPUT CBM'!$N$3:$P$282, 3, FALSE), M145/L145)</f>
        <v>18.984730225874351</v>
      </c>
      <c r="P145" s="200">
        <f>+VLOOKUP(B145, 'INPUT CBM'!$B$3:$K$29, 10, FALSE)</f>
        <v>9.7524749832336791E-2</v>
      </c>
      <c r="Q145" s="183">
        <f t="shared" si="16"/>
        <v>6689305.3024257161</v>
      </c>
      <c r="R145" s="78">
        <f t="shared" si="17"/>
        <v>24934.607890891381</v>
      </c>
      <c r="S145" s="184">
        <f t="shared" si="18"/>
        <v>473376.80409653072</v>
      </c>
      <c r="T145" s="14"/>
      <c r="U145" s="6"/>
      <c r="V145" s="6"/>
      <c r="W145" s="6"/>
    </row>
    <row r="146" spans="1:23" ht="15" customHeight="1" x14ac:dyDescent="0.25">
      <c r="A146" s="190" t="s">
        <v>454</v>
      </c>
      <c r="B146" s="108" t="s">
        <v>16</v>
      </c>
      <c r="C146" s="191" t="s">
        <v>486</v>
      </c>
      <c r="D146" s="181">
        <f t="shared" si="13"/>
        <v>2158000</v>
      </c>
      <c r="E146" s="111" t="e">
        <f>+VLOOKUP(C146, 'INPUT NFI'!$C$3:$K$282, 4, FALSE) * D146 / L146</f>
        <v>#N/A</v>
      </c>
      <c r="F146" s="111" t="e">
        <f>+VLOOKUP(C146, 'INPUT NFI'!$C$3:$K$282, 5, FALSE) * D146 / L146</f>
        <v>#N/A</v>
      </c>
      <c r="G146" s="111">
        <f>+M146+Q146+S146</f>
        <v>68560594.414552912</v>
      </c>
      <c r="H146" s="111" t="e">
        <f>+VLOOKUP(C146, 'INPUT NFI'!$C$3:$K$282, 7, FALSE) * G146 / M146</f>
        <v>#N/A</v>
      </c>
      <c r="I146" s="111" t="e">
        <f>+VLOOKUP(C146, 'INPUT NFI'!C146:K425, 8, FALSE) * G146 / M146</f>
        <v>#N/A</v>
      </c>
      <c r="J146" s="213">
        <f t="shared" si="15"/>
        <v>31.770433000256215</v>
      </c>
      <c r="L146" s="183">
        <f>+VLOOKUP(C146, 'INPUT NFI'!$C$3:$K$282, 3, FALSE)</f>
        <v>2158000</v>
      </c>
      <c r="M146" s="184">
        <f>+VLOOKUP(C146, 'INPUT NFI'!$C$3:$K$282, 6, FALSE)</f>
        <v>68560594.414552912</v>
      </c>
      <c r="N146" s="201">
        <f>+VLOOKUP(B146, 'AREA CorrFactor'!$B$3:$J$40, 9, FALSE)</f>
        <v>0</v>
      </c>
      <c r="O146" s="202">
        <f>+IF(N146&gt;0, VLOOKUP(C146, 'INPUT CBM'!$N$3:$P$282, 3, FALSE), M146/L146)</f>
        <v>31.770433000256215</v>
      </c>
      <c r="P146" s="200">
        <f>+VLOOKUP(B146, 'INPUT CBM'!$B$3:$K$29, 10, FALSE)</f>
        <v>0</v>
      </c>
      <c r="Q146" s="183">
        <f>+M146*P146</f>
        <v>0</v>
      </c>
      <c r="R146" s="78">
        <f t="shared" si="17"/>
        <v>0</v>
      </c>
      <c r="S146" s="184">
        <f t="shared" si="18"/>
        <v>0</v>
      </c>
      <c r="T146" s="14"/>
      <c r="U146" s="6"/>
      <c r="V146" s="6"/>
      <c r="W146" s="6"/>
    </row>
    <row r="147" spans="1:23" ht="15" customHeight="1" x14ac:dyDescent="0.25">
      <c r="A147" s="190" t="s">
        <v>454</v>
      </c>
      <c r="B147" s="108" t="s">
        <v>16</v>
      </c>
      <c r="C147" s="191" t="s">
        <v>435</v>
      </c>
      <c r="D147" s="181">
        <f t="shared" si="13"/>
        <v>1745000</v>
      </c>
      <c r="E147" s="111" t="e">
        <f>+VLOOKUP(C147, 'INPUT NFI'!$C$3:$K$282, 4, FALSE) * D147 / L147</f>
        <v>#N/A</v>
      </c>
      <c r="F147" s="111" t="e">
        <f>+VLOOKUP(C147, 'INPUT NFI'!$C$3:$K$282, 5, FALSE) * D147 / L147</f>
        <v>#N/A</v>
      </c>
      <c r="G147" s="111">
        <f t="shared" si="14"/>
        <v>133590878.86245054</v>
      </c>
      <c r="H147" s="111" t="e">
        <f>+VLOOKUP(C147, 'INPUT NFI'!$C$3:$K$282, 7, FALSE) * G147 / M147</f>
        <v>#N/A</v>
      </c>
      <c r="I147" s="111" t="e">
        <f>+VLOOKUP(C147, 'INPUT NFI'!C147:K426, 8, FALSE) * G147 / M147</f>
        <v>#N/A</v>
      </c>
      <c r="J147" s="213">
        <f t="shared" si="15"/>
        <v>76.556377571604898</v>
      </c>
      <c r="L147" s="183">
        <f>+VLOOKUP(C147, 'INPUT NFI'!$C$3:$K$282, 3, FALSE)</f>
        <v>1745000</v>
      </c>
      <c r="M147" s="184">
        <f>+VLOOKUP(C147, 'INPUT NFI'!$C$3:$K$282, 6, FALSE)</f>
        <v>133590878.86245054</v>
      </c>
      <c r="N147" s="201">
        <f>+VLOOKUP(B147, 'AREA CorrFactor'!$B$3:$J$40, 9, FALSE)</f>
        <v>0</v>
      </c>
      <c r="O147" s="202">
        <f>+IF(N147&gt;0, VLOOKUP(C147, 'INPUT CBM'!$N$3:$P$282, 3, FALSE), M147/L147)</f>
        <v>76.556377571604898</v>
      </c>
      <c r="P147" s="200">
        <f>+VLOOKUP(B147, 'INPUT CBM'!$B$3:$K$29, 10, FALSE)</f>
        <v>0</v>
      </c>
      <c r="Q147" s="183">
        <f t="shared" si="16"/>
        <v>0</v>
      </c>
      <c r="R147" s="78">
        <f t="shared" si="17"/>
        <v>0</v>
      </c>
      <c r="S147" s="184">
        <f t="shared" si="18"/>
        <v>0</v>
      </c>
      <c r="T147" s="14"/>
      <c r="U147" s="6"/>
      <c r="V147" s="6"/>
      <c r="W147" s="6"/>
    </row>
    <row r="148" spans="1:23" ht="15" customHeight="1" x14ac:dyDescent="0.25">
      <c r="A148" s="190" t="s">
        <v>323</v>
      </c>
      <c r="B148" s="108" t="s">
        <v>17</v>
      </c>
      <c r="C148" s="191" t="s">
        <v>487</v>
      </c>
      <c r="D148" s="181">
        <f t="shared" si="13"/>
        <v>1162888.6779425235</v>
      </c>
      <c r="E148" s="111" t="e">
        <f>+VLOOKUP(C148, 'INPUT NFI'!$C$3:$K$282, 4, FALSE) * D148 / L148</f>
        <v>#N/A</v>
      </c>
      <c r="F148" s="111" t="e">
        <f>+VLOOKUP(C148, 'INPUT NFI'!$C$3:$K$282, 5, FALSE) * D148 / L148</f>
        <v>#N/A</v>
      </c>
      <c r="G148" s="111">
        <f t="shared" si="14"/>
        <v>153232700.29062557</v>
      </c>
      <c r="H148" s="111" t="e">
        <f>+VLOOKUP(C148, 'INPUT NFI'!$C$3:$K$282, 7, FALSE) * G148 / M148</f>
        <v>#N/A</v>
      </c>
      <c r="I148" s="111" t="e">
        <f>+VLOOKUP(C148, 'INPUT NFI'!C148:K427, 8, FALSE) * G148 / M148</f>
        <v>#N/A</v>
      </c>
      <c r="J148" s="213">
        <f t="shared" si="15"/>
        <v>131.76901899306236</v>
      </c>
      <c r="L148" s="183">
        <f>+VLOOKUP(C148, 'INPUT NFI'!$C$3:$K$282, 3, FALSE)</f>
        <v>1152127.0048069609</v>
      </c>
      <c r="M148" s="184">
        <f>+VLOOKUP(C148, 'INPUT NFI'!$C$3:$K$282, 6, FALSE)</f>
        <v>136265907.84400001</v>
      </c>
      <c r="N148" s="201">
        <f>+VLOOKUP(B148, 'AREA CorrFactor'!$B$3:$J$40, 9, FALSE)</f>
        <v>9.3407003660726275E-3</v>
      </c>
      <c r="O148" s="202">
        <f>+IF(N148&gt;0, VLOOKUP(C148, 'INPUT CBM'!$N$3:$P$282, 3, FALSE), M148/L148)</f>
        <v>14.03822533267836</v>
      </c>
      <c r="P148" s="200">
        <f>+VLOOKUP(B148, 'INPUT CBM'!$B$3:$K$29, 10, FALSE)</f>
        <v>0.12340370324647085</v>
      </c>
      <c r="Q148" s="183">
        <f t="shared" si="16"/>
        <v>16815717.654191922</v>
      </c>
      <c r="R148" s="78">
        <f t="shared" si="17"/>
        <v>10761.67313556254</v>
      </c>
      <c r="S148" s="184">
        <f t="shared" si="18"/>
        <v>151074.79243365821</v>
      </c>
      <c r="T148" s="14"/>
      <c r="U148" s="6"/>
      <c r="V148" s="6"/>
      <c r="W148" s="6"/>
    </row>
    <row r="149" spans="1:23" ht="15" customHeight="1" x14ac:dyDescent="0.25">
      <c r="A149" s="190" t="s">
        <v>323</v>
      </c>
      <c r="B149" s="108" t="s">
        <v>17</v>
      </c>
      <c r="C149" s="191" t="s">
        <v>488</v>
      </c>
      <c r="D149" s="181">
        <f t="shared" si="13"/>
        <v>1315105.480275698</v>
      </c>
      <c r="E149" s="111" t="e">
        <f>+VLOOKUP(C149, 'INPUT NFI'!$C$3:$K$282, 4, FALSE) * D149 / L149</f>
        <v>#N/A</v>
      </c>
      <c r="F149" s="111" t="e">
        <f>+VLOOKUP(C149, 'INPUT NFI'!$C$3:$K$282, 5, FALSE) * D149 / L149</f>
        <v>#N/A</v>
      </c>
      <c r="G149" s="111">
        <f t="shared" si="14"/>
        <v>317177675.87443507</v>
      </c>
      <c r="H149" s="111" t="e">
        <f>+VLOOKUP(C149, 'INPUT NFI'!$C$3:$K$282, 7, FALSE) * G149 / M149</f>
        <v>#N/A</v>
      </c>
      <c r="I149" s="111" t="e">
        <f>+VLOOKUP(C149, 'INPUT NFI'!C149:K428, 8, FALSE) * G149 / M149</f>
        <v>#N/A</v>
      </c>
      <c r="J149" s="213">
        <f t="shared" si="15"/>
        <v>241.18040767949816</v>
      </c>
      <c r="L149" s="183">
        <f>+VLOOKUP(C149, 'INPUT NFI'!$C$3:$K$282, 3, FALSE)</f>
        <v>1302935.1534112606</v>
      </c>
      <c r="M149" s="184">
        <f>+VLOOKUP(C149, 'INPUT NFI'!$C$3:$K$282, 6, FALSE)</f>
        <v>282186537.611</v>
      </c>
      <c r="N149" s="201">
        <f>+VLOOKUP(B149, 'AREA CorrFactor'!$B$3:$J$40, 9, FALSE)</f>
        <v>9.3407003660726275E-3</v>
      </c>
      <c r="O149" s="202">
        <f>+IF(N149&gt;0, VLOOKUP(C149, 'INPUT CBM'!$N$3:$P$282, 3, FALSE), M149/L149)</f>
        <v>13.826622556034124</v>
      </c>
      <c r="P149" s="200">
        <f>+VLOOKUP(B149, 'INPUT CBM'!$B$3:$K$29, 10, FALSE)</f>
        <v>0.12340370324647085</v>
      </c>
      <c r="Q149" s="183">
        <f t="shared" si="16"/>
        <v>34822863.747496925</v>
      </c>
      <c r="R149" s="78">
        <f t="shared" si="17"/>
        <v>12170.326864437457</v>
      </c>
      <c r="S149" s="184">
        <f t="shared" si="18"/>
        <v>168274.515938139</v>
      </c>
      <c r="T149" s="14"/>
      <c r="U149" s="6"/>
      <c r="V149" s="6"/>
      <c r="W149" s="6"/>
    </row>
    <row r="150" spans="1:23" ht="15" customHeight="1" x14ac:dyDescent="0.25">
      <c r="A150" s="190" t="s">
        <v>246</v>
      </c>
      <c r="B150" s="108" t="s">
        <v>18</v>
      </c>
      <c r="C150" s="192" t="s">
        <v>301</v>
      </c>
      <c r="D150" s="181">
        <f t="shared" si="13"/>
        <v>6014.8347338935573</v>
      </c>
      <c r="E150" s="111">
        <f>+VLOOKUP(C150, 'INPUT NFI'!$C$3:$K$282, 4, FALSE) * D150 / L150</f>
        <v>3608.9008403361345</v>
      </c>
      <c r="F150" s="111">
        <f>+VLOOKUP(C150, 'INPUT NFI'!$C$3:$K$282, 5, FALSE) * D150 / L150</f>
        <v>2405.9338935574228</v>
      </c>
      <c r="G150" s="111">
        <f t="shared" si="14"/>
        <v>548370.08188308915</v>
      </c>
      <c r="H150" s="111">
        <f>+VLOOKUP(C150, 'INPUT NFI'!$C$3:$K$282, 7, FALSE) * G150 / M150</f>
        <v>434153.92012663424</v>
      </c>
      <c r="I150" s="111">
        <f>+VLOOKUP(C150, 'INPUT NFI'!C150:K429, 8, FALSE) * G150 / M150</f>
        <v>114216.16175645488</v>
      </c>
      <c r="J150" s="213">
        <f t="shared" si="15"/>
        <v>91.169600852543311</v>
      </c>
      <c r="K150" s="10"/>
      <c r="L150" s="183">
        <f>+VLOOKUP(C150, 'INPUT NFI'!$C$3:$K$282, 3, FALSE)</f>
        <v>6000</v>
      </c>
      <c r="M150" s="184">
        <f>+VLOOKUP(C150, 'INPUT NFI'!$C$3:$K$282, 6, FALSE)</f>
        <v>514953.23076839995</v>
      </c>
      <c r="N150" s="201">
        <f>+VLOOKUP(B150, 'AREA CorrFactor'!$B$3:$J$40, 9, FALSE)</f>
        <v>2.4724556489262371E-3</v>
      </c>
      <c r="O150" s="202">
        <f>+IF(N150&gt;0, VLOOKUP(C150, 'INPUT CBM'!$N$3:$P$282, 3, FALSE), M150/L150)</f>
        <v>45.586142483281641</v>
      </c>
      <c r="P150" s="200">
        <f>+VLOOKUP(B150, 'INPUT CBM'!$B$3:$K$29, 10, FALSE)</f>
        <v>6.3579740577335994E-2</v>
      </c>
      <c r="Q150" s="183">
        <f t="shared" si="16"/>
        <v>32740.592821715905</v>
      </c>
      <c r="R150" s="78">
        <f t="shared" si="17"/>
        <v>14.834733893557422</v>
      </c>
      <c r="S150" s="184">
        <f t="shared" si="18"/>
        <v>676.25829297327607</v>
      </c>
      <c r="T150" s="14"/>
      <c r="U150" s="6"/>
      <c r="V150" s="6"/>
      <c r="W150" s="6"/>
    </row>
    <row r="151" spans="1:23" ht="15" customHeight="1" x14ac:dyDescent="0.25">
      <c r="A151" s="190" t="s">
        <v>246</v>
      </c>
      <c r="B151" s="108" t="s">
        <v>18</v>
      </c>
      <c r="C151" s="192" t="s">
        <v>302</v>
      </c>
      <c r="D151" s="181">
        <f t="shared" si="13"/>
        <v>172024.27338935575</v>
      </c>
      <c r="E151" s="111">
        <f>+VLOOKUP(C151, 'INPUT NFI'!$C$3:$K$282, 4, FALSE) * D151 / L151</f>
        <v>149568.89038281978</v>
      </c>
      <c r="F151" s="111">
        <f>+VLOOKUP(C151, 'INPUT NFI'!$C$3:$K$282, 5, FALSE) * D151 / L151</f>
        <v>22455.383006535951</v>
      </c>
      <c r="G151" s="111">
        <f t="shared" si="14"/>
        <v>21453187.062520169</v>
      </c>
      <c r="H151" s="111">
        <f>+VLOOKUP(C151, 'INPUT NFI'!$C$3:$K$282, 7, FALSE) * G151 / M151</f>
        <v>20313229.336830989</v>
      </c>
      <c r="I151" s="111">
        <f>+VLOOKUP(C151, 'INPUT NFI'!C151:K430, 8, FALSE) * G151 / M151</f>
        <v>1139957.7256891802</v>
      </c>
      <c r="J151" s="213">
        <f t="shared" si="15"/>
        <v>124.71023210755568</v>
      </c>
      <c r="K151" s="10"/>
      <c r="L151" s="183">
        <f>+VLOOKUP(C151, 'INPUT NFI'!$C$3:$K$282, 3, FALSE)</f>
        <v>171600</v>
      </c>
      <c r="M151" s="184">
        <f>+VLOOKUP(C151, 'INPUT NFI'!$C$3:$K$282, 6, FALSE)</f>
        <v>20154398.226998799</v>
      </c>
      <c r="N151" s="201">
        <f>+VLOOKUP(B151, 'AREA CorrFactor'!$B$3:$J$40, 9, FALSE)</f>
        <v>2.4724556489262371E-3</v>
      </c>
      <c r="O151" s="202">
        <f>+IF(N151&gt;0, VLOOKUP(C151, 'INPUT CBM'!$N$3:$P$282, 3, FALSE), M151/L151)</f>
        <v>40.958083142701689</v>
      </c>
      <c r="P151" s="200">
        <f>+VLOOKUP(B151, 'INPUT CBM'!$B$3:$K$29, 10, FALSE)</f>
        <v>6.3579740577335994E-2</v>
      </c>
      <c r="Q151" s="183">
        <f t="shared" si="16"/>
        <v>1281411.4107649042</v>
      </c>
      <c r="R151" s="78">
        <f t="shared" si="17"/>
        <v>424.27338935574227</v>
      </c>
      <c r="S151" s="184">
        <f t="shared" si="18"/>
        <v>17377.424756468339</v>
      </c>
      <c r="T151" s="14"/>
      <c r="U151" s="6"/>
      <c r="V151" s="6"/>
      <c r="W151" s="6"/>
    </row>
    <row r="152" spans="1:23" ht="15" customHeight="1" x14ac:dyDescent="0.25">
      <c r="A152" s="190" t="s">
        <v>246</v>
      </c>
      <c r="B152" s="108" t="s">
        <v>18</v>
      </c>
      <c r="C152" s="192" t="s">
        <v>280</v>
      </c>
      <c r="D152" s="181">
        <f t="shared" si="13"/>
        <v>60549.336321195144</v>
      </c>
      <c r="E152" s="111">
        <f>+VLOOKUP(C152, 'INPUT NFI'!$C$3:$K$282, 4, FALSE) * D152 / L152</f>
        <v>50925.600746965458</v>
      </c>
      <c r="F152" s="111">
        <f>+VLOOKUP(C152, 'INPUT NFI'!$C$3:$K$282, 5, FALSE) * D152 / L152</f>
        <v>9623.7355742296913</v>
      </c>
      <c r="G152" s="111">
        <f t="shared" si="14"/>
        <v>7908973.0231492296</v>
      </c>
      <c r="H152" s="111">
        <f>+VLOOKUP(C152, 'INPUT NFI'!$C$3:$K$282, 7, FALSE) * G152 / M152</f>
        <v>7479091.1696017822</v>
      </c>
      <c r="I152" s="111">
        <f>+VLOOKUP(C152, 'INPUT NFI'!C152:K431, 8, FALSE) * G152 / M152</f>
        <v>429881.85354744719</v>
      </c>
      <c r="J152" s="213">
        <f t="shared" si="15"/>
        <v>130.62030905169001</v>
      </c>
      <c r="K152" s="10"/>
      <c r="L152" s="183">
        <f>+VLOOKUP(C152, 'INPUT NFI'!$C$3:$K$282, 3, FALSE)</f>
        <v>60400</v>
      </c>
      <c r="M152" s="184">
        <f>+VLOOKUP(C152, 'INPUT NFI'!$C$3:$K$282, 6, FALSE)</f>
        <v>7430443.3333163997</v>
      </c>
      <c r="N152" s="201">
        <f>+VLOOKUP(B152, 'AREA CorrFactor'!$B$3:$J$40, 9, FALSE)</f>
        <v>2.4724556489262371E-3</v>
      </c>
      <c r="O152" s="202">
        <f>+IF(N152&gt;0, VLOOKUP(C152, 'INPUT CBM'!$N$3:$P$282, 3, FALSE), M152/L152)</f>
        <v>40.874385260907637</v>
      </c>
      <c r="P152" s="200">
        <f>+VLOOKUP(B152, 'INPUT CBM'!$B$3:$K$29, 10, FALSE)</f>
        <v>6.3579740577335994E-2</v>
      </c>
      <c r="Q152" s="183">
        <f t="shared" si="16"/>
        <v>472425.65950685245</v>
      </c>
      <c r="R152" s="78">
        <f t="shared" si="17"/>
        <v>149.33632119514473</v>
      </c>
      <c r="S152" s="184">
        <f t="shared" si="18"/>
        <v>6104.0303259769926</v>
      </c>
      <c r="T152" s="14"/>
      <c r="U152" s="6"/>
      <c r="V152" s="6"/>
      <c r="W152" s="6"/>
    </row>
    <row r="153" spans="1:23" ht="15" customHeight="1" x14ac:dyDescent="0.25">
      <c r="A153" s="190" t="s">
        <v>246</v>
      </c>
      <c r="B153" s="108" t="s">
        <v>18</v>
      </c>
      <c r="C153" s="192" t="s">
        <v>281</v>
      </c>
      <c r="D153" s="181">
        <f t="shared" si="13"/>
        <v>78593.84052287582</v>
      </c>
      <c r="E153" s="111">
        <f>+VLOOKUP(C153, 'INPUT NFI'!$C$3:$K$282, 4, FALSE) * D153 / L153</f>
        <v>64559.226143790846</v>
      </c>
      <c r="F153" s="111">
        <f>+VLOOKUP(C153, 'INPUT NFI'!$C$3:$K$282, 5, FALSE) * D153 / L153</f>
        <v>14034.614379084967</v>
      </c>
      <c r="G153" s="111">
        <f t="shared" si="14"/>
        <v>12579495.524170309</v>
      </c>
      <c r="H153" s="111">
        <f>+VLOOKUP(C153, 'INPUT NFI'!$C$3:$K$282, 7, FALSE) * G153 / M153</f>
        <v>11641124.968808904</v>
      </c>
      <c r="I153" s="111">
        <f>+VLOOKUP(C153, 'INPUT NFI'!C153:K432, 8, FALSE) * G153 / M153</f>
        <v>938370.5553614035</v>
      </c>
      <c r="J153" s="213">
        <f t="shared" si="15"/>
        <v>160.05701516149824</v>
      </c>
      <c r="K153" s="10"/>
      <c r="L153" s="183">
        <f>+VLOOKUP(C153, 'INPUT NFI'!$C$3:$K$282, 3, FALSE)</f>
        <v>78400</v>
      </c>
      <c r="M153" s="184">
        <f>+VLOOKUP(C153, 'INPUT NFI'!$C$3:$K$282, 6, FALSE)</f>
        <v>11820056.2988676</v>
      </c>
      <c r="N153" s="201">
        <f>+VLOOKUP(B153, 'AREA CorrFactor'!$B$3:$J$40, 9, FALSE)</f>
        <v>2.4724556489262371E-3</v>
      </c>
      <c r="O153" s="202">
        <f>+IF(N153&gt;0, VLOOKUP(C153, 'INPUT CBM'!$N$3:$P$282, 3, FALSE), M153/L153)</f>
        <v>40.874385260907637</v>
      </c>
      <c r="P153" s="200">
        <f>+VLOOKUP(B153, 'INPUT CBM'!$B$3:$K$29, 10, FALSE)</f>
        <v>6.3579740577335994E-2</v>
      </c>
      <c r="Q153" s="183">
        <f t="shared" si="16"/>
        <v>751516.11309150828</v>
      </c>
      <c r="R153" s="78">
        <f t="shared" si="17"/>
        <v>193.84052287581699</v>
      </c>
      <c r="S153" s="184">
        <f t="shared" si="18"/>
        <v>7923.1122112019239</v>
      </c>
      <c r="T153" s="14"/>
      <c r="U153" s="6"/>
      <c r="V153" s="6"/>
      <c r="W153" s="6"/>
    </row>
    <row r="154" spans="1:23" ht="15" customHeight="1" x14ac:dyDescent="0.25">
      <c r="A154" s="190" t="s">
        <v>246</v>
      </c>
      <c r="B154" s="108" t="s">
        <v>18</v>
      </c>
      <c r="C154" s="192" t="s">
        <v>282</v>
      </c>
      <c r="D154" s="181">
        <f t="shared" si="13"/>
        <v>149568.89038281981</v>
      </c>
      <c r="E154" s="111">
        <f>+VLOOKUP(C154, 'INPUT NFI'!$C$3:$K$282, 4, FALSE) * D154 / L154</f>
        <v>138341.19887955181</v>
      </c>
      <c r="F154" s="111">
        <f>+VLOOKUP(C154, 'INPUT NFI'!$C$3:$K$282, 5, FALSE) * D154 / L154</f>
        <v>11227.691503267975</v>
      </c>
      <c r="G154" s="111">
        <f t="shared" si="14"/>
        <v>26185824.082816146</v>
      </c>
      <c r="H154" s="111">
        <f>+VLOOKUP(C154, 'INPUT NFI'!$C$3:$K$282, 7, FALSE) * G154 / M154</f>
        <v>25451497.191462811</v>
      </c>
      <c r="I154" s="111">
        <f>+VLOOKUP(C154, 'INPUT NFI'!C154:K433, 8, FALSE) * G154 / M154</f>
        <v>734326.8913533329</v>
      </c>
      <c r="J154" s="213">
        <f t="shared" si="15"/>
        <v>175.07533829925353</v>
      </c>
      <c r="K154" s="10"/>
      <c r="L154" s="183">
        <f>+VLOOKUP(C154, 'INPUT NFI'!$C$3:$K$282, 3, FALSE)</f>
        <v>149200</v>
      </c>
      <c r="M154" s="184">
        <f>+VLOOKUP(C154, 'INPUT NFI'!$C$3:$K$282, 6, FALSE)</f>
        <v>24606284.716352001</v>
      </c>
      <c r="N154" s="201">
        <f>+VLOOKUP(B154, 'AREA CorrFactor'!$B$3:$J$40, 9, FALSE)</f>
        <v>2.4724556489262371E-3</v>
      </c>
      <c r="O154" s="202">
        <f>+IF(N154&gt;0, VLOOKUP(C154, 'INPUT CBM'!$N$3:$P$282, 3, FALSE), M154/L154)</f>
        <v>40.874385260907637</v>
      </c>
      <c r="P154" s="200">
        <f>+VLOOKUP(B154, 'INPUT CBM'!$B$3:$K$29, 10, FALSE)</f>
        <v>6.3579740577335994E-2</v>
      </c>
      <c r="Q154" s="183">
        <f t="shared" si="16"/>
        <v>1564461.1988377278</v>
      </c>
      <c r="R154" s="78">
        <f t="shared" si="17"/>
        <v>368.89038281979458</v>
      </c>
      <c r="S154" s="184">
        <f t="shared" si="18"/>
        <v>15078.167626419987</v>
      </c>
      <c r="T154" s="14"/>
      <c r="U154" s="6"/>
      <c r="V154" s="6"/>
      <c r="W154" s="6"/>
    </row>
    <row r="155" spans="1:23" ht="15" customHeight="1" x14ac:dyDescent="0.25">
      <c r="A155" s="190" t="s">
        <v>246</v>
      </c>
      <c r="B155" s="108" t="s">
        <v>18</v>
      </c>
      <c r="C155" s="192" t="s">
        <v>283</v>
      </c>
      <c r="D155" s="181">
        <f t="shared" si="13"/>
        <v>82603.730345471515</v>
      </c>
      <c r="E155" s="111">
        <f>+VLOOKUP(C155, 'INPUT NFI'!$C$3:$K$282, 4, FALSE) * D155 / L155</f>
        <v>77390.873576097089</v>
      </c>
      <c r="F155" s="111">
        <f>+VLOOKUP(C155, 'INPUT NFI'!$C$3:$K$282, 5, FALSE) * D155 / L155</f>
        <v>5212.8567693744162</v>
      </c>
      <c r="G155" s="111">
        <f t="shared" si="14"/>
        <v>11965227.804993246</v>
      </c>
      <c r="H155" s="111">
        <f>+VLOOKUP(C155, 'INPUT NFI'!$C$3:$K$282, 7, FALSE) * G155 / M155</f>
        <v>11620349.439099327</v>
      </c>
      <c r="I155" s="111">
        <f>+VLOOKUP(C155, 'INPUT NFI'!C155:K434, 8, FALSE) * G155 / M155</f>
        <v>344878.36589391896</v>
      </c>
      <c r="J155" s="213">
        <f t="shared" si="15"/>
        <v>144.85093778393994</v>
      </c>
      <c r="K155" s="10"/>
      <c r="L155" s="183">
        <f>+VLOOKUP(C155, 'INPUT NFI'!$C$3:$K$282, 3, FALSE)</f>
        <v>82400</v>
      </c>
      <c r="M155" s="184">
        <f>+VLOOKUP(C155, 'INPUT NFI'!$C$3:$K$282, 6, FALSE)</f>
        <v>11243093.1216776</v>
      </c>
      <c r="N155" s="201">
        <f>+VLOOKUP(B155, 'AREA CorrFactor'!$B$3:$J$40, 9, FALSE)</f>
        <v>2.4724556489262371E-3</v>
      </c>
      <c r="O155" s="202">
        <f>+IF(N155&gt;0, VLOOKUP(C155, 'INPUT CBM'!$N$3:$P$282, 3, FALSE), M155/L155)</f>
        <v>35.840214847005598</v>
      </c>
      <c r="P155" s="200">
        <f>+VLOOKUP(B155, 'INPUT CBM'!$B$3:$K$29, 10, FALSE)</f>
        <v>6.3579740577335994E-2</v>
      </c>
      <c r="Q155" s="183">
        <f t="shared" si="16"/>
        <v>714832.94396309252</v>
      </c>
      <c r="R155" s="78">
        <f t="shared" si="17"/>
        <v>203.73034547152193</v>
      </c>
      <c r="S155" s="184">
        <f t="shared" si="18"/>
        <v>7301.7393525540201</v>
      </c>
      <c r="T155" s="14"/>
      <c r="U155" s="6"/>
      <c r="V155" s="6"/>
      <c r="W155" s="6"/>
    </row>
    <row r="156" spans="1:23" ht="15" customHeight="1" x14ac:dyDescent="0.25">
      <c r="A156" s="190" t="s">
        <v>246</v>
      </c>
      <c r="B156" s="108" t="s">
        <v>18</v>
      </c>
      <c r="C156" s="192" t="s">
        <v>284</v>
      </c>
      <c r="D156" s="181">
        <f t="shared" si="13"/>
        <v>112276.91503267974</v>
      </c>
      <c r="E156" s="111">
        <f>+VLOOKUP(C156, 'INPUT NFI'!$C$3:$K$282, 4, FALSE) * D156 / L156</f>
        <v>107866.03622782447</v>
      </c>
      <c r="F156" s="111">
        <f>+VLOOKUP(C156, 'INPUT NFI'!$C$3:$K$282, 5, FALSE) * D156 / L156</f>
        <v>4410.8788048552751</v>
      </c>
      <c r="G156" s="111">
        <f t="shared" si="14"/>
        <v>21726744.944343645</v>
      </c>
      <c r="H156" s="111">
        <f>+VLOOKUP(C156, 'INPUT NFI'!$C$3:$K$282, 7, FALSE) * G156 / M156</f>
        <v>20894492.261876822</v>
      </c>
      <c r="I156" s="111">
        <f>+VLOOKUP(C156, 'INPUT NFI'!C156:K435, 8, FALSE) * G156 / M156</f>
        <v>832252.68246682337</v>
      </c>
      <c r="J156" s="213">
        <f t="shared" si="15"/>
        <v>193.51034839191811</v>
      </c>
      <c r="K156" s="10"/>
      <c r="L156" s="183">
        <f>+VLOOKUP(C156, 'INPUT NFI'!$C$3:$K$282, 3, FALSE)</f>
        <v>112000</v>
      </c>
      <c r="M156" s="184">
        <f>+VLOOKUP(C156, 'INPUT NFI'!$C$3:$K$282, 6, FALSE)</f>
        <v>20418610.303999998</v>
      </c>
      <c r="N156" s="201">
        <f>+VLOOKUP(B156, 'AREA CorrFactor'!$B$3:$J$40, 9, FALSE)</f>
        <v>2.4724556489262371E-3</v>
      </c>
      <c r="O156" s="202">
        <f>+IF(N156&gt;0, VLOOKUP(C156, 'INPUT CBM'!$N$3:$P$282, 3, FALSE), M156/L156)</f>
        <v>35.840214847005598</v>
      </c>
      <c r="P156" s="200">
        <f>+VLOOKUP(B156, 'INPUT CBM'!$B$3:$K$29, 10, FALSE)</f>
        <v>6.3579740577335994E-2</v>
      </c>
      <c r="Q156" s="183">
        <f t="shared" si="16"/>
        <v>1298209.9460780395</v>
      </c>
      <c r="R156" s="78">
        <f t="shared" si="17"/>
        <v>276.91503267973854</v>
      </c>
      <c r="S156" s="184">
        <f t="shared" si="18"/>
        <v>9924.6942656074061</v>
      </c>
      <c r="T156" s="14"/>
      <c r="U156" s="6"/>
      <c r="V156" s="6"/>
      <c r="W156" s="6"/>
    </row>
    <row r="157" spans="1:23" ht="15" customHeight="1" x14ac:dyDescent="0.25">
      <c r="A157" s="190" t="s">
        <v>246</v>
      </c>
      <c r="B157" s="108" t="s">
        <v>18</v>
      </c>
      <c r="C157" s="192" t="s">
        <v>285</v>
      </c>
      <c r="D157" s="181">
        <f t="shared" si="13"/>
        <v>143153.06666666668</v>
      </c>
      <c r="E157" s="111">
        <f>+VLOOKUP(C157, 'INPUT NFI'!$C$3:$K$282, 4, FALSE) * D157 / L157</f>
        <v>139143.17684407099</v>
      </c>
      <c r="F157" s="111">
        <f>+VLOOKUP(C157, 'INPUT NFI'!$C$3:$K$282, 5, FALSE) * D157 / L157</f>
        <v>4009.8898225957055</v>
      </c>
      <c r="G157" s="111">
        <f t="shared" si="14"/>
        <v>29592577.533901401</v>
      </c>
      <c r="H157" s="111">
        <f>+VLOOKUP(C157, 'INPUT NFI'!$C$3:$K$282, 7, FALSE) * G157 / M157</f>
        <v>29322908.572187703</v>
      </c>
      <c r="I157" s="111">
        <f>+VLOOKUP(C157, 'INPUT NFI'!C157:K436, 8, FALSE) * G157 / M157</f>
        <v>269668.96171370102</v>
      </c>
      <c r="J157" s="213">
        <f t="shared" si="15"/>
        <v>206.71982950115913</v>
      </c>
      <c r="K157" s="10"/>
      <c r="L157" s="183">
        <f>+VLOOKUP(C157, 'INPUT NFI'!$C$3:$K$282, 3, FALSE)</f>
        <v>142800</v>
      </c>
      <c r="M157" s="184">
        <f>+VLOOKUP(C157, 'INPUT NFI'!$C$3:$K$282, 6, FALSE)</f>
        <v>27811665.096832398</v>
      </c>
      <c r="N157" s="201">
        <f>+VLOOKUP(B157, 'AREA CorrFactor'!$B$3:$J$40, 9, FALSE)</f>
        <v>2.4724556489262371E-3</v>
      </c>
      <c r="O157" s="202">
        <f>+IF(N157&gt;0, VLOOKUP(C157, 'INPUT CBM'!$N$3:$P$282, 3, FALSE), M157/L157)</f>
        <v>35.840214847005598</v>
      </c>
      <c r="P157" s="200">
        <f>+VLOOKUP(B157, 'INPUT CBM'!$B$3:$K$29, 10, FALSE)</f>
        <v>6.3579740577335994E-2</v>
      </c>
      <c r="Q157" s="183">
        <f t="shared" si="16"/>
        <v>1768258.451880354</v>
      </c>
      <c r="R157" s="78">
        <f t="shared" si="17"/>
        <v>353.06666666666666</v>
      </c>
      <c r="S157" s="184">
        <f t="shared" si="18"/>
        <v>12653.985188649443</v>
      </c>
      <c r="T157" s="14"/>
      <c r="U157" s="6"/>
      <c r="V157" s="6"/>
      <c r="W157" s="6"/>
    </row>
    <row r="158" spans="1:23" ht="15" customHeight="1" x14ac:dyDescent="0.25">
      <c r="A158" s="190" t="s">
        <v>246</v>
      </c>
      <c r="B158" s="108" t="s">
        <v>18</v>
      </c>
      <c r="C158" s="192" t="s">
        <v>286</v>
      </c>
      <c r="D158" s="181">
        <f t="shared" si="13"/>
        <v>135534.27600373482</v>
      </c>
      <c r="E158" s="111">
        <f>+VLOOKUP(C158, 'INPUT NFI'!$C$3:$K$282, 4, FALSE) * D158 / L158</f>
        <v>121098.67264239027</v>
      </c>
      <c r="F158" s="111">
        <f>+VLOOKUP(C158, 'INPUT NFI'!$C$3:$K$282, 5, FALSE) * D158 / L158</f>
        <v>14435.603361344536</v>
      </c>
      <c r="G158" s="111">
        <f t="shared" si="14"/>
        <v>20877117.762614872</v>
      </c>
      <c r="H158" s="111">
        <f>+VLOOKUP(C158, 'INPUT NFI'!$C$3:$K$282, 7, FALSE) * G158 / M158</f>
        <v>20366186.648333233</v>
      </c>
      <c r="I158" s="111">
        <f>+VLOOKUP(C158, 'INPUT NFI'!C158:K437, 8, FALSE) * G158 / M158</f>
        <v>510931.11428164248</v>
      </c>
      <c r="J158" s="213">
        <f t="shared" si="15"/>
        <v>154.03570504954465</v>
      </c>
      <c r="K158" s="10"/>
      <c r="L158" s="183">
        <f>+VLOOKUP(C158, 'INPUT NFI'!$C$3:$K$282, 3, FALSE)</f>
        <v>135200</v>
      </c>
      <c r="M158" s="184">
        <f>+VLOOKUP(C158, 'INPUT NFI'!$C$3:$K$282, 6, FALSE)</f>
        <v>19617166.4813416</v>
      </c>
      <c r="N158" s="201">
        <f>+VLOOKUP(B158, 'AREA CorrFactor'!$B$3:$J$40, 9, FALSE)</f>
        <v>2.4724556489262371E-3</v>
      </c>
      <c r="O158" s="202">
        <f>+IF(N158&gt;0, VLOOKUP(C158, 'INPUT CBM'!$N$3:$P$282, 3, FALSE), M158/L158)</f>
        <v>37.98335921603654</v>
      </c>
      <c r="P158" s="200">
        <f>+VLOOKUP(B158, 'INPUT CBM'!$B$3:$K$29, 10, FALSE)</f>
        <v>6.3579740577335994E-2</v>
      </c>
      <c r="Q158" s="183">
        <f t="shared" si="16"/>
        <v>1247254.3557461102</v>
      </c>
      <c r="R158" s="78">
        <f t="shared" si="17"/>
        <v>334.27600373482727</v>
      </c>
      <c r="S158" s="184">
        <f t="shared" si="18"/>
        <v>12696.925527161116</v>
      </c>
      <c r="T158" s="14"/>
      <c r="U158" s="6"/>
      <c r="V158" s="6"/>
      <c r="W158" s="6"/>
    </row>
    <row r="159" spans="1:23" ht="15" customHeight="1" x14ac:dyDescent="0.25">
      <c r="A159" s="190" t="s">
        <v>246</v>
      </c>
      <c r="B159" s="108" t="s">
        <v>18</v>
      </c>
      <c r="C159" s="192" t="s">
        <v>287</v>
      </c>
      <c r="D159" s="181">
        <f t="shared" si="13"/>
        <v>196885.59028944912</v>
      </c>
      <c r="E159" s="111">
        <f>+VLOOKUP(C159, 'INPUT NFI'!$C$3:$K$282, 4, FALSE) * D159 / L159</f>
        <v>185256.90980392156</v>
      </c>
      <c r="F159" s="111">
        <f>+VLOOKUP(C159, 'INPUT NFI'!$C$3:$K$282, 5, FALSE) * D159 / L159</f>
        <v>11628.680485527544</v>
      </c>
      <c r="G159" s="111">
        <f t="shared" si="14"/>
        <v>33243135.114161756</v>
      </c>
      <c r="H159" s="111">
        <f>+VLOOKUP(C159, 'INPUT NFI'!$C$3:$K$282, 7, FALSE) * G159 / M159</f>
        <v>32236204.523500863</v>
      </c>
      <c r="I159" s="111">
        <f>+VLOOKUP(C159, 'INPUT NFI'!C159:K438, 8, FALSE) * G159 / M159</f>
        <v>1006930.5906608932</v>
      </c>
      <c r="J159" s="213">
        <f t="shared" si="15"/>
        <v>168.8449371296789</v>
      </c>
      <c r="K159" s="10"/>
      <c r="L159" s="183">
        <f>+VLOOKUP(C159, 'INPUT NFI'!$C$3:$K$282, 3, FALSE)</f>
        <v>196400</v>
      </c>
      <c r="M159" s="184">
        <f>+VLOOKUP(C159, 'INPUT NFI'!$C$3:$K$282, 6, FALSE)</f>
        <v>31238551.747639202</v>
      </c>
      <c r="N159" s="201">
        <f>+VLOOKUP(B159, 'AREA CorrFactor'!$B$3:$J$40, 9, FALSE)</f>
        <v>2.4724556489262371E-3</v>
      </c>
      <c r="O159" s="202">
        <f>+IF(N159&gt;0, VLOOKUP(C159, 'INPUT CBM'!$N$3:$P$282, 3, FALSE), M159/L159)</f>
        <v>37.98335921603654</v>
      </c>
      <c r="P159" s="200">
        <f>+VLOOKUP(B159, 'INPUT CBM'!$B$3:$K$29, 10, FALSE)</f>
        <v>6.3579740577335994E-2</v>
      </c>
      <c r="Q159" s="183">
        <f t="shared" si="16"/>
        <v>1986139.0161265864</v>
      </c>
      <c r="R159" s="78">
        <f t="shared" si="17"/>
        <v>485.59028944911296</v>
      </c>
      <c r="S159" s="184">
        <f t="shared" si="18"/>
        <v>18444.350395964815</v>
      </c>
      <c r="T159" s="14"/>
      <c r="U159" s="6"/>
      <c r="V159" s="6"/>
      <c r="W159" s="6"/>
    </row>
    <row r="160" spans="1:23" ht="15" customHeight="1" x14ac:dyDescent="0.25">
      <c r="A160" s="190" t="s">
        <v>246</v>
      </c>
      <c r="B160" s="108" t="s">
        <v>18</v>
      </c>
      <c r="C160" s="192" t="s">
        <v>288</v>
      </c>
      <c r="D160" s="181">
        <f t="shared" si="13"/>
        <v>80197.796451914095</v>
      </c>
      <c r="E160" s="111">
        <f>+VLOOKUP(C160, 'INPUT NFI'!$C$3:$K$282, 4, FALSE) * D160 / L160</f>
        <v>77791.862558356661</v>
      </c>
      <c r="F160" s="111">
        <f>+VLOOKUP(C160, 'INPUT NFI'!$C$3:$K$282, 5, FALSE) * D160 / L160</f>
        <v>2405.9338935574228</v>
      </c>
      <c r="G160" s="111">
        <f t="shared" si="14"/>
        <v>10391093.104123328</v>
      </c>
      <c r="H160" s="111">
        <f>+VLOOKUP(C160, 'INPUT NFI'!$C$3:$K$282, 7, FALSE) * G160 / M160</f>
        <v>10219077.229760846</v>
      </c>
      <c r="I160" s="111">
        <f>+VLOOKUP(C160, 'INPUT NFI'!C160:K439, 8, FALSE) * G160 / M160</f>
        <v>172015.87436248022</v>
      </c>
      <c r="J160" s="213">
        <f t="shared" si="15"/>
        <v>129.56831189687034</v>
      </c>
      <c r="K160" s="10"/>
      <c r="L160" s="183">
        <f>+VLOOKUP(C160, 'INPUT NFI'!$C$3:$K$282, 3, FALSE)</f>
        <v>80000</v>
      </c>
      <c r="M160" s="184">
        <f>+VLOOKUP(C160, 'INPUT NFI'!$C$3:$K$282, 6, FALSE)</f>
        <v>9762860.0228904001</v>
      </c>
      <c r="N160" s="201">
        <f>+VLOOKUP(B160, 'AREA CorrFactor'!$B$3:$J$40, 9, FALSE)</f>
        <v>2.4724556489262371E-3</v>
      </c>
      <c r="O160" s="202">
        <f>+IF(N160&gt;0, VLOOKUP(C160, 'INPUT CBM'!$N$3:$P$282, 3, FALSE), M160/L160)</f>
        <v>37.98335921603654</v>
      </c>
      <c r="P160" s="200">
        <f>+VLOOKUP(B160, 'INPUT CBM'!$B$3:$K$29, 10, FALSE)</f>
        <v>6.3579740577335994E-2</v>
      </c>
      <c r="Q160" s="183">
        <f t="shared" si="16"/>
        <v>620720.10754821624</v>
      </c>
      <c r="R160" s="78">
        <f t="shared" si="17"/>
        <v>197.79645191409898</v>
      </c>
      <c r="S160" s="184">
        <f t="shared" si="18"/>
        <v>7512.9736847107197</v>
      </c>
      <c r="T160" s="14"/>
      <c r="U160" s="6"/>
      <c r="V160" s="6"/>
      <c r="W160" s="6"/>
    </row>
    <row r="161" spans="1:23" ht="15" customHeight="1" x14ac:dyDescent="0.25">
      <c r="A161" s="190" t="s">
        <v>246</v>
      </c>
      <c r="B161" s="108" t="s">
        <v>18</v>
      </c>
      <c r="C161" s="192" t="s">
        <v>289</v>
      </c>
      <c r="D161" s="181">
        <f t="shared" si="13"/>
        <v>240593.38935574229</v>
      </c>
      <c r="E161" s="111">
        <f>+VLOOKUP(C161, 'INPUT NFI'!$C$3:$K$282, 4, FALSE) * D161 / L161</f>
        <v>207712.29281045753</v>
      </c>
      <c r="F161" s="111">
        <f>+VLOOKUP(C161, 'INPUT NFI'!$C$3:$K$282, 5, FALSE) * D161 / L161</f>
        <v>32881.096545284781</v>
      </c>
      <c r="G161" s="111">
        <f t="shared" si="14"/>
        <v>41210018.998651266</v>
      </c>
      <c r="H161" s="111">
        <f>+VLOOKUP(C161, 'INPUT NFI'!$C$3:$K$282, 7, FALSE) * G161 / M161</f>
        <v>38661897.172155499</v>
      </c>
      <c r="I161" s="111">
        <f>+VLOOKUP(C161, 'INPUT NFI'!C161:K440, 8, FALSE) * G161 / M161</f>
        <v>2548121.8264957643</v>
      </c>
      <c r="J161" s="213">
        <f t="shared" si="15"/>
        <v>171.2849181309715</v>
      </c>
      <c r="K161" s="10"/>
      <c r="L161" s="183">
        <f>+VLOOKUP(C161, 'INPUT NFI'!$C$3:$K$282, 3, FALSE)</f>
        <v>240000</v>
      </c>
      <c r="M161" s="184">
        <f>+VLOOKUP(C161, 'INPUT NFI'!$C$3:$K$282, 6, FALSE)</f>
        <v>38723921.464174397</v>
      </c>
      <c r="N161" s="201">
        <f>+VLOOKUP(B161, 'AREA CorrFactor'!$B$3:$J$40, 9, FALSE)</f>
        <v>2.4724556489262371E-3</v>
      </c>
      <c r="O161" s="202">
        <f>+IF(N161&gt;0, VLOOKUP(C161, 'INPUT CBM'!$N$3:$P$282, 3, FALSE), M161/L161)</f>
        <v>40.514130250038797</v>
      </c>
      <c r="P161" s="200">
        <f>+VLOOKUP(B161, 'INPUT CBM'!$B$3:$K$29, 10, FALSE)</f>
        <v>6.3579740577335994E-2</v>
      </c>
      <c r="Q161" s="183">
        <f t="shared" si="16"/>
        <v>2462056.8808293412</v>
      </c>
      <c r="R161" s="78">
        <f t="shared" si="17"/>
        <v>593.38935574229686</v>
      </c>
      <c r="S161" s="184">
        <f t="shared" si="18"/>
        <v>24040.65364753002</v>
      </c>
      <c r="T161" s="14"/>
      <c r="U161" s="6"/>
      <c r="V161" s="6"/>
      <c r="W161" s="6"/>
    </row>
    <row r="162" spans="1:23" ht="15" customHeight="1" x14ac:dyDescent="0.25">
      <c r="A162" s="190" t="s">
        <v>246</v>
      </c>
      <c r="B162" s="108" t="s">
        <v>18</v>
      </c>
      <c r="C162" s="192" t="s">
        <v>290</v>
      </c>
      <c r="D162" s="181">
        <f t="shared" si="13"/>
        <v>93430.432866479925</v>
      </c>
      <c r="E162" s="111">
        <f>+VLOOKUP(C162, 'INPUT NFI'!$C$3:$K$282, 4, FALSE) * D162 / L162</f>
        <v>79796.807469654523</v>
      </c>
      <c r="F162" s="111">
        <f>+VLOOKUP(C162, 'INPUT NFI'!$C$3:$K$282, 5, FALSE) * D162 / L162</f>
        <v>13633.625396825397</v>
      </c>
      <c r="G162" s="111">
        <f t="shared" si="14"/>
        <v>16413169.34762061</v>
      </c>
      <c r="H162" s="111">
        <f>+VLOOKUP(C162, 'INPUT NFI'!$C$3:$K$282, 7, FALSE) * G162 / M162</f>
        <v>14493771.14201927</v>
      </c>
      <c r="I162" s="111">
        <f>+VLOOKUP(C162, 'INPUT NFI'!C162:K441, 8, FALSE) * G162 / M162</f>
        <v>1919398.2056013399</v>
      </c>
      <c r="J162" s="213">
        <f t="shared" si="15"/>
        <v>175.67262447639982</v>
      </c>
      <c r="K162" s="10"/>
      <c r="L162" s="183">
        <f>+VLOOKUP(C162, 'INPUT NFI'!$C$3:$K$282, 3, FALSE)</f>
        <v>93200</v>
      </c>
      <c r="M162" s="184">
        <f>+VLOOKUP(C162, 'INPUT NFI'!$C$3:$K$282, 6, FALSE)</f>
        <v>15423228.681988401</v>
      </c>
      <c r="N162" s="201">
        <f>+VLOOKUP(B162, 'AREA CorrFactor'!$B$3:$J$40, 9, FALSE)</f>
        <v>2.4724556489262371E-3</v>
      </c>
      <c r="O162" s="202">
        <f>+IF(N162&gt;0, VLOOKUP(C162, 'INPUT CBM'!$N$3:$P$282, 3, FALSE), M162/L162)</f>
        <v>40.514130250038797</v>
      </c>
      <c r="P162" s="200">
        <f>+VLOOKUP(B162, 'INPUT CBM'!$B$3:$K$29, 10, FALSE)</f>
        <v>6.3579740577335994E-2</v>
      </c>
      <c r="Q162" s="183">
        <f t="shared" si="16"/>
        <v>980604.87846575025</v>
      </c>
      <c r="R162" s="78">
        <f t="shared" si="17"/>
        <v>230.43286647992531</v>
      </c>
      <c r="S162" s="184">
        <f t="shared" si="18"/>
        <v>9335.7871664574923</v>
      </c>
      <c r="T162" s="14"/>
      <c r="U162" s="6"/>
      <c r="V162" s="6"/>
      <c r="W162" s="6"/>
    </row>
    <row r="163" spans="1:23" x14ac:dyDescent="0.25">
      <c r="A163" s="190" t="s">
        <v>246</v>
      </c>
      <c r="B163" s="108" t="s">
        <v>18</v>
      </c>
      <c r="C163" s="192" t="s">
        <v>291</v>
      </c>
      <c r="D163" s="181">
        <f t="shared" si="13"/>
        <v>113880.87096171801</v>
      </c>
      <c r="E163" s="111">
        <f>+VLOOKUP(C163, 'INPUT NFI'!$C$3:$K$282, 4, FALSE) * D163 / L163</f>
        <v>103455.15742296918</v>
      </c>
      <c r="F163" s="111">
        <f>+VLOOKUP(C163, 'INPUT NFI'!$C$3:$K$282, 5, FALSE) * D163 / L163</f>
        <v>10425.713538748832</v>
      </c>
      <c r="G163" s="111">
        <f t="shared" si="14"/>
        <v>15525580.025599288</v>
      </c>
      <c r="H163" s="111">
        <f>+VLOOKUP(C163, 'INPUT NFI'!$C$3:$K$282, 7, FALSE) * G163 / M163</f>
        <v>14759581.530708361</v>
      </c>
      <c r="I163" s="111">
        <f>+VLOOKUP(C163, 'INPUT NFI'!C163:K442, 8, FALSE) * G163 / M163</f>
        <v>765998.49489092582</v>
      </c>
      <c r="J163" s="213">
        <f t="shared" si="15"/>
        <v>136.33176401345173</v>
      </c>
      <c r="K163" s="10"/>
      <c r="L163" s="183">
        <f>+VLOOKUP(C163, 'INPUT NFI'!$C$3:$K$282, 3, FALSE)</f>
        <v>113600</v>
      </c>
      <c r="M163" s="184">
        <f>+VLOOKUP(C163, 'INPUT NFI'!$C$3:$K$282, 6, FALSE)</f>
        <v>14586777.268295201</v>
      </c>
      <c r="N163" s="201">
        <f>+VLOOKUP(B163, 'AREA CorrFactor'!$B$3:$J$40, 9, FALSE)</f>
        <v>2.4724556489262371E-3</v>
      </c>
      <c r="O163" s="202">
        <f>+IF(N163&gt;0, VLOOKUP(C163, 'INPUT CBM'!$N$3:$P$282, 3, FALSE), M163/L163)</f>
        <v>40.514130250038797</v>
      </c>
      <c r="P163" s="200">
        <f>+VLOOKUP(B163, 'INPUT CBM'!$B$3:$K$29, 10, FALSE)</f>
        <v>6.3579740577335994E-2</v>
      </c>
      <c r="Q163" s="183">
        <f t="shared" si="16"/>
        <v>927423.51457759063</v>
      </c>
      <c r="R163" s="78">
        <f t="shared" si="17"/>
        <v>280.87096171802051</v>
      </c>
      <c r="S163" s="184">
        <f t="shared" si="18"/>
        <v>11379.242726497543</v>
      </c>
      <c r="T163" s="14"/>
      <c r="U163" s="6"/>
      <c r="V163" s="6"/>
      <c r="W163" s="6"/>
    </row>
    <row r="164" spans="1:23" x14ac:dyDescent="0.25">
      <c r="A164" s="190" t="s">
        <v>246</v>
      </c>
      <c r="B164" s="108" t="s">
        <v>18</v>
      </c>
      <c r="C164" s="192" t="s">
        <v>292</v>
      </c>
      <c r="D164" s="181">
        <f t="shared" si="13"/>
        <v>78994.829505135393</v>
      </c>
      <c r="E164" s="111">
        <f>+VLOOKUP(C164, 'INPUT NFI'!$C$3:$K$282, 4, FALSE) * D164 / L164</f>
        <v>77390.873576097118</v>
      </c>
      <c r="F164" s="111">
        <f>+VLOOKUP(C164, 'INPUT NFI'!$C$3:$K$282, 5, FALSE) * D164 / L164</f>
        <v>1603.955929038282</v>
      </c>
      <c r="G164" s="111">
        <f t="shared" si="14"/>
        <v>9440533.91764188</v>
      </c>
      <c r="H164" s="111">
        <f>+VLOOKUP(C164, 'INPUT NFI'!$C$3:$K$282, 7, FALSE) * G164 / M164</f>
        <v>9180324.1979366858</v>
      </c>
      <c r="I164" s="111">
        <f>+VLOOKUP(C164, 'INPUT NFI'!C164:K443, 8, FALSE) * G164 / M164</f>
        <v>260209.71970519371</v>
      </c>
      <c r="J164" s="213">
        <f t="shared" si="15"/>
        <v>119.50825106886468</v>
      </c>
      <c r="K164" s="10"/>
      <c r="L164" s="183">
        <f>+VLOOKUP(C164, 'INPUT NFI'!$C$3:$K$282, 3, FALSE)</f>
        <v>78800</v>
      </c>
      <c r="M164" s="184">
        <f>+VLOOKUP(C164, 'INPUT NFI'!$C$3:$K$282, 6, FALSE)</f>
        <v>8868691.1377264</v>
      </c>
      <c r="N164" s="201">
        <f>+VLOOKUP(B164, 'AREA CorrFactor'!$B$3:$J$40, 9, FALSE)</f>
        <v>2.4724556489262371E-3</v>
      </c>
      <c r="O164" s="202">
        <f>+IF(N164&gt;0, VLOOKUP(C164, 'INPUT CBM'!$N$3:$P$282, 3, FALSE), M164/L164)</f>
        <v>40.926542993451072</v>
      </c>
      <c r="P164" s="200">
        <f>+VLOOKUP(B164, 'INPUT CBM'!$B$3:$K$29, 10, FALSE)</f>
        <v>6.3579740577335994E-2</v>
      </c>
      <c r="Q164" s="183">
        <f t="shared" si="16"/>
        <v>563869.08179716335</v>
      </c>
      <c r="R164" s="78">
        <f t="shared" si="17"/>
        <v>194.82950513538748</v>
      </c>
      <c r="S164" s="184">
        <f t="shared" si="18"/>
        <v>7973.6981183162325</v>
      </c>
      <c r="T164" s="14"/>
      <c r="U164" s="6"/>
      <c r="V164" s="6"/>
      <c r="W164" s="6"/>
    </row>
    <row r="165" spans="1:23" x14ac:dyDescent="0.25">
      <c r="A165" s="190" t="s">
        <v>246</v>
      </c>
      <c r="B165" s="108" t="s">
        <v>18</v>
      </c>
      <c r="C165" s="192" t="s">
        <v>293</v>
      </c>
      <c r="D165" s="181">
        <f t="shared" si="13"/>
        <v>36890.986367880483</v>
      </c>
      <c r="E165" s="111">
        <f>+VLOOKUP(C165, 'INPUT NFI'!$C$3:$K$282, 4, FALSE) * D165 / L165</f>
        <v>36890.986367880483</v>
      </c>
      <c r="F165" s="111">
        <f>+VLOOKUP(C165, 'INPUT NFI'!$C$3:$K$282, 5, FALSE) * D165 / L165</f>
        <v>0</v>
      </c>
      <c r="G165" s="111">
        <f t="shared" si="14"/>
        <v>4360079.8073294964</v>
      </c>
      <c r="H165" s="111">
        <f>+VLOOKUP(C165, 'INPUT NFI'!$C$3:$K$282, 7, FALSE) * G165 / M165</f>
        <v>4360079.8073294964</v>
      </c>
      <c r="I165" s="111">
        <f>+VLOOKUP(C165, 'INPUT NFI'!C165:K444, 8, FALSE) * G165 / M165</f>
        <v>0</v>
      </c>
      <c r="J165" s="213">
        <f t="shared" si="15"/>
        <v>118.18821442859671</v>
      </c>
      <c r="K165" s="10"/>
      <c r="L165" s="183">
        <f>+VLOOKUP(C165, 'INPUT NFI'!$C$3:$K$282, 3, FALSE)</f>
        <v>36800</v>
      </c>
      <c r="M165" s="184">
        <f>+VLOOKUP(C165, 'INPUT NFI'!$C$3:$K$282, 6, FALSE)</f>
        <v>4095937.4117711997</v>
      </c>
      <c r="N165" s="201">
        <f>+VLOOKUP(B165, 'AREA CorrFactor'!$B$3:$J$40, 9, FALSE)</f>
        <v>2.4724556489262371E-3</v>
      </c>
      <c r="O165" s="202">
        <f>+IF(N165&gt;0, VLOOKUP(C165, 'INPUT CBM'!$N$3:$P$282, 3, FALSE), M165/L165)</f>
        <v>40.926542993451072</v>
      </c>
      <c r="P165" s="200">
        <f>+VLOOKUP(B165, 'INPUT CBM'!$B$3:$K$29, 10, FALSE)</f>
        <v>6.3579740577335994E-2</v>
      </c>
      <c r="Q165" s="183">
        <f t="shared" si="16"/>
        <v>260418.63806141791</v>
      </c>
      <c r="R165" s="78">
        <f t="shared" si="17"/>
        <v>90.986367880485531</v>
      </c>
      <c r="S165" s="184">
        <f t="shared" si="18"/>
        <v>3723.7574968786466</v>
      </c>
      <c r="T165" s="14"/>
      <c r="U165" s="6"/>
      <c r="V165" s="6"/>
      <c r="W165" s="6"/>
    </row>
    <row r="166" spans="1:23" x14ac:dyDescent="0.25">
      <c r="A166" s="190" t="s">
        <v>246</v>
      </c>
      <c r="B166" s="108" t="s">
        <v>18</v>
      </c>
      <c r="C166" s="192" t="s">
        <v>294</v>
      </c>
      <c r="D166" s="181">
        <f t="shared" si="13"/>
        <v>133930.32007469656</v>
      </c>
      <c r="E166" s="111">
        <f>+VLOOKUP(C166, 'INPUT NFI'!$C$3:$K$282, 4, FALSE) * D166 / L166</f>
        <v>133930.32007469656</v>
      </c>
      <c r="F166" s="111">
        <f>+VLOOKUP(C166, 'INPUT NFI'!$C$3:$K$282, 5, FALSE) * D166 / L166</f>
        <v>0</v>
      </c>
      <c r="G166" s="111">
        <f t="shared" si="14"/>
        <v>15188984.579372779</v>
      </c>
      <c r="H166" s="111">
        <f>+VLOOKUP(C166, 'INPUT NFI'!$C$3:$K$282, 7, FALSE) * G166 / M166</f>
        <v>15188984.579372779</v>
      </c>
      <c r="I166" s="111">
        <f>+VLOOKUP(C166, 'INPUT NFI'!C166:K445, 8, FALSE) * G166 / M166</f>
        <v>0</v>
      </c>
      <c r="J166" s="213">
        <f t="shared" si="15"/>
        <v>113.40960412027293</v>
      </c>
      <c r="K166" s="10"/>
      <c r="L166" s="183">
        <f>+VLOOKUP(C166, 'INPUT NFI'!$C$3:$K$282, 3, FALSE)</f>
        <v>133600</v>
      </c>
      <c r="M166" s="184">
        <f>+VLOOKUP(C166, 'INPUT NFI'!$C$3:$K$282, 6, FALSE)</f>
        <v>14268291.451656001</v>
      </c>
      <c r="N166" s="201">
        <f>+VLOOKUP(B166, 'AREA CorrFactor'!$B$3:$J$40, 9, FALSE)</f>
        <v>2.4724556489262371E-3</v>
      </c>
      <c r="O166" s="202">
        <f>+IF(N166&gt;0, VLOOKUP(C166, 'INPUT CBM'!$N$3:$P$282, 3, FALSE), M166/L166)</f>
        <v>40.926542993451072</v>
      </c>
      <c r="P166" s="200">
        <f>+VLOOKUP(B166, 'INPUT CBM'!$B$3:$K$29, 10, FALSE)</f>
        <v>6.3579740577335994E-2</v>
      </c>
      <c r="Q166" s="183">
        <f t="shared" si="16"/>
        <v>907174.26897810935</v>
      </c>
      <c r="R166" s="78">
        <f t="shared" si="17"/>
        <v>330.3200746965453</v>
      </c>
      <c r="S166" s="184">
        <f t="shared" si="18"/>
        <v>13518.85873866813</v>
      </c>
      <c r="T166" s="14"/>
      <c r="U166" s="6"/>
      <c r="V166" s="6"/>
      <c r="W166" s="6"/>
    </row>
    <row r="167" spans="1:23" x14ac:dyDescent="0.25">
      <c r="A167" s="190" t="s">
        <v>246</v>
      </c>
      <c r="B167" s="108" t="s">
        <v>18</v>
      </c>
      <c r="C167" s="192" t="s">
        <v>295</v>
      </c>
      <c r="D167" s="181">
        <f t="shared" si="13"/>
        <v>177237.13015873017</v>
      </c>
      <c r="E167" s="111">
        <f>+VLOOKUP(C167, 'INPUT NFI'!$C$3:$K$282, 4, FALSE) * D167 / L167</f>
        <v>162801.52679738562</v>
      </c>
      <c r="F167" s="111">
        <f>+VLOOKUP(C167, 'INPUT NFI'!$C$3:$K$282, 5, FALSE) * D167 / L167</f>
        <v>14435.60336134454</v>
      </c>
      <c r="G167" s="111">
        <f t="shared" si="14"/>
        <v>15296385.974783953</v>
      </c>
      <c r="H167" s="111">
        <f>+VLOOKUP(C167, 'INPUT NFI'!$C$3:$K$282, 7, FALSE) * G167 / M167</f>
        <v>14664284.85069041</v>
      </c>
      <c r="I167" s="111">
        <f>+VLOOKUP(C167, 'INPUT NFI'!C167:K446, 8, FALSE) * G167 / M167</f>
        <v>632101.12409354281</v>
      </c>
      <c r="J167" s="213">
        <f t="shared" si="15"/>
        <v>86.304635834967556</v>
      </c>
      <c r="K167" s="10"/>
      <c r="L167" s="183">
        <f>+VLOOKUP(C167, 'INPUT NFI'!$C$3:$K$282, 3, FALSE)</f>
        <v>176800</v>
      </c>
      <c r="M167" s="184">
        <f>+VLOOKUP(C167, 'INPUT NFI'!$C$3:$K$282, 6, FALSE)</f>
        <v>14363912.488370961</v>
      </c>
      <c r="N167" s="201">
        <f>+VLOOKUP(B167, 'AREA CorrFactor'!$B$3:$J$40, 9, FALSE)</f>
        <v>2.4724556489262371E-3</v>
      </c>
      <c r="O167" s="202">
        <f>+IF(N167&gt;0, VLOOKUP(C167, 'INPUT CBM'!$N$3:$P$282, 3, FALSE), M167/L167)</f>
        <v>43.967812201848481</v>
      </c>
      <c r="P167" s="200">
        <f>+VLOOKUP(B167, 'INPUT CBM'!$B$3:$K$29, 10, FALSE)</f>
        <v>6.3579740577335994E-2</v>
      </c>
      <c r="Q167" s="183">
        <f t="shared" si="16"/>
        <v>913253.82968618243</v>
      </c>
      <c r="R167" s="78">
        <f t="shared" si="17"/>
        <v>437.13015873015871</v>
      </c>
      <c r="S167" s="184">
        <f t="shared" si="18"/>
        <v>19219.656726811834</v>
      </c>
      <c r="T167" s="14"/>
      <c r="U167" s="6"/>
      <c r="V167" s="6"/>
      <c r="W167" s="6"/>
    </row>
    <row r="168" spans="1:23" x14ac:dyDescent="0.25">
      <c r="A168" s="190" t="s">
        <v>246</v>
      </c>
      <c r="B168" s="108" t="s">
        <v>18</v>
      </c>
      <c r="C168" s="192" t="s">
        <v>296</v>
      </c>
      <c r="D168" s="181">
        <f t="shared" si="13"/>
        <v>23257.360971055088</v>
      </c>
      <c r="E168" s="111">
        <f>+VLOOKUP(C168, 'INPUT NFI'!$C$3:$K$282, 4, FALSE) * D168 / L168</f>
        <v>22856.371988795519</v>
      </c>
      <c r="F168" s="111">
        <f>+VLOOKUP(C168, 'INPUT NFI'!$C$3:$K$282, 5, FALSE) * D168 / L168</f>
        <v>400.98898225957043</v>
      </c>
      <c r="G168" s="111">
        <f t="shared" si="14"/>
        <v>2382663.110587216</v>
      </c>
      <c r="H168" s="111">
        <f>+VLOOKUP(C168, 'INPUT NFI'!$C$3:$K$282, 7, FALSE) * G168 / M168</f>
        <v>2379720.2611936154</v>
      </c>
      <c r="I168" s="111">
        <f>+VLOOKUP(C168, 'INPUT NFI'!C168:K447, 8, FALSE) * G168 / M168</f>
        <v>2942.8493936006457</v>
      </c>
      <c r="J168" s="213">
        <f t="shared" si="15"/>
        <v>102.44769875449565</v>
      </c>
      <c r="K168" s="10"/>
      <c r="L168" s="183">
        <f>+VLOOKUP(C168, 'INPUT NFI'!$C$3:$K$282, 3, FALSE)</f>
        <v>23200</v>
      </c>
      <c r="M168" s="184">
        <f>+VLOOKUP(C168, 'INPUT NFI'!$C$3:$K$282, 6, FALSE)</f>
        <v>2237858.6046516397</v>
      </c>
      <c r="N168" s="201">
        <f>+VLOOKUP(B168, 'AREA CorrFactor'!$B$3:$J$40, 9, FALSE)</f>
        <v>2.4724556489262371E-3</v>
      </c>
      <c r="O168" s="202">
        <f>+IF(N168&gt;0, VLOOKUP(C168, 'INPUT CBM'!$N$3:$P$282, 3, FALSE), M168/L168)</f>
        <v>43.967812201848481</v>
      </c>
      <c r="P168" s="200">
        <f>+VLOOKUP(B168, 'INPUT CBM'!$B$3:$K$29, 10, FALSE)</f>
        <v>6.3579740577335994E-2</v>
      </c>
      <c r="Q168" s="183">
        <f t="shared" si="16"/>
        <v>142282.46953251035</v>
      </c>
      <c r="R168" s="78">
        <f t="shared" si="17"/>
        <v>57.360971055088697</v>
      </c>
      <c r="S168" s="184">
        <f t="shared" si="18"/>
        <v>2522.0364030658066</v>
      </c>
      <c r="T168" s="14"/>
      <c r="U168" s="6"/>
      <c r="V168" s="6"/>
      <c r="W168" s="6"/>
    </row>
    <row r="169" spans="1:23" x14ac:dyDescent="0.25">
      <c r="A169" s="190" t="s">
        <v>246</v>
      </c>
      <c r="B169" s="108" t="s">
        <v>18</v>
      </c>
      <c r="C169" s="192" t="s">
        <v>297</v>
      </c>
      <c r="D169" s="181">
        <f t="shared" si="13"/>
        <v>31678.129598506068</v>
      </c>
      <c r="E169" s="111">
        <f>+VLOOKUP(C169, 'INPUT NFI'!$C$3:$K$282, 4, FALSE) * D169 / L169</f>
        <v>31678.129598506068</v>
      </c>
      <c r="F169" s="111">
        <f>+VLOOKUP(C169, 'INPUT NFI'!$C$3:$K$282, 5, FALSE) * D169 / L169</f>
        <v>0</v>
      </c>
      <c r="G169" s="111">
        <f t="shared" si="14"/>
        <v>2704153.774898483</v>
      </c>
      <c r="H169" s="111">
        <f>+VLOOKUP(C169, 'INPUT NFI'!$C$3:$K$282, 7, FALSE) * G169 / M169</f>
        <v>2704153.774898483</v>
      </c>
      <c r="I169" s="111">
        <f>+VLOOKUP(C169, 'INPUT NFI'!C169:K448, 8, FALSE) * G169 / M169</f>
        <v>0</v>
      </c>
      <c r="J169" s="213">
        <f t="shared" si="15"/>
        <v>85.363429254548223</v>
      </c>
      <c r="K169" s="10"/>
      <c r="L169" s="183">
        <f>+VLOOKUP(C169, 'INPUT NFI'!$C$3:$K$282, 3, FALSE)</f>
        <v>31600</v>
      </c>
      <c r="M169" s="184">
        <f>+VLOOKUP(C169, 'INPUT NFI'!$C$3:$K$282, 6, FALSE)</f>
        <v>2539272.3125</v>
      </c>
      <c r="N169" s="201">
        <f>+VLOOKUP(B169, 'AREA CorrFactor'!$B$3:$J$40, 9, FALSE)</f>
        <v>2.4724556489262371E-3</v>
      </c>
      <c r="O169" s="202">
        <f>+IF(N169&gt;0, VLOOKUP(C169, 'INPUT CBM'!$N$3:$P$282, 3, FALSE), M169/L169)</f>
        <v>43.967812201848481</v>
      </c>
      <c r="P169" s="200">
        <f>+VLOOKUP(B169, 'INPUT CBM'!$B$3:$K$29, 10, FALSE)</f>
        <v>6.3579740577335994E-2</v>
      </c>
      <c r="Q169" s="183">
        <f t="shared" si="16"/>
        <v>161446.27488396206</v>
      </c>
      <c r="R169" s="78">
        <f t="shared" si="17"/>
        <v>78.129598506069087</v>
      </c>
      <c r="S169" s="184">
        <f t="shared" si="18"/>
        <v>3435.1875145206673</v>
      </c>
      <c r="T169" s="14"/>
      <c r="U169" s="6"/>
      <c r="V169" s="6"/>
      <c r="W169" s="6"/>
    </row>
    <row r="170" spans="1:23" x14ac:dyDescent="0.25">
      <c r="A170" s="107" t="s">
        <v>139</v>
      </c>
      <c r="B170" s="108" t="s">
        <v>19</v>
      </c>
      <c r="C170" s="187" t="s">
        <v>278</v>
      </c>
      <c r="D170" s="181">
        <f>+L170+R170</f>
        <v>361571.06643356645</v>
      </c>
      <c r="E170" s="111">
        <f>+VLOOKUP(C170, 'INPUT NFI'!$C$3:$K$282, 4, FALSE) * 'INPUT SoEF'!L23/'INPUT NFI'!S15</f>
        <v>283145.36673010507</v>
      </c>
      <c r="F170" s="111">
        <f>+D170-E170</f>
        <v>78425.699703461374</v>
      </c>
      <c r="G170" s="111">
        <f>+M170+Q170+S170</f>
        <v>41662940.329138607</v>
      </c>
      <c r="H170" s="111">
        <f>+G170 * 78143546 / 99927526</f>
        <v>32580511.340842143</v>
      </c>
      <c r="I170" s="111">
        <f>+G170-H170</f>
        <v>9082428.9882964641</v>
      </c>
      <c r="J170" s="213">
        <f t="shared" si="15"/>
        <v>115.22752840842584</v>
      </c>
      <c r="K170" s="4"/>
      <c r="L170" s="183">
        <f>+VLOOKUP(C170, 'INPUT NFI'!$C$3:$K$282, 3, FALSE)</f>
        <v>322650</v>
      </c>
      <c r="M170" s="184">
        <f>+VLOOKUP(C170, 'INPUT NFI'!$C$3:$K$282, 6, FALSE)</f>
        <v>28842324.038899999</v>
      </c>
      <c r="N170" s="201">
        <f>+VLOOKUP(B170, 'AREA CorrFactor'!$B$3:$J$40, 9, FALSE)</f>
        <v>0.12062937062937062</v>
      </c>
      <c r="O170" s="202">
        <f>+IF(N170&gt;0, VLOOKUP(C170, 'INPUT CBM'!$N$3:$P$282, 3, FALSE), M170/L170)</f>
        <v>34.809975334589531</v>
      </c>
      <c r="P170" s="200">
        <f>+VLOOKUP(B170, 'INPUT CBM'!$B$3:$K$29, 10, FALSE)</f>
        <v>0.39753297661541448</v>
      </c>
      <c r="Q170" s="183">
        <f>+M170*P170</f>
        <v>11465774.92769024</v>
      </c>
      <c r="R170" s="78">
        <f>+L170*N170</f>
        <v>38921.066433566433</v>
      </c>
      <c r="S170" s="184">
        <f>+R170*O170</f>
        <v>1354841.3625483681</v>
      </c>
      <c r="T170" s="14"/>
      <c r="U170" s="6"/>
      <c r="V170" s="6"/>
      <c r="W170" s="6"/>
    </row>
    <row r="171" spans="1:23" x14ac:dyDescent="0.25">
      <c r="A171" s="107" t="s">
        <v>139</v>
      </c>
      <c r="B171" s="108" t="s">
        <v>19</v>
      </c>
      <c r="C171" s="187" t="s">
        <v>279</v>
      </c>
      <c r="D171" s="181">
        <f t="shared" si="13"/>
        <v>420448.93356643355</v>
      </c>
      <c r="E171" s="111">
        <f>+VLOOKUP(C171, 'INPUT NFI'!$C$3:$K$282, 4, FALSE) * 'INPUT SoEF'!L23/'INPUT NFI'!S15</f>
        <v>324274.63326989493</v>
      </c>
      <c r="F171" s="111">
        <f>+D171-E171</f>
        <v>96174.300296538626</v>
      </c>
      <c r="G171" s="111">
        <f t="shared" si="14"/>
        <v>50090684.204866186</v>
      </c>
      <c r="H171" s="111">
        <f>+G171 * 78143546 / 99927526</f>
        <v>39171025.662482969</v>
      </c>
      <c r="I171" s="111">
        <f>+G171-H171</f>
        <v>10919658.542383216</v>
      </c>
      <c r="J171" s="213">
        <f t="shared" si="15"/>
        <v>119.13619040480107</v>
      </c>
      <c r="K171" s="4"/>
      <c r="L171" s="183">
        <f>+VLOOKUP(C171, 'INPUT NFI'!$C$3:$K$282, 3, FALSE)</f>
        <v>375190</v>
      </c>
      <c r="M171" s="184">
        <f>+VLOOKUP(C171, 'INPUT NFI'!$C$3:$K$282, 6, FALSE)</f>
        <v>34796414.428400002</v>
      </c>
      <c r="N171" s="201">
        <f>+VLOOKUP(B171, 'AREA CorrFactor'!$B$3:$J$40, 9, FALSE)</f>
        <v>0.12062937062937062</v>
      </c>
      <c r="O171" s="202">
        <f>+IF(N171&gt;0, VLOOKUP(C171, 'INPUT CBM'!$N$3:$P$282, 3, FALSE), M171/L171)</f>
        <v>32.293018372945888</v>
      </c>
      <c r="P171" s="200">
        <f>+VLOOKUP(B171, 'INPUT CBM'!$B$3:$K$29, 10, FALSE)</f>
        <v>0.39753297661541448</v>
      </c>
      <c r="Q171" s="183">
        <f t="shared" si="16"/>
        <v>13832722.20326541</v>
      </c>
      <c r="R171" s="78">
        <f t="shared" si="17"/>
        <v>45258.933566433567</v>
      </c>
      <c r="S171" s="184">
        <f t="shared" si="18"/>
        <v>1461547.5732007765</v>
      </c>
      <c r="T171" s="14"/>
      <c r="U171" s="6"/>
      <c r="V171" s="6"/>
      <c r="W171" s="6"/>
    </row>
    <row r="172" spans="1:23" x14ac:dyDescent="0.25">
      <c r="A172" s="107" t="s">
        <v>140</v>
      </c>
      <c r="B172" s="108" t="s">
        <v>20</v>
      </c>
      <c r="C172" s="187" t="s">
        <v>482</v>
      </c>
      <c r="D172" s="181">
        <f t="shared" si="13"/>
        <v>42372.838070166501</v>
      </c>
      <c r="E172" s="111">
        <f>+VLOOKUP(C172, 'INPUT NFI'!$C$3:$K$282, 4, FALSE) * D172 / L172</f>
        <v>27458.910992253241</v>
      </c>
      <c r="F172" s="111">
        <f>+VLOOKUP(C172, 'INPUT NFI'!$C$3:$K$282, 5, FALSE) * D172 / L172</f>
        <v>14913.927077913257</v>
      </c>
      <c r="G172" s="111">
        <f t="shared" si="14"/>
        <v>885746.01660605567</v>
      </c>
      <c r="H172" s="111">
        <f>+VLOOKUP(C172, 'INPUT NFI'!$C$3:$K$282, 7, FALSE) * G172 / M172</f>
        <v>556508.05936609651</v>
      </c>
      <c r="I172" s="111">
        <f>+VLOOKUP(C172, 'INPUT NFI'!C172:K451, 8, FALSE) * G172 / M172</f>
        <v>329237.95723995916</v>
      </c>
      <c r="J172" s="213">
        <f t="shared" si="15"/>
        <v>20.903627345879482</v>
      </c>
      <c r="K172" s="4"/>
      <c r="L172" s="183">
        <f>+VLOOKUP(C172, 'INPUT NFI'!$C$3:$K$282, 3, FALSE)</f>
        <v>35692.838070166501</v>
      </c>
      <c r="M172" s="184">
        <f>+VLOOKUP(C172, 'INPUT NFI'!$C$3:$K$282, 6, FALSE)</f>
        <v>538455.75694600004</v>
      </c>
      <c r="N172" s="201">
        <f>+VLOOKUP(B172, 'AREA CorrFactor'!$B$3:$J$40, 9, FALSE)</f>
        <v>0.18715239138081907</v>
      </c>
      <c r="O172" s="202">
        <f>+IF(N172&gt;0, VLOOKUP(C172, 'INPUT CBM'!$N$3:$P$282, 3, FALSE), M172/L172)</f>
        <v>10.60991223300169</v>
      </c>
      <c r="P172" s="200">
        <f>+VLOOKUP(B172, 'INPUT CBM'!$B$3:$K$29, 10, FALSE)</f>
        <v>0.51334959720994355</v>
      </c>
      <c r="Q172" s="183">
        <f t="shared" si="16"/>
        <v>276416.04594360437</v>
      </c>
      <c r="R172" s="78">
        <f t="shared" si="17"/>
        <v>6680</v>
      </c>
      <c r="S172" s="184">
        <f t="shared" si="18"/>
        <v>70874.213716451297</v>
      </c>
      <c r="T172" s="14"/>
      <c r="U172" s="6"/>
      <c r="V172" s="6"/>
      <c r="W172" s="6"/>
    </row>
    <row r="173" spans="1:23" x14ac:dyDescent="0.25">
      <c r="A173" s="107" t="s">
        <v>141</v>
      </c>
      <c r="B173" s="108" t="s">
        <v>21</v>
      </c>
      <c r="C173" s="187" t="s">
        <v>224</v>
      </c>
      <c r="D173" s="181">
        <f t="shared" si="13"/>
        <v>950796.30570160283</v>
      </c>
      <c r="E173" s="111" t="e">
        <f>+VLOOKUP(C173, 'INPUT NFI'!$C$3:$K$282, 4, FALSE) * D173 / L173</f>
        <v>#N/A</v>
      </c>
      <c r="F173" s="111" t="e">
        <f>+VLOOKUP(C173, 'INPUT NFI'!$C$3:$K$282, 5, FALSE) * D173 / L173</f>
        <v>#N/A</v>
      </c>
      <c r="G173" s="111">
        <f t="shared" si="14"/>
        <v>101831103.48615913</v>
      </c>
      <c r="H173" s="111" t="e">
        <f>+VLOOKUP(C173, 'INPUT NFI'!$C$3:$K$282, 7, FALSE) * G173 / M173</f>
        <v>#N/A</v>
      </c>
      <c r="I173" s="111" t="e">
        <f>+VLOOKUP(C173, 'INPUT NFI'!C173:K452, 8, FALSE) * G173 / M173</f>
        <v>#N/A</v>
      </c>
      <c r="J173" s="213">
        <f t="shared" si="15"/>
        <v>107.10086153628549</v>
      </c>
      <c r="K173" s="4"/>
      <c r="L173" s="183">
        <f>+VLOOKUP(C173, 'INPUT NFI'!$C$3:$K$282, 3, FALSE)</f>
        <v>870594</v>
      </c>
      <c r="M173" s="184">
        <f>+VLOOKUP(C173, 'INPUT NFI'!$C$3:$K$282, 6, FALSE)</f>
        <v>88038276.3803</v>
      </c>
      <c r="N173" s="201">
        <f>+VLOOKUP(B173, 'AREA CorrFactor'!$B$3:$J$40, 9, FALSE)</f>
        <v>9.2123660054632572E-2</v>
      </c>
      <c r="O173" s="202">
        <f>+IF(N173&gt;0, VLOOKUP(C173, 'INPUT CBM'!$N$3:$P$282, 3, FALSE), M173/L173)</f>
        <v>35.949811390305292</v>
      </c>
      <c r="P173" s="200">
        <f>+VLOOKUP(B173, 'INPUT CBM'!$B$3:$K$29, 10, FALSE)</f>
        <v>0.12391847945423988</v>
      </c>
      <c r="Q173" s="183">
        <f t="shared" si="16"/>
        <v>10909569.342818897</v>
      </c>
      <c r="R173" s="78">
        <f t="shared" si="17"/>
        <v>80202.305701602789</v>
      </c>
      <c r="S173" s="184">
        <f t="shared" si="18"/>
        <v>2883257.7630402269</v>
      </c>
      <c r="T173" s="14"/>
      <c r="U173" s="6"/>
      <c r="V173" s="6"/>
      <c r="W173" s="6"/>
    </row>
    <row r="174" spans="1:23" x14ac:dyDescent="0.25">
      <c r="A174" s="107" t="s">
        <v>141</v>
      </c>
      <c r="B174" s="108" t="s">
        <v>21</v>
      </c>
      <c r="C174" s="187" t="s">
        <v>225</v>
      </c>
      <c r="D174" s="181">
        <f t="shared" si="13"/>
        <v>107507.67018448398</v>
      </c>
      <c r="E174" s="111" t="e">
        <f>+VLOOKUP(C174, 'INPUT NFI'!$C$3:$K$282, 4, FALSE) * D174 / L174</f>
        <v>#N/A</v>
      </c>
      <c r="F174" s="111" t="e">
        <f>+VLOOKUP(C174, 'INPUT NFI'!$C$3:$K$282, 5, FALSE) * D174 / L174</f>
        <v>#N/A</v>
      </c>
      <c r="G174" s="111">
        <f t="shared" si="14"/>
        <v>9903174.2839742769</v>
      </c>
      <c r="H174" s="111" t="e">
        <f>+VLOOKUP(C174, 'INPUT NFI'!$C$3:$K$282, 7, FALSE) * G174 / M174</f>
        <v>#N/A</v>
      </c>
      <c r="I174" s="111" t="e">
        <f>+VLOOKUP(C174, 'INPUT NFI'!C174:K453, 8, FALSE) * G174 / M174</f>
        <v>#N/A</v>
      </c>
      <c r="J174" s="213">
        <f t="shared" si="15"/>
        <v>92.115978952760798</v>
      </c>
      <c r="K174" s="4"/>
      <c r="L174" s="183">
        <f>+VLOOKUP(C174, 'INPUT NFI'!$C$3:$K$282, 3, FALSE)</f>
        <v>98439.1</v>
      </c>
      <c r="M174" s="184">
        <f>+VLOOKUP(C174, 'INPUT NFI'!$C$3:$K$282, 6, FALSE)</f>
        <v>8681069.0111200009</v>
      </c>
      <c r="N174" s="201">
        <f>+VLOOKUP(B174, 'AREA CorrFactor'!$B$3:$J$40, 9, FALSE)</f>
        <v>9.2123660054632572E-2</v>
      </c>
      <c r="O174" s="202">
        <f>+IF(N174&gt;0, VLOOKUP(C174, 'INPUT CBM'!$N$3:$P$282, 3, FALSE), M174/L174)</f>
        <v>16.13930288695159</v>
      </c>
      <c r="P174" s="200">
        <f>+VLOOKUP(B174, 'INPUT CBM'!$B$3:$K$29, 10, FALSE)</f>
        <v>0.12391847945423988</v>
      </c>
      <c r="Q174" s="183">
        <f t="shared" si="16"/>
        <v>1075744.8718953123</v>
      </c>
      <c r="R174" s="78">
        <f t="shared" si="17"/>
        <v>9068.5701844839823</v>
      </c>
      <c r="S174" s="184">
        <f t="shared" si="18"/>
        <v>146360.40095896545</v>
      </c>
      <c r="T174" s="14"/>
      <c r="U174" s="6"/>
      <c r="V174" s="6"/>
      <c r="W174" s="6"/>
    </row>
    <row r="175" spans="1:23" x14ac:dyDescent="0.25">
      <c r="A175" s="107" t="s">
        <v>141</v>
      </c>
      <c r="B175" s="108" t="s">
        <v>21</v>
      </c>
      <c r="C175" s="187" t="s">
        <v>226</v>
      </c>
      <c r="D175" s="181">
        <f t="shared" si="13"/>
        <v>370346.34114068223</v>
      </c>
      <c r="E175" s="111" t="e">
        <f>+VLOOKUP(C175, 'INPUT NFI'!$C$3:$K$282, 4, FALSE) * D175 / L175</f>
        <v>#N/A</v>
      </c>
      <c r="F175" s="111" t="e">
        <f>+VLOOKUP(C175, 'INPUT NFI'!$C$3:$K$282, 5, FALSE) * D175 / L175</f>
        <v>#N/A</v>
      </c>
      <c r="G175" s="111">
        <f t="shared" si="14"/>
        <v>40597802.758919954</v>
      </c>
      <c r="H175" s="111" t="e">
        <f>+VLOOKUP(C175, 'INPUT NFI'!$C$3:$K$282, 7, FALSE) * G175 / M175</f>
        <v>#N/A</v>
      </c>
      <c r="I175" s="111" t="e">
        <f>+VLOOKUP(C175, 'INPUT NFI'!C175:K454, 8, FALSE) * G175 / M175</f>
        <v>#N/A</v>
      </c>
      <c r="J175" s="213">
        <f t="shared" si="15"/>
        <v>109.62117955283971</v>
      </c>
      <c r="K175" s="4"/>
      <c r="L175" s="183">
        <f>+VLOOKUP(C175, 'INPUT NFI'!$C$3:$K$282, 3, FALSE)</f>
        <v>339106.6</v>
      </c>
      <c r="M175" s="184">
        <f>+VLOOKUP(C175, 'INPUT NFI'!$C$3:$K$282, 6, FALSE)</f>
        <v>35221142.668899998</v>
      </c>
      <c r="N175" s="201">
        <f>+VLOOKUP(B175, 'AREA CorrFactor'!$B$3:$J$40, 9, FALSE)</f>
        <v>9.2123660054632572E-2</v>
      </c>
      <c r="O175" s="202">
        <f>+IF(N175&gt;0, VLOOKUP(C175, 'INPUT CBM'!$N$3:$P$282, 3, FALSE), M175/L175)</f>
        <v>32.398144443360579</v>
      </c>
      <c r="P175" s="200">
        <f>+VLOOKUP(B175, 'INPUT CBM'!$B$3:$K$29, 10, FALSE)</f>
        <v>0.12391847945423988</v>
      </c>
      <c r="Q175" s="183">
        <f t="shared" si="16"/>
        <v>4364550.444170936</v>
      </c>
      <c r="R175" s="78">
        <f t="shared" si="17"/>
        <v>31239.741140682265</v>
      </c>
      <c r="S175" s="184">
        <f t="shared" si="18"/>
        <v>1012109.645849018</v>
      </c>
      <c r="T175" s="14"/>
      <c r="U175" s="6"/>
      <c r="V175" s="6"/>
      <c r="W175" s="6"/>
    </row>
    <row r="176" spans="1:23" x14ac:dyDescent="0.25">
      <c r="A176" s="107" t="s">
        <v>141</v>
      </c>
      <c r="B176" s="108" t="s">
        <v>21</v>
      </c>
      <c r="C176" s="187" t="s">
        <v>227</v>
      </c>
      <c r="D176" s="181">
        <f t="shared" si="13"/>
        <v>661876.3019825418</v>
      </c>
      <c r="E176" s="111" t="e">
        <f>+VLOOKUP(C176, 'INPUT NFI'!$C$3:$K$282, 4, FALSE) * D176 / L176</f>
        <v>#N/A</v>
      </c>
      <c r="F176" s="111" t="e">
        <f>+VLOOKUP(C176, 'INPUT NFI'!$C$3:$K$282, 5, FALSE) * D176 / L176</f>
        <v>#N/A</v>
      </c>
      <c r="G176" s="111">
        <f t="shared" si="14"/>
        <v>79635272.681992874</v>
      </c>
      <c r="H176" s="111" t="e">
        <f>+VLOOKUP(C176, 'INPUT NFI'!$C$3:$K$282, 7, FALSE) * G176 / M176</f>
        <v>#N/A</v>
      </c>
      <c r="I176" s="111" t="e">
        <f>+VLOOKUP(C176, 'INPUT NFI'!C176:K455, 8, FALSE) * G176 / M176</f>
        <v>#N/A</v>
      </c>
      <c r="J176" s="213">
        <f t="shared" si="15"/>
        <v>120.31745575941983</v>
      </c>
      <c r="K176" s="4"/>
      <c r="L176" s="183">
        <f>+VLOOKUP(C176, 'INPUT NFI'!$C$3:$K$282, 3, FALSE)</f>
        <v>606045.19999999995</v>
      </c>
      <c r="M176" s="184">
        <f>+VLOOKUP(C176, 'INPUT NFI'!$C$3:$K$282, 6, FALSE)</f>
        <v>68964140.673199996</v>
      </c>
      <c r="N176" s="201">
        <f>+VLOOKUP(B176, 'AREA CorrFactor'!$B$3:$J$40, 9, FALSE)</f>
        <v>9.2123660054632572E-2</v>
      </c>
      <c r="O176" s="202">
        <f>+IF(N176&gt;0, VLOOKUP(C176, 'INPUT CBM'!$N$3:$P$282, 3, FALSE), M176/L176)</f>
        <v>38.064814847576912</v>
      </c>
      <c r="P176" s="200">
        <f>+VLOOKUP(B176, 'INPUT CBM'!$B$3:$K$29, 10, FALSE)</f>
        <v>0.12391847945423988</v>
      </c>
      <c r="Q176" s="183">
        <f t="shared" si="16"/>
        <v>8545931.4490912426</v>
      </c>
      <c r="R176" s="78">
        <f t="shared" si="17"/>
        <v>55831.101982541804</v>
      </c>
      <c r="S176" s="184">
        <f t="shared" si="18"/>
        <v>2125200.5597016378</v>
      </c>
      <c r="T176" s="14"/>
      <c r="U176" s="6"/>
      <c r="V176" s="6"/>
      <c r="W176" s="6"/>
    </row>
    <row r="177" spans="1:23" x14ac:dyDescent="0.25">
      <c r="A177" s="107" t="s">
        <v>141</v>
      </c>
      <c r="B177" s="108" t="s">
        <v>21</v>
      </c>
      <c r="C177" s="187" t="s">
        <v>228</v>
      </c>
      <c r="D177" s="181">
        <f t="shared" si="13"/>
        <v>427557.12986027822</v>
      </c>
      <c r="E177" s="111" t="e">
        <f>+VLOOKUP(C177, 'INPUT NFI'!$C$3:$K$282, 4, FALSE) * D177 / L177</f>
        <v>#N/A</v>
      </c>
      <c r="F177" s="111" t="e">
        <f>+VLOOKUP(C177, 'INPUT NFI'!$C$3:$K$282, 5, FALSE) * D177 / L177</f>
        <v>#N/A</v>
      </c>
      <c r="G177" s="111">
        <f t="shared" si="14"/>
        <v>46999591.385813572</v>
      </c>
      <c r="H177" s="111" t="e">
        <f>+VLOOKUP(C177, 'INPUT NFI'!$C$3:$K$282, 7, FALSE) * G177 / M177</f>
        <v>#N/A</v>
      </c>
      <c r="I177" s="111" t="e">
        <f>+VLOOKUP(C177, 'INPUT NFI'!C177:K456, 8, FALSE) * G177 / M177</f>
        <v>#N/A</v>
      </c>
      <c r="J177" s="213">
        <f t="shared" si="15"/>
        <v>109.92587447009154</v>
      </c>
      <c r="K177" s="4"/>
      <c r="L177" s="183">
        <f>+VLOOKUP(C177, 'INPUT NFI'!$C$3:$K$282, 3, FALSE)</f>
        <v>391491.5</v>
      </c>
      <c r="M177" s="184">
        <f>+VLOOKUP(C177, 'INPUT NFI'!$C$3:$K$282, 6, FALSE)</f>
        <v>41244843.303400002</v>
      </c>
      <c r="N177" s="201">
        <f>+VLOOKUP(B177, 'AREA CorrFactor'!$B$3:$J$40, 9, FALSE)</f>
        <v>9.2123660054632572E-2</v>
      </c>
      <c r="O177" s="202">
        <f>+IF(N177&gt;0, VLOOKUP(C177, 'INPUT CBM'!$N$3:$P$282, 3, FALSE), M177/L177)</f>
        <v>17.849398926950791</v>
      </c>
      <c r="P177" s="200">
        <f>+VLOOKUP(B177, 'INPUT CBM'!$B$3:$K$29, 10, FALSE)</f>
        <v>0.12391847945423988</v>
      </c>
      <c r="Q177" s="183">
        <f t="shared" si="16"/>
        <v>5110998.2674857164</v>
      </c>
      <c r="R177" s="78">
        <f t="shared" si="17"/>
        <v>36065.62986027819</v>
      </c>
      <c r="S177" s="184">
        <f t="shared" si="18"/>
        <v>643749.81492785388</v>
      </c>
      <c r="T177" s="14"/>
      <c r="U177" s="6"/>
      <c r="V177" s="6"/>
      <c r="W177" s="6"/>
    </row>
    <row r="178" spans="1:23" x14ac:dyDescent="0.25">
      <c r="A178" s="107" t="s">
        <v>141</v>
      </c>
      <c r="B178" s="108" t="s">
        <v>21</v>
      </c>
      <c r="C178" s="187" t="s">
        <v>229</v>
      </c>
      <c r="D178" s="181">
        <f t="shared" si="13"/>
        <v>144774.20583652821</v>
      </c>
      <c r="E178" s="111" t="e">
        <f>+VLOOKUP(C178, 'INPUT NFI'!$C$3:$K$282, 4, FALSE) * D178 / L178</f>
        <v>#N/A</v>
      </c>
      <c r="F178" s="111" t="e">
        <f>+VLOOKUP(C178, 'INPUT NFI'!$C$3:$K$282, 5, FALSE) * D178 / L178</f>
        <v>#N/A</v>
      </c>
      <c r="G178" s="111">
        <f t="shared" si="14"/>
        <v>14259987.485940408</v>
      </c>
      <c r="H178" s="111" t="e">
        <f>+VLOOKUP(C178, 'INPUT NFI'!$C$3:$K$282, 7, FALSE) * G178 / M178</f>
        <v>#N/A</v>
      </c>
      <c r="I178" s="111" t="e">
        <f>+VLOOKUP(C178, 'INPUT NFI'!C178:K457, 8, FALSE) * G178 / M178</f>
        <v>#N/A</v>
      </c>
      <c r="J178" s="213">
        <f t="shared" si="15"/>
        <v>98.498122670015348</v>
      </c>
      <c r="K178" s="4"/>
      <c r="L178" s="183">
        <f>+VLOOKUP(C178, 'INPUT NFI'!$C$3:$K$282, 3, FALSE)</f>
        <v>132562.1</v>
      </c>
      <c r="M178" s="184">
        <f>+VLOOKUP(C178, 'INPUT NFI'!$C$3:$K$282, 6, FALSE)</f>
        <v>12514492.467399999</v>
      </c>
      <c r="N178" s="201">
        <f>+VLOOKUP(B178, 'AREA CorrFactor'!$B$3:$J$40, 9, FALSE)</f>
        <v>9.2123660054632572E-2</v>
      </c>
      <c r="O178" s="202">
        <f>+IF(N178&gt;0, VLOOKUP(C178, 'INPUT CBM'!$N$3:$P$282, 3, FALSE), M178/L178)</f>
        <v>15.94468173181329</v>
      </c>
      <c r="P178" s="200">
        <f>+VLOOKUP(B178, 'INPUT CBM'!$B$3:$K$29, 10, FALSE)</f>
        <v>0.12391847945423988</v>
      </c>
      <c r="Q178" s="183">
        <f t="shared" si="16"/>
        <v>1550776.8777017465</v>
      </c>
      <c r="R178" s="78">
        <f t="shared" si="17"/>
        <v>12212.10583652821</v>
      </c>
      <c r="S178" s="184">
        <f t="shared" si="18"/>
        <v>194718.14083866181</v>
      </c>
      <c r="T178" s="14"/>
      <c r="U178" s="6"/>
      <c r="V178" s="6"/>
      <c r="W178" s="6"/>
    </row>
    <row r="179" spans="1:23" x14ac:dyDescent="0.25">
      <c r="A179" s="107" t="s">
        <v>141</v>
      </c>
      <c r="B179" s="108" t="s">
        <v>21</v>
      </c>
      <c r="C179" s="187" t="s">
        <v>230</v>
      </c>
      <c r="D179" s="181">
        <f t="shared" si="13"/>
        <v>419806.76509433449</v>
      </c>
      <c r="E179" s="111" t="e">
        <f>+VLOOKUP(C179, 'INPUT NFI'!$C$3:$K$282, 4, FALSE) * D179 / L179</f>
        <v>#N/A</v>
      </c>
      <c r="F179" s="111" t="e">
        <f>+VLOOKUP(C179, 'INPUT NFI'!$C$3:$K$282, 5, FALSE) * D179 / L179</f>
        <v>#N/A</v>
      </c>
      <c r="G179" s="111">
        <f t="shared" si="14"/>
        <v>41146190.403933495</v>
      </c>
      <c r="H179" s="111" t="e">
        <f>+VLOOKUP(C179, 'INPUT NFI'!$C$3:$K$282, 7, FALSE) * G179 / M179</f>
        <v>#N/A</v>
      </c>
      <c r="I179" s="111" t="e">
        <f>+VLOOKUP(C179, 'INPUT NFI'!C179:K458, 8, FALSE) * G179 / M179</f>
        <v>#N/A</v>
      </c>
      <c r="J179" s="213">
        <f t="shared" si="15"/>
        <v>98.01221377337157</v>
      </c>
      <c r="K179" s="4"/>
      <c r="L179" s="183">
        <f>+VLOOKUP(C179, 'INPUT NFI'!$C$3:$K$282, 3, FALSE)</f>
        <v>384394.9</v>
      </c>
      <c r="M179" s="184">
        <f>+VLOOKUP(C179, 'INPUT NFI'!$C$3:$K$282, 6, FALSE)</f>
        <v>35250816.028499998</v>
      </c>
      <c r="N179" s="201">
        <f>+VLOOKUP(B179, 'AREA CorrFactor'!$B$3:$J$40, 9, FALSE)</f>
        <v>9.2123660054632572E-2</v>
      </c>
      <c r="O179" s="202">
        <f>+IF(N179&gt;0, VLOOKUP(C179, 'INPUT CBM'!$N$3:$P$282, 3, FALSE), M179/L179)</f>
        <v>43.125287233316442</v>
      </c>
      <c r="P179" s="200">
        <f>+VLOOKUP(B179, 'INPUT CBM'!$B$3:$K$29, 10, FALSE)</f>
        <v>0.12391847945423988</v>
      </c>
      <c r="Q179" s="183">
        <f t="shared" si="16"/>
        <v>4368227.5217728671</v>
      </c>
      <c r="R179" s="78">
        <f t="shared" si="17"/>
        <v>35411.865094334484</v>
      </c>
      <c r="S179" s="184">
        <f t="shared" si="18"/>
        <v>1527146.853660627</v>
      </c>
      <c r="T179" s="14"/>
      <c r="U179" s="6"/>
      <c r="V179" s="6"/>
      <c r="W179" s="6"/>
    </row>
    <row r="180" spans="1:23" x14ac:dyDescent="0.25">
      <c r="A180" s="107" t="s">
        <v>141</v>
      </c>
      <c r="B180" s="108" t="s">
        <v>21</v>
      </c>
      <c r="C180" s="187" t="s">
        <v>231</v>
      </c>
      <c r="D180" s="181">
        <f t="shared" si="13"/>
        <v>159329.2654911743</v>
      </c>
      <c r="E180" s="111" t="e">
        <f>+VLOOKUP(C180, 'INPUT NFI'!$C$3:$K$282, 4, FALSE) * D180 / L180</f>
        <v>#N/A</v>
      </c>
      <c r="F180" s="111" t="e">
        <f>+VLOOKUP(C180, 'INPUT NFI'!$C$3:$K$282, 5, FALSE) * D180 / L180</f>
        <v>#N/A</v>
      </c>
      <c r="G180" s="111">
        <f t="shared" si="14"/>
        <v>11018196.766750565</v>
      </c>
      <c r="H180" s="111" t="e">
        <f>+VLOOKUP(C180, 'INPUT NFI'!$C$3:$K$282, 7, FALSE) * G180 / M180</f>
        <v>#N/A</v>
      </c>
      <c r="I180" s="111" t="e">
        <f>+VLOOKUP(C180, 'INPUT NFI'!C180:K459, 8, FALSE) * G180 / M180</f>
        <v>#N/A</v>
      </c>
      <c r="J180" s="213">
        <f t="shared" si="15"/>
        <v>69.153628071930669</v>
      </c>
      <c r="K180" s="4"/>
      <c r="L180" s="183">
        <f>+VLOOKUP(C180, 'INPUT NFI'!$C$3:$K$282, 3, FALSE)</f>
        <v>145889.4</v>
      </c>
      <c r="M180" s="184">
        <f>+VLOOKUP(C180, 'INPUT NFI'!$C$3:$K$282, 6, FALSE)</f>
        <v>9575520.9511799999</v>
      </c>
      <c r="N180" s="201">
        <f>+VLOOKUP(B180, 'AREA CorrFactor'!$B$3:$J$40, 9, FALSE)</f>
        <v>9.2123660054632572E-2</v>
      </c>
      <c r="O180" s="202">
        <f>+IF(N180&gt;0, VLOOKUP(C180, 'INPUT CBM'!$N$3:$P$282, 3, FALSE), M180/L180)</f>
        <v>19.054641542825969</v>
      </c>
      <c r="P180" s="200">
        <f>+VLOOKUP(B180, 'INPUT CBM'!$B$3:$K$29, 10, FALSE)</f>
        <v>0.12391847945423988</v>
      </c>
      <c r="Q180" s="183">
        <f t="shared" si="16"/>
        <v>1186583.9962524422</v>
      </c>
      <c r="R180" s="78">
        <f t="shared" si="17"/>
        <v>13439.865491174312</v>
      </c>
      <c r="S180" s="184">
        <f t="shared" si="18"/>
        <v>256091.81931812319</v>
      </c>
      <c r="T180" s="14"/>
      <c r="U180" s="6"/>
      <c r="V180" s="6"/>
      <c r="W180" s="6"/>
    </row>
    <row r="181" spans="1:23" x14ac:dyDescent="0.25">
      <c r="A181" s="107" t="s">
        <v>141</v>
      </c>
      <c r="B181" s="108" t="s">
        <v>21</v>
      </c>
      <c r="C181" s="187" t="s">
        <v>232</v>
      </c>
      <c r="D181" s="181">
        <f t="shared" si="13"/>
        <v>287335.2230759557</v>
      </c>
      <c r="E181" s="111" t="e">
        <f>+VLOOKUP(C181, 'INPUT NFI'!$C$3:$K$282, 4, FALSE) * D181 / L181</f>
        <v>#N/A</v>
      </c>
      <c r="F181" s="111" t="e">
        <f>+VLOOKUP(C181, 'INPUT NFI'!$C$3:$K$282, 5, FALSE) * D181 / L181</f>
        <v>#N/A</v>
      </c>
      <c r="G181" s="111">
        <f t="shared" si="14"/>
        <v>26776584.179192152</v>
      </c>
      <c r="H181" s="111" t="e">
        <f>+VLOOKUP(C181, 'INPUT NFI'!$C$3:$K$282, 7, FALSE) * G181 / M181</f>
        <v>#N/A</v>
      </c>
      <c r="I181" s="111" t="e">
        <f>+VLOOKUP(C181, 'INPUT NFI'!C181:K460, 8, FALSE) * G181 / M181</f>
        <v>#N/A</v>
      </c>
      <c r="J181" s="213">
        <f t="shared" si="15"/>
        <v>93.189355250448671</v>
      </c>
      <c r="K181" s="4"/>
      <c r="L181" s="183">
        <f>+VLOOKUP(C181, 'INPUT NFI'!$C$3:$K$282, 3, FALSE)</f>
        <v>263097.7</v>
      </c>
      <c r="M181" s="184">
        <f>+VLOOKUP(C181, 'INPUT NFI'!$C$3:$K$282, 6, FALSE)</f>
        <v>23225545.2874</v>
      </c>
      <c r="N181" s="201">
        <f>+VLOOKUP(B181, 'AREA CorrFactor'!$B$3:$J$40, 9, FALSE)</f>
        <v>9.2123660054632572E-2</v>
      </c>
      <c r="O181" s="202">
        <f>+IF(N181&gt;0, VLOOKUP(C181, 'INPUT CBM'!$N$3:$P$282, 3, FALSE), M181/L181)</f>
        <v>27.76540462377347</v>
      </c>
      <c r="P181" s="200">
        <f>+VLOOKUP(B181, 'INPUT CBM'!$B$3:$K$29, 10, FALSE)</f>
        <v>0.12391847945423988</v>
      </c>
      <c r="Q181" s="183">
        <f t="shared" si="16"/>
        <v>2878074.2565101949</v>
      </c>
      <c r="R181" s="78">
        <f t="shared" si="17"/>
        <v>24237.523075955705</v>
      </c>
      <c r="S181" s="184">
        <f t="shared" si="18"/>
        <v>672964.63528195675</v>
      </c>
      <c r="T181" s="14"/>
      <c r="U181" s="6"/>
      <c r="V181" s="6"/>
      <c r="W181" s="6"/>
    </row>
    <row r="182" spans="1:23" x14ac:dyDescent="0.25">
      <c r="A182" s="107" t="s">
        <v>141</v>
      </c>
      <c r="B182" s="108" t="s">
        <v>21</v>
      </c>
      <c r="C182" s="187" t="s">
        <v>233</v>
      </c>
      <c r="D182" s="181">
        <f t="shared" si="13"/>
        <v>511278.34672877227</v>
      </c>
      <c r="E182" s="111" t="e">
        <f>+VLOOKUP(C182, 'INPUT NFI'!$C$3:$K$282, 4, FALSE) * D182 / L182</f>
        <v>#N/A</v>
      </c>
      <c r="F182" s="111" t="e">
        <f>+VLOOKUP(C182, 'INPUT NFI'!$C$3:$K$282, 5, FALSE) * D182 / L182</f>
        <v>#N/A</v>
      </c>
      <c r="G182" s="111">
        <f t="shared" si="14"/>
        <v>68048353.545397863</v>
      </c>
      <c r="H182" s="111" t="e">
        <f>+VLOOKUP(C182, 'INPUT NFI'!$C$3:$K$282, 7, FALSE) * G182 / M182</f>
        <v>#N/A</v>
      </c>
      <c r="I182" s="111" t="e">
        <f>+VLOOKUP(C182, 'INPUT NFI'!C182:K461, 8, FALSE) * G182 / M182</f>
        <v>#N/A</v>
      </c>
      <c r="J182" s="213">
        <f t="shared" si="15"/>
        <v>133.0945344757516</v>
      </c>
      <c r="K182" s="4"/>
      <c r="L182" s="183">
        <f>+VLOOKUP(C182, 'INPUT NFI'!$C$3:$K$282, 3, FALSE)</f>
        <v>468150.6</v>
      </c>
      <c r="M182" s="184">
        <f>+VLOOKUP(C182, 'INPUT NFI'!$C$3:$K$282, 6, FALSE)</f>
        <v>59593852.378799997</v>
      </c>
      <c r="N182" s="201">
        <f>+VLOOKUP(B182, 'AREA CorrFactor'!$B$3:$J$40, 9, FALSE)</f>
        <v>9.2123660054632572E-2</v>
      </c>
      <c r="O182" s="202">
        <f>+IF(N182&gt;0, VLOOKUP(C182, 'INPUT CBM'!$N$3:$P$282, 3, FALSE), M182/L182)</f>
        <v>24.803558639962009</v>
      </c>
      <c r="P182" s="200">
        <f>+VLOOKUP(B182, 'INPUT CBM'!$B$3:$K$29, 10, FALSE)</f>
        <v>0.12391847945423988</v>
      </c>
      <c r="Q182" s="183">
        <f t="shared" si="16"/>
        <v>7384779.5716013322</v>
      </c>
      <c r="R182" s="78">
        <f t="shared" si="17"/>
        <v>43127.746728772268</v>
      </c>
      <c r="S182" s="184">
        <f t="shared" si="18"/>
        <v>1069721.5949965327</v>
      </c>
      <c r="T182" s="14"/>
      <c r="U182" s="6"/>
      <c r="V182" s="6"/>
      <c r="W182" s="6"/>
    </row>
    <row r="183" spans="1:23" x14ac:dyDescent="0.25">
      <c r="A183" s="107" t="s">
        <v>141</v>
      </c>
      <c r="B183" s="108" t="s">
        <v>21</v>
      </c>
      <c r="C183" s="187" t="s">
        <v>234</v>
      </c>
      <c r="D183" s="181">
        <f t="shared" si="13"/>
        <v>279914.89808008051</v>
      </c>
      <c r="E183" s="111" t="e">
        <f>+VLOOKUP(C183, 'INPUT NFI'!$C$3:$K$282, 4, FALSE) * D183 / L183</f>
        <v>#N/A</v>
      </c>
      <c r="F183" s="111" t="e">
        <f>+VLOOKUP(C183, 'INPUT NFI'!$C$3:$K$282, 5, FALSE) * D183 / L183</f>
        <v>#N/A</v>
      </c>
      <c r="G183" s="111">
        <f t="shared" si="14"/>
        <v>19448122.085948247</v>
      </c>
      <c r="H183" s="111" t="e">
        <f>+VLOOKUP(C183, 'INPUT NFI'!$C$3:$K$282, 7, FALSE) * G183 / M183</f>
        <v>#N/A</v>
      </c>
      <c r="I183" s="111" t="e">
        <f>+VLOOKUP(C183, 'INPUT NFI'!C183:K462, 8, FALSE) * G183 / M183</f>
        <v>#N/A</v>
      </c>
      <c r="J183" s="213">
        <f t="shared" si="15"/>
        <v>69.4786959155863</v>
      </c>
      <c r="K183" s="4"/>
      <c r="L183" s="183">
        <f>+VLOOKUP(C183, 'INPUT NFI'!$C$3:$K$282, 3, FALSE)</f>
        <v>256303.3</v>
      </c>
      <c r="M183" s="184">
        <f>+VLOOKUP(C183, 'INPUT NFI'!$C$3:$K$282, 6, FALSE)</f>
        <v>16906669.9454</v>
      </c>
      <c r="N183" s="201">
        <f>+VLOOKUP(B183, 'AREA CorrFactor'!$B$3:$J$40, 9, FALSE)</f>
        <v>9.2123660054632572E-2</v>
      </c>
      <c r="O183" s="202">
        <f>+IF(N183&gt;0, VLOOKUP(C183, 'INPUT CBM'!$N$3:$P$282, 3, FALSE), M183/L183)</f>
        <v>18.906103126335349</v>
      </c>
      <c r="P183" s="200">
        <f>+VLOOKUP(B183, 'INPUT CBM'!$B$3:$K$29, 10, FALSE)</f>
        <v>0.12391847945423988</v>
      </c>
      <c r="Q183" s="183">
        <f t="shared" si="16"/>
        <v>2095048.8322686646</v>
      </c>
      <c r="R183" s="78">
        <f t="shared" si="17"/>
        <v>23611.598080080508</v>
      </c>
      <c r="S183" s="184">
        <f t="shared" si="18"/>
        <v>446403.30827958381</v>
      </c>
      <c r="T183" s="14"/>
      <c r="U183" s="6"/>
      <c r="V183" s="6"/>
      <c r="W183" s="6"/>
    </row>
    <row r="184" spans="1:23" x14ac:dyDescent="0.25">
      <c r="A184" s="107" t="s">
        <v>141</v>
      </c>
      <c r="B184" s="108" t="s">
        <v>21</v>
      </c>
      <c r="C184" s="187" t="s">
        <v>235</v>
      </c>
      <c r="D184" s="181">
        <f t="shared" si="13"/>
        <v>637223.68539176253</v>
      </c>
      <c r="E184" s="111" t="e">
        <f>+VLOOKUP(C184, 'INPUT NFI'!$C$3:$K$282, 4, FALSE) * D184 / L184</f>
        <v>#N/A</v>
      </c>
      <c r="F184" s="111" t="e">
        <f>+VLOOKUP(C184, 'INPUT NFI'!$C$3:$K$282, 5, FALSE) * D184 / L184</f>
        <v>#N/A</v>
      </c>
      <c r="G184" s="111">
        <f t="shared" si="14"/>
        <v>34217004.91389975</v>
      </c>
      <c r="H184" s="111" t="e">
        <f>+VLOOKUP(C184, 'INPUT NFI'!$C$3:$K$282, 7, FALSE) * G184 / M184</f>
        <v>#N/A</v>
      </c>
      <c r="I184" s="111" t="e">
        <f>+VLOOKUP(C184, 'INPUT NFI'!C184:K463, 8, FALSE) * G184 / M184</f>
        <v>#N/A</v>
      </c>
      <c r="J184" s="213">
        <f t="shared" si="15"/>
        <v>53.69700734344687</v>
      </c>
      <c r="K184" s="4"/>
      <c r="L184" s="183">
        <f>+VLOOKUP(C184, 'INPUT NFI'!$C$3:$K$282, 3, FALSE)</f>
        <v>583472.1</v>
      </c>
      <c r="M184" s="184">
        <f>+VLOOKUP(C184, 'INPUT NFI'!$C$3:$K$282, 6, FALSE)</f>
        <v>29667974.734299999</v>
      </c>
      <c r="N184" s="201">
        <f>+VLOOKUP(B184, 'AREA CorrFactor'!$B$3:$J$40, 9, FALSE)</f>
        <v>9.2123660054632572E-2</v>
      </c>
      <c r="O184" s="202">
        <f>+IF(N184&gt;0, VLOOKUP(C184, 'INPUT CBM'!$N$3:$P$282, 3, FALSE), M184/L184)</f>
        <v>16.234309289270168</v>
      </c>
      <c r="P184" s="200">
        <f>+VLOOKUP(B184, 'INPUT CBM'!$B$3:$K$29, 10, FALSE)</f>
        <v>0.12391847945423988</v>
      </c>
      <c r="Q184" s="183">
        <f t="shared" si="16"/>
        <v>3676410.3175612623</v>
      </c>
      <c r="R184" s="78">
        <f t="shared" si="17"/>
        <v>53751.585391762579</v>
      </c>
      <c r="S184" s="184">
        <f t="shared" si="18"/>
        <v>872619.8620384899</v>
      </c>
      <c r="T184" s="14"/>
      <c r="U184" s="6"/>
      <c r="V184" s="6"/>
      <c r="W184" s="6"/>
    </row>
    <row r="185" spans="1:23" x14ac:dyDescent="0.25">
      <c r="A185" s="107" t="s">
        <v>141</v>
      </c>
      <c r="B185" s="108" t="s">
        <v>21</v>
      </c>
      <c r="C185" s="187" t="s">
        <v>253</v>
      </c>
      <c r="D185" s="181">
        <f t="shared" si="13"/>
        <v>367705.47691830416</v>
      </c>
      <c r="E185" s="111" t="e">
        <f>+VLOOKUP(C185, 'INPUT NFI'!$C$3:$K$282, 4, FALSE) * D185 / L185</f>
        <v>#N/A</v>
      </c>
      <c r="F185" s="111" t="e">
        <f>+VLOOKUP(C185, 'INPUT NFI'!$C$3:$K$282, 5, FALSE) * D185 / L185</f>
        <v>#N/A</v>
      </c>
      <c r="G185" s="111">
        <f t="shared" si="14"/>
        <v>63283474.180555806</v>
      </c>
      <c r="H185" s="111" t="e">
        <f>+VLOOKUP(C185, 'INPUT NFI'!$C$3:$K$282, 7, FALSE) * G185 / M185</f>
        <v>#N/A</v>
      </c>
      <c r="I185" s="111" t="e">
        <f>+VLOOKUP(C185, 'INPUT NFI'!C185:K464, 8, FALSE) * G185 / M185</f>
        <v>#N/A</v>
      </c>
      <c r="J185" s="213">
        <f t="shared" si="15"/>
        <v>172.10370297153872</v>
      </c>
      <c r="K185" s="4"/>
      <c r="L185" s="183">
        <f>+VLOOKUP(C185, 'INPUT NFI'!$C$3:$K$282, 3, FALSE)</f>
        <v>336688.5</v>
      </c>
      <c r="M185" s="184">
        <f>+VLOOKUP(C185, 'INPUT NFI'!$C$3:$K$282, 6, FALSE)</f>
        <v>55690002.480499998</v>
      </c>
      <c r="N185" s="201">
        <f>+VLOOKUP(B185, 'AREA CorrFactor'!$B$3:$J$40, 9, FALSE)</f>
        <v>9.2123660054632572E-2</v>
      </c>
      <c r="O185" s="202">
        <f>+IF(N185&gt;0, VLOOKUP(C185, 'INPUT CBM'!$N$3:$P$282, 3, FALSE), M185/L185)</f>
        <v>22.324911731186731</v>
      </c>
      <c r="P185" s="200">
        <f>+VLOOKUP(B185, 'INPUT CBM'!$B$3:$K$29, 10, FALSE)</f>
        <v>0.12391847945423988</v>
      </c>
      <c r="Q185" s="183">
        <f t="shared" si="16"/>
        <v>6901020.4281864073</v>
      </c>
      <c r="R185" s="78">
        <f t="shared" si="17"/>
        <v>31016.976918304157</v>
      </c>
      <c r="S185" s="184">
        <f t="shared" si="18"/>
        <v>692451.27186939656</v>
      </c>
      <c r="T185" s="14"/>
      <c r="U185" s="6"/>
      <c r="V185" s="6"/>
      <c r="W185" s="6"/>
    </row>
    <row r="186" spans="1:23" x14ac:dyDescent="0.25">
      <c r="A186" s="107" t="s">
        <v>141</v>
      </c>
      <c r="B186" s="108" t="s">
        <v>21</v>
      </c>
      <c r="C186" s="187" t="s">
        <v>254</v>
      </c>
      <c r="D186" s="181">
        <f t="shared" si="13"/>
        <v>409984.96938236512</v>
      </c>
      <c r="E186" s="111" t="e">
        <f>+VLOOKUP(C186, 'INPUT NFI'!$C$3:$K$282, 4, FALSE) * D186 / L186</f>
        <v>#N/A</v>
      </c>
      <c r="F186" s="111" t="e">
        <f>+VLOOKUP(C186, 'INPUT NFI'!$C$3:$K$282, 5, FALSE) * D186 / L186</f>
        <v>#N/A</v>
      </c>
      <c r="G186" s="111">
        <f t="shared" si="14"/>
        <v>67115815.506268889</v>
      </c>
      <c r="H186" s="111" t="e">
        <f>+VLOOKUP(C186, 'INPUT NFI'!$C$3:$K$282, 7, FALSE) * G186 / M186</f>
        <v>#N/A</v>
      </c>
      <c r="I186" s="111" t="e">
        <f>+VLOOKUP(C186, 'INPUT NFI'!C186:K465, 8, FALSE) * G186 / M186</f>
        <v>#N/A</v>
      </c>
      <c r="J186" s="213">
        <f t="shared" si="15"/>
        <v>163.7031123540398</v>
      </c>
      <c r="K186" s="4"/>
      <c r="L186" s="183">
        <f>+VLOOKUP(C186, 'INPUT NFI'!$C$3:$K$282, 3, FALSE)</f>
        <v>375401.6</v>
      </c>
      <c r="M186" s="184">
        <f>+VLOOKUP(C186, 'INPUT NFI'!$C$3:$K$282, 6, FALSE)</f>
        <v>59116926.636500001</v>
      </c>
      <c r="N186" s="201">
        <f>+VLOOKUP(B186, 'AREA CorrFactor'!$B$3:$J$40, 9, FALSE)</f>
        <v>9.2123660054632572E-2</v>
      </c>
      <c r="O186" s="202">
        <f>+IF(N186&gt;0, VLOOKUP(C186, 'INPUT CBM'!$N$3:$P$282, 3, FALSE), M186/L186)</f>
        <v>19.466270146287119</v>
      </c>
      <c r="P186" s="200">
        <f>+VLOOKUP(B186, 'INPUT CBM'!$B$3:$K$29, 10, FALSE)</f>
        <v>0.12391847945423988</v>
      </c>
      <c r="Q186" s="183">
        <f t="shared" si="16"/>
        <v>7325679.6588029312</v>
      </c>
      <c r="R186" s="78">
        <f t="shared" si="17"/>
        <v>34583.369382365156</v>
      </c>
      <c r="S186" s="184">
        <f t="shared" si="18"/>
        <v>673209.21096595482</v>
      </c>
      <c r="U186" s="6"/>
      <c r="V186" s="6"/>
      <c r="W186" s="6"/>
    </row>
    <row r="187" spans="1:23" x14ac:dyDescent="0.25">
      <c r="A187" s="107" t="s">
        <v>141</v>
      </c>
      <c r="B187" s="108" t="s">
        <v>21</v>
      </c>
      <c r="C187" s="187" t="s">
        <v>236</v>
      </c>
      <c r="D187" s="181">
        <f t="shared" si="13"/>
        <v>434543.55412601365</v>
      </c>
      <c r="E187" s="111" t="e">
        <f>+VLOOKUP(C187, 'INPUT NFI'!$C$3:$K$282, 4, FALSE) * D187 / L187</f>
        <v>#N/A</v>
      </c>
      <c r="F187" s="111" t="e">
        <f>+VLOOKUP(C187, 'INPUT NFI'!$C$3:$K$282, 5, FALSE) * D187 / L187</f>
        <v>#N/A</v>
      </c>
      <c r="G187" s="111">
        <f t="shared" si="14"/>
        <v>59386089.952713549</v>
      </c>
      <c r="H187" s="111" t="e">
        <f>+VLOOKUP(C187, 'INPUT NFI'!$C$3:$K$282, 7, FALSE) * G187 / M187</f>
        <v>#N/A</v>
      </c>
      <c r="I187" s="111" t="e">
        <f>+VLOOKUP(C187, 'INPUT NFI'!C187:K466, 8, FALSE) * G187 / M187</f>
        <v>#N/A</v>
      </c>
      <c r="J187" s="213">
        <f t="shared" si="15"/>
        <v>136.66314777618845</v>
      </c>
      <c r="K187" s="4"/>
      <c r="L187" s="183">
        <f>+VLOOKUP(C187, 'INPUT NFI'!$C$3:$K$282, 3, FALSE)</f>
        <v>397888.6</v>
      </c>
      <c r="M187" s="184">
        <f>+VLOOKUP(C187, 'INPUT NFI'!$C$3:$K$282, 6, FALSE)</f>
        <v>51803508.760899998</v>
      </c>
      <c r="N187" s="201">
        <f>+VLOOKUP(B187, 'AREA CorrFactor'!$B$3:$J$40, 9, FALSE)</f>
        <v>9.2123660054632572E-2</v>
      </c>
      <c r="O187" s="202">
        <f>+IF(N187&gt;0, VLOOKUP(C187, 'INPUT CBM'!$N$3:$P$282, 3, FALSE), M187/L187)</f>
        <v>31.732931700573161</v>
      </c>
      <c r="P187" s="200">
        <f>+VLOOKUP(B187, 'INPUT CBM'!$B$3:$K$29, 10, FALSE)</f>
        <v>0.12391847945423988</v>
      </c>
      <c r="Q187" s="183">
        <f t="shared" si="16"/>
        <v>6419412.036045122</v>
      </c>
      <c r="R187" s="78">
        <f t="shared" si="17"/>
        <v>36654.954126013676</v>
      </c>
      <c r="S187" s="184">
        <f t="shared" si="18"/>
        <v>1163169.1557684343</v>
      </c>
      <c r="U187" s="6"/>
      <c r="V187" s="6"/>
      <c r="W187" s="6"/>
    </row>
    <row r="188" spans="1:23" x14ac:dyDescent="0.25">
      <c r="A188" s="107" t="s">
        <v>141</v>
      </c>
      <c r="B188" s="108" t="s">
        <v>21</v>
      </c>
      <c r="C188" s="187" t="s">
        <v>237</v>
      </c>
      <c r="D188" s="181">
        <f t="shared" si="13"/>
        <v>353664.1522333477</v>
      </c>
      <c r="E188" s="111" t="e">
        <f>+VLOOKUP(C188, 'INPUT NFI'!$C$3:$K$282, 4, FALSE) * D188 / L188</f>
        <v>#N/A</v>
      </c>
      <c r="F188" s="111" t="e">
        <f>+VLOOKUP(C188, 'INPUT NFI'!$C$3:$K$282, 5, FALSE) * D188 / L188</f>
        <v>#N/A</v>
      </c>
      <c r="G188" s="111">
        <f t="shared" si="14"/>
        <v>52669541.526352458</v>
      </c>
      <c r="H188" s="111" t="e">
        <f>+VLOOKUP(C188, 'INPUT NFI'!$C$3:$K$282, 7, FALSE) * G188 / M188</f>
        <v>#N/A</v>
      </c>
      <c r="I188" s="111" t="e">
        <f>+VLOOKUP(C188, 'INPUT NFI'!C188:K467, 8, FALSE) * G188 / M188</f>
        <v>#N/A</v>
      </c>
      <c r="J188" s="213">
        <f t="shared" si="15"/>
        <v>148.92530439896288</v>
      </c>
      <c r="K188" s="4"/>
      <c r="L188" s="183">
        <f>+VLOOKUP(C188, 'INPUT NFI'!$C$3:$K$282, 3, FALSE)</f>
        <v>323831.59999999998</v>
      </c>
      <c r="M188" s="184">
        <f>+VLOOKUP(C188, 'INPUT NFI'!$C$3:$K$282, 6, FALSE)</f>
        <v>46078825.577500001</v>
      </c>
      <c r="N188" s="201">
        <f>+VLOOKUP(B188, 'AREA CorrFactor'!$B$3:$J$40, 9, FALSE)</f>
        <v>9.2123660054632572E-2</v>
      </c>
      <c r="O188" s="202">
        <f>+IF(N188&gt;0, VLOOKUP(C188, 'INPUT CBM'!$N$3:$P$282, 3, FALSE), M188/L188)</f>
        <v>29.521374549611899</v>
      </c>
      <c r="P188" s="200">
        <f>+VLOOKUP(B188, 'INPUT CBM'!$B$3:$K$29, 10, FALSE)</f>
        <v>0.12391847945423988</v>
      </c>
      <c r="Q188" s="183">
        <f t="shared" si="16"/>
        <v>5710018.0006009368</v>
      </c>
      <c r="R188" s="78">
        <f t="shared" si="17"/>
        <v>29832.552233347753</v>
      </c>
      <c r="S188" s="184">
        <f t="shared" si="18"/>
        <v>880697.94825151993</v>
      </c>
      <c r="U188" s="6"/>
      <c r="V188" s="6"/>
      <c r="W188" s="6"/>
    </row>
    <row r="189" spans="1:23" x14ac:dyDescent="0.25">
      <c r="A189" s="107" t="s">
        <v>141</v>
      </c>
      <c r="B189" s="108" t="s">
        <v>21</v>
      </c>
      <c r="C189" s="187" t="s">
        <v>238</v>
      </c>
      <c r="D189" s="181">
        <f t="shared" si="13"/>
        <v>615152.52149625449</v>
      </c>
      <c r="E189" s="111" t="e">
        <f>+VLOOKUP(C189, 'INPUT NFI'!$C$3:$K$282, 4, FALSE) * D189 / L189</f>
        <v>#N/A</v>
      </c>
      <c r="F189" s="111" t="e">
        <f>+VLOOKUP(C189, 'INPUT NFI'!$C$3:$K$282, 5, FALSE) * D189 / L189</f>
        <v>#N/A</v>
      </c>
      <c r="G189" s="111">
        <f t="shared" si="14"/>
        <v>66367527.247032657</v>
      </c>
      <c r="H189" s="111" t="e">
        <f>+VLOOKUP(C189, 'INPUT NFI'!$C$3:$K$282, 7, FALSE) * G189 / M189</f>
        <v>#N/A</v>
      </c>
      <c r="I189" s="111" t="e">
        <f>+VLOOKUP(C189, 'INPUT NFI'!C189:K468, 8, FALSE) * G189 / M189</f>
        <v>#N/A</v>
      </c>
      <c r="J189" s="213">
        <f t="shared" si="15"/>
        <v>107.88792198332354</v>
      </c>
      <c r="K189" s="4"/>
      <c r="L189" s="183">
        <f>+VLOOKUP(C189, 'INPUT NFI'!$C$3:$K$282, 3, FALSE)</f>
        <v>563262.69999999995</v>
      </c>
      <c r="M189" s="184">
        <f>+VLOOKUP(C189, 'INPUT NFI'!$C$3:$K$282, 6, FALSE)</f>
        <v>57444738.156599998</v>
      </c>
      <c r="N189" s="201">
        <f>+VLOOKUP(B189, 'AREA CorrFactor'!$B$3:$J$40, 9, FALSE)</f>
        <v>9.2123660054632572E-2</v>
      </c>
      <c r="O189" s="202">
        <f>+IF(N189&gt;0, VLOOKUP(C189, 'INPUT CBM'!$N$3:$P$282, 3, FALSE), M189/L189)</f>
        <v>34.772223788630171</v>
      </c>
      <c r="P189" s="200">
        <f>+VLOOKUP(B189, 'INPUT CBM'!$B$3:$K$29, 10, FALSE)</f>
        <v>0.12391847945423988</v>
      </c>
      <c r="Q189" s="183">
        <f t="shared" si="16"/>
        <v>7118464.6050128266</v>
      </c>
      <c r="R189" s="78">
        <f t="shared" si="17"/>
        <v>51889.821496254488</v>
      </c>
      <c r="S189" s="184">
        <f t="shared" si="18"/>
        <v>1804324.4854198336</v>
      </c>
      <c r="U189" s="6"/>
      <c r="V189" s="6"/>
      <c r="W189" s="6"/>
    </row>
    <row r="190" spans="1:23" x14ac:dyDescent="0.25">
      <c r="A190" s="107" t="s">
        <v>141</v>
      </c>
      <c r="B190" s="108" t="s">
        <v>21</v>
      </c>
      <c r="C190" s="187" t="s">
        <v>239</v>
      </c>
      <c r="D190" s="181">
        <f t="shared" si="13"/>
        <v>1109300.7994047038</v>
      </c>
      <c r="E190" s="111" t="e">
        <f>+VLOOKUP(C190, 'INPUT NFI'!$C$3:$K$282, 4, FALSE) * D190 / L190</f>
        <v>#N/A</v>
      </c>
      <c r="F190" s="111" t="e">
        <f>+VLOOKUP(C190, 'INPUT NFI'!$C$3:$K$282, 5, FALSE) * D190 / L190</f>
        <v>#N/A</v>
      </c>
      <c r="G190" s="111">
        <f t="shared" si="14"/>
        <v>116411207.16712995</v>
      </c>
      <c r="H190" s="111" t="e">
        <f>+VLOOKUP(C190, 'INPUT NFI'!$C$3:$K$282, 7, FALSE) * G190 / M190</f>
        <v>#N/A</v>
      </c>
      <c r="I190" s="111" t="e">
        <f>+VLOOKUP(C190, 'INPUT NFI'!C190:K469, 8, FALSE) * G190 / M190</f>
        <v>#N/A</v>
      </c>
      <c r="J190" s="213">
        <f t="shared" si="15"/>
        <v>104.94106488483644</v>
      </c>
      <c r="K190" s="4"/>
      <c r="L190" s="183">
        <f>+VLOOKUP(C190, 'INPUT NFI'!$C$3:$K$282, 3, FALSE)</f>
        <v>1015728.2</v>
      </c>
      <c r="M190" s="184">
        <f>+VLOOKUP(C190, 'INPUT NFI'!$C$3:$K$282, 6, FALSE)</f>
        <v>101338669.176</v>
      </c>
      <c r="N190" s="201">
        <f>+VLOOKUP(B190, 'AREA CorrFactor'!$B$3:$J$40, 9, FALSE)</f>
        <v>9.2123660054632572E-2</v>
      </c>
      <c r="O190" s="202">
        <f>+IF(N190&gt;0, VLOOKUP(C190, 'INPUT CBM'!$N$3:$P$282, 3, FALSE), M190/L190)</f>
        <v>26.875433758628201</v>
      </c>
      <c r="P190" s="200">
        <f>+VLOOKUP(B190, 'INPUT CBM'!$B$3:$K$29, 10, FALSE)</f>
        <v>0.12391847945423988</v>
      </c>
      <c r="Q190" s="183">
        <f t="shared" si="16"/>
        <v>12557733.794206169</v>
      </c>
      <c r="R190" s="78">
        <f t="shared" si="17"/>
        <v>93572.59940470384</v>
      </c>
      <c r="S190" s="184">
        <f t="shared" si="18"/>
        <v>2514804.1969237709</v>
      </c>
      <c r="U190" s="6"/>
      <c r="V190" s="6"/>
      <c r="W190" s="6"/>
    </row>
    <row r="191" spans="1:23" x14ac:dyDescent="0.25">
      <c r="A191" s="107" t="s">
        <v>141</v>
      </c>
      <c r="B191" s="108" t="s">
        <v>21</v>
      </c>
      <c r="C191" s="187" t="s">
        <v>240</v>
      </c>
      <c r="D191" s="181">
        <f t="shared" si="13"/>
        <v>405805.08449823805</v>
      </c>
      <c r="E191" s="111" t="e">
        <f>+VLOOKUP(C191, 'INPUT NFI'!$C$3:$K$282, 4, FALSE) * D191 / L191</f>
        <v>#N/A</v>
      </c>
      <c r="F191" s="111" t="e">
        <f>+VLOOKUP(C191, 'INPUT NFI'!$C$3:$K$282, 5, FALSE) * D191 / L191</f>
        <v>#N/A</v>
      </c>
      <c r="G191" s="111">
        <f t="shared" si="14"/>
        <v>32368628.036359407</v>
      </c>
      <c r="H191" s="111" t="e">
        <f>+VLOOKUP(C191, 'INPUT NFI'!$C$3:$K$282, 7, FALSE) * G191 / M191</f>
        <v>#N/A</v>
      </c>
      <c r="I191" s="111" t="e">
        <f>+VLOOKUP(C191, 'INPUT NFI'!C191:K470, 8, FALSE) * G191 / M191</f>
        <v>#N/A</v>
      </c>
      <c r="J191" s="213">
        <f t="shared" si="15"/>
        <v>79.763978503083408</v>
      </c>
      <c r="K191" s="4"/>
      <c r="L191" s="183">
        <f>+VLOOKUP(C191, 'INPUT NFI'!$C$3:$K$282, 3, FALSE)</f>
        <v>371574.3</v>
      </c>
      <c r="M191" s="184">
        <f>+VLOOKUP(C191, 'INPUT NFI'!$C$3:$K$282, 6, FALSE)</f>
        <v>28042391.355700001</v>
      </c>
      <c r="N191" s="201">
        <f>+VLOOKUP(B191, 'AREA CorrFactor'!$B$3:$J$40, 9, FALSE)</f>
        <v>9.2123660054632572E-2</v>
      </c>
      <c r="O191" s="202">
        <f>+IF(N191&gt;0, VLOOKUP(C191, 'INPUT CBM'!$N$3:$P$282, 3, FALSE), M191/L191)</f>
        <v>24.868439215705259</v>
      </c>
      <c r="P191" s="200">
        <f>+VLOOKUP(B191, 'INPUT CBM'!$B$3:$K$29, 10, FALSE)</f>
        <v>0.12391847945423988</v>
      </c>
      <c r="Q191" s="183">
        <f t="shared" si="16"/>
        <v>3474970.4970590645</v>
      </c>
      <c r="R191" s="78">
        <f t="shared" si="17"/>
        <v>34230.784498238056</v>
      </c>
      <c r="S191" s="184">
        <f t="shared" si="18"/>
        <v>851266.18360033887</v>
      </c>
      <c r="U191" s="6"/>
      <c r="V191" s="6"/>
      <c r="W191" s="6"/>
    </row>
    <row r="192" spans="1:23" x14ac:dyDescent="0.25">
      <c r="A192" s="107" t="s">
        <v>141</v>
      </c>
      <c r="B192" s="108" t="s">
        <v>21</v>
      </c>
      <c r="C192" s="187" t="s">
        <v>241</v>
      </c>
      <c r="D192" s="181">
        <f t="shared" si="13"/>
        <v>318238.60943505762</v>
      </c>
      <c r="E192" s="111" t="e">
        <f>+VLOOKUP(C192, 'INPUT NFI'!$C$3:$K$282, 4, FALSE) * D192 / L192</f>
        <v>#N/A</v>
      </c>
      <c r="F192" s="111" t="e">
        <f>+VLOOKUP(C192, 'INPUT NFI'!$C$3:$K$282, 5, FALSE) * D192 / L192</f>
        <v>#N/A</v>
      </c>
      <c r="G192" s="111">
        <f t="shared" si="14"/>
        <v>25495498.681237362</v>
      </c>
      <c r="H192" s="111" t="e">
        <f>+VLOOKUP(C192, 'INPUT NFI'!$C$3:$K$282, 7, FALSE) * G192 / M192</f>
        <v>#N/A</v>
      </c>
      <c r="I192" s="111" t="e">
        <f>+VLOOKUP(C192, 'INPUT NFI'!C192:K471, 8, FALSE) * G192 / M192</f>
        <v>#N/A</v>
      </c>
      <c r="J192" s="213">
        <f t="shared" si="15"/>
        <v>80.11441077654716</v>
      </c>
      <c r="K192" s="4"/>
      <c r="L192" s="183">
        <f>+VLOOKUP(C192, 'INPUT NFI'!$C$3:$K$282, 3, FALSE)</f>
        <v>291394.3</v>
      </c>
      <c r="M192" s="184">
        <f>+VLOOKUP(C192, 'INPUT NFI'!$C$3:$K$282, 6, FALSE)</f>
        <v>21764685.585200001</v>
      </c>
      <c r="N192" s="201">
        <f>+VLOOKUP(B192, 'AREA CorrFactor'!$B$3:$J$40, 9, FALSE)</f>
        <v>9.2123660054632572E-2</v>
      </c>
      <c r="O192" s="202">
        <f>+IF(N192&gt;0, VLOOKUP(C192, 'INPUT CBM'!$N$3:$P$282, 3, FALSE), M192/L192)</f>
        <v>38.509701842793802</v>
      </c>
      <c r="P192" s="200">
        <f>+VLOOKUP(B192, 'INPUT CBM'!$B$3:$K$29, 10, FALSE)</f>
        <v>0.12391847945423988</v>
      </c>
      <c r="Q192" s="183">
        <f t="shared" si="16"/>
        <v>2697046.7435175972</v>
      </c>
      <c r="R192" s="78">
        <f t="shared" si="17"/>
        <v>26844.309435057618</v>
      </c>
      <c r="S192" s="184">
        <f t="shared" si="18"/>
        <v>1033766.3525197654</v>
      </c>
      <c r="U192" s="6"/>
      <c r="V192" s="6"/>
      <c r="W192" s="6"/>
    </row>
    <row r="193" spans="1:23" x14ac:dyDescent="0.25">
      <c r="A193" s="107" t="s">
        <v>141</v>
      </c>
      <c r="B193" s="108" t="s">
        <v>21</v>
      </c>
      <c r="C193" s="187" t="s">
        <v>242</v>
      </c>
      <c r="D193" s="181">
        <f t="shared" si="13"/>
        <v>593988.6939375198</v>
      </c>
      <c r="E193" s="111" t="e">
        <f>+VLOOKUP(C193, 'INPUT NFI'!$C$3:$K$282, 4, FALSE) * D193 / L193</f>
        <v>#N/A</v>
      </c>
      <c r="F193" s="111" t="e">
        <f>+VLOOKUP(C193, 'INPUT NFI'!$C$3:$K$282, 5, FALSE) * D193 / L193</f>
        <v>#N/A</v>
      </c>
      <c r="G193" s="111">
        <f t="shared" si="14"/>
        <v>56008456.284906082</v>
      </c>
      <c r="H193" s="111" t="e">
        <f>+VLOOKUP(C193, 'INPUT NFI'!$C$3:$K$282, 7, FALSE) * G193 / M193</f>
        <v>#N/A</v>
      </c>
      <c r="I193" s="111" t="e">
        <f>+VLOOKUP(C193, 'INPUT NFI'!C193:K472, 8, FALSE) * G193 / M193</f>
        <v>#N/A</v>
      </c>
      <c r="J193" s="213">
        <f t="shared" si="15"/>
        <v>94.292125181085467</v>
      </c>
      <c r="K193" s="4"/>
      <c r="L193" s="183">
        <f>+VLOOKUP(C193, 'INPUT NFI'!$C$3:$K$282, 3, FALSE)</f>
        <v>543884.1</v>
      </c>
      <c r="M193" s="184">
        <f>+VLOOKUP(C193, 'INPUT NFI'!$C$3:$K$282, 6, FALSE)</f>
        <v>48422290.340099998</v>
      </c>
      <c r="N193" s="201">
        <f>+VLOOKUP(B193, 'AREA CorrFactor'!$B$3:$J$40, 9, FALSE)</f>
        <v>9.2123660054632572E-2</v>
      </c>
      <c r="O193" s="202">
        <f>+IF(N193&gt;0, VLOOKUP(C193, 'INPUT CBM'!$N$3:$P$282, 3, FALSE), M193/L193)</f>
        <v>31.648781669533001</v>
      </c>
      <c r="P193" s="200">
        <f>+VLOOKUP(B193, 'INPUT CBM'!$B$3:$K$29, 10, FALSE)</f>
        <v>0.12391847945423988</v>
      </c>
      <c r="Q193" s="183">
        <f t="shared" si="16"/>
        <v>6000416.5906369202</v>
      </c>
      <c r="R193" s="78">
        <f t="shared" si="17"/>
        <v>50104.593937519785</v>
      </c>
      <c r="S193" s="184">
        <f t="shared" si="18"/>
        <v>1585749.3541691706</v>
      </c>
      <c r="U193" s="6"/>
      <c r="V193" s="6"/>
      <c r="W193" s="6"/>
    </row>
    <row r="194" spans="1:23" x14ac:dyDescent="0.25">
      <c r="A194" s="107" t="s">
        <v>248</v>
      </c>
      <c r="B194" s="108" t="s">
        <v>23</v>
      </c>
      <c r="C194" s="187" t="s">
        <v>142</v>
      </c>
      <c r="D194" s="181">
        <f t="shared" si="13"/>
        <v>272683.06213017751</v>
      </c>
      <c r="E194" s="111">
        <f>+VLOOKUP(C194, 'INPUT NFI'!$C$3:$K$282, 4, FALSE) * D194 / L194</f>
        <v>205235.92563120378</v>
      </c>
      <c r="F194" s="111">
        <f>+VLOOKUP(C194, 'INPUT NFI'!$C$3:$K$282, 5, FALSE) * D194 / L194</f>
        <v>67447.136498973749</v>
      </c>
      <c r="G194" s="111">
        <f t="shared" si="14"/>
        <v>41302161.807152487</v>
      </c>
      <c r="H194" s="111">
        <f>+VLOOKUP(C194, 'INPUT NFI'!$C$3:$K$282, 7, FALSE) * G194 / M194</f>
        <v>30100835.648558538</v>
      </c>
      <c r="I194" s="111">
        <f>+VLOOKUP(C194, 'INPUT NFI'!C194:K473, 8, FALSE) * G194 / M194</f>
        <v>11201326.158593949</v>
      </c>
      <c r="J194" s="213">
        <f t="shared" si="15"/>
        <v>151.46581340440957</v>
      </c>
      <c r="K194" s="4"/>
      <c r="L194" s="183">
        <f>+VLOOKUP(C194, 'INPUT NFI'!$C$3:$K$282, 3, FALSE)</f>
        <v>268000</v>
      </c>
      <c r="M194" s="184">
        <f>+VLOOKUP(C194, 'INPUT NFI'!$C$3:$K$282, 6, FALSE)</f>
        <v>36284016.674800001</v>
      </c>
      <c r="N194" s="201">
        <f>+VLOOKUP(B194, 'AREA CorrFactor'!$B$3:$J$40, 9, FALSE)</f>
        <v>1.7474112426035502E-2</v>
      </c>
      <c r="O194" s="202">
        <f>+IF(N194&gt;0, VLOOKUP(C194, 'INPUT CBM'!$N$3:$P$282, 3, FALSE), M194/L194)</f>
        <v>25.999807692169529</v>
      </c>
      <c r="P194" s="200">
        <f>+VLOOKUP(B194, 'INPUT CBM'!$B$3:$K$29, 10, FALSE)</f>
        <v>0.1349460965538038</v>
      </c>
      <c r="Q194" s="183">
        <f t="shared" si="16"/>
        <v>4896386.4175573876</v>
      </c>
      <c r="R194" s="78">
        <f t="shared" si="17"/>
        <v>4683.0621301775145</v>
      </c>
      <c r="S194" s="184">
        <f t="shared" si="18"/>
        <v>121758.71479509717</v>
      </c>
      <c r="U194" s="6"/>
      <c r="V194" s="6"/>
      <c r="W194" s="6"/>
    </row>
    <row r="195" spans="1:23" x14ac:dyDescent="0.25">
      <c r="A195" s="107" t="s">
        <v>248</v>
      </c>
      <c r="B195" s="108" t="s">
        <v>23</v>
      </c>
      <c r="C195" s="187" t="s">
        <v>143</v>
      </c>
      <c r="D195" s="181">
        <f t="shared" ref="D195:D258" si="19">+L195+R195</f>
        <v>232798.07692307694</v>
      </c>
      <c r="E195" s="111">
        <f>+VLOOKUP(C195, 'INPUT NFI'!$C$3:$K$282, 4, FALSE) * D195 / L195</f>
        <v>199480.81672282732</v>
      </c>
      <c r="F195" s="111">
        <f>+VLOOKUP(C195, 'INPUT NFI'!$C$3:$K$282, 5, FALSE) * D195 / L195</f>
        <v>33317.260200249635</v>
      </c>
      <c r="G195" s="111">
        <f t="shared" si="14"/>
        <v>33389939.997966889</v>
      </c>
      <c r="H195" s="111">
        <f>+VLOOKUP(C195, 'INPUT NFI'!$C$3:$K$282, 7, FALSE) * G195 / M195</f>
        <v>27498921.455205847</v>
      </c>
      <c r="I195" s="111">
        <f>+VLOOKUP(C195, 'INPUT NFI'!C195:K474, 8, FALSE) * G195 / M195</f>
        <v>5891018.5427610455</v>
      </c>
      <c r="J195" s="213">
        <f t="shared" si="15"/>
        <v>143.42876212418142</v>
      </c>
      <c r="K195" s="4"/>
      <c r="L195" s="183">
        <f>+VLOOKUP(C195, 'INPUT NFI'!$C$3:$K$282, 3, FALSE)</f>
        <v>228800</v>
      </c>
      <c r="M195" s="184">
        <f>+VLOOKUP(C195, 'INPUT NFI'!$C$3:$K$282, 6, FALSE)</f>
        <v>29328256.969999999</v>
      </c>
      <c r="N195" s="201">
        <f>+VLOOKUP(B195, 'AREA CorrFactor'!$B$3:$J$40, 9, FALSE)</f>
        <v>1.7474112426035502E-2</v>
      </c>
      <c r="O195" s="202">
        <f>+IF(N195&gt;0, VLOOKUP(C195, 'INPUT CBM'!$N$3:$P$282, 3, FALSE), M195/L195)</f>
        <v>25.999807692169529</v>
      </c>
      <c r="P195" s="200">
        <f>+VLOOKUP(B195, 'INPUT CBM'!$B$3:$K$29, 10, FALSE)</f>
        <v>0.1349460965538038</v>
      </c>
      <c r="Q195" s="183">
        <f t="shared" si="16"/>
        <v>3957733.7968283892</v>
      </c>
      <c r="R195" s="78">
        <f t="shared" si="17"/>
        <v>3998.0769230769229</v>
      </c>
      <c r="S195" s="184">
        <f t="shared" si="18"/>
        <v>103949.23113850087</v>
      </c>
      <c r="U195" s="6"/>
      <c r="V195" s="6"/>
      <c r="W195" s="6"/>
    </row>
    <row r="196" spans="1:23" x14ac:dyDescent="0.25">
      <c r="A196" s="107" t="s">
        <v>248</v>
      </c>
      <c r="B196" s="108" t="s">
        <v>23</v>
      </c>
      <c r="C196" s="187" t="s">
        <v>144</v>
      </c>
      <c r="D196" s="181">
        <f t="shared" si="19"/>
        <v>139597.44822485207</v>
      </c>
      <c r="E196" s="111">
        <f>+VLOOKUP(C196, 'INPUT NFI'!$C$3:$K$282, 4, FALSE) * D196 / L196</f>
        <v>109124.34437943788</v>
      </c>
      <c r="F196" s="111">
        <f>+VLOOKUP(C196, 'INPUT NFI'!$C$3:$K$282, 5, FALSE) * D196 / L196</f>
        <v>30473.103845414196</v>
      </c>
      <c r="G196" s="111">
        <f t="shared" ref="G196:G259" si="20">+M196+Q196+S196</f>
        <v>20669764.660515085</v>
      </c>
      <c r="H196" s="111">
        <f>+VLOOKUP(C196, 'INPUT NFI'!$C$3:$K$282, 7, FALSE) * G196 / M196</f>
        <v>15199554.170150926</v>
      </c>
      <c r="I196" s="111">
        <f>+VLOOKUP(C196, 'INPUT NFI'!C196:K475, 8, FALSE) * G196 / M196</f>
        <v>5470210.4903641585</v>
      </c>
      <c r="J196" s="213">
        <f t="shared" ref="J196:J259" si="21">+G196/D196</f>
        <v>148.06692330952879</v>
      </c>
      <c r="K196" s="4"/>
      <c r="L196" s="183">
        <f>+VLOOKUP(C196, 'INPUT NFI'!$C$3:$K$282, 3, FALSE)</f>
        <v>137200</v>
      </c>
      <c r="M196" s="184">
        <f>+VLOOKUP(C196, 'INPUT NFI'!$C$3:$K$282, 6, FALSE)</f>
        <v>18157189.605999999</v>
      </c>
      <c r="N196" s="201">
        <f>+VLOOKUP(B196, 'AREA CorrFactor'!$B$3:$J$40, 9, FALSE)</f>
        <v>1.7474112426035502E-2</v>
      </c>
      <c r="O196" s="202">
        <f>+IF(N196&gt;0, VLOOKUP(C196, 'INPUT CBM'!$N$3:$P$282, 3, FALSE), M196/L196)</f>
        <v>25.999807692169529</v>
      </c>
      <c r="P196" s="200">
        <f>+VLOOKUP(B196, 'INPUT CBM'!$B$3:$K$29, 10, FALSE)</f>
        <v>0.1349460965538038</v>
      </c>
      <c r="Q196" s="183">
        <f t="shared" ref="Q196:Q259" si="22">+M196*P196</f>
        <v>2450241.8617169987</v>
      </c>
      <c r="R196" s="78">
        <f t="shared" ref="R196:R259" si="23">+L196*N196</f>
        <v>2397.4482248520708</v>
      </c>
      <c r="S196" s="184">
        <f t="shared" ref="S196:S259" si="24">+R196*O196</f>
        <v>62333.192798087053</v>
      </c>
      <c r="U196" s="6"/>
      <c r="V196" s="6"/>
      <c r="W196" s="6"/>
    </row>
    <row r="197" spans="1:23" x14ac:dyDescent="0.25">
      <c r="A197" s="107" t="s">
        <v>248</v>
      </c>
      <c r="B197" s="108" t="s">
        <v>23</v>
      </c>
      <c r="C197" s="187" t="s">
        <v>145</v>
      </c>
      <c r="D197" s="181">
        <f t="shared" si="19"/>
        <v>100119.45266272189</v>
      </c>
      <c r="E197" s="111">
        <f>+VLOOKUP(C197, 'INPUT NFI'!$C$3:$K$282, 4, FALSE) * D197 / L197</f>
        <v>87117.595026081719</v>
      </c>
      <c r="F197" s="111">
        <f>+VLOOKUP(C197, 'INPUT NFI'!$C$3:$K$282, 5, FALSE) * D197 / L197</f>
        <v>13001.857636640161</v>
      </c>
      <c r="G197" s="111">
        <f t="shared" si="20"/>
        <v>16952624.624214862</v>
      </c>
      <c r="H197" s="111">
        <f>+VLOOKUP(C197, 'INPUT NFI'!$C$3:$K$282, 7, FALSE) * G197 / M197</f>
        <v>14349420.695436394</v>
      </c>
      <c r="I197" s="111">
        <f>+VLOOKUP(C197, 'INPUT NFI'!C197:K476, 8, FALSE) * G197 / M197</f>
        <v>2603203.9287784691</v>
      </c>
      <c r="J197" s="213">
        <f t="shared" si="21"/>
        <v>169.3239842343539</v>
      </c>
      <c r="K197" s="4"/>
      <c r="L197" s="183">
        <f>+VLOOKUP(C197, 'INPUT NFI'!$C$3:$K$282, 3, FALSE)</f>
        <v>98400</v>
      </c>
      <c r="M197" s="184">
        <f>+VLOOKUP(C197, 'INPUT NFI'!$C$3:$K$282, 6, FALSE)</f>
        <v>14897552.612400001</v>
      </c>
      <c r="N197" s="201">
        <f>+VLOOKUP(B197, 'AREA CorrFactor'!$B$3:$J$40, 9, FALSE)</f>
        <v>1.7474112426035502E-2</v>
      </c>
      <c r="O197" s="202">
        <f>+IF(N197&gt;0, VLOOKUP(C197, 'INPUT CBM'!$N$3:$P$282, 3, FALSE), M197/L197)</f>
        <v>25.999807692169529</v>
      </c>
      <c r="P197" s="200">
        <f>+VLOOKUP(B197, 'INPUT CBM'!$B$3:$K$29, 10, FALSE)</f>
        <v>0.1349460965538038</v>
      </c>
      <c r="Q197" s="183">
        <f t="shared" si="22"/>
        <v>2010366.5732483026</v>
      </c>
      <c r="R197" s="78">
        <f t="shared" si="23"/>
        <v>1719.4526627218934</v>
      </c>
      <c r="S197" s="184">
        <f t="shared" si="24"/>
        <v>44705.438566558063</v>
      </c>
      <c r="U197" s="6"/>
      <c r="V197" s="6"/>
      <c r="W197" s="6"/>
    </row>
    <row r="198" spans="1:23" x14ac:dyDescent="0.25">
      <c r="A198" s="107" t="s">
        <v>248</v>
      </c>
      <c r="B198" s="108" t="s">
        <v>23</v>
      </c>
      <c r="C198" s="187" t="s">
        <v>146</v>
      </c>
      <c r="D198" s="181">
        <f t="shared" si="19"/>
        <v>225472.26331360947</v>
      </c>
      <c r="E198" s="111">
        <f>+VLOOKUP(C198, 'INPUT NFI'!$C$3:$K$282, 4, FALSE) * D198 / L198</f>
        <v>203125.32049363904</v>
      </c>
      <c r="F198" s="111">
        <f>+VLOOKUP(C198, 'INPUT NFI'!$C$3:$K$282, 5, FALSE) * D198 / L198</f>
        <v>22346.942819970413</v>
      </c>
      <c r="G198" s="111">
        <f t="shared" si="20"/>
        <v>30700786.420063179</v>
      </c>
      <c r="H198" s="111">
        <f>+VLOOKUP(C198, 'INPUT NFI'!$C$3:$K$282, 7, FALSE) * G198 / M198</f>
        <v>27205437.70189945</v>
      </c>
      <c r="I198" s="111">
        <f>+VLOOKUP(C198, 'INPUT NFI'!C198:K477, 8, FALSE) * G198 / M198</f>
        <v>3495348.7181637245</v>
      </c>
      <c r="J198" s="213">
        <f t="shared" si="21"/>
        <v>136.16214238006492</v>
      </c>
      <c r="K198" s="4"/>
      <c r="L198" s="183">
        <f>+VLOOKUP(C198, 'INPUT NFI'!$C$3:$K$282, 3, FALSE)</f>
        <v>221600</v>
      </c>
      <c r="M198" s="184">
        <f>+VLOOKUP(C198, 'INPUT NFI'!$C$3:$K$282, 6, FALSE)</f>
        <v>26961728.3248</v>
      </c>
      <c r="N198" s="201">
        <f>+VLOOKUP(B198, 'AREA CorrFactor'!$B$3:$J$40, 9, FALSE)</f>
        <v>1.7474112426035502E-2</v>
      </c>
      <c r="O198" s="202">
        <f>+IF(N198&gt;0, VLOOKUP(C198, 'INPUT CBM'!$N$3:$P$282, 3, FALSE), M198/L198)</f>
        <v>25.999807692169529</v>
      </c>
      <c r="P198" s="200">
        <f>+VLOOKUP(B198, 'INPUT CBM'!$B$3:$K$29, 10, FALSE)</f>
        <v>0.1349460965538038</v>
      </c>
      <c r="Q198" s="183">
        <f t="shared" si="22"/>
        <v>3638379.9937758874</v>
      </c>
      <c r="R198" s="78">
        <f t="shared" si="23"/>
        <v>3872.2633136094673</v>
      </c>
      <c r="S198" s="184">
        <f t="shared" si="24"/>
        <v>100678.1014872893</v>
      </c>
      <c r="U198" s="6"/>
      <c r="V198" s="6"/>
      <c r="W198" s="6"/>
    </row>
    <row r="199" spans="1:23" x14ac:dyDescent="0.25">
      <c r="A199" s="107" t="s">
        <v>248</v>
      </c>
      <c r="B199" s="108" t="s">
        <v>23</v>
      </c>
      <c r="C199" s="187" t="s">
        <v>147</v>
      </c>
      <c r="D199" s="181">
        <f t="shared" si="19"/>
        <v>232798.07692307694</v>
      </c>
      <c r="E199" s="111">
        <f>+VLOOKUP(C199, 'INPUT NFI'!$C$3:$K$282, 4, FALSE) * D199 / L199</f>
        <v>192573.57985526999</v>
      </c>
      <c r="F199" s="111">
        <f>+VLOOKUP(C199, 'INPUT NFI'!$C$3:$K$282, 5, FALSE) * D199 / L199</f>
        <v>40224.497067806951</v>
      </c>
      <c r="G199" s="111">
        <f t="shared" si="20"/>
        <v>27894488.596867204</v>
      </c>
      <c r="H199" s="111">
        <f>+VLOOKUP(C199, 'INPUT NFI'!$C$3:$K$282, 7, FALSE) * G199 / M199</f>
        <v>22220448.303209092</v>
      </c>
      <c r="I199" s="111">
        <f>+VLOOKUP(C199, 'INPUT NFI'!C199:K478, 8, FALSE) * G199 / M199</f>
        <v>5674040.2936581122</v>
      </c>
      <c r="J199" s="213">
        <f t="shared" si="21"/>
        <v>119.82267622461646</v>
      </c>
      <c r="K199" s="4"/>
      <c r="L199" s="183">
        <f>+VLOOKUP(C199, 'INPUT NFI'!$C$3:$K$282, 3, FALSE)</f>
        <v>228800</v>
      </c>
      <c r="M199" s="184">
        <f>+VLOOKUP(C199, 'INPUT NFI'!$C$3:$K$282, 6, FALSE)</f>
        <v>24486219.609999999</v>
      </c>
      <c r="N199" s="201">
        <f>+VLOOKUP(B199, 'AREA CorrFactor'!$B$3:$J$40, 9, FALSE)</f>
        <v>1.7474112426035502E-2</v>
      </c>
      <c r="O199" s="202">
        <f>+IF(N199&gt;0, VLOOKUP(C199, 'INPUT CBM'!$N$3:$P$282, 3, FALSE), M199/L199)</f>
        <v>25.999807692169529</v>
      </c>
      <c r="P199" s="200">
        <f>+VLOOKUP(B199, 'INPUT CBM'!$B$3:$K$29, 10, FALSE)</f>
        <v>0.1349460965538038</v>
      </c>
      <c r="Q199" s="183">
        <f t="shared" si="22"/>
        <v>3304319.7557287039</v>
      </c>
      <c r="R199" s="78">
        <f t="shared" si="23"/>
        <v>3998.0769230769229</v>
      </c>
      <c r="S199" s="184">
        <f t="shared" si="24"/>
        <v>103949.23113850087</v>
      </c>
      <c r="U199" s="6"/>
      <c r="V199" s="6"/>
      <c r="W199" s="6"/>
    </row>
    <row r="200" spans="1:23" x14ac:dyDescent="0.25">
      <c r="A200" s="107" t="s">
        <v>248</v>
      </c>
      <c r="B200" s="108" t="s">
        <v>23</v>
      </c>
      <c r="C200" s="187" t="s">
        <v>148</v>
      </c>
      <c r="D200" s="181">
        <f t="shared" si="19"/>
        <v>157911.98224852071</v>
      </c>
      <c r="E200" s="111">
        <f>+VLOOKUP(C200, 'INPUT NFI'!$C$3:$K$282, 4, FALSE) * D200 / L200</f>
        <v>137190.27163567397</v>
      </c>
      <c r="F200" s="111">
        <f>+VLOOKUP(C200, 'INPUT NFI'!$C$3:$K$282, 5, FALSE) * D200 / L200</f>
        <v>20721.710612846709</v>
      </c>
      <c r="G200" s="111">
        <f t="shared" si="20"/>
        <v>21658603.446352109</v>
      </c>
      <c r="H200" s="111">
        <f>+VLOOKUP(C200, 'INPUT NFI'!$C$3:$K$282, 7, FALSE) * G200 / M200</f>
        <v>18248457.811049432</v>
      </c>
      <c r="I200" s="111">
        <f>+VLOOKUP(C200, 'INPUT NFI'!C200:K479, 8, FALSE) * G200 / M200</f>
        <v>3410145.6353026805</v>
      </c>
      <c r="J200" s="213">
        <f t="shared" si="21"/>
        <v>137.15617483837266</v>
      </c>
      <c r="K200" s="4"/>
      <c r="L200" s="183">
        <f>+VLOOKUP(C200, 'INPUT NFI'!$C$3:$K$282, 3, FALSE)</f>
        <v>155200</v>
      </c>
      <c r="M200" s="184">
        <f>+VLOOKUP(C200, 'INPUT NFI'!$C$3:$K$282, 6, FALSE)</f>
        <v>19021249.110399999</v>
      </c>
      <c r="N200" s="201">
        <f>+VLOOKUP(B200, 'AREA CorrFactor'!$B$3:$J$40, 9, FALSE)</f>
        <v>1.7474112426035502E-2</v>
      </c>
      <c r="O200" s="202">
        <f>+IF(N200&gt;0, VLOOKUP(C200, 'INPUT CBM'!$N$3:$P$282, 3, FALSE), M200/L200)</f>
        <v>25.999807692169529</v>
      </c>
      <c r="P200" s="200">
        <f>+VLOOKUP(B200, 'INPUT CBM'!$B$3:$K$29, 10, FALSE)</f>
        <v>0.1349460965538038</v>
      </c>
      <c r="Q200" s="183">
        <f t="shared" si="22"/>
        <v>2566843.3190259929</v>
      </c>
      <c r="R200" s="78">
        <f t="shared" si="23"/>
        <v>2711.9822485207101</v>
      </c>
      <c r="S200" s="184">
        <f t="shared" si="24"/>
        <v>70511.016926115975</v>
      </c>
      <c r="T200" s="14"/>
      <c r="U200" s="6"/>
      <c r="V200" s="6"/>
      <c r="W200" s="6"/>
    </row>
    <row r="201" spans="1:23" x14ac:dyDescent="0.25">
      <c r="A201" s="107" t="s">
        <v>248</v>
      </c>
      <c r="B201" s="108" t="s">
        <v>23</v>
      </c>
      <c r="C201" s="187" t="s">
        <v>149</v>
      </c>
      <c r="D201" s="181">
        <f t="shared" si="19"/>
        <v>156284.02366863904</v>
      </c>
      <c r="E201" s="111">
        <f>+VLOOKUP(C201, 'INPUT NFI'!$C$3:$K$282, 4, FALSE) * D201 / L201</f>
        <v>129874.00033594672</v>
      </c>
      <c r="F201" s="111">
        <f>+VLOOKUP(C201, 'INPUT NFI'!$C$3:$K$282, 5, FALSE) * D201 / L201</f>
        <v>26410.023332692304</v>
      </c>
      <c r="G201" s="111">
        <f t="shared" si="20"/>
        <v>20570053.714081749</v>
      </c>
      <c r="H201" s="111">
        <f>+VLOOKUP(C201, 'INPUT NFI'!$C$3:$K$282, 7, FALSE) * G201 / M201</f>
        <v>16272071.984984061</v>
      </c>
      <c r="I201" s="111">
        <f>+VLOOKUP(C201, 'INPUT NFI'!C201:K480, 8, FALSE) * G201 / M201</f>
        <v>4297981.7290976876</v>
      </c>
      <c r="J201" s="213">
        <f t="shared" si="21"/>
        <v>131.61968338936151</v>
      </c>
      <c r="K201" s="4"/>
      <c r="L201" s="183">
        <f>+VLOOKUP(C201, 'INPUT NFI'!$C$3:$K$282, 3, FALSE)</f>
        <v>153600</v>
      </c>
      <c r="M201" s="184">
        <f>+VLOOKUP(C201, 'INPUT NFI'!$C$3:$K$282, 6, FALSE)</f>
        <v>18062769.3924</v>
      </c>
      <c r="N201" s="201">
        <f>+VLOOKUP(B201, 'AREA CorrFactor'!$B$3:$J$40, 9, FALSE)</f>
        <v>1.7474112426035502E-2</v>
      </c>
      <c r="O201" s="202">
        <f>+IF(N201&gt;0, VLOOKUP(C201, 'INPUT CBM'!$N$3:$P$282, 3, FALSE), M201/L201)</f>
        <v>25.999807692169529</v>
      </c>
      <c r="P201" s="200">
        <f>+VLOOKUP(B201, 'INPUT CBM'!$B$3:$K$29, 10, FALSE)</f>
        <v>0.1349460965538038</v>
      </c>
      <c r="Q201" s="183">
        <f t="shared" si="22"/>
        <v>2437500.2224559025</v>
      </c>
      <c r="R201" s="78">
        <f t="shared" si="23"/>
        <v>2684.0236686390531</v>
      </c>
      <c r="S201" s="184">
        <f t="shared" si="24"/>
        <v>69784.09922584673</v>
      </c>
      <c r="T201" s="14"/>
      <c r="U201" s="6"/>
      <c r="V201" s="6"/>
      <c r="W201" s="6"/>
    </row>
    <row r="202" spans="1:23" x14ac:dyDescent="0.25">
      <c r="A202" s="107" t="s">
        <v>248</v>
      </c>
      <c r="B202" s="108" t="s">
        <v>23</v>
      </c>
      <c r="C202" s="187" t="s">
        <v>150</v>
      </c>
      <c r="D202" s="181">
        <f t="shared" si="19"/>
        <v>272276.07248520711</v>
      </c>
      <c r="E202" s="111">
        <f>+VLOOKUP(C202, 'INPUT NFI'!$C$3:$K$282, 4, FALSE) * D202 / L202</f>
        <v>219049.71778075999</v>
      </c>
      <c r="F202" s="111">
        <f>+VLOOKUP(C202, 'INPUT NFI'!$C$3:$K$282, 5, FALSE) * D202 / L202</f>
        <v>53226.354704447112</v>
      </c>
      <c r="G202" s="111">
        <f t="shared" si="20"/>
        <v>42302371.18798124</v>
      </c>
      <c r="H202" s="111">
        <f>+VLOOKUP(C202, 'INPUT NFI'!$C$3:$K$282, 7, FALSE) * G202 / M202</f>
        <v>32083319.411185235</v>
      </c>
      <c r="I202" s="111">
        <f>+VLOOKUP(C202, 'INPUT NFI'!C202:K481, 8, FALSE) * G202 / M202</f>
        <v>10219051.776796008</v>
      </c>
      <c r="J202" s="213">
        <f t="shared" si="21"/>
        <v>155.36573156012284</v>
      </c>
      <c r="K202" s="4"/>
      <c r="L202" s="183">
        <f>+VLOOKUP(C202, 'INPUT NFI'!$C$3:$K$282, 3, FALSE)</f>
        <v>267600</v>
      </c>
      <c r="M202" s="184">
        <f>+VLOOKUP(C202, 'INPUT NFI'!$C$3:$K$282, 6, FALSE)</f>
        <v>37165460.395599999</v>
      </c>
      <c r="N202" s="201">
        <f>+VLOOKUP(B202, 'AREA CorrFactor'!$B$3:$J$40, 9, FALSE)</f>
        <v>1.7474112426035502E-2</v>
      </c>
      <c r="O202" s="202">
        <f>+IF(N202&gt;0, VLOOKUP(C202, 'INPUT CBM'!$N$3:$P$282, 3, FALSE), M202/L202)</f>
        <v>25.999807692169529</v>
      </c>
      <c r="P202" s="200">
        <f>+VLOOKUP(B202, 'INPUT CBM'!$B$3:$K$29, 10, FALSE)</f>
        <v>0.1349460965538038</v>
      </c>
      <c r="Q202" s="183">
        <f t="shared" si="22"/>
        <v>5015333.8070112085</v>
      </c>
      <c r="R202" s="78">
        <f t="shared" si="23"/>
        <v>4676.0724852071007</v>
      </c>
      <c r="S202" s="184">
        <f t="shared" si="24"/>
        <v>121576.98537002987</v>
      </c>
      <c r="U202" s="6"/>
      <c r="V202" s="6"/>
      <c r="W202" s="6"/>
    </row>
    <row r="203" spans="1:23" x14ac:dyDescent="0.25">
      <c r="A203" s="107" t="s">
        <v>248</v>
      </c>
      <c r="B203" s="108" t="s">
        <v>23</v>
      </c>
      <c r="C203" s="187" t="s">
        <v>151</v>
      </c>
      <c r="D203" s="181">
        <f t="shared" si="19"/>
        <v>411059.54142011836</v>
      </c>
      <c r="E203" s="111">
        <f>+VLOOKUP(C203, 'INPUT NFI'!$C$3:$K$282, 4, FALSE) * D203 / L203</f>
        <v>317608.68964786432</v>
      </c>
      <c r="F203" s="111">
        <f>+VLOOKUP(C203, 'INPUT NFI'!$C$3:$K$282, 5, FALSE) * D203 / L203</f>
        <v>93450.851772254071</v>
      </c>
      <c r="G203" s="111">
        <f t="shared" si="20"/>
        <v>62979265.733530238</v>
      </c>
      <c r="H203" s="111">
        <f>+VLOOKUP(C203, 'INPUT NFI'!$C$3:$K$282, 7, FALSE) * G203 / M203</f>
        <v>46374366.696795441</v>
      </c>
      <c r="I203" s="111">
        <f>+VLOOKUP(C203, 'INPUT NFI'!C203:K482, 8, FALSE) * G203 / M203</f>
        <v>16604899.036734799</v>
      </c>
      <c r="J203" s="213">
        <f t="shared" si="21"/>
        <v>153.21202742539688</v>
      </c>
      <c r="K203" s="4"/>
      <c r="L203" s="183">
        <f>+VLOOKUP(C203, 'INPUT NFI'!$C$3:$K$282, 3, FALSE)</f>
        <v>404000</v>
      </c>
      <c r="M203" s="184">
        <f>+VLOOKUP(C203, 'INPUT NFI'!$C$3:$K$282, 6, FALSE)</f>
        <v>55333236.879199997</v>
      </c>
      <c r="N203" s="201">
        <f>+VLOOKUP(B203, 'AREA CorrFactor'!$B$3:$J$40, 9, FALSE)</f>
        <v>1.7474112426035502E-2</v>
      </c>
      <c r="O203" s="202">
        <f>+IF(N203&gt;0, VLOOKUP(C203, 'INPUT CBM'!$N$3:$P$282, 3, FALSE), M203/L203)</f>
        <v>25.359229040719491</v>
      </c>
      <c r="P203" s="200">
        <f>+VLOOKUP(B203, 'INPUT CBM'!$B$3:$K$29, 10, FALSE)</f>
        <v>0.1349460965538038</v>
      </c>
      <c r="Q203" s="183">
        <f t="shared" si="22"/>
        <v>7467004.32653502</v>
      </c>
      <c r="R203" s="78">
        <f t="shared" si="23"/>
        <v>7059.541420118343</v>
      </c>
      <c r="S203" s="184">
        <f t="shared" si="24"/>
        <v>179024.52779522719</v>
      </c>
      <c r="U203" s="6"/>
      <c r="V203" s="6"/>
      <c r="W203" s="6"/>
    </row>
    <row r="204" spans="1:23" x14ac:dyDescent="0.25">
      <c r="A204" s="107" t="s">
        <v>247</v>
      </c>
      <c r="B204" s="108" t="s">
        <v>25</v>
      </c>
      <c r="C204" s="187" t="s">
        <v>25</v>
      </c>
      <c r="D204" s="181">
        <f t="shared" si="19"/>
        <v>3410790</v>
      </c>
      <c r="E204" s="111">
        <f>+VLOOKUP(C204, 'INPUT NFI'!$C$3:$K$282, 4, FALSE) * D204 / L204</f>
        <v>3011042.0070705446</v>
      </c>
      <c r="F204" s="111">
        <f>+VLOOKUP(C204, 'INPUT NFI'!$C$3:$K$282, 5, FALSE) * D204 / L204</f>
        <v>399747.99292945588</v>
      </c>
      <c r="G204" s="111">
        <f t="shared" si="20"/>
        <v>448846949.56899929</v>
      </c>
      <c r="H204" s="111">
        <f>+VLOOKUP(C204, 'INPUT NFI'!$C$3:$K$282, 7, FALSE) * G204 / M204</f>
        <v>373772614.98354948</v>
      </c>
      <c r="I204" s="111">
        <f>+VLOOKUP(C204, 'INPUT NFI'!C204:K483, 8, FALSE) * G204 / M204</f>
        <v>75074334.585449815</v>
      </c>
      <c r="J204" s="213">
        <f t="shared" si="21"/>
        <v>131.59618433530042</v>
      </c>
      <c r="K204" s="4"/>
      <c r="L204" s="183">
        <f>+VLOOKUP(C204, 'INPUT NFI'!$C$3:$K$282, 3, FALSE)</f>
        <v>3329596.2340000002</v>
      </c>
      <c r="M204" s="184">
        <f>+VLOOKUP(C204, 'INPUT NFI'!$C$3:$K$282, 6, FALSE)</f>
        <v>415625952.13099998</v>
      </c>
      <c r="N204" s="201">
        <f>+VLOOKUP(B204, 'AREA CorrFactor'!$B$3:$J$40, 9, FALSE)</f>
        <v>2.4385469076068107E-2</v>
      </c>
      <c r="O204" s="202">
        <f>+IF(N204&gt;0, VLOOKUP(C204, 'INPUT CBM'!$N$3:$P$282, 3, FALSE), M204/L204)</f>
        <v>14.85858107962091</v>
      </c>
      <c r="P204" s="200">
        <f>+VLOOKUP(B204, 'INPUT CBM'!$B$3:$K$29, 10, FALSE)</f>
        <v>7.7027368282907308E-2</v>
      </c>
      <c r="Q204" s="183">
        <f t="shared" si="22"/>
        <v>32014573.282728538</v>
      </c>
      <c r="R204" s="78">
        <f t="shared" si="23"/>
        <v>81193.765999999829</v>
      </c>
      <c r="S204" s="184">
        <f t="shared" si="24"/>
        <v>1206424.1552707651</v>
      </c>
      <c r="U204" s="6"/>
      <c r="V204" s="6"/>
      <c r="W204" s="6"/>
    </row>
    <row r="205" spans="1:23" x14ac:dyDescent="0.25">
      <c r="A205" s="107" t="s">
        <v>152</v>
      </c>
      <c r="B205" s="108" t="s">
        <v>29</v>
      </c>
      <c r="C205" s="187" t="s">
        <v>153</v>
      </c>
      <c r="D205" s="181">
        <f t="shared" si="19"/>
        <v>8530.0965778714308</v>
      </c>
      <c r="E205" s="111">
        <f>+VLOOKUP(C205, 'INPUT NFI'!$C$3:$K$282, 4, FALSE) * D205 / L205</f>
        <v>5451.7733971380067</v>
      </c>
      <c r="F205" s="111">
        <f>+VLOOKUP(C205, 'INPUT NFI'!$C$3:$K$282, 5, FALSE) * D205 / L205</f>
        <v>3078.3231807334241</v>
      </c>
      <c r="G205" s="111">
        <f t="shared" si="20"/>
        <v>1462700.8708013629</v>
      </c>
      <c r="H205" s="111">
        <f>+VLOOKUP(C205, 'INPUT NFI'!$C$3:$K$282, 7, FALSE) * G205 / M205</f>
        <v>759926.20326380583</v>
      </c>
      <c r="I205" s="111">
        <f>+VLOOKUP(C205, 'INPUT NFI'!C205:K484, 8, FALSE) * G205 / M205</f>
        <v>702774.66753755719</v>
      </c>
      <c r="J205" s="213">
        <f t="shared" si="21"/>
        <v>171.47530012683163</v>
      </c>
      <c r="K205" s="4"/>
      <c r="L205" s="183">
        <f>+VLOOKUP(C205, 'INPUT NFI'!$C$3:$K$282, 3, FALSE)</f>
        <v>8622</v>
      </c>
      <c r="M205" s="184">
        <f>+VLOOKUP(C205, 'INPUT NFI'!$C$3:$K$282, 6, FALSE)</f>
        <v>1523743.5370100001</v>
      </c>
      <c r="N205" s="201">
        <f>+VLOOKUP(B205, 'AREA CorrFactor'!$B$3:$J$40, 9, FALSE)</f>
        <v>-1.0659176772044629E-2</v>
      </c>
      <c r="O205" s="202">
        <f>+IF(N205&gt;0, VLOOKUP(C205, 'INPUT CBM'!$N$3:$P$282, 3, FALSE), M205/L205)</f>
        <v>176.72738773022502</v>
      </c>
      <c r="P205" s="200">
        <f>+VLOOKUP(B205, 'INPUT CBM'!$B$3:$K$29, 10, FALSE)</f>
        <v>-2.9401807721723593E-2</v>
      </c>
      <c r="Q205" s="183">
        <f t="shared" si="22"/>
        <v>-44800.814492387042</v>
      </c>
      <c r="R205" s="78">
        <f t="shared" si="23"/>
        <v>-91.903422128568792</v>
      </c>
      <c r="S205" s="184">
        <f t="shared" si="24"/>
        <v>-16241.851716250119</v>
      </c>
      <c r="U205" s="6"/>
      <c r="V205" s="6"/>
      <c r="W205" s="6"/>
    </row>
    <row r="206" spans="1:23" x14ac:dyDescent="0.25">
      <c r="A206" s="107" t="s">
        <v>152</v>
      </c>
      <c r="B206" s="108" t="s">
        <v>29</v>
      </c>
      <c r="C206" s="187" t="s">
        <v>154</v>
      </c>
      <c r="D206" s="181">
        <f t="shared" si="19"/>
        <v>12511.204050540724</v>
      </c>
      <c r="E206" s="111">
        <f>+VLOOKUP(C206, 'INPUT NFI'!$C$3:$K$282, 4, FALSE) * D206 / L206</f>
        <v>9546.8928386946063</v>
      </c>
      <c r="F206" s="111">
        <f>+VLOOKUP(C206, 'INPUT NFI'!$C$3:$K$282, 5, FALSE) * D206 / L206</f>
        <v>2964.3112118461177</v>
      </c>
      <c r="G206" s="111">
        <f t="shared" si="20"/>
        <v>2361386.5881404686</v>
      </c>
      <c r="H206" s="111">
        <f>+VLOOKUP(C206, 'INPUT NFI'!$C$3:$K$282, 7, FALSE) * G206 / M206</f>
        <v>1819614.6221897164</v>
      </c>
      <c r="I206" s="111">
        <f>+VLOOKUP(C206, 'INPUT NFI'!C206:K485, 8, FALSE) * G206 / M206</f>
        <v>541771.96595075203</v>
      </c>
      <c r="J206" s="213">
        <f t="shared" si="21"/>
        <v>188.74175327980615</v>
      </c>
      <c r="K206" s="4"/>
      <c r="L206" s="183">
        <f>+VLOOKUP(C206, 'INPUT NFI'!$C$3:$K$282, 3, FALSE)</f>
        <v>12646</v>
      </c>
      <c r="M206" s="184">
        <f>+VLOOKUP(C206, 'INPUT NFI'!$C$3:$K$282, 6, FALSE)</f>
        <v>2459933.9645500001</v>
      </c>
      <c r="N206" s="201">
        <f>+VLOOKUP(B206, 'AREA CorrFactor'!$B$3:$J$40, 9, FALSE)</f>
        <v>-1.0659176772044629E-2</v>
      </c>
      <c r="O206" s="202">
        <f>+IF(N206&gt;0, VLOOKUP(C206, 'INPUT CBM'!$N$3:$P$282, 3, FALSE), M206/L206)</f>
        <v>194.52269212003796</v>
      </c>
      <c r="P206" s="200">
        <f>+VLOOKUP(B206, 'INPUT CBM'!$B$3:$K$29, 10, FALSE)</f>
        <v>-2.9401807721723593E-2</v>
      </c>
      <c r="Q206" s="183">
        <f t="shared" si="22"/>
        <v>-72326.505433836326</v>
      </c>
      <c r="R206" s="78">
        <f t="shared" si="23"/>
        <v>-134.79594945927639</v>
      </c>
      <c r="S206" s="184">
        <f t="shared" si="24"/>
        <v>-26220.870975695019</v>
      </c>
      <c r="T206" s="14"/>
      <c r="U206" s="6"/>
      <c r="V206" s="6"/>
      <c r="W206" s="6"/>
    </row>
    <row r="207" spans="1:23" x14ac:dyDescent="0.25">
      <c r="A207" s="107" t="s">
        <v>152</v>
      </c>
      <c r="B207" s="108" t="s">
        <v>29</v>
      </c>
      <c r="C207" s="187" t="s">
        <v>155</v>
      </c>
      <c r="D207" s="181">
        <f t="shared" si="19"/>
        <v>34973.198101108224</v>
      </c>
      <c r="E207" s="111">
        <f>+VLOOKUP(C207, 'INPUT NFI'!$C$3:$K$282, 4, FALSE) * D207 / L207</f>
        <v>29386.611587045929</v>
      </c>
      <c r="F207" s="111">
        <f>+VLOOKUP(C207, 'INPUT NFI'!$C$3:$K$282, 5, FALSE) * D207 / L207</f>
        <v>5586.5865140622955</v>
      </c>
      <c r="G207" s="111">
        <f t="shared" si="20"/>
        <v>7478496.9028724171</v>
      </c>
      <c r="H207" s="111">
        <f>+VLOOKUP(C207, 'INPUT NFI'!$C$3:$K$282, 7, FALSE) * G207 / M207</f>
        <v>6063514.4143132996</v>
      </c>
      <c r="I207" s="111">
        <f>+VLOOKUP(C207, 'INPUT NFI'!C207:K486, 8, FALSE) * G207 / M207</f>
        <v>1414982.4885591175</v>
      </c>
      <c r="J207" s="213">
        <f t="shared" si="21"/>
        <v>213.83508826536055</v>
      </c>
      <c r="K207" s="4"/>
      <c r="L207" s="183">
        <f>+VLOOKUP(C207, 'INPUT NFI'!$C$3:$K$282, 3, FALSE)</f>
        <v>35350</v>
      </c>
      <c r="M207" s="184">
        <f>+VLOOKUP(C207, 'INPUT NFI'!$C$3:$K$282, 6, FALSE)</f>
        <v>7790595.8421</v>
      </c>
      <c r="N207" s="201">
        <f>+VLOOKUP(B207, 'AREA CorrFactor'!$B$3:$J$40, 9, FALSE)</f>
        <v>-1.0659176772044629E-2</v>
      </c>
      <c r="O207" s="202">
        <f>+IF(N207&gt;0, VLOOKUP(C207, 'INPUT CBM'!$N$3:$P$282, 3, FALSE), M207/L207)</f>
        <v>220.38460656577087</v>
      </c>
      <c r="P207" s="200">
        <f>+VLOOKUP(B207, 'INPUT CBM'!$B$3:$K$29, 10, FALSE)</f>
        <v>-2.9401807721723593E-2</v>
      </c>
      <c r="Q207" s="183">
        <f t="shared" si="22"/>
        <v>-229057.60098708348</v>
      </c>
      <c r="R207" s="78">
        <f t="shared" si="23"/>
        <v>-376.80189889177763</v>
      </c>
      <c r="S207" s="184">
        <f t="shared" si="24"/>
        <v>-83041.338240499783</v>
      </c>
      <c r="T207" s="14"/>
      <c r="U207" s="6"/>
      <c r="V207" s="6"/>
      <c r="W207" s="6"/>
    </row>
    <row r="208" spans="1:23" x14ac:dyDescent="0.25">
      <c r="A208" s="107" t="s">
        <v>152</v>
      </c>
      <c r="B208" s="108" t="s">
        <v>29</v>
      </c>
      <c r="C208" s="187" t="s">
        <v>156</v>
      </c>
      <c r="D208" s="181">
        <f t="shared" si="19"/>
        <v>38208.342593063637</v>
      </c>
      <c r="E208" s="111">
        <f>+VLOOKUP(C208, 'INPUT NFI'!$C$3:$K$282, 4, FALSE) * D208 / L208</f>
        <v>33305.827897271884</v>
      </c>
      <c r="F208" s="111">
        <f>+VLOOKUP(C208, 'INPUT NFI'!$C$3:$K$282, 5, FALSE) * D208 / L208</f>
        <v>4902.5146957917541</v>
      </c>
      <c r="G208" s="111">
        <f t="shared" si="20"/>
        <v>8352390.4501301339</v>
      </c>
      <c r="H208" s="111">
        <f>+VLOOKUP(C208, 'INPUT NFI'!$C$3:$K$282, 7, FALSE) * G208 / M208</f>
        <v>6888770.7861888856</v>
      </c>
      <c r="I208" s="111">
        <f>+VLOOKUP(C208, 'INPUT NFI'!C208:K487, 8, FALSE) * G208 / M208</f>
        <v>1463619.6639412483</v>
      </c>
      <c r="J208" s="213">
        <f t="shared" si="21"/>
        <v>218.60122379782135</v>
      </c>
      <c r="K208" s="4"/>
      <c r="L208" s="183">
        <f>+VLOOKUP(C208, 'INPUT NFI'!$C$3:$K$282, 3, FALSE)</f>
        <v>38620</v>
      </c>
      <c r="M208" s="184">
        <f>+VLOOKUP(C208, 'INPUT NFI'!$C$3:$K$282, 6, FALSE)</f>
        <v>8700959.4518100005</v>
      </c>
      <c r="N208" s="201">
        <f>+VLOOKUP(B208, 'AREA CorrFactor'!$B$3:$J$40, 9, FALSE)</f>
        <v>-1.0659176772044629E-2</v>
      </c>
      <c r="O208" s="202">
        <f>+IF(N208&gt;0, VLOOKUP(C208, 'INPUT CBM'!$N$3:$P$282, 3, FALSE), M208/L208)</f>
        <v>225.29672324728122</v>
      </c>
      <c r="P208" s="200">
        <f>+VLOOKUP(B208, 'INPUT CBM'!$B$3:$K$29, 10, FALSE)</f>
        <v>-2.9401807721723593E-2</v>
      </c>
      <c r="Q208" s="183">
        <f t="shared" si="22"/>
        <v>-255823.93679663114</v>
      </c>
      <c r="R208" s="78">
        <f t="shared" si="23"/>
        <v>-411.6574069363636</v>
      </c>
      <c r="S208" s="184">
        <f t="shared" si="24"/>
        <v>-92745.064883235333</v>
      </c>
      <c r="T208" s="14"/>
      <c r="U208" s="6"/>
      <c r="V208" s="6"/>
      <c r="W208" s="6"/>
    </row>
    <row r="209" spans="1:23" x14ac:dyDescent="0.25">
      <c r="A209" s="107" t="s">
        <v>152</v>
      </c>
      <c r="B209" s="108" t="s">
        <v>29</v>
      </c>
      <c r="C209" s="187" t="s">
        <v>157</v>
      </c>
      <c r="D209" s="181">
        <f t="shared" si="19"/>
        <v>97799.308398553068</v>
      </c>
      <c r="E209" s="111">
        <f>+VLOOKUP(C209, 'INPUT NFI'!$C$3:$K$282, 4, FALSE) * D209 / L209</f>
        <v>86854.159312160453</v>
      </c>
      <c r="F209" s="111">
        <f>+VLOOKUP(C209, 'INPUT NFI'!$C$3:$K$282, 5, FALSE) * D209 / L209</f>
        <v>10945.149086392614</v>
      </c>
      <c r="G209" s="111">
        <f t="shared" si="20"/>
        <v>20672640.958852727</v>
      </c>
      <c r="H209" s="111">
        <f>+VLOOKUP(C209, 'INPUT NFI'!$C$3:$K$282, 7, FALSE) * G209 / M209</f>
        <v>17243268.120086264</v>
      </c>
      <c r="I209" s="111">
        <f>+VLOOKUP(C209, 'INPUT NFI'!C209:K488, 8, FALSE) * G209 / M209</f>
        <v>3429372.838766465</v>
      </c>
      <c r="J209" s="213">
        <f t="shared" si="21"/>
        <v>211.37819170057216</v>
      </c>
      <c r="K209" s="4"/>
      <c r="L209" s="183">
        <f>+VLOOKUP(C209, 'INPUT NFI'!$C$3:$K$282, 3, FALSE)</f>
        <v>98853</v>
      </c>
      <c r="M209" s="184">
        <f>+VLOOKUP(C209, 'INPUT NFI'!$C$3:$K$282, 6, FALSE)</f>
        <v>21535369.044199999</v>
      </c>
      <c r="N209" s="201">
        <f>+VLOOKUP(B209, 'AREA CorrFactor'!$B$3:$J$40, 9, FALSE)</f>
        <v>-1.0659176772044629E-2</v>
      </c>
      <c r="O209" s="202">
        <f>+IF(N209&gt;0, VLOOKUP(C209, 'INPUT CBM'!$N$3:$P$282, 3, FALSE), M209/L209)</f>
        <v>217.85245813682943</v>
      </c>
      <c r="P209" s="200">
        <f>+VLOOKUP(B209, 'INPUT CBM'!$B$3:$K$29, 10, FALSE)</f>
        <v>-2.9401807721723593E-2</v>
      </c>
      <c r="Q209" s="183">
        <f t="shared" si="22"/>
        <v>-633178.77985392674</v>
      </c>
      <c r="R209" s="78">
        <f t="shared" si="23"/>
        <v>-1053.6916014469277</v>
      </c>
      <c r="S209" s="184">
        <f t="shared" si="24"/>
        <v>-229549.30549334557</v>
      </c>
      <c r="T209" s="14"/>
      <c r="U209" s="6"/>
      <c r="V209" s="6"/>
      <c r="W209" s="6"/>
    </row>
    <row r="210" spans="1:23" x14ac:dyDescent="0.25">
      <c r="A210" s="107" t="s">
        <v>152</v>
      </c>
      <c r="B210" s="108" t="s">
        <v>29</v>
      </c>
      <c r="C210" s="187" t="s">
        <v>158</v>
      </c>
      <c r="D210" s="181">
        <f t="shared" si="19"/>
        <v>16261.795111397902</v>
      </c>
      <c r="E210" s="111">
        <f>+VLOOKUP(C210, 'INPUT NFI'!$C$3:$K$282, 4, FALSE) * D210 / L210</f>
        <v>13069.45996078783</v>
      </c>
      <c r="F210" s="111">
        <f>+VLOOKUP(C210, 'INPUT NFI'!$C$3:$K$282, 5, FALSE) * D210 / L210</f>
        <v>3192.3351506100712</v>
      </c>
      <c r="G210" s="111">
        <f t="shared" si="20"/>
        <v>2995803.0686444929</v>
      </c>
      <c r="H210" s="111">
        <f>+VLOOKUP(C210, 'INPUT NFI'!$C$3:$K$282, 7, FALSE) * G210 / M210</f>
        <v>2181485.1466637058</v>
      </c>
      <c r="I210" s="111">
        <f>+VLOOKUP(C210, 'INPUT NFI'!C210:K489, 8, FALSE) * G210 / M210</f>
        <v>814317.92198078695</v>
      </c>
      <c r="J210" s="213">
        <f t="shared" si="21"/>
        <v>184.22339281256427</v>
      </c>
      <c r="K210" s="4"/>
      <c r="L210" s="183">
        <f>+VLOOKUP(C210, 'INPUT NFI'!$C$3:$K$282, 3, FALSE)</f>
        <v>16437</v>
      </c>
      <c r="M210" s="184">
        <f>+VLOOKUP(C210, 'INPUT NFI'!$C$3:$K$282, 6, FALSE)</f>
        <v>3120826.4486099998</v>
      </c>
      <c r="N210" s="201">
        <f>+VLOOKUP(B210, 'AREA CorrFactor'!$B$3:$J$40, 9, FALSE)</f>
        <v>-1.0659176772044629E-2</v>
      </c>
      <c r="O210" s="202">
        <f>+IF(N210&gt;0, VLOOKUP(C210, 'INPUT CBM'!$N$3:$P$282, 3, FALSE), M210/L210)</f>
        <v>189.865939563789</v>
      </c>
      <c r="P210" s="200">
        <f>+VLOOKUP(B210, 'INPUT CBM'!$B$3:$K$29, 10, FALSE)</f>
        <v>-2.9401807721723593E-2</v>
      </c>
      <c r="Q210" s="183">
        <f t="shared" si="22"/>
        <v>-91757.939174900705</v>
      </c>
      <c r="R210" s="78">
        <f t="shared" si="23"/>
        <v>-175.20488860209755</v>
      </c>
      <c r="S210" s="184">
        <f t="shared" si="24"/>
        <v>-33265.440790606241</v>
      </c>
      <c r="T210" s="14"/>
      <c r="U210" s="6"/>
      <c r="V210" s="6"/>
      <c r="W210" s="6"/>
    </row>
    <row r="211" spans="1:23" x14ac:dyDescent="0.25">
      <c r="A211" s="107" t="s">
        <v>152</v>
      </c>
      <c r="B211" s="108" t="s">
        <v>29</v>
      </c>
      <c r="C211" s="187" t="s">
        <v>159</v>
      </c>
      <c r="D211" s="181">
        <f t="shared" si="19"/>
        <v>19966.876494386594</v>
      </c>
      <c r="E211" s="111">
        <f>+VLOOKUP(C211, 'INPUT NFI'!$C$3:$K$282, 4, FALSE) * D211 / L211</f>
        <v>16318.493465259276</v>
      </c>
      <c r="F211" s="111">
        <f>+VLOOKUP(C211, 'INPUT NFI'!$C$3:$K$282, 5, FALSE) * D211 / L211</f>
        <v>3648.383029127318</v>
      </c>
      <c r="G211" s="111">
        <f t="shared" si="20"/>
        <v>3817394.8121706699</v>
      </c>
      <c r="H211" s="111">
        <f>+VLOOKUP(C211, 'INPUT NFI'!$C$3:$K$282, 7, FALSE) * G211 / M211</f>
        <v>2883828.7589620086</v>
      </c>
      <c r="I211" s="111">
        <f>+VLOOKUP(C211, 'INPUT NFI'!C211:K490, 8, FALSE) * G211 / M211</f>
        <v>933566.05320866103</v>
      </c>
      <c r="J211" s="213">
        <f t="shared" si="21"/>
        <v>191.18637876304172</v>
      </c>
      <c r="K211" s="4"/>
      <c r="L211" s="183">
        <f>+VLOOKUP(C211, 'INPUT NFI'!$C$3:$K$282, 3, FALSE)</f>
        <v>20182</v>
      </c>
      <c r="M211" s="184">
        <f>+VLOOKUP(C211, 'INPUT NFI'!$C$3:$K$282, 6, FALSE)</f>
        <v>3976705.55161</v>
      </c>
      <c r="N211" s="201">
        <f>+VLOOKUP(B211, 'AREA CorrFactor'!$B$3:$J$40, 9, FALSE)</f>
        <v>-1.0659176772044629E-2</v>
      </c>
      <c r="O211" s="202">
        <f>+IF(N211&gt;0, VLOOKUP(C211, 'INPUT CBM'!$N$3:$P$282, 3, FALSE), M211/L211)</f>
        <v>197.04219361857099</v>
      </c>
      <c r="P211" s="200">
        <f>+VLOOKUP(B211, 'INPUT CBM'!$B$3:$K$29, 10, FALSE)</f>
        <v>-2.9401807721723593E-2</v>
      </c>
      <c r="Q211" s="183">
        <f t="shared" si="22"/>
        <v>-116922.33199434797</v>
      </c>
      <c r="R211" s="78">
        <f t="shared" si="23"/>
        <v>-215.12350561340469</v>
      </c>
      <c r="S211" s="184">
        <f t="shared" si="24"/>
        <v>-42388.407444982229</v>
      </c>
      <c r="T211" s="14"/>
      <c r="U211" s="6"/>
      <c r="V211" s="6"/>
      <c r="W211" s="6"/>
    </row>
    <row r="212" spans="1:23" x14ac:dyDescent="0.25">
      <c r="A212" s="107" t="s">
        <v>152</v>
      </c>
      <c r="B212" s="108" t="s">
        <v>29</v>
      </c>
      <c r="C212" s="187" t="s">
        <v>160</v>
      </c>
      <c r="D212" s="181">
        <f t="shared" si="19"/>
        <v>15674.126662400497</v>
      </c>
      <c r="E212" s="111">
        <f>+VLOOKUP(C212, 'INPUT NFI'!$C$3:$K$282, 4, FALSE) * D212 / L212</f>
        <v>10657.599996732095</v>
      </c>
      <c r="F212" s="111">
        <f>+VLOOKUP(C212, 'INPUT NFI'!$C$3:$K$282, 5, FALSE) * D212 / L212</f>
        <v>5016.5266656684007</v>
      </c>
      <c r="G212" s="111">
        <f t="shared" si="20"/>
        <v>3331870.1264011138</v>
      </c>
      <c r="H212" s="111">
        <f>+VLOOKUP(C212, 'INPUT NFI'!$C$3:$K$282, 7, FALSE) * G212 / M212</f>
        <v>1885909.3210805224</v>
      </c>
      <c r="I212" s="111">
        <f>+VLOOKUP(C212, 'INPUT NFI'!C212:K491, 8, FALSE) * G212 / M212</f>
        <v>1445960.8053205914</v>
      </c>
      <c r="J212" s="213">
        <f t="shared" si="21"/>
        <v>212.5713411767745</v>
      </c>
      <c r="K212" s="4"/>
      <c r="L212" s="183">
        <f>+VLOOKUP(C212, 'INPUT NFI'!$C$3:$K$282, 3, FALSE)</f>
        <v>15843</v>
      </c>
      <c r="M212" s="184">
        <f>+VLOOKUP(C212, 'INPUT NFI'!$C$3:$K$282, 6, FALSE)</f>
        <v>3470918.5402199998</v>
      </c>
      <c r="N212" s="201">
        <f>+VLOOKUP(B212, 'AREA CorrFactor'!$B$3:$J$40, 9, FALSE)</f>
        <v>-1.0659176772044629E-2</v>
      </c>
      <c r="O212" s="202">
        <f>+IF(N212&gt;0, VLOOKUP(C212, 'INPUT CBM'!$N$3:$P$282, 3, FALSE), M212/L212)</f>
        <v>219.08215238401817</v>
      </c>
      <c r="P212" s="200">
        <f>+VLOOKUP(B212, 'INPUT CBM'!$B$3:$K$29, 10, FALSE)</f>
        <v>-2.9401807721723593E-2</v>
      </c>
      <c r="Q212" s="183">
        <f t="shared" si="22"/>
        <v>-102051.27953731397</v>
      </c>
      <c r="R212" s="78">
        <f t="shared" si="23"/>
        <v>-168.87333759950306</v>
      </c>
      <c r="S212" s="184">
        <f t="shared" si="24"/>
        <v>-36997.134281572078</v>
      </c>
      <c r="T212" s="14"/>
      <c r="U212" s="6"/>
      <c r="V212" s="6"/>
      <c r="W212" s="6"/>
    </row>
    <row r="213" spans="1:23" x14ac:dyDescent="0.25">
      <c r="A213" s="107" t="s">
        <v>152</v>
      </c>
      <c r="B213" s="108" t="s">
        <v>29</v>
      </c>
      <c r="C213" s="187" t="s">
        <v>161</v>
      </c>
      <c r="D213" s="181">
        <f t="shared" si="19"/>
        <v>10759.081452604014</v>
      </c>
      <c r="E213" s="111">
        <f>+VLOOKUP(C213, 'INPUT NFI'!$C$3:$K$282, 4, FALSE) * D213 / L213</f>
        <v>6654.6505439701077</v>
      </c>
      <c r="F213" s="111">
        <f>+VLOOKUP(C213, 'INPUT NFI'!$C$3:$K$282, 5, FALSE) * D213 / L213</f>
        <v>4104.4309086339053</v>
      </c>
      <c r="G213" s="111">
        <f t="shared" si="20"/>
        <v>1924539.2751225224</v>
      </c>
      <c r="H213" s="111">
        <f>+VLOOKUP(C213, 'INPUT NFI'!$C$3:$K$282, 7, FALSE) * G213 / M213</f>
        <v>813535.41989759228</v>
      </c>
      <c r="I213" s="111">
        <f>+VLOOKUP(C213, 'INPUT NFI'!C213:K492, 8, FALSE) * G213 / M213</f>
        <v>1111003.8552249302</v>
      </c>
      <c r="J213" s="213">
        <f t="shared" si="21"/>
        <v>178.87579749261283</v>
      </c>
      <c r="K213" s="4"/>
      <c r="L213" s="183">
        <f>+VLOOKUP(C213, 'INPUT NFI'!$C$3:$K$282, 3, FALSE)</f>
        <v>10875</v>
      </c>
      <c r="M213" s="184">
        <f>+VLOOKUP(C213, 'INPUT NFI'!$C$3:$K$282, 6, FALSE)</f>
        <v>2004855.7710800001</v>
      </c>
      <c r="N213" s="201">
        <f>+VLOOKUP(B213, 'AREA CorrFactor'!$B$3:$J$40, 9, FALSE)</f>
        <v>-1.0659176772044629E-2</v>
      </c>
      <c r="O213" s="202">
        <f>+IF(N213&gt;0, VLOOKUP(C213, 'INPUT CBM'!$N$3:$P$282, 3, FALSE), M213/L213)</f>
        <v>184.35455366252876</v>
      </c>
      <c r="P213" s="200">
        <f>+VLOOKUP(B213, 'INPUT CBM'!$B$3:$K$29, 10, FALSE)</f>
        <v>-2.9401807721723593E-2</v>
      </c>
      <c r="Q213" s="183">
        <f t="shared" si="22"/>
        <v>-58946.383891082056</v>
      </c>
      <c r="R213" s="78">
        <f t="shared" si="23"/>
        <v>-115.91854739598534</v>
      </c>
      <c r="S213" s="184">
        <f t="shared" si="24"/>
        <v>-21370.112066395563</v>
      </c>
      <c r="T213" s="14"/>
      <c r="U213" s="6"/>
      <c r="V213" s="6"/>
      <c r="W213" s="6"/>
    </row>
    <row r="214" spans="1:23" x14ac:dyDescent="0.25">
      <c r="A214" s="107" t="s">
        <v>152</v>
      </c>
      <c r="B214" s="108" t="s">
        <v>29</v>
      </c>
      <c r="C214" s="187" t="s">
        <v>162</v>
      </c>
      <c r="D214" s="181">
        <f t="shared" si="19"/>
        <v>4659.7952774036694</v>
      </c>
      <c r="E214" s="111">
        <f>+VLOOKUP(C214, 'INPUT NFI'!$C$3:$K$282, 4, FALSE) * D214 / L214</f>
        <v>3291.6516408625876</v>
      </c>
      <c r="F214" s="111">
        <f>+VLOOKUP(C214, 'INPUT NFI'!$C$3:$K$282, 5, FALSE) * D214 / L214</f>
        <v>1368.1436365410823</v>
      </c>
      <c r="G214" s="111">
        <f t="shared" si="20"/>
        <v>529308.56310832733</v>
      </c>
      <c r="H214" s="111">
        <f>+VLOOKUP(C214, 'INPUT NFI'!$C$3:$K$282, 7, FALSE) * G214 / M214</f>
        <v>278388.9729409992</v>
      </c>
      <c r="I214" s="111">
        <f>+VLOOKUP(C214, 'INPUT NFI'!C214:K493, 8, FALSE) * G214 / M214</f>
        <v>250919.5901673281</v>
      </c>
      <c r="J214" s="213">
        <f t="shared" si="21"/>
        <v>113.59051880992632</v>
      </c>
      <c r="K214" s="4"/>
      <c r="L214" s="183">
        <f>+VLOOKUP(C214, 'INPUT NFI'!$C$3:$K$282, 3, FALSE)</f>
        <v>4710</v>
      </c>
      <c r="M214" s="184">
        <f>+VLOOKUP(C214, 'INPUT NFI'!$C$3:$K$282, 6, FALSE)</f>
        <v>551398.11442</v>
      </c>
      <c r="N214" s="201">
        <f>+VLOOKUP(B214, 'AREA CorrFactor'!$B$3:$J$40, 9, FALSE)</f>
        <v>-1.0659176772044629E-2</v>
      </c>
      <c r="O214" s="202">
        <f>+IF(N214&gt;0, VLOOKUP(C214, 'INPUT CBM'!$N$3:$P$282, 3, FALSE), M214/L214)</f>
        <v>117.06966335881104</v>
      </c>
      <c r="P214" s="200">
        <f>+VLOOKUP(B214, 'INPUT CBM'!$B$3:$K$29, 10, FALSE)</f>
        <v>-2.9401807721723593E-2</v>
      </c>
      <c r="Q214" s="183">
        <f t="shared" si="22"/>
        <v>-16212.101338297785</v>
      </c>
      <c r="R214" s="78">
        <f t="shared" si="23"/>
        <v>-50.2047225963302</v>
      </c>
      <c r="S214" s="184">
        <f t="shared" si="24"/>
        <v>-5877.4499733748708</v>
      </c>
      <c r="T214" s="14"/>
      <c r="U214" s="6"/>
      <c r="V214" s="6"/>
      <c r="W214" s="6"/>
    </row>
    <row r="215" spans="1:23" x14ac:dyDescent="0.25">
      <c r="A215" s="107" t="s">
        <v>152</v>
      </c>
      <c r="B215" s="108" t="s">
        <v>29</v>
      </c>
      <c r="C215" s="187" t="s">
        <v>163</v>
      </c>
      <c r="D215" s="181">
        <f t="shared" si="19"/>
        <v>75925.97213780621</v>
      </c>
      <c r="E215" s="111">
        <f>+VLOOKUP(C215, 'INPUT NFI'!$C$3:$K$282, 4, FALSE) * D215 / L215</f>
        <v>66691.002594616599</v>
      </c>
      <c r="F215" s="111">
        <f>+VLOOKUP(C215, 'INPUT NFI'!$C$3:$K$282, 5, FALSE) * D215 / L215</f>
        <v>9234.9695431896143</v>
      </c>
      <c r="G215" s="111">
        <f t="shared" si="20"/>
        <v>12112561.41858265</v>
      </c>
      <c r="H215" s="111">
        <f>+VLOOKUP(C215, 'INPUT NFI'!$C$3:$K$282, 7, FALSE) * G215 / M215</f>
        <v>9624977.3525591735</v>
      </c>
      <c r="I215" s="111">
        <f>+VLOOKUP(C215, 'INPUT NFI'!C215:K494, 8, FALSE) * G215 / M215</f>
        <v>2487584.0660234764</v>
      </c>
      <c r="J215" s="213">
        <f t="shared" si="21"/>
        <v>159.53119963480032</v>
      </c>
      <c r="K215" s="4"/>
      <c r="L215" s="183">
        <f>+VLOOKUP(C215, 'INPUT NFI'!$C$3:$K$282, 3, FALSE)</f>
        <v>76744</v>
      </c>
      <c r="M215" s="184">
        <f>+VLOOKUP(C215, 'INPUT NFI'!$C$3:$K$282, 6, FALSE)</f>
        <v>12618053.046</v>
      </c>
      <c r="N215" s="201">
        <f>+VLOOKUP(B215, 'AREA CorrFactor'!$B$3:$J$40, 9, FALSE)</f>
        <v>-1.0659176772044629E-2</v>
      </c>
      <c r="O215" s="202">
        <f>+IF(N215&gt;0, VLOOKUP(C215, 'INPUT CBM'!$N$3:$P$282, 3, FALSE), M215/L215)</f>
        <v>164.41745342958407</v>
      </c>
      <c r="P215" s="200">
        <f>+VLOOKUP(B215, 'INPUT CBM'!$B$3:$K$29, 10, FALSE)</f>
        <v>-2.9401807721723593E-2</v>
      </c>
      <c r="Q215" s="183">
        <f t="shared" si="22"/>
        <v>-370993.56948100071</v>
      </c>
      <c r="R215" s="78">
        <f t="shared" si="23"/>
        <v>-818.027862193793</v>
      </c>
      <c r="S215" s="184">
        <f t="shared" si="24"/>
        <v>-134498.05793635017</v>
      </c>
      <c r="T215" s="14"/>
      <c r="U215" s="6"/>
      <c r="V215" s="6"/>
      <c r="W215" s="6"/>
    </row>
    <row r="216" spans="1:23" x14ac:dyDescent="0.25">
      <c r="A216" s="107" t="s">
        <v>152</v>
      </c>
      <c r="B216" s="108" t="s">
        <v>29</v>
      </c>
      <c r="C216" s="187" t="s">
        <v>164</v>
      </c>
      <c r="D216" s="181">
        <f t="shared" si="19"/>
        <v>34230.203142864026</v>
      </c>
      <c r="E216" s="111">
        <f>+VLOOKUP(C216, 'INPUT NFI'!$C$3:$K$282, 4, FALSE) * D216 / L216</f>
        <v>28757.628598678381</v>
      </c>
      <c r="F216" s="111">
        <f>+VLOOKUP(C216, 'INPUT NFI'!$C$3:$K$282, 5, FALSE) * D216 / L216</f>
        <v>5472.5745441856479</v>
      </c>
      <c r="G216" s="111">
        <f t="shared" si="20"/>
        <v>6207293.6667444799</v>
      </c>
      <c r="H216" s="111">
        <f>+VLOOKUP(C216, 'INPUT NFI'!$C$3:$K$282, 7, FALSE) * G216 / M216</f>
        <v>4781731.6384587614</v>
      </c>
      <c r="I216" s="111">
        <f>+VLOOKUP(C216, 'INPUT NFI'!C216:K495, 8, FALSE) * G216 / M216</f>
        <v>1425562.0282857185</v>
      </c>
      <c r="J216" s="213">
        <f t="shared" si="21"/>
        <v>181.33966780265851</v>
      </c>
      <c r="K216" s="4"/>
      <c r="L216" s="183">
        <f>+VLOOKUP(C216, 'INPUT NFI'!$C$3:$K$282, 3, FALSE)</f>
        <v>34599</v>
      </c>
      <c r="M216" s="184">
        <f>+VLOOKUP(C216, 'INPUT NFI'!$C$3:$K$282, 6, FALSE)</f>
        <v>6466341.6805400001</v>
      </c>
      <c r="N216" s="201">
        <f>+VLOOKUP(B216, 'AREA CorrFactor'!$B$3:$J$40, 9, FALSE)</f>
        <v>-1.0659176772044629E-2</v>
      </c>
      <c r="O216" s="202">
        <f>+IF(N216&gt;0, VLOOKUP(C216, 'INPUT CBM'!$N$3:$P$282, 3, FALSE), M216/L216)</f>
        <v>186.89388943437672</v>
      </c>
      <c r="P216" s="200">
        <f>+VLOOKUP(B216, 'INPUT CBM'!$B$3:$K$29, 10, FALSE)</f>
        <v>-2.9401807721723593E-2</v>
      </c>
      <c r="Q216" s="183">
        <f t="shared" si="22"/>
        <v>-190122.13475420407</v>
      </c>
      <c r="R216" s="78">
        <f t="shared" si="23"/>
        <v>-368.79685713597212</v>
      </c>
      <c r="S216" s="184">
        <f t="shared" si="24"/>
        <v>-68925.879041316002</v>
      </c>
      <c r="T216" s="14"/>
      <c r="U216" s="6"/>
      <c r="V216" s="6"/>
      <c r="W216" s="6"/>
    </row>
    <row r="217" spans="1:23" x14ac:dyDescent="0.25">
      <c r="A217" s="107" t="s">
        <v>165</v>
      </c>
      <c r="B217" s="108" t="s">
        <v>30</v>
      </c>
      <c r="C217" s="187" t="s">
        <v>166</v>
      </c>
      <c r="D217" s="181">
        <f t="shared" si="19"/>
        <v>29990.727892650822</v>
      </c>
      <c r="E217" s="111">
        <f>+VLOOKUP(C217, 'INPUT NFI'!$C$3:$K$282, 4, FALSE) * D217 / L217</f>
        <v>24570.767315464091</v>
      </c>
      <c r="F217" s="111">
        <f>+VLOOKUP(C217, 'INPUT NFI'!$C$3:$K$282, 5, FALSE) * D217 / L217</f>
        <v>5419.96057718673</v>
      </c>
      <c r="G217" s="111">
        <f t="shared" si="20"/>
        <v>4372224.9057535715</v>
      </c>
      <c r="H217" s="111">
        <f>+VLOOKUP(C217, 'INPUT NFI'!$C$3:$K$282, 7, FALSE) * G217 / M217</f>
        <v>3801765.5127792782</v>
      </c>
      <c r="I217" s="111">
        <f>+VLOOKUP(C217, 'INPUT NFI'!C217:K496, 8, FALSE) * G217 / M217</f>
        <v>570459.39297429344</v>
      </c>
      <c r="J217" s="213">
        <f t="shared" si="21"/>
        <v>145.78588827198749</v>
      </c>
      <c r="K217" s="4"/>
      <c r="L217" s="183">
        <f>+VLOOKUP(C217, 'INPUT NFI'!$C$3:$K$282, 3, FALSE)</f>
        <v>29921.101600000002</v>
      </c>
      <c r="M217" s="184">
        <f>+VLOOKUP(C217, 'INPUT NFI'!$C$3:$K$282, 6, FALSE)</f>
        <v>3894057.7724899999</v>
      </c>
      <c r="N217" s="201">
        <f>+VLOOKUP(B217, 'AREA CorrFactor'!$B$3:$J$40, 9, FALSE)</f>
        <v>2.3269962978509605E-3</v>
      </c>
      <c r="O217" s="202">
        <f>+IF(N217&gt;0, VLOOKUP(C217, 'INPUT CBM'!$N$3:$P$282, 3, FALSE), M217/L217)</f>
        <v>28.535128621325118</v>
      </c>
      <c r="P217" s="200">
        <f>+VLOOKUP(B217, 'INPUT CBM'!$B$3:$K$29, 10, FALSE)</f>
        <v>0.12228384011438716</v>
      </c>
      <c r="Q217" s="183">
        <f t="shared" si="22"/>
        <v>476180.33804735373</v>
      </c>
      <c r="R217" s="78">
        <f t="shared" si="23"/>
        <v>69.62629265082245</v>
      </c>
      <c r="S217" s="184">
        <f t="shared" si="24"/>
        <v>1986.7952162172423</v>
      </c>
      <c r="T217" s="14"/>
      <c r="U217" s="6"/>
      <c r="V217" s="6"/>
      <c r="W217" s="6"/>
    </row>
    <row r="218" spans="1:23" x14ac:dyDescent="0.25">
      <c r="A218" s="107" t="s">
        <v>165</v>
      </c>
      <c r="B218" s="108" t="s">
        <v>30</v>
      </c>
      <c r="C218" s="187" t="s">
        <v>167</v>
      </c>
      <c r="D218" s="181">
        <f t="shared" si="19"/>
        <v>318425.65006504266</v>
      </c>
      <c r="E218" s="111">
        <f>+VLOOKUP(C218, 'INPUT NFI'!$C$3:$K$282, 4, FALSE) * D218 / L218</f>
        <v>289519.19365338009</v>
      </c>
      <c r="F218" s="111">
        <f>+VLOOKUP(C218, 'INPUT NFI'!$C$3:$K$282, 5, FALSE) * D218 / L218</f>
        <v>28906.456411662581</v>
      </c>
      <c r="G218" s="111">
        <f t="shared" si="20"/>
        <v>38449950.249789886</v>
      </c>
      <c r="H218" s="111">
        <f>+VLOOKUP(C218, 'INPUT NFI'!$C$3:$K$282, 7, FALSE) * G218 / M218</f>
        <v>35667004.698196046</v>
      </c>
      <c r="I218" s="111">
        <f>+VLOOKUP(C218, 'INPUT NFI'!C218:K497, 8, FALSE) * G218 / M218</f>
        <v>2782945.5515938401</v>
      </c>
      <c r="J218" s="213">
        <f t="shared" si="21"/>
        <v>120.75016645780883</v>
      </c>
      <c r="K218" s="4"/>
      <c r="L218" s="183">
        <f>+VLOOKUP(C218, 'INPUT NFI'!$C$3:$K$282, 3, FALSE)</f>
        <v>317686.39500000002</v>
      </c>
      <c r="M218" s="184">
        <f>+VLOOKUP(C218, 'INPUT NFI'!$C$3:$K$282, 6, FALSE)</f>
        <v>34241654.506499998</v>
      </c>
      <c r="N218" s="201">
        <f>+VLOOKUP(B218, 'AREA CorrFactor'!$B$3:$J$40, 9, FALSE)</f>
        <v>2.3269962978509605E-3</v>
      </c>
      <c r="O218" s="202">
        <f>+IF(N218&gt;0, VLOOKUP(C218, 'INPUT CBM'!$N$3:$P$282, 3, FALSE), M218/L218)</f>
        <v>28.535128621325118</v>
      </c>
      <c r="P218" s="200">
        <f>+VLOOKUP(B218, 'INPUT CBM'!$B$3:$K$29, 10, FALSE)</f>
        <v>0.12228384011438716</v>
      </c>
      <c r="Q218" s="183">
        <f t="shared" si="22"/>
        <v>4187201.0049249302</v>
      </c>
      <c r="R218" s="78">
        <f t="shared" si="23"/>
        <v>739.25506504261796</v>
      </c>
      <c r="S218" s="184">
        <f t="shared" si="24"/>
        <v>21094.738364957168</v>
      </c>
      <c r="T218" s="14"/>
      <c r="U218" s="6"/>
      <c r="V218" s="6"/>
      <c r="W218" s="6"/>
    </row>
    <row r="219" spans="1:23" x14ac:dyDescent="0.25">
      <c r="A219" s="107" t="s">
        <v>165</v>
      </c>
      <c r="B219" s="108" t="s">
        <v>30</v>
      </c>
      <c r="C219" s="187" t="s">
        <v>168</v>
      </c>
      <c r="D219" s="181">
        <f t="shared" si="19"/>
        <v>1726048.080794394</v>
      </c>
      <c r="E219" s="111">
        <f>+VLOOKUP(C219, 'INPUT NFI'!$C$3:$K$282, 4, FALSE) * D219 / L219</f>
        <v>1285677.9629266986</v>
      </c>
      <c r="F219" s="111">
        <f>+VLOOKUP(C219, 'INPUT NFI'!$C$3:$K$282, 5, FALSE) * D219 / L219</f>
        <v>440370.11786769528</v>
      </c>
      <c r="G219" s="111">
        <f t="shared" si="20"/>
        <v>125100200.98047489</v>
      </c>
      <c r="H219" s="111">
        <f>+VLOOKUP(C219, 'INPUT NFI'!$C$3:$K$282, 7, FALSE) * G219 / M219</f>
        <v>107945120.3994291</v>
      </c>
      <c r="I219" s="111">
        <f>+VLOOKUP(C219, 'INPUT NFI'!C219:K498, 8, FALSE) * G219 / M219</f>
        <v>17155080.581045795</v>
      </c>
      <c r="J219" s="213">
        <f t="shared" si="21"/>
        <v>72.477819344927482</v>
      </c>
      <c r="K219" s="4"/>
      <c r="L219" s="183">
        <f>+VLOOKUP(C219, 'INPUT NFI'!$C$3:$K$282, 3, FALSE)</f>
        <v>1722040.898</v>
      </c>
      <c r="M219" s="184">
        <f>+VLOOKUP(C219, 'INPUT NFI'!$C$3:$K$282, 6, FALSE)</f>
        <v>111367419.75300001</v>
      </c>
      <c r="N219" s="201">
        <f>+VLOOKUP(B219, 'AREA CorrFactor'!$B$3:$J$40, 9, FALSE)</f>
        <v>2.3269962978509605E-3</v>
      </c>
      <c r="O219" s="202">
        <f>+IF(N219&gt;0, VLOOKUP(C219, 'INPUT CBM'!$N$3:$P$282, 3, FALSE), M219/L219)</f>
        <v>28.535128621325118</v>
      </c>
      <c r="P219" s="200">
        <f>+VLOOKUP(B219, 'INPUT CBM'!$B$3:$K$29, 10, FALSE)</f>
        <v>0.12228384011438716</v>
      </c>
      <c r="Q219" s="183">
        <f t="shared" si="22"/>
        <v>13618435.751027694</v>
      </c>
      <c r="R219" s="78">
        <f t="shared" si="23"/>
        <v>4007.1827943939434</v>
      </c>
      <c r="S219" s="184">
        <f t="shared" si="24"/>
        <v>114345.47644719218</v>
      </c>
      <c r="T219" s="14"/>
      <c r="U219" s="6"/>
      <c r="V219" s="6"/>
      <c r="W219" s="6"/>
    </row>
    <row r="220" spans="1:23" x14ac:dyDescent="0.25">
      <c r="A220" s="107" t="s">
        <v>165</v>
      </c>
      <c r="B220" s="108" t="s">
        <v>30</v>
      </c>
      <c r="C220" s="187" t="s">
        <v>169</v>
      </c>
      <c r="D220" s="181">
        <f t="shared" si="19"/>
        <v>1000475.2396708553</v>
      </c>
      <c r="E220" s="111">
        <f>+VLOOKUP(C220, 'INPUT NFI'!$C$3:$K$282, 4, FALSE) * D220 / L220</f>
        <v>753255.86064365157</v>
      </c>
      <c r="F220" s="111">
        <f>+VLOOKUP(C220, 'INPUT NFI'!$C$3:$K$282, 5, FALSE) * D220 / L220</f>
        <v>247219.3790272038</v>
      </c>
      <c r="G220" s="111">
        <f t="shared" si="20"/>
        <v>80883565.038821682</v>
      </c>
      <c r="H220" s="111">
        <f>+VLOOKUP(C220, 'INPUT NFI'!$C$3:$K$282, 7, FALSE) * G220 / M220</f>
        <v>69036166.910594627</v>
      </c>
      <c r="I220" s="111">
        <f>+VLOOKUP(C220, 'INPUT NFI'!C220:K499, 8, FALSE) * G220 / M220</f>
        <v>11847398.128227051</v>
      </c>
      <c r="J220" s="213">
        <f t="shared" si="21"/>
        <v>80.845144219092745</v>
      </c>
      <c r="K220" s="4"/>
      <c r="L220" s="183">
        <f>+VLOOKUP(C220, 'INPUT NFI'!$C$3:$K$282, 3, FALSE)</f>
        <v>998152.54240000003</v>
      </c>
      <c r="M220" s="184">
        <f>+VLOOKUP(C220, 'INPUT NFI'!$C$3:$K$282, 6, FALSE)</f>
        <v>72011449.942300007</v>
      </c>
      <c r="N220" s="201">
        <f>+VLOOKUP(B220, 'AREA CorrFactor'!$B$3:$J$40, 9, FALSE)</f>
        <v>2.3269962978509605E-3</v>
      </c>
      <c r="O220" s="202">
        <f>+IF(N220&gt;0, VLOOKUP(C220, 'INPUT CBM'!$N$3:$P$282, 3, FALSE), M220/L220)</f>
        <v>28.535128621325118</v>
      </c>
      <c r="P220" s="200">
        <f>+VLOOKUP(B220, 'INPUT CBM'!$B$3:$K$29, 10, FALSE)</f>
        <v>0.12228384011438716</v>
      </c>
      <c r="Q220" s="183">
        <f t="shared" si="22"/>
        <v>8805836.6311494075</v>
      </c>
      <c r="R220" s="78">
        <f t="shared" si="23"/>
        <v>2322.6972708553239</v>
      </c>
      <c r="S220" s="184">
        <f t="shared" si="24"/>
        <v>66278.465372257488</v>
      </c>
      <c r="T220" s="14"/>
      <c r="U220" s="6"/>
      <c r="V220" s="6"/>
      <c r="W220" s="6"/>
    </row>
    <row r="221" spans="1:23" x14ac:dyDescent="0.25">
      <c r="A221" s="107" t="s">
        <v>165</v>
      </c>
      <c r="B221" s="108" t="s">
        <v>30</v>
      </c>
      <c r="C221" s="187" t="s">
        <v>170</v>
      </c>
      <c r="D221" s="181">
        <f t="shared" si="19"/>
        <v>273800.89229706221</v>
      </c>
      <c r="E221" s="111">
        <f>+VLOOKUP(C221, 'INPUT NFI'!$C$3:$K$282, 4, FALSE) * D221 / L221</f>
        <v>239474.47530821286</v>
      </c>
      <c r="F221" s="111">
        <f>+VLOOKUP(C221, 'INPUT NFI'!$C$3:$K$282, 5, FALSE) * D221 / L221</f>
        <v>34326.416988849327</v>
      </c>
      <c r="G221" s="111">
        <f t="shared" si="20"/>
        <v>30770036.600754812</v>
      </c>
      <c r="H221" s="111">
        <f>+VLOOKUP(C221, 'INPUT NFI'!$C$3:$K$282, 7, FALSE) * G221 / M221</f>
        <v>28365829.413150359</v>
      </c>
      <c r="I221" s="111">
        <f>+VLOOKUP(C221, 'INPUT NFI'!C221:K500, 8, FALSE) * G221 / M221</f>
        <v>2404207.1876044553</v>
      </c>
      <c r="J221" s="213">
        <f t="shared" si="21"/>
        <v>112.38106765324433</v>
      </c>
      <c r="K221" s="4"/>
      <c r="L221" s="183">
        <f>+VLOOKUP(C221, 'INPUT NFI'!$C$3:$K$282, 3, FALSE)</f>
        <v>273165.2378</v>
      </c>
      <c r="M221" s="184">
        <f>+VLOOKUP(C221, 'INPUT NFI'!$C$3:$K$282, 6, FALSE)</f>
        <v>27401176.973900001</v>
      </c>
      <c r="N221" s="201">
        <f>+VLOOKUP(B221, 'AREA CorrFactor'!$B$3:$J$40, 9, FALSE)</f>
        <v>2.3269962978509605E-3</v>
      </c>
      <c r="O221" s="202">
        <f>+IF(N221&gt;0, VLOOKUP(C221, 'INPUT CBM'!$N$3:$P$282, 3, FALSE), M221/L221)</f>
        <v>28.535128621325118</v>
      </c>
      <c r="P221" s="200">
        <f>+VLOOKUP(B221, 'INPUT CBM'!$B$3:$K$29, 10, FALSE)</f>
        <v>0.12228384011438716</v>
      </c>
      <c r="Q221" s="183">
        <f t="shared" si="22"/>
        <v>3350721.1440224149</v>
      </c>
      <c r="R221" s="78">
        <f t="shared" si="23"/>
        <v>635.65449706217726</v>
      </c>
      <c r="S221" s="184">
        <f t="shared" si="24"/>
        <v>18138.482832392958</v>
      </c>
      <c r="T221" s="14"/>
      <c r="U221" s="6"/>
      <c r="V221" s="6"/>
      <c r="W221" s="6"/>
    </row>
    <row r="222" spans="1:23" x14ac:dyDescent="0.25">
      <c r="A222" s="107" t="s">
        <v>165</v>
      </c>
      <c r="B222" s="108" t="s">
        <v>30</v>
      </c>
      <c r="C222" s="187" t="s">
        <v>171</v>
      </c>
      <c r="D222" s="181">
        <f t="shared" si="19"/>
        <v>769125.15411019512</v>
      </c>
      <c r="E222" s="111">
        <f>+VLOOKUP(C222, 'INPUT NFI'!$C$3:$K$282, 4, FALSE) * D222 / L222</f>
        <v>539008.53792272834</v>
      </c>
      <c r="F222" s="111">
        <f>+VLOOKUP(C222, 'INPUT NFI'!$C$3:$K$282, 5, FALSE) * D222 / L222</f>
        <v>230116.6161874668</v>
      </c>
      <c r="G222" s="111">
        <f t="shared" si="20"/>
        <v>63181654.823582947</v>
      </c>
      <c r="H222" s="111">
        <f>+VLOOKUP(C222, 'INPUT NFI'!$C$3:$K$282, 7, FALSE) * G222 / M222</f>
        <v>51734445.340126753</v>
      </c>
      <c r="I222" s="111">
        <f>+VLOOKUP(C222, 'INPUT NFI'!C222:K501, 8, FALSE) * G222 / M222</f>
        <v>11447209.483456202</v>
      </c>
      <c r="J222" s="213">
        <f t="shared" si="21"/>
        <v>82.147430084611045</v>
      </c>
      <c r="K222" s="4"/>
      <c r="L222" s="183">
        <f>+VLOOKUP(C222, 'INPUT NFI'!$C$3:$K$282, 3, FALSE)</f>
        <v>767339.55779999995</v>
      </c>
      <c r="M222" s="184">
        <f>+VLOOKUP(C222, 'INPUT NFI'!$C$3:$K$282, 6, FALSE)</f>
        <v>56251992.897600003</v>
      </c>
      <c r="N222" s="201">
        <f>+VLOOKUP(B222, 'AREA CorrFactor'!$B$3:$J$40, 9, FALSE)</f>
        <v>2.3269962978509605E-3</v>
      </c>
      <c r="O222" s="202">
        <f>+IF(N222&gt;0, VLOOKUP(C222, 'INPUT CBM'!$N$3:$P$282, 3, FALSE), M222/L222)</f>
        <v>28.535128621325118</v>
      </c>
      <c r="P222" s="200">
        <f>+VLOOKUP(B222, 'INPUT CBM'!$B$3:$K$29, 10, FALSE)</f>
        <v>0.12228384011438716</v>
      </c>
      <c r="Q222" s="183">
        <f t="shared" si="22"/>
        <v>6878709.7056057602</v>
      </c>
      <c r="R222" s="78">
        <f t="shared" si="23"/>
        <v>1785.5963101951929</v>
      </c>
      <c r="S222" s="184">
        <f t="shared" si="24"/>
        <v>50952.220377183374</v>
      </c>
      <c r="T222" s="14"/>
      <c r="U222" s="6"/>
      <c r="V222" s="6"/>
      <c r="W222" s="6"/>
    </row>
    <row r="223" spans="1:23" x14ac:dyDescent="0.25">
      <c r="A223" s="107" t="s">
        <v>165</v>
      </c>
      <c r="B223" s="108" t="s">
        <v>30</v>
      </c>
      <c r="C223" s="187" t="s">
        <v>172</v>
      </c>
      <c r="D223" s="181">
        <f t="shared" si="19"/>
        <v>141913.95638359772</v>
      </c>
      <c r="E223" s="111">
        <f>+VLOOKUP(C223, 'INPUT NFI'!$C$3:$K$282, 4, FALSE) * D223 / L223</f>
        <v>124750.74788917306</v>
      </c>
      <c r="F223" s="111">
        <f>+VLOOKUP(C223, 'INPUT NFI'!$C$3:$K$282, 5, FALSE) * D223 / L223</f>
        <v>17163.20849442466</v>
      </c>
      <c r="G223" s="111">
        <f t="shared" si="20"/>
        <v>15862478.920381252</v>
      </c>
      <c r="H223" s="111">
        <f>+VLOOKUP(C223, 'INPUT NFI'!$C$3:$K$282, 7, FALSE) * G223 / M223</f>
        <v>13970530.043258065</v>
      </c>
      <c r="I223" s="111">
        <f>+VLOOKUP(C223, 'INPUT NFI'!C223:K502, 8, FALSE) * G223 / M223</f>
        <v>1891948.8771231861</v>
      </c>
      <c r="J223" s="213">
        <f t="shared" si="21"/>
        <v>111.77532728003503</v>
      </c>
      <c r="K223" s="4"/>
      <c r="L223" s="183">
        <f>+VLOOKUP(C223, 'INPUT NFI'!$C$3:$K$282, 3, FALSE)</f>
        <v>141584.48980000001</v>
      </c>
      <c r="M223" s="184">
        <f>+VLOOKUP(C223, 'INPUT NFI'!$C$3:$K$282, 6, FALSE)</f>
        <v>14125729.1448</v>
      </c>
      <c r="N223" s="201">
        <f>+VLOOKUP(B223, 'AREA CorrFactor'!$B$3:$J$40, 9, FALSE)</f>
        <v>2.3269962978509605E-3</v>
      </c>
      <c r="O223" s="202">
        <f>+IF(N223&gt;0, VLOOKUP(C223, 'INPUT CBM'!$N$3:$P$282, 3, FALSE), M223/L223)</f>
        <v>28.535128621325118</v>
      </c>
      <c r="P223" s="200">
        <f>+VLOOKUP(B223, 'INPUT CBM'!$B$3:$K$29, 10, FALSE)</f>
        <v>0.12228384011438716</v>
      </c>
      <c r="Q223" s="183">
        <f t="shared" si="22"/>
        <v>1727348.404241862</v>
      </c>
      <c r="R223" s="78">
        <f t="shared" si="23"/>
        <v>329.46658359771709</v>
      </c>
      <c r="S223" s="184">
        <f t="shared" si="24"/>
        <v>9401.3713393894213</v>
      </c>
      <c r="T223" s="14"/>
      <c r="U223" s="6"/>
      <c r="V223" s="6"/>
      <c r="W223" s="6"/>
    </row>
    <row r="224" spans="1:23" x14ac:dyDescent="0.25">
      <c r="A224" s="107" t="s">
        <v>165</v>
      </c>
      <c r="B224" s="108" t="s">
        <v>30</v>
      </c>
      <c r="C224" s="187" t="s">
        <v>173</v>
      </c>
      <c r="D224" s="181">
        <f t="shared" si="19"/>
        <v>817629.20341797313</v>
      </c>
      <c r="E224" s="111">
        <f>+VLOOKUP(C224, 'INPUT NFI'!$C$3:$K$282, 4, FALSE) * D224 / L224</f>
        <v>502589.79724546737</v>
      </c>
      <c r="F224" s="111">
        <f>+VLOOKUP(C224, 'INPUT NFI'!$C$3:$K$282, 5, FALSE) * D224 / L224</f>
        <v>315039.40617250575</v>
      </c>
      <c r="G224" s="111">
        <f t="shared" si="20"/>
        <v>64831209.083993003</v>
      </c>
      <c r="H224" s="111">
        <f>+VLOOKUP(C224, 'INPUT NFI'!$C$3:$K$282, 7, FALSE) * G224 / M224</f>
        <v>48663114.918001913</v>
      </c>
      <c r="I224" s="111">
        <f>+VLOOKUP(C224, 'INPUT NFI'!C224:K503, 8, FALSE) * G224 / M224</f>
        <v>16168094.165991079</v>
      </c>
      <c r="J224" s="213">
        <f t="shared" si="21"/>
        <v>79.291699480615549</v>
      </c>
      <c r="K224" s="4"/>
      <c r="L224" s="183">
        <f>+VLOOKUP(C224, 'INPUT NFI'!$C$3:$K$282, 3, FALSE)</f>
        <v>815731.00040000002</v>
      </c>
      <c r="M224" s="184">
        <f>+VLOOKUP(C224, 'INPUT NFI'!$C$3:$K$282, 6, FALSE)</f>
        <v>57718948.898100004</v>
      </c>
      <c r="N224" s="201">
        <f>+VLOOKUP(B224, 'AREA CorrFactor'!$B$3:$J$40, 9, FALSE)</f>
        <v>2.3269962978509605E-3</v>
      </c>
      <c r="O224" s="202">
        <f>+IF(N224&gt;0, VLOOKUP(C224, 'INPUT CBM'!$N$3:$P$282, 3, FALSE), M224/L224)</f>
        <v>28.535128621325118</v>
      </c>
      <c r="P224" s="200">
        <f>+VLOOKUP(B224, 'INPUT CBM'!$B$3:$K$29, 10, FALSE)</f>
        <v>0.12228384011438716</v>
      </c>
      <c r="Q224" s="183">
        <f t="shared" si="22"/>
        <v>7058094.7186257439</v>
      </c>
      <c r="R224" s="78">
        <f t="shared" si="23"/>
        <v>1898.2030179730605</v>
      </c>
      <c r="S224" s="184">
        <f t="shared" si="24"/>
        <v>54165.467267248794</v>
      </c>
      <c r="T224" s="14"/>
      <c r="U224" s="6"/>
      <c r="V224" s="6"/>
      <c r="W224" s="6"/>
    </row>
    <row r="225" spans="1:25" x14ac:dyDescent="0.25">
      <c r="A225" s="107" t="s">
        <v>165</v>
      </c>
      <c r="B225" s="108" t="s">
        <v>30</v>
      </c>
      <c r="C225" s="187" t="s">
        <v>174</v>
      </c>
      <c r="D225" s="181">
        <f t="shared" si="19"/>
        <v>485441.66343244992</v>
      </c>
      <c r="E225" s="111">
        <f>+VLOOKUP(C225, 'INPUT NFI'!$C$3:$K$282, 4, FALSE) * D225 / L225</f>
        <v>291317.07789862383</v>
      </c>
      <c r="F225" s="111">
        <f>+VLOOKUP(C225, 'INPUT NFI'!$C$3:$K$282, 5, FALSE) * D225 / L225</f>
        <v>194124.58553382609</v>
      </c>
      <c r="G225" s="111">
        <f t="shared" si="20"/>
        <v>38584717.544700898</v>
      </c>
      <c r="H225" s="111">
        <f>+VLOOKUP(C225, 'INPUT NFI'!$C$3:$K$282, 7, FALSE) * G225 / M225</f>
        <v>30047479.470286522</v>
      </c>
      <c r="I225" s="111">
        <f>+VLOOKUP(C225, 'INPUT NFI'!C225:K504, 8, FALSE) * G225 / M225</f>
        <v>8537238.0744143743</v>
      </c>
      <c r="J225" s="213">
        <f t="shared" si="21"/>
        <v>79.48373708156187</v>
      </c>
      <c r="K225" s="4"/>
      <c r="L225" s="183">
        <f>+VLOOKUP(C225, 'INPUT NFI'!$C$3:$K$282, 3, FALSE)</f>
        <v>484314.66499999998</v>
      </c>
      <c r="M225" s="184">
        <f>+VLOOKUP(C225, 'INPUT NFI'!$C$3:$K$282, 6, FALSE)</f>
        <v>34351878.8398</v>
      </c>
      <c r="N225" s="201">
        <f>+VLOOKUP(B225, 'AREA CorrFactor'!$B$3:$J$40, 9, FALSE)</f>
        <v>2.3269962978509605E-3</v>
      </c>
      <c r="O225" s="202">
        <f>+IF(N225&gt;0, VLOOKUP(C225, 'INPUT CBM'!$N$3:$P$282, 3, FALSE), M225/L225)</f>
        <v>28.535128621325118</v>
      </c>
      <c r="P225" s="200">
        <f>+VLOOKUP(B225, 'INPUT CBM'!$B$3:$K$29, 10, FALSE)</f>
        <v>0.12228384011438716</v>
      </c>
      <c r="Q225" s="183">
        <f t="shared" si="22"/>
        <v>4200679.6596749024</v>
      </c>
      <c r="R225" s="78">
        <f t="shared" si="23"/>
        <v>1126.998432449928</v>
      </c>
      <c r="S225" s="184">
        <f t="shared" si="24"/>
        <v>32159.045225990485</v>
      </c>
      <c r="T225" s="14"/>
      <c r="U225" s="6"/>
      <c r="V225" s="6"/>
      <c r="W225" s="6"/>
    </row>
    <row r="226" spans="1:25" x14ac:dyDescent="0.25">
      <c r="A226" s="107" t="s">
        <v>165</v>
      </c>
      <c r="B226" s="108" t="s">
        <v>30</v>
      </c>
      <c r="C226" s="187" t="s">
        <v>175</v>
      </c>
      <c r="D226" s="181">
        <f t="shared" si="19"/>
        <v>404607.75271377998</v>
      </c>
      <c r="E226" s="111">
        <f>+VLOOKUP(C226, 'INPUT NFI'!$C$3:$K$282, 4, FALSE) * D226 / L226</f>
        <v>250289.9904006767</v>
      </c>
      <c r="F226" s="111">
        <f>+VLOOKUP(C226, 'INPUT NFI'!$C$3:$K$282, 5, FALSE) * D226 / L226</f>
        <v>154317.76231310327</v>
      </c>
      <c r="G226" s="111">
        <f t="shared" si="20"/>
        <v>33884597.176939309</v>
      </c>
      <c r="H226" s="111">
        <f>+VLOOKUP(C226, 'INPUT NFI'!$C$3:$K$282, 7, FALSE) * G226 / M226</f>
        <v>27193079.379689723</v>
      </c>
      <c r="I226" s="111">
        <f>+VLOOKUP(C226, 'INPUT NFI'!C226:K505, 8, FALSE) * G226 / M226</f>
        <v>6691517.7972495873</v>
      </c>
      <c r="J226" s="213">
        <f t="shared" si="21"/>
        <v>83.74678178969377</v>
      </c>
      <c r="K226" s="4"/>
      <c r="L226" s="183">
        <f>+VLOOKUP(C226, 'INPUT NFI'!$C$3:$K$282, 3, FALSE)</f>
        <v>403668.4178</v>
      </c>
      <c r="M226" s="184">
        <f>+VLOOKUP(C226, 'INPUT NFI'!$C$3:$K$282, 6, FALSE)</f>
        <v>30168654.2425</v>
      </c>
      <c r="N226" s="201">
        <f>+VLOOKUP(B226, 'AREA CorrFactor'!$B$3:$J$40, 9, FALSE)</f>
        <v>2.3269962978509605E-3</v>
      </c>
      <c r="O226" s="202">
        <f>+IF(N226&gt;0, VLOOKUP(C226, 'INPUT CBM'!$N$3:$P$282, 3, FALSE), M226/L226)</f>
        <v>28.535128621325118</v>
      </c>
      <c r="P226" s="200">
        <f>+VLOOKUP(B226, 'INPUT CBM'!$B$3:$K$29, 10, FALSE)</f>
        <v>0.12228384011438716</v>
      </c>
      <c r="Q226" s="183">
        <f t="shared" si="22"/>
        <v>3689138.8918560976</v>
      </c>
      <c r="R226" s="78">
        <f t="shared" si="23"/>
        <v>939.33491377995472</v>
      </c>
      <c r="S226" s="184">
        <f t="shared" si="24"/>
        <v>26804.042583212347</v>
      </c>
      <c r="T226" s="14"/>
      <c r="U226" s="6"/>
      <c r="V226" s="6"/>
      <c r="W226" s="6"/>
    </row>
    <row r="227" spans="1:25" x14ac:dyDescent="0.25">
      <c r="A227" s="107" t="s">
        <v>165</v>
      </c>
      <c r="B227" s="108" t="s">
        <v>30</v>
      </c>
      <c r="C227" s="187" t="s">
        <v>176</v>
      </c>
      <c r="D227" s="181">
        <f t="shared" si="19"/>
        <v>258421.86243426346</v>
      </c>
      <c r="E227" s="111">
        <f>+VLOOKUP(C227, 'INPUT NFI'!$C$3:$K$282, 4, FALSE) * D227 / L227</f>
        <v>136644.0121358438</v>
      </c>
      <c r="F227" s="111">
        <f>+VLOOKUP(C227, 'INPUT NFI'!$C$3:$K$282, 5, FALSE) * D227 / L227</f>
        <v>121777.85029841967</v>
      </c>
      <c r="G227" s="111">
        <f t="shared" si="20"/>
        <v>20119826.031841729</v>
      </c>
      <c r="H227" s="111">
        <f>+VLOOKUP(C227, 'INPUT NFI'!$C$3:$K$282, 7, FALSE) * G227 / M227</f>
        <v>14251978.178997373</v>
      </c>
      <c r="I227" s="111">
        <f>+VLOOKUP(C227, 'INPUT NFI'!C227:K506, 8, FALSE) * G227 / M227</f>
        <v>5867847.8528443566</v>
      </c>
      <c r="J227" s="213">
        <f t="shared" si="21"/>
        <v>77.856516636473614</v>
      </c>
      <c r="K227" s="4"/>
      <c r="L227" s="183">
        <f>+VLOOKUP(C227, 'INPUT NFI'!$C$3:$K$282, 3, FALSE)</f>
        <v>257821.9118</v>
      </c>
      <c r="M227" s="184">
        <f>+VLOOKUP(C227, 'INPUT NFI'!$C$3:$K$282, 6, FALSE)</f>
        <v>17912319.1877</v>
      </c>
      <c r="N227" s="201">
        <f>+VLOOKUP(B227, 'AREA CorrFactor'!$B$3:$J$40, 9, FALSE)</f>
        <v>2.3269962978509605E-3</v>
      </c>
      <c r="O227" s="202">
        <f>+IF(N227&gt;0, VLOOKUP(C227, 'INPUT CBM'!$N$3:$P$282, 3, FALSE), M227/L227)</f>
        <v>28.535128621325118</v>
      </c>
      <c r="P227" s="200">
        <f>+VLOOKUP(B227, 'INPUT CBM'!$B$3:$K$29, 10, FALSE)</f>
        <v>0.12228384011438716</v>
      </c>
      <c r="Q227" s="183">
        <f t="shared" si="22"/>
        <v>2190387.1756265759</v>
      </c>
      <c r="R227" s="78">
        <f t="shared" si="23"/>
        <v>599.95063426345689</v>
      </c>
      <c r="S227" s="184">
        <f t="shared" si="24"/>
        <v>17119.668515153327</v>
      </c>
      <c r="T227" s="14"/>
      <c r="U227" s="6"/>
      <c r="V227" s="6"/>
      <c r="W227" s="6"/>
    </row>
    <row r="228" spans="1:25" x14ac:dyDescent="0.25">
      <c r="A228" s="107" t="s">
        <v>165</v>
      </c>
      <c r="B228" s="108" t="s">
        <v>30</v>
      </c>
      <c r="C228" s="187" t="s">
        <v>177</v>
      </c>
      <c r="D228" s="181">
        <f t="shared" si="19"/>
        <v>451636.72890071385</v>
      </c>
      <c r="E228" s="111">
        <f>+VLOOKUP(C228, 'INPUT NFI'!$C$3:$K$282, 4, FALSE) * D228 / L228</f>
        <v>227722.50874392374</v>
      </c>
      <c r="F228" s="111">
        <f>+VLOOKUP(C228, 'INPUT NFI'!$C$3:$K$282, 5, FALSE) * D228 / L228</f>
        <v>223914.22015679014</v>
      </c>
      <c r="G228" s="111">
        <f t="shared" si="20"/>
        <v>35076371.390095606</v>
      </c>
      <c r="H228" s="111">
        <f>+VLOOKUP(C228, 'INPUT NFI'!$C$3:$K$282, 7, FALSE) * G228 / M228</f>
        <v>25228925.55170038</v>
      </c>
      <c r="I228" s="111">
        <f>+VLOOKUP(C228, 'INPUT NFI'!C228:K507, 8, FALSE) * G228 / M228</f>
        <v>9847445.8383952249</v>
      </c>
      <c r="J228" s="213">
        <f t="shared" si="21"/>
        <v>77.66501071662546</v>
      </c>
      <c r="K228" s="4"/>
      <c r="L228" s="183">
        <f>+VLOOKUP(C228, 'INPUT NFI'!$C$3:$K$282, 3, FALSE)</f>
        <v>450588.21179999999</v>
      </c>
      <c r="M228" s="184">
        <f>+VLOOKUP(C228, 'INPUT NFI'!$C$3:$K$282, 6, FALSE)</f>
        <v>31227796.896899998</v>
      </c>
      <c r="N228" s="201">
        <f>+VLOOKUP(B228, 'AREA CorrFactor'!$B$3:$J$40, 9, FALSE)</f>
        <v>2.3269962978509605E-3</v>
      </c>
      <c r="O228" s="202">
        <f>+IF(N228&gt;0, VLOOKUP(C228, 'INPUT CBM'!$N$3:$P$282, 3, FALSE), M228/L228)</f>
        <v>28.535128621325118</v>
      </c>
      <c r="P228" s="200">
        <f>+VLOOKUP(B228, 'INPUT CBM'!$B$3:$K$29, 10, FALSE)</f>
        <v>0.12228384011438716</v>
      </c>
      <c r="Q228" s="183">
        <f t="shared" si="22"/>
        <v>3818654.9228650746</v>
      </c>
      <c r="R228" s="78">
        <f t="shared" si="23"/>
        <v>1048.5171007138845</v>
      </c>
      <c r="S228" s="184">
        <f t="shared" si="24"/>
        <v>29919.570330529597</v>
      </c>
      <c r="T228" s="14"/>
      <c r="U228" s="6"/>
      <c r="V228" s="6"/>
      <c r="W228" s="6"/>
    </row>
    <row r="229" spans="1:25" x14ac:dyDescent="0.25">
      <c r="A229" s="107" t="s">
        <v>165</v>
      </c>
      <c r="B229" s="108" t="s">
        <v>30</v>
      </c>
      <c r="C229" s="187" t="s">
        <v>178</v>
      </c>
      <c r="D229" s="181">
        <f t="shared" si="19"/>
        <v>432777.67102591123</v>
      </c>
      <c r="E229" s="111">
        <f>+VLOOKUP(C229, 'INPUT NFI'!$C$3:$K$282, 4, FALSE) * D229 / L229</f>
        <v>240510.11039672029</v>
      </c>
      <c r="F229" s="111">
        <f>+VLOOKUP(C229, 'INPUT NFI'!$C$3:$K$282, 5, FALSE) * D229 / L229</f>
        <v>192267.56062919094</v>
      </c>
      <c r="G229" s="111">
        <f t="shared" si="20"/>
        <v>31172792.837227721</v>
      </c>
      <c r="H229" s="111">
        <f>+VLOOKUP(C229, 'INPUT NFI'!$C$3:$K$282, 7, FALSE) * G229 / M229</f>
        <v>22018427.137009248</v>
      </c>
      <c r="I229" s="111">
        <f>+VLOOKUP(C229, 'INPUT NFI'!C229:K508, 8, FALSE) * G229 / M229</f>
        <v>9154365.7002184745</v>
      </c>
      <c r="J229" s="213">
        <f t="shared" si="21"/>
        <v>72.029577596579244</v>
      </c>
      <c r="K229" s="4"/>
      <c r="L229" s="183">
        <f>+VLOOKUP(C229, 'INPUT NFI'!$C$3:$K$282, 3, FALSE)</f>
        <v>431772.93699999998</v>
      </c>
      <c r="M229" s="184">
        <f>+VLOOKUP(C229, 'INPUT NFI'!$C$3:$K$282, 6, FALSE)</f>
        <v>27750664.7689</v>
      </c>
      <c r="N229" s="201">
        <f>+VLOOKUP(B229, 'AREA CorrFactor'!$B$3:$J$40, 9, FALSE)</f>
        <v>2.3269962978509605E-3</v>
      </c>
      <c r="O229" s="202">
        <f>+IF(N229&gt;0, VLOOKUP(C229, 'INPUT CBM'!$N$3:$P$282, 3, FALSE), M229/L229)</f>
        <v>28.535128621325118</v>
      </c>
      <c r="P229" s="200">
        <f>+VLOOKUP(B229, 'INPUT CBM'!$B$3:$K$29, 10, FALSE)</f>
        <v>0.12228384011438716</v>
      </c>
      <c r="Q229" s="183">
        <f t="shared" si="22"/>
        <v>3393457.8536681239</v>
      </c>
      <c r="R229" s="78">
        <f t="shared" si="23"/>
        <v>1004.7340259112359</v>
      </c>
      <c r="S229" s="184">
        <f t="shared" si="24"/>
        <v>28670.214659598922</v>
      </c>
      <c r="T229" s="14"/>
      <c r="U229" s="6"/>
      <c r="V229" s="6"/>
      <c r="W229" s="6"/>
    </row>
    <row r="230" spans="1:25" x14ac:dyDescent="0.25">
      <c r="A230" s="107" t="s">
        <v>165</v>
      </c>
      <c r="B230" s="108" t="s">
        <v>30</v>
      </c>
      <c r="C230" s="187" t="s">
        <v>179</v>
      </c>
      <c r="D230" s="181">
        <f t="shared" si="19"/>
        <v>450267.02540535573</v>
      </c>
      <c r="E230" s="111">
        <f>+VLOOKUP(C230, 'INPUT NFI'!$C$3:$K$282, 4, FALSE) * D230 / L230</f>
        <v>304069.12968225195</v>
      </c>
      <c r="F230" s="111">
        <f>+VLOOKUP(C230, 'INPUT NFI'!$C$3:$K$282, 5, FALSE) * D230 / L230</f>
        <v>146197.89572310378</v>
      </c>
      <c r="G230" s="111">
        <f t="shared" si="20"/>
        <v>32643048.566421021</v>
      </c>
      <c r="H230" s="111">
        <f>+VLOOKUP(C230, 'INPUT NFI'!$C$3:$K$282, 7, FALSE) * G230 / M230</f>
        <v>26998327.819634482</v>
      </c>
      <c r="I230" s="111">
        <f>+VLOOKUP(C230, 'INPUT NFI'!C230:K509, 8, FALSE) * G230 / M230</f>
        <v>5644720.7467865404</v>
      </c>
      <c r="J230" s="213">
        <f t="shared" si="21"/>
        <v>72.497088893049437</v>
      </c>
      <c r="K230" s="4"/>
      <c r="L230" s="183">
        <f>+VLOOKUP(C230, 'INPUT NFI'!$C$3:$K$282, 3, FALSE)</f>
        <v>449221.68819999998</v>
      </c>
      <c r="M230" s="184">
        <f>+VLOOKUP(C230, 'INPUT NFI'!$C$3:$K$282, 6, FALSE)</f>
        <v>29059689.330899999</v>
      </c>
      <c r="N230" s="201">
        <f>+VLOOKUP(B230, 'AREA CorrFactor'!$B$3:$J$40, 9, FALSE)</f>
        <v>2.3269962978509605E-3</v>
      </c>
      <c r="O230" s="202">
        <f>+IF(N230&gt;0, VLOOKUP(C230, 'INPUT CBM'!$N$3:$P$282, 3, FALSE), M230/L230)</f>
        <v>28.535128621325118</v>
      </c>
      <c r="P230" s="200">
        <f>+VLOOKUP(B230, 'INPUT CBM'!$B$3:$K$29, 10, FALSE)</f>
        <v>0.12228384011438716</v>
      </c>
      <c r="Q230" s="183">
        <f t="shared" si="22"/>
        <v>3553530.4039135375</v>
      </c>
      <c r="R230" s="78">
        <f t="shared" si="23"/>
        <v>1045.3372053557584</v>
      </c>
      <c r="S230" s="184">
        <f t="shared" si="24"/>
        <v>29828.831607483116</v>
      </c>
      <c r="T230" s="14"/>
      <c r="U230" s="6"/>
      <c r="V230" s="6"/>
      <c r="W230" s="6"/>
    </row>
    <row r="231" spans="1:25" x14ac:dyDescent="0.25">
      <c r="A231" s="107" t="s">
        <v>165</v>
      </c>
      <c r="B231" s="108" t="s">
        <v>30</v>
      </c>
      <c r="C231" s="187" t="s">
        <v>256</v>
      </c>
      <c r="D231" s="181">
        <f t="shared" si="19"/>
        <v>1651546.6054193529</v>
      </c>
      <c r="E231" s="111">
        <f>+VLOOKUP(C231, 'INPUT NFI'!$C$3:$K$282, 4, FALSE) * D231 / L231</f>
        <v>916762.48278831539</v>
      </c>
      <c r="F231" s="111">
        <f>+VLOOKUP(C231, 'INPUT NFI'!$C$3:$K$282, 5, FALSE) * D231 / L231</f>
        <v>734784.12263103749</v>
      </c>
      <c r="G231" s="111">
        <f t="shared" si="20"/>
        <v>103422810.33336949</v>
      </c>
      <c r="H231" s="111">
        <f>+VLOOKUP(C231, 'INPUT NFI'!$C$3:$K$282, 7, FALSE) * G231 / M231</f>
        <v>73310866.129413277</v>
      </c>
      <c r="I231" s="111">
        <f>+VLOOKUP(C231, 'INPUT NFI'!C231:K510, 8, FALSE) * G231 / M231</f>
        <v>30111944.20395622</v>
      </c>
      <c r="J231" s="213">
        <f t="shared" si="21"/>
        <v>62.621793411097151</v>
      </c>
      <c r="K231" s="4"/>
      <c r="L231" s="183">
        <f>+VLOOKUP(C231, 'INPUT NFI'!$C$3:$K$282, 3, FALSE)</f>
        <v>1647712.3848000001</v>
      </c>
      <c r="M231" s="184">
        <f>+VLOOKUP(C231, 'INPUT NFI'!$C$3:$K$282, 6, FALSE)</f>
        <v>92100940.53580001</v>
      </c>
      <c r="N231" s="201">
        <f>+VLOOKUP(B231, 'AREA CorrFactor'!$B$3:$J$40, 9, FALSE)</f>
        <v>2.3269962978509605E-3</v>
      </c>
      <c r="O231" s="202">
        <f>+IF(N231&gt;0, VLOOKUP(C231, 'INPUT CBM'!$N$3:$P$282, 3, FALSE), M231/L231)</f>
        <v>15.495485681014319</v>
      </c>
      <c r="P231" s="200">
        <f>+VLOOKUP(B231, 'INPUT CBM'!$B$3:$K$29, 10, FALSE)</f>
        <v>0.12228384011438716</v>
      </c>
      <c r="Q231" s="183">
        <f t="shared" si="22"/>
        <v>11262456.686864447</v>
      </c>
      <c r="R231" s="78">
        <f t="shared" si="23"/>
        <v>3834.2206193527777</v>
      </c>
      <c r="S231" s="184">
        <f t="shared" si="24"/>
        <v>59413.11070503082</v>
      </c>
      <c r="T231" s="14"/>
      <c r="U231" s="6"/>
      <c r="V231" s="6"/>
      <c r="W231" s="6"/>
    </row>
    <row r="232" spans="1:25" x14ac:dyDescent="0.25">
      <c r="A232" s="107" t="s">
        <v>165</v>
      </c>
      <c r="B232" s="108" t="s">
        <v>30</v>
      </c>
      <c r="C232" s="187" t="s">
        <v>180</v>
      </c>
      <c r="D232" s="181">
        <f t="shared" si="19"/>
        <v>1161975.632607199</v>
      </c>
      <c r="E232" s="111">
        <f>+VLOOKUP(C232, 'INPUT NFI'!$C$3:$K$282, 4, FALSE) * D232 / L232</f>
        <v>539405.51408698049</v>
      </c>
      <c r="F232" s="111">
        <f>+VLOOKUP(C232, 'INPUT NFI'!$C$3:$K$282, 5, FALSE) * D232 / L232</f>
        <v>622570.11852021853</v>
      </c>
      <c r="G232" s="111">
        <f t="shared" si="20"/>
        <v>48177114.628471829</v>
      </c>
      <c r="H232" s="111">
        <f>+VLOOKUP(C232, 'INPUT NFI'!$C$3:$K$282, 7, FALSE) * G232 / M232</f>
        <v>32261749.218197014</v>
      </c>
      <c r="I232" s="111">
        <f>+VLOOKUP(C232, 'INPUT NFI'!C232:K511, 8, FALSE) * G232 / M232</f>
        <v>15915365.410274817</v>
      </c>
      <c r="J232" s="213">
        <f t="shared" si="21"/>
        <v>41.461381182644729</v>
      </c>
      <c r="K232" s="4"/>
      <c r="L232" s="183">
        <f>+VLOOKUP(C232, 'INPUT NFI'!$C$3:$K$282, 3, FALSE)</f>
        <v>1159277.997</v>
      </c>
      <c r="M232" s="184">
        <f>+VLOOKUP(C232, 'INPUT NFI'!$C$3:$K$282, 6, FALSE)</f>
        <v>42902242.044699997</v>
      </c>
      <c r="N232" s="201">
        <f>+VLOOKUP(B232, 'AREA CorrFactor'!$B$3:$J$40, 9, FALSE)</f>
        <v>2.3269962978509605E-3</v>
      </c>
      <c r="O232" s="202">
        <f>+IF(N232&gt;0, VLOOKUP(C232, 'INPUT CBM'!$N$3:$P$282, 3, FALSE), M232/L232)</f>
        <v>10.60991223300169</v>
      </c>
      <c r="P232" s="200">
        <f>+VLOOKUP(B232, 'INPUT CBM'!$B$3:$K$29, 10, FALSE)</f>
        <v>0.12228384011438716</v>
      </c>
      <c r="Q232" s="183">
        <f t="shared" si="22"/>
        <v>5246250.9067428326</v>
      </c>
      <c r="R232" s="78">
        <f t="shared" si="23"/>
        <v>2697.6356071990767</v>
      </c>
      <c r="S232" s="184">
        <f t="shared" si="24"/>
        <v>28621.677029002429</v>
      </c>
      <c r="T232" s="14"/>
      <c r="U232" s="6"/>
      <c r="V232" s="6"/>
      <c r="W232" s="6"/>
    </row>
    <row r="233" spans="1:25" x14ac:dyDescent="0.25">
      <c r="A233" s="107" t="s">
        <v>165</v>
      </c>
      <c r="B233" s="108" t="s">
        <v>30</v>
      </c>
      <c r="C233" s="187" t="s">
        <v>181</v>
      </c>
      <c r="D233" s="181">
        <f t="shared" si="19"/>
        <v>751631.64688953955</v>
      </c>
      <c r="E233" s="111">
        <f>+VLOOKUP(C233, 'INPUT NFI'!$C$3:$K$282, 4, FALSE) * D233 / L233</f>
        <v>353536.54991241085</v>
      </c>
      <c r="F233" s="111">
        <f>+VLOOKUP(C233, 'INPUT NFI'!$C$3:$K$282, 5, FALSE) * D233 / L233</f>
        <v>398095.09697712865</v>
      </c>
      <c r="G233" s="111">
        <f t="shared" si="20"/>
        <v>24728196.578704804</v>
      </c>
      <c r="H233" s="111">
        <f>+VLOOKUP(C233, 'INPUT NFI'!$C$3:$K$282, 7, FALSE) * G233 / M233</f>
        <v>16560748.051481761</v>
      </c>
      <c r="I233" s="111">
        <f>+VLOOKUP(C233, 'INPUT NFI'!C233:K512, 8, FALSE) * G233 / M233</f>
        <v>8167448.5272230431</v>
      </c>
      <c r="J233" s="213">
        <f t="shared" si="21"/>
        <v>32.8993552640272</v>
      </c>
      <c r="K233" s="4"/>
      <c r="L233" s="183">
        <f>+VLOOKUP(C233, 'INPUT NFI'!$C$3:$K$282, 3, FALSE)</f>
        <v>749886.66339999996</v>
      </c>
      <c r="M233" s="184">
        <f>+VLOOKUP(C233, 'INPUT NFI'!$C$3:$K$282, 6, FALSE)</f>
        <v>22017320.016399998</v>
      </c>
      <c r="N233" s="201">
        <f>+VLOOKUP(B233, 'AREA CorrFactor'!$B$3:$J$40, 9, FALSE)</f>
        <v>2.3269962978509605E-3</v>
      </c>
      <c r="O233" s="202">
        <f>+IF(N233&gt;0, VLOOKUP(C233, 'INPUT CBM'!$N$3:$P$282, 3, FALSE), M233/L233)</f>
        <v>10.60991223300169</v>
      </c>
      <c r="P233" s="200">
        <f>+VLOOKUP(B233, 'INPUT CBM'!$B$3:$K$29, 10, FALSE)</f>
        <v>0.12228384011438716</v>
      </c>
      <c r="Q233" s="183">
        <f t="shared" si="22"/>
        <v>2692362.4406327535</v>
      </c>
      <c r="R233" s="78">
        <f t="shared" si="23"/>
        <v>1744.9834895396093</v>
      </c>
      <c r="S233" s="184">
        <f t="shared" si="24"/>
        <v>18514.121672052279</v>
      </c>
      <c r="T233" s="14"/>
      <c r="U233" s="6"/>
      <c r="V233" s="6"/>
      <c r="W233" s="6"/>
    </row>
    <row r="234" spans="1:25" x14ac:dyDescent="0.25">
      <c r="A234" s="107" t="s">
        <v>165</v>
      </c>
      <c r="B234" s="108" t="s">
        <v>30</v>
      </c>
      <c r="C234" s="187" t="s">
        <v>182</v>
      </c>
      <c r="D234" s="181">
        <f t="shared" si="19"/>
        <v>1054284.5065396649</v>
      </c>
      <c r="E234" s="111">
        <f>+VLOOKUP(C234, 'INPUT NFI'!$C$3:$K$282, 4, FALSE) * D234 / L234</f>
        <v>210682.4152836744</v>
      </c>
      <c r="F234" s="111">
        <f>+VLOOKUP(C234, 'INPUT NFI'!$C$3:$K$282, 5, FALSE) * D234 / L234</f>
        <v>843602.09125599044</v>
      </c>
      <c r="G234" s="111">
        <f t="shared" si="20"/>
        <v>16667688.132083481</v>
      </c>
      <c r="H234" s="111">
        <f>+VLOOKUP(C234, 'INPUT NFI'!$C$3:$K$282, 7, FALSE) * G234 / M234</f>
        <v>5527891.9222573722</v>
      </c>
      <c r="I234" s="111">
        <f>+VLOOKUP(C234, 'INPUT NFI'!C234:K513, 8, FALSE) * G234 / M234</f>
        <v>11139796.209826108</v>
      </c>
      <c r="J234" s="213">
        <f t="shared" si="21"/>
        <v>15.809478398567739</v>
      </c>
      <c r="K234" s="4"/>
      <c r="L234" s="183">
        <f>+VLOOKUP(C234, 'INPUT NFI'!$C$3:$K$282, 3, FALSE)</f>
        <v>1051836.8859999999</v>
      </c>
      <c r="M234" s="184">
        <f>+VLOOKUP(C234, 'INPUT NFI'!$C$3:$K$282, 6, FALSE)</f>
        <v>14809632.0361</v>
      </c>
      <c r="N234" s="201">
        <f>+VLOOKUP(B234, 'AREA CorrFactor'!$B$3:$J$40, 9, FALSE)</f>
        <v>2.3269962978509605E-3</v>
      </c>
      <c r="O234" s="202">
        <f>+IF(N234&gt;0, VLOOKUP(C234, 'INPUT CBM'!$N$3:$P$282, 3, FALSE), M234/L234)</f>
        <v>19.233953615442566</v>
      </c>
      <c r="P234" s="200">
        <f>+VLOOKUP(B234, 'INPUT CBM'!$B$3:$K$29, 10, FALSE)</f>
        <v>0.12228384011438716</v>
      </c>
      <c r="Q234" s="183">
        <f t="shared" si="22"/>
        <v>1810978.6760553583</v>
      </c>
      <c r="R234" s="78">
        <f t="shared" si="23"/>
        <v>2447.6205396650826</v>
      </c>
      <c r="S234" s="184">
        <f t="shared" si="24"/>
        <v>47077.419928122697</v>
      </c>
      <c r="T234" s="14"/>
      <c r="U234" s="6"/>
      <c r="V234" s="6"/>
      <c r="W234" s="6"/>
    </row>
    <row r="235" spans="1:25" x14ac:dyDescent="0.25">
      <c r="A235" s="107" t="s">
        <v>249</v>
      </c>
      <c r="B235" s="108" t="s">
        <v>31</v>
      </c>
      <c r="C235" s="187" t="s">
        <v>183</v>
      </c>
      <c r="D235" s="181">
        <f t="shared" si="19"/>
        <v>400413.50149223191</v>
      </c>
      <c r="E235" s="111">
        <f>+VLOOKUP(C235, 'INPUT NFI'!$C$3:$K$282, 4, FALSE) * D235 / L235</f>
        <v>392238.06832755369</v>
      </c>
      <c r="F235" s="111">
        <f>+VLOOKUP(C235, 'INPUT NFI'!$C$3:$K$282, 5, FALSE) * D235 / L235</f>
        <v>8175.4331646782339</v>
      </c>
      <c r="G235" s="111">
        <f t="shared" si="20"/>
        <v>70069994.2371241</v>
      </c>
      <c r="H235" s="111">
        <f>+VLOOKUP(C235, 'INPUT NFI'!$C$3:$K$282, 7, FALSE) * G235 / M235</f>
        <v>68040673.247886598</v>
      </c>
      <c r="I235" s="111">
        <f>+VLOOKUP(C235, 'INPUT NFI'!C235:K514, 8, FALSE) * G235 / M235</f>
        <v>2029320.9892374969</v>
      </c>
      <c r="J235" s="213">
        <f t="shared" si="21"/>
        <v>174.99408480481389</v>
      </c>
      <c r="K235" s="4"/>
      <c r="L235" s="183">
        <f>+VLOOKUP(C235, 'INPUT NFI'!$C$3:$K$282, 3, FALSE)</f>
        <v>387501</v>
      </c>
      <c r="M235" s="184">
        <f>+VLOOKUP(C235, 'INPUT NFI'!$C$3:$K$282, 6, FALSE)</f>
        <v>64538281.720899999</v>
      </c>
      <c r="N235" s="201">
        <f>+VLOOKUP(B235, 'AREA CorrFactor'!$B$3:$J$40, 9, FALSE)</f>
        <v>3.332249850253776E-2</v>
      </c>
      <c r="O235" s="202">
        <f>+IF(N235&gt;0, VLOOKUP(C235, 'INPUT CBM'!$N$3:$P$282, 3, FALSE), M235/L235)</f>
        <v>38.408064991151591</v>
      </c>
      <c r="P235" s="200">
        <f>+VLOOKUP(B235, 'INPUT CBM'!$B$3:$K$29, 10, FALSE)</f>
        <v>7.8027616872256067E-2</v>
      </c>
      <c r="Q235" s="183">
        <f t="shared" si="22"/>
        <v>5035768.3197121117</v>
      </c>
      <c r="R235" s="78">
        <f t="shared" si="23"/>
        <v>12912.501492231884</v>
      </c>
      <c r="S235" s="184">
        <f t="shared" si="24"/>
        <v>495944.1965119841</v>
      </c>
      <c r="T235" s="14"/>
      <c r="U235" s="6"/>
      <c r="V235" s="6"/>
      <c r="W235" s="6"/>
    </row>
    <row r="236" spans="1:25" x14ac:dyDescent="0.25">
      <c r="A236" s="107" t="s">
        <v>249</v>
      </c>
      <c r="B236" s="108" t="s">
        <v>31</v>
      </c>
      <c r="C236" s="187" t="s">
        <v>184</v>
      </c>
      <c r="D236" s="181">
        <f t="shared" si="19"/>
        <v>844626.44372849085</v>
      </c>
      <c r="E236" s="111">
        <f>+VLOOKUP(C236, 'INPUT NFI'!$C$3:$K$282, 4, FALSE) * D236 / L236</f>
        <v>805419.93474874622</v>
      </c>
      <c r="F236" s="111">
        <f>+VLOOKUP(C236, 'INPUT NFI'!$C$3:$K$282, 5, FALSE) * D236 / L236</f>
        <v>39206.5089797447</v>
      </c>
      <c r="G236" s="111">
        <f t="shared" si="20"/>
        <v>148177761.6457459</v>
      </c>
      <c r="H236" s="111">
        <f>+VLOOKUP(C236, 'INPUT NFI'!$C$3:$K$282, 7, FALSE) * G236 / M236</f>
        <v>140444801.97559676</v>
      </c>
      <c r="I236" s="111">
        <f>+VLOOKUP(C236, 'INPUT NFI'!C236:K515, 8, FALSE) * G236 / M236</f>
        <v>7732959.6701491317</v>
      </c>
      <c r="J236" s="213">
        <f t="shared" si="21"/>
        <v>175.43585421223011</v>
      </c>
      <c r="K236" s="4"/>
      <c r="L236" s="183">
        <f>+VLOOKUP(C236, 'INPUT NFI'!$C$3:$K$282, 3, FALSE)</f>
        <v>817389</v>
      </c>
      <c r="M236" s="184">
        <f>+VLOOKUP(C236, 'INPUT NFI'!$C$3:$K$282, 6, FALSE)</f>
        <v>136588969.428</v>
      </c>
      <c r="N236" s="201">
        <f>+VLOOKUP(B236, 'AREA CorrFactor'!$B$3:$J$40, 9, FALSE)</f>
        <v>3.332249850253776E-2</v>
      </c>
      <c r="O236" s="202">
        <f>+IF(N236&gt;0, VLOOKUP(C236, 'INPUT CBM'!$N$3:$P$282, 3, FALSE), M236/L236)</f>
        <v>34.183840874453161</v>
      </c>
      <c r="P236" s="200">
        <f>+VLOOKUP(B236, 'INPUT CBM'!$B$3:$K$29, 10, FALSE)</f>
        <v>7.8027616872256067E-2</v>
      </c>
      <c r="Q236" s="183">
        <f t="shared" si="22"/>
        <v>10657711.775504282</v>
      </c>
      <c r="R236" s="78">
        <f t="shared" si="23"/>
        <v>27237.443728490838</v>
      </c>
      <c r="S236" s="184">
        <f t="shared" si="24"/>
        <v>931080.44224160304</v>
      </c>
      <c r="T236" s="14"/>
      <c r="U236" s="6"/>
      <c r="V236" s="6"/>
      <c r="W236" s="6"/>
    </row>
    <row r="237" spans="1:25" x14ac:dyDescent="0.25">
      <c r="A237" s="107" t="s">
        <v>249</v>
      </c>
      <c r="B237" s="108" t="s">
        <v>31</v>
      </c>
      <c r="C237" s="187" t="s">
        <v>185</v>
      </c>
      <c r="D237" s="181">
        <f t="shared" si="19"/>
        <v>449364.0548912941</v>
      </c>
      <c r="E237" s="111">
        <f>+VLOOKUP(C237, 'INPUT NFI'!$C$3:$K$282, 4, FALSE) * D237 / L237</f>
        <v>418894.86504829518</v>
      </c>
      <c r="F237" s="111">
        <f>+VLOOKUP(C237, 'INPUT NFI'!$C$3:$K$282, 5, FALSE) * D237 / L237</f>
        <v>30469.189842998894</v>
      </c>
      <c r="G237" s="111">
        <f t="shared" si="20"/>
        <v>89862481.415981516</v>
      </c>
      <c r="H237" s="111">
        <f>+VLOOKUP(C237, 'INPUT NFI'!$C$3:$K$282, 7, FALSE) * G237 / M237</f>
        <v>82511362.916253403</v>
      </c>
      <c r="I237" s="111">
        <f>+VLOOKUP(C237, 'INPUT NFI'!C237:K516, 8, FALSE) * G237 / M237</f>
        <v>7351118.4997281106</v>
      </c>
      <c r="J237" s="213">
        <f t="shared" si="21"/>
        <v>199.97701293157547</v>
      </c>
      <c r="K237" s="4"/>
      <c r="L237" s="183">
        <f>+VLOOKUP(C237, 'INPUT NFI'!$C$3:$K$282, 3, FALSE)</f>
        <v>434873</v>
      </c>
      <c r="M237" s="184">
        <f>+VLOOKUP(C237, 'INPUT NFI'!$C$3:$K$282, 6, FALSE)</f>
        <v>83003555.649900004</v>
      </c>
      <c r="N237" s="201">
        <f>+VLOOKUP(B237, 'AREA CorrFactor'!$B$3:$J$40, 9, FALSE)</f>
        <v>3.332249850253776E-2</v>
      </c>
      <c r="O237" s="202">
        <f>+IF(N237&gt;0, VLOOKUP(C237, 'INPUT CBM'!$N$3:$P$282, 3, FALSE), M237/L237)</f>
        <v>26.385665478766018</v>
      </c>
      <c r="P237" s="200">
        <f>+VLOOKUP(B237, 'INPUT CBM'!$B$3:$K$29, 10, FALSE)</f>
        <v>7.8027616872256067E-2</v>
      </c>
      <c r="Q237" s="183">
        <f t="shared" si="22"/>
        <v>6476569.6392853828</v>
      </c>
      <c r="R237" s="78">
        <f t="shared" si="23"/>
        <v>14491.054891294103</v>
      </c>
      <c r="S237" s="184">
        <f t="shared" si="24"/>
        <v>382356.12679612229</v>
      </c>
      <c r="T237" s="14"/>
    </row>
    <row r="238" spans="1:25" x14ac:dyDescent="0.25">
      <c r="A238" s="107" t="s">
        <v>249</v>
      </c>
      <c r="B238" s="108" t="s">
        <v>31</v>
      </c>
      <c r="C238" s="187" t="s">
        <v>186</v>
      </c>
      <c r="D238" s="181">
        <f t="shared" si="19"/>
        <v>406054.40901155723</v>
      </c>
      <c r="E238" s="111">
        <f>+VLOOKUP(C238, 'INPUT NFI'!$C$3:$K$282, 4, FALSE) * D238 / L238</f>
        <v>399167.84743415058</v>
      </c>
      <c r="F238" s="111">
        <f>+VLOOKUP(C238, 'INPUT NFI'!$C$3:$K$282, 5, FALSE) * D238 / L238</f>
        <v>6886.5615774066437</v>
      </c>
      <c r="G238" s="111">
        <f t="shared" si="20"/>
        <v>73514131.448127821</v>
      </c>
      <c r="H238" s="111">
        <f>+VLOOKUP(C238, 'INPUT NFI'!$C$3:$K$282, 7, FALSE) * G238 / M238</f>
        <v>71945464.833483472</v>
      </c>
      <c r="I238" s="111">
        <f>+VLOOKUP(C238, 'INPUT NFI'!C238:K517, 8, FALSE) * G238 / M238</f>
        <v>1568666.6146443442</v>
      </c>
      <c r="J238" s="213">
        <f t="shared" si="21"/>
        <v>181.0450270127111</v>
      </c>
      <c r="K238" s="4"/>
      <c r="L238" s="183">
        <f>+VLOOKUP(C238, 'INPUT NFI'!$C$3:$K$282, 3, FALSE)</f>
        <v>392960</v>
      </c>
      <c r="M238" s="184">
        <f>+VLOOKUP(C238, 'INPUT NFI'!$C$3:$K$282, 6, FALSE)</f>
        <v>67726651.333499998</v>
      </c>
      <c r="N238" s="201">
        <f>+VLOOKUP(B238, 'AREA CorrFactor'!$B$3:$J$40, 9, FALSE)</f>
        <v>3.332249850253776E-2</v>
      </c>
      <c r="O238" s="202">
        <f>+IF(N238&gt;0, VLOOKUP(C238, 'INPUT CBM'!$N$3:$P$282, 3, FALSE), M238/L238)</f>
        <v>38.408064991151591</v>
      </c>
      <c r="P238" s="200">
        <f>+VLOOKUP(B238, 'INPUT CBM'!$B$3:$K$29, 10, FALSE)</f>
        <v>7.8027616872256067E-2</v>
      </c>
      <c r="Q238" s="183">
        <f t="shared" si="22"/>
        <v>5284549.2022912083</v>
      </c>
      <c r="R238" s="78">
        <f t="shared" si="23"/>
        <v>13094.409011557238</v>
      </c>
      <c r="S238" s="184">
        <f t="shared" si="24"/>
        <v>502930.91233661148</v>
      </c>
      <c r="T238" s="14"/>
      <c r="U238" s="6"/>
      <c r="V238" s="6"/>
      <c r="W238" s="6"/>
      <c r="Y238" s="6"/>
    </row>
    <row r="239" spans="1:25" x14ac:dyDescent="0.25">
      <c r="A239" s="107" t="s">
        <v>249</v>
      </c>
      <c r="B239" s="108" t="s">
        <v>31</v>
      </c>
      <c r="C239" s="187" t="s">
        <v>187</v>
      </c>
      <c r="D239" s="181">
        <f t="shared" si="19"/>
        <v>598676.05595741526</v>
      </c>
      <c r="E239" s="111">
        <f>+VLOOKUP(C239, 'INPUT NFI'!$C$3:$K$282, 4, FALSE) * D239 / L239</f>
        <v>567321.20643258875</v>
      </c>
      <c r="F239" s="111">
        <f>+VLOOKUP(C239, 'INPUT NFI'!$C$3:$K$282, 5, FALSE) * D239 / L239</f>
        <v>31354.849524826568</v>
      </c>
      <c r="G239" s="111">
        <f t="shared" si="20"/>
        <v>105872001.91586065</v>
      </c>
      <c r="H239" s="111">
        <f>+VLOOKUP(C239, 'INPUT NFI'!$C$3:$K$282, 7, FALSE) * G239 / M239</f>
        <v>99211611.941688865</v>
      </c>
      <c r="I239" s="111">
        <f>+VLOOKUP(C239, 'INPUT NFI'!C239:K518, 8, FALSE) * G239 / M239</f>
        <v>6660389.9741717754</v>
      </c>
      <c r="J239" s="213">
        <f t="shared" si="21"/>
        <v>176.84355481120409</v>
      </c>
      <c r="K239" s="4"/>
      <c r="L239" s="183">
        <f>+VLOOKUP(C239, 'INPUT NFI'!$C$3:$K$282, 3, FALSE)</f>
        <v>579370</v>
      </c>
      <c r="M239" s="184">
        <f>+VLOOKUP(C239, 'INPUT NFI'!$C$3:$K$282, 6, FALSE)</f>
        <v>97521150.681600004</v>
      </c>
      <c r="N239" s="201">
        <f>+VLOOKUP(B239, 'AREA CorrFactor'!$B$3:$J$40, 9, FALSE)</f>
        <v>3.332249850253776E-2</v>
      </c>
      <c r="O239" s="202">
        <f>+IF(N239&gt;0, VLOOKUP(C239, 'INPUT CBM'!$N$3:$P$282, 3, FALSE), M239/L239)</f>
        <v>38.408064991151591</v>
      </c>
      <c r="P239" s="200">
        <f>+VLOOKUP(B239, 'INPUT CBM'!$B$3:$K$29, 10, FALSE)</f>
        <v>7.8027616872256067E-2</v>
      </c>
      <c r="Q239" s="183">
        <f t="shared" si="22"/>
        <v>7609342.9823254384</v>
      </c>
      <c r="R239" s="78">
        <f t="shared" si="23"/>
        <v>19306.055957415301</v>
      </c>
      <c r="S239" s="184">
        <f t="shared" si="24"/>
        <v>741508.25193521625</v>
      </c>
      <c r="T239" s="14"/>
      <c r="U239" s="6"/>
      <c r="V239" s="6"/>
      <c r="W239" s="6"/>
      <c r="Y239" s="6"/>
    </row>
    <row r="240" spans="1:25" x14ac:dyDescent="0.25">
      <c r="A240" s="107" t="s">
        <v>249</v>
      </c>
      <c r="B240" s="108" t="s">
        <v>31</v>
      </c>
      <c r="C240" s="187" t="s">
        <v>188</v>
      </c>
      <c r="D240" s="181">
        <f t="shared" si="19"/>
        <v>698146.77963076509</v>
      </c>
      <c r="E240" s="111">
        <f>+VLOOKUP(C240, 'INPUT NFI'!$C$3:$K$282, 4, FALSE) * D240 / L240</f>
        <v>631055.16616506118</v>
      </c>
      <c r="F240" s="111">
        <f>+VLOOKUP(C240, 'INPUT NFI'!$C$3:$K$282, 5, FALSE) * D240 / L240</f>
        <v>67091.613465703806</v>
      </c>
      <c r="G240" s="111">
        <f t="shared" si="20"/>
        <v>144546001.63166711</v>
      </c>
      <c r="H240" s="111">
        <f>+VLOOKUP(C240, 'INPUT NFI'!$C$3:$K$282, 7, FALSE) * G240 / M240</f>
        <v>127077894.1779788</v>
      </c>
      <c r="I240" s="111">
        <f>+VLOOKUP(C240, 'INPUT NFI'!C240:K519, 8, FALSE) * G240 / M240</f>
        <v>17468107.453688305</v>
      </c>
      <c r="J240" s="213">
        <f t="shared" si="21"/>
        <v>207.04242409900451</v>
      </c>
      <c r="K240" s="4"/>
      <c r="L240" s="183">
        <f>+VLOOKUP(C240, 'INPUT NFI'!$C$3:$K$282, 3, FALSE)</f>
        <v>675633</v>
      </c>
      <c r="M240" s="184">
        <f>+VLOOKUP(C240, 'INPUT NFI'!$C$3:$K$282, 6, FALSE)</f>
        <v>133532720.61</v>
      </c>
      <c r="N240" s="201">
        <f>+VLOOKUP(B240, 'AREA CorrFactor'!$B$3:$J$40, 9, FALSE)</f>
        <v>3.332249850253776E-2</v>
      </c>
      <c r="O240" s="202">
        <f>+IF(N240&gt;0, VLOOKUP(C240, 'INPUT CBM'!$N$3:$P$282, 3, FALSE), M240/L240)</f>
        <v>26.385665478766018</v>
      </c>
      <c r="P240" s="200">
        <f>+VLOOKUP(B240, 'INPUT CBM'!$B$3:$K$29, 10, FALSE)</f>
        <v>7.8027616872256067E-2</v>
      </c>
      <c r="Q240" s="183">
        <f t="shared" si="22"/>
        <v>10419239.963667091</v>
      </c>
      <c r="R240" s="78">
        <f t="shared" si="23"/>
        <v>22513.779630765093</v>
      </c>
      <c r="S240" s="184">
        <f t="shared" si="24"/>
        <v>594041.05800002406</v>
      </c>
      <c r="T240" s="14"/>
      <c r="U240" s="6"/>
      <c r="V240" s="6"/>
      <c r="W240" s="6"/>
      <c r="Y240" s="6"/>
    </row>
    <row r="241" spans="1:25" x14ac:dyDescent="0.25">
      <c r="A241" s="107" t="s">
        <v>249</v>
      </c>
      <c r="B241" s="108" t="s">
        <v>31</v>
      </c>
      <c r="C241" s="187" t="s">
        <v>189</v>
      </c>
      <c r="D241" s="181">
        <f t="shared" si="19"/>
        <v>340431.19709915656</v>
      </c>
      <c r="E241" s="111">
        <f>+VLOOKUP(C241, 'INPUT NFI'!$C$3:$K$282, 4, FALSE) * D241 / L241</f>
        <v>329497.8331519604</v>
      </c>
      <c r="F241" s="111">
        <f>+VLOOKUP(C241, 'INPUT NFI'!$C$3:$K$282, 5, FALSE) * D241 / L241</f>
        <v>10933.363947196201</v>
      </c>
      <c r="G241" s="111">
        <f t="shared" si="20"/>
        <v>57540610.510229982</v>
      </c>
      <c r="H241" s="111">
        <f>+VLOOKUP(C241, 'INPUT NFI'!$C$3:$K$282, 7, FALSE) * G241 / M241</f>
        <v>54603228.090600379</v>
      </c>
      <c r="I241" s="111">
        <f>+VLOOKUP(C241, 'INPUT NFI'!C241:K520, 8, FALSE) * G241 / M241</f>
        <v>2937382.419629606</v>
      </c>
      <c r="J241" s="213">
        <f t="shared" si="21"/>
        <v>169.02273058561747</v>
      </c>
      <c r="K241" s="4"/>
      <c r="L241" s="183">
        <f>+VLOOKUP(C241, 'INPUT NFI'!$C$3:$K$282, 3, FALSE)</f>
        <v>329453</v>
      </c>
      <c r="M241" s="184">
        <f>+VLOOKUP(C241, 'INPUT NFI'!$C$3:$K$282, 6, FALSE)</f>
        <v>52984690.103100002</v>
      </c>
      <c r="N241" s="201">
        <f>+VLOOKUP(B241, 'AREA CorrFactor'!$B$3:$J$40, 9, FALSE)</f>
        <v>3.332249850253776E-2</v>
      </c>
      <c r="O241" s="202">
        <f>+IF(N241&gt;0, VLOOKUP(C241, 'INPUT CBM'!$N$3:$P$282, 3, FALSE), M241/L241)</f>
        <v>38.408064991151591</v>
      </c>
      <c r="P241" s="200">
        <f>+VLOOKUP(B241, 'INPUT CBM'!$B$3:$K$29, 10, FALSE)</f>
        <v>7.8027616872256067E-2</v>
      </c>
      <c r="Q241" s="183">
        <f t="shared" si="22"/>
        <v>4134269.0994599047</v>
      </c>
      <c r="R241" s="78">
        <f t="shared" si="23"/>
        <v>10978.197099156572</v>
      </c>
      <c r="S241" s="184">
        <f t="shared" si="24"/>
        <v>421651.30767007748</v>
      </c>
      <c r="T241" s="14"/>
      <c r="U241" s="6"/>
      <c r="V241" s="6"/>
      <c r="W241" s="6"/>
      <c r="Y241" s="6"/>
    </row>
    <row r="242" spans="1:25" x14ac:dyDescent="0.25">
      <c r="A242" s="107" t="s">
        <v>249</v>
      </c>
      <c r="B242" s="108" t="s">
        <v>31</v>
      </c>
      <c r="C242" s="187" t="s">
        <v>190</v>
      </c>
      <c r="D242" s="181">
        <f t="shared" si="19"/>
        <v>639737.19208041066</v>
      </c>
      <c r="E242" s="111">
        <f>+VLOOKUP(C242, 'INPUT NFI'!$C$3:$K$282, 4, FALSE) * D242 / L242</f>
        <v>566238.56269420986</v>
      </c>
      <c r="F242" s="111">
        <f>+VLOOKUP(C242, 'INPUT NFI'!$C$3:$K$282, 5, FALSE) * D242 / L242</f>
        <v>73498.629386200817</v>
      </c>
      <c r="G242" s="111">
        <f t="shared" si="20"/>
        <v>114858630.86162648</v>
      </c>
      <c r="H242" s="111">
        <f>+VLOOKUP(C242, 'INPUT NFI'!$C$3:$K$282, 7, FALSE) * G242 / M242</f>
        <v>101519223.78190005</v>
      </c>
      <c r="I242" s="111">
        <f>+VLOOKUP(C242, 'INPUT NFI'!C242:K521, 8, FALSE) * G242 / M242</f>
        <v>13339407.079726417</v>
      </c>
      <c r="J242" s="213">
        <f t="shared" si="21"/>
        <v>179.54033669374269</v>
      </c>
      <c r="K242" s="4"/>
      <c r="L242" s="183">
        <f>+VLOOKUP(C242, 'INPUT NFI'!$C$3:$K$282, 3, FALSE)</f>
        <v>619107</v>
      </c>
      <c r="M242" s="184">
        <f>+VLOOKUP(C242, 'INPUT NFI'!$C$3:$K$282, 6, FALSE)</f>
        <v>105875965.527</v>
      </c>
      <c r="N242" s="201">
        <f>+VLOOKUP(B242, 'AREA CorrFactor'!$B$3:$J$40, 9, FALSE)</f>
        <v>3.332249850253776E-2</v>
      </c>
      <c r="O242" s="202">
        <f>+IF(N242&gt;0, VLOOKUP(C242, 'INPUT CBM'!$N$3:$P$282, 3, FALSE), M242/L242)</f>
        <v>34.968945402624747</v>
      </c>
      <c r="P242" s="200">
        <f>+VLOOKUP(B242, 'INPUT CBM'!$B$3:$K$29, 10, FALSE)</f>
        <v>7.8027616872256067E-2</v>
      </c>
      <c r="Q242" s="183">
        <f t="shared" si="22"/>
        <v>8261249.2741209464</v>
      </c>
      <c r="R242" s="78">
        <f t="shared" si="23"/>
        <v>20630.192080410645</v>
      </c>
      <c r="S242" s="184">
        <f t="shared" si="24"/>
        <v>721416.06050554127</v>
      </c>
      <c r="T242" s="14"/>
      <c r="U242" s="6"/>
      <c r="V242" s="6"/>
      <c r="W242" s="6"/>
      <c r="Y242" s="6"/>
    </row>
    <row r="243" spans="1:25" x14ac:dyDescent="0.25">
      <c r="A243" s="107" t="s">
        <v>249</v>
      </c>
      <c r="B243" s="108" t="s">
        <v>31</v>
      </c>
      <c r="C243" s="187" t="s">
        <v>191</v>
      </c>
      <c r="D243" s="181">
        <f t="shared" si="19"/>
        <v>792123.32757957687</v>
      </c>
      <c r="E243" s="111">
        <f>+VLOOKUP(C243, 'INPUT NFI'!$C$3:$K$282, 4, FALSE) * D243 / L243</f>
        <v>767997.92670475971</v>
      </c>
      <c r="F243" s="111">
        <f>+VLOOKUP(C243, 'INPUT NFI'!$C$3:$K$282, 5, FALSE) * D243 / L243</f>
        <v>24125.400874817165</v>
      </c>
      <c r="G243" s="111">
        <f t="shared" si="20"/>
        <v>135230583.99055648</v>
      </c>
      <c r="H243" s="111">
        <f>+VLOOKUP(C243, 'INPUT NFI'!$C$3:$K$282, 7, FALSE) * G243 / M243</f>
        <v>130650294.4894831</v>
      </c>
      <c r="I243" s="111">
        <f>+VLOOKUP(C243, 'INPUT NFI'!C243:K522, 8, FALSE) * G243 / M243</f>
        <v>4580289.5010733763</v>
      </c>
      <c r="J243" s="213">
        <f t="shared" si="21"/>
        <v>170.71910305150203</v>
      </c>
      <c r="K243" s="4"/>
      <c r="L243" s="183">
        <f>+VLOOKUP(C243, 'INPUT NFI'!$C$3:$K$282, 3, FALSE)</f>
        <v>766579</v>
      </c>
      <c r="M243" s="184">
        <f>+VLOOKUP(C243, 'INPUT NFI'!$C$3:$K$282, 6, FALSE)</f>
        <v>124401005.789</v>
      </c>
      <c r="N243" s="201">
        <f>+VLOOKUP(B243, 'AREA CorrFactor'!$B$3:$J$40, 9, FALSE)</f>
        <v>3.332249850253776E-2</v>
      </c>
      <c r="O243" s="202">
        <f>+IF(N243&gt;0, VLOOKUP(C243, 'INPUT CBM'!$N$3:$P$282, 3, FALSE), M243/L243)</f>
        <v>43.957476658216592</v>
      </c>
      <c r="P243" s="200">
        <f>+VLOOKUP(B243, 'INPUT CBM'!$B$3:$K$29, 10, FALSE)</f>
        <v>7.8027616872256067E-2</v>
      </c>
      <c r="Q243" s="183">
        <f t="shared" si="22"/>
        <v>9706714.0182274021</v>
      </c>
      <c r="R243" s="78">
        <f t="shared" si="23"/>
        <v>25544.327579576893</v>
      </c>
      <c r="S243" s="184">
        <f t="shared" si="24"/>
        <v>1122864.1833290895</v>
      </c>
      <c r="T243" s="14"/>
      <c r="U243" s="6"/>
      <c r="V243" s="6"/>
      <c r="W243" s="6"/>
      <c r="Y243" s="6"/>
    </row>
    <row r="244" spans="1:25" x14ac:dyDescent="0.25">
      <c r="A244" s="107" t="s">
        <v>249</v>
      </c>
      <c r="B244" s="108" t="s">
        <v>31</v>
      </c>
      <c r="C244" s="187" t="s">
        <v>192</v>
      </c>
      <c r="D244" s="181">
        <f t="shared" si="19"/>
        <v>837082.15616692381</v>
      </c>
      <c r="E244" s="111">
        <f>+VLOOKUP(C244, 'INPUT NFI'!$C$3:$K$282, 4, FALSE) * D244 / L244</f>
        <v>786481.00972165994</v>
      </c>
      <c r="F244" s="111">
        <f>+VLOOKUP(C244, 'INPUT NFI'!$C$3:$K$282, 5, FALSE) * D244 / L244</f>
        <v>50601.146445263927</v>
      </c>
      <c r="G244" s="111">
        <f t="shared" si="20"/>
        <v>156720627.05695796</v>
      </c>
      <c r="H244" s="111">
        <f>+VLOOKUP(C244, 'INPUT NFI'!$C$3:$K$282, 7, FALSE) * G244 / M244</f>
        <v>145084316.58533946</v>
      </c>
      <c r="I244" s="111">
        <f>+VLOOKUP(C244, 'INPUT NFI'!C244:K523, 8, FALSE) * G244 / M244</f>
        <v>11636310.471618501</v>
      </c>
      <c r="J244" s="213">
        <f t="shared" si="21"/>
        <v>187.22251561853395</v>
      </c>
      <c r="K244" s="4"/>
      <c r="L244" s="183">
        <f>+VLOOKUP(C244, 'INPUT NFI'!$C$3:$K$282, 3, FALSE)</f>
        <v>810088</v>
      </c>
      <c r="M244" s="184">
        <f>+VLOOKUP(C244, 'INPUT NFI'!$C$3:$K$282, 6, FALSE)</f>
        <v>144440703.22099999</v>
      </c>
      <c r="N244" s="201">
        <f>+VLOOKUP(B244, 'AREA CorrFactor'!$B$3:$J$40, 9, FALSE)</f>
        <v>3.332249850253776E-2</v>
      </c>
      <c r="O244" s="202">
        <f>+IF(N244&gt;0, VLOOKUP(C244, 'INPUT CBM'!$N$3:$P$282, 3, FALSE), M244/L244)</f>
        <v>37.399205147503707</v>
      </c>
      <c r="P244" s="200">
        <f>+VLOOKUP(B244, 'INPUT CBM'!$B$3:$K$29, 10, FALSE)</f>
        <v>7.8027616872256067E-2</v>
      </c>
      <c r="Q244" s="183">
        <f t="shared" si="22"/>
        <v>11270363.851687429</v>
      </c>
      <c r="R244" s="78">
        <f t="shared" si="23"/>
        <v>26994.156166923811</v>
      </c>
      <c r="S244" s="184">
        <f t="shared" si="24"/>
        <v>1009559.9842705359</v>
      </c>
      <c r="T244" s="14"/>
      <c r="U244" s="6"/>
      <c r="V244" s="6"/>
      <c r="W244" s="6"/>
      <c r="Y244" s="6"/>
    </row>
    <row r="245" spans="1:25" x14ac:dyDescent="0.25">
      <c r="A245" s="107" t="s">
        <v>249</v>
      </c>
      <c r="B245" s="108" t="s">
        <v>31</v>
      </c>
      <c r="C245" s="187" t="s">
        <v>193</v>
      </c>
      <c r="D245" s="181">
        <f t="shared" si="19"/>
        <v>710577.6492877506</v>
      </c>
      <c r="E245" s="111">
        <f>+VLOOKUP(C245, 'INPUT NFI'!$C$3:$K$282, 4, FALSE) * D245 / L245</f>
        <v>686607.02124252648</v>
      </c>
      <c r="F245" s="111">
        <f>+VLOOKUP(C245, 'INPUT NFI'!$C$3:$K$282, 5, FALSE) * D245 / L245</f>
        <v>23970.628045224115</v>
      </c>
      <c r="G245" s="111">
        <f t="shared" si="20"/>
        <v>125688402.71361968</v>
      </c>
      <c r="H245" s="111">
        <f>+VLOOKUP(C245, 'INPUT NFI'!$C$3:$K$282, 7, FALSE) * G245 / M245</f>
        <v>119899375.29212612</v>
      </c>
      <c r="I245" s="111">
        <f>+VLOOKUP(C245, 'INPUT NFI'!C245:K524, 8, FALSE) * G245 / M245</f>
        <v>5789027.4214935657</v>
      </c>
      <c r="J245" s="213">
        <f t="shared" si="21"/>
        <v>176.88200978401696</v>
      </c>
      <c r="K245" s="4"/>
      <c r="L245" s="183">
        <f>+VLOOKUP(C245, 'INPUT NFI'!$C$3:$K$282, 3, FALSE)</f>
        <v>687663</v>
      </c>
      <c r="M245" s="184">
        <f>+VLOOKUP(C245, 'INPUT NFI'!$C$3:$K$282, 6, FALSE)</f>
        <v>115656714.727</v>
      </c>
      <c r="N245" s="201">
        <f>+VLOOKUP(B245, 'AREA CorrFactor'!$B$3:$J$40, 9, FALSE)</f>
        <v>3.332249850253776E-2</v>
      </c>
      <c r="O245" s="202">
        <f>+IF(N245&gt;0, VLOOKUP(C245, 'INPUT CBM'!$N$3:$P$282, 3, FALSE), M245/L245)</f>
        <v>43.957476658216592</v>
      </c>
      <c r="P245" s="200">
        <f>+VLOOKUP(B245, 'INPUT CBM'!$B$3:$K$29, 10, FALSE)</f>
        <v>7.8027616872256067E-2</v>
      </c>
      <c r="Q245" s="183">
        <f t="shared" si="22"/>
        <v>9024417.8254221715</v>
      </c>
      <c r="R245" s="78">
        <f t="shared" si="23"/>
        <v>22914.649287750624</v>
      </c>
      <c r="S245" s="184">
        <f t="shared" si="24"/>
        <v>1007270.1611975175</v>
      </c>
      <c r="T245" s="14"/>
      <c r="U245" s="6"/>
      <c r="V245" s="6"/>
      <c r="W245" s="6"/>
      <c r="Y245" s="6"/>
    </row>
    <row r="246" spans="1:25" x14ac:dyDescent="0.25">
      <c r="A246" s="107" t="s">
        <v>249</v>
      </c>
      <c r="B246" s="108" t="s">
        <v>31</v>
      </c>
      <c r="C246" s="187" t="s">
        <v>194</v>
      </c>
      <c r="D246" s="181">
        <f t="shared" si="19"/>
        <v>611570.88741622842</v>
      </c>
      <c r="E246" s="111">
        <f>+VLOOKUP(C246, 'INPUT NFI'!$C$3:$K$282, 4, FALSE) * D246 / L246</f>
        <v>575414.58833440882</v>
      </c>
      <c r="F246" s="111">
        <f>+VLOOKUP(C246, 'INPUT NFI'!$C$3:$K$282, 5, FALSE) * D246 / L246</f>
        <v>36156.299081819685</v>
      </c>
      <c r="G246" s="111">
        <f t="shared" si="20"/>
        <v>109810787.24373452</v>
      </c>
      <c r="H246" s="111">
        <f>+VLOOKUP(C246, 'INPUT NFI'!$C$3:$K$282, 7, FALSE) * G246 / M246</f>
        <v>102924584.830044</v>
      </c>
      <c r="I246" s="111">
        <f>+VLOOKUP(C246, 'INPUT NFI'!C246:K525, 8, FALSE) * G246 / M246</f>
        <v>6886202.4136905242</v>
      </c>
      <c r="J246" s="213">
        <f t="shared" si="21"/>
        <v>179.55528868887853</v>
      </c>
      <c r="K246" s="4"/>
      <c r="L246" s="183">
        <f>+VLOOKUP(C246, 'INPUT NFI'!$C$3:$K$282, 3, FALSE)</f>
        <v>591849</v>
      </c>
      <c r="M246" s="184">
        <f>+VLOOKUP(C246, 'INPUT NFI'!$C$3:$K$282, 6, FALSE)</f>
        <v>101043483.935</v>
      </c>
      <c r="N246" s="201">
        <f>+VLOOKUP(B246, 'AREA CorrFactor'!$B$3:$J$40, 9, FALSE)</f>
        <v>3.332249850253776E-2</v>
      </c>
      <c r="O246" s="202">
        <f>+IF(N246&gt;0, VLOOKUP(C246, 'INPUT CBM'!$N$3:$P$282, 3, FALSE), M246/L246)</f>
        <v>44.778729245238807</v>
      </c>
      <c r="P246" s="200">
        <f>+VLOOKUP(B246, 'INPUT CBM'!$B$3:$K$29, 10, FALSE)</f>
        <v>7.8027616872256067E-2</v>
      </c>
      <c r="Q246" s="183">
        <f t="shared" si="22"/>
        <v>7884182.2519181408</v>
      </c>
      <c r="R246" s="78">
        <f t="shared" si="23"/>
        <v>19721.88741622847</v>
      </c>
      <c r="S246" s="184">
        <f t="shared" si="24"/>
        <v>883121.05681637698</v>
      </c>
      <c r="T246" s="18"/>
      <c r="U246" s="6"/>
      <c r="V246" s="6"/>
      <c r="W246" s="6"/>
      <c r="Y246" s="6"/>
    </row>
    <row r="247" spans="1:25" x14ac:dyDescent="0.25">
      <c r="A247" s="107" t="s">
        <v>249</v>
      </c>
      <c r="B247" s="108" t="s">
        <v>31</v>
      </c>
      <c r="C247" s="187" t="s">
        <v>195</v>
      </c>
      <c r="D247" s="181">
        <f t="shared" si="19"/>
        <v>258317.1914331539</v>
      </c>
      <c r="E247" s="111">
        <f>+VLOOKUP(C247, 'INPUT NFI'!$C$3:$K$282, 4, FALSE) * D247 / L247</f>
        <v>246831.55393000937</v>
      </c>
      <c r="F247" s="111">
        <f>+VLOOKUP(C247, 'INPUT NFI'!$C$3:$K$282, 5, FALSE) * D247 / L247</f>
        <v>11485.637503144533</v>
      </c>
      <c r="G247" s="111">
        <f t="shared" si="20"/>
        <v>48201810.382097147</v>
      </c>
      <c r="H247" s="111">
        <f>+VLOOKUP(C247, 'INPUT NFI'!$C$3:$K$282, 7, FALSE) * G247 / M247</f>
        <v>46087767.351114415</v>
      </c>
      <c r="I247" s="111">
        <f>+VLOOKUP(C247, 'INPUT NFI'!C247:K526, 8, FALSE) * G247 / M247</f>
        <v>2114043.0309827412</v>
      </c>
      <c r="J247" s="213">
        <f t="shared" si="21"/>
        <v>186.59931270803779</v>
      </c>
      <c r="K247" s="4"/>
      <c r="L247" s="183">
        <f>+VLOOKUP(C247, 'INPUT NFI'!$C$3:$K$282, 3, FALSE)</f>
        <v>249987</v>
      </c>
      <c r="M247" s="184">
        <f>+VLOOKUP(C247, 'INPUT NFI'!$C$3:$K$282, 6, FALSE)</f>
        <v>44366947.791299999</v>
      </c>
      <c r="N247" s="201">
        <f>+VLOOKUP(B247, 'AREA CorrFactor'!$B$3:$J$40, 9, FALSE)</f>
        <v>3.332249850253776E-2</v>
      </c>
      <c r="O247" s="202">
        <f>+IF(N247&gt;0, VLOOKUP(C247, 'INPUT CBM'!$N$3:$P$282, 3, FALSE), M247/L247)</f>
        <v>44.778729245238807</v>
      </c>
      <c r="P247" s="200">
        <f>+VLOOKUP(B247, 'INPUT CBM'!$B$3:$K$29, 10, FALSE)</f>
        <v>7.8027616872256067E-2</v>
      </c>
      <c r="Q247" s="183">
        <f t="shared" si="22"/>
        <v>3461847.2040509437</v>
      </c>
      <c r="R247" s="78">
        <f t="shared" si="23"/>
        <v>8330.1914331539065</v>
      </c>
      <c r="S247" s="184">
        <f t="shared" si="24"/>
        <v>373015.38674620661</v>
      </c>
      <c r="T247" s="18"/>
      <c r="U247" s="6"/>
      <c r="V247" s="6"/>
      <c r="W247" s="6"/>
    </row>
    <row r="248" spans="1:25" x14ac:dyDescent="0.25">
      <c r="A248" s="107" t="s">
        <v>249</v>
      </c>
      <c r="B248" s="108" t="s">
        <v>31</v>
      </c>
      <c r="C248" s="187" t="s">
        <v>196</v>
      </c>
      <c r="D248" s="181">
        <f t="shared" si="19"/>
        <v>435148.63727939466</v>
      </c>
      <c r="E248" s="111">
        <f>+VLOOKUP(C248, 'INPUT NFI'!$C$3:$K$282, 4, FALSE) * D248 / L248</f>
        <v>426340.33198636572</v>
      </c>
      <c r="F248" s="111">
        <f>+VLOOKUP(C248, 'INPUT NFI'!$C$3:$K$282, 5, FALSE) * D248 / L248</f>
        <v>8808.3052930289414</v>
      </c>
      <c r="G248" s="111">
        <f t="shared" si="20"/>
        <v>77174048.121207163</v>
      </c>
      <c r="H248" s="111">
        <f>+VLOOKUP(C248, 'INPUT NFI'!$C$3:$K$282, 7, FALSE) * G248 / M248</f>
        <v>75489717.513937473</v>
      </c>
      <c r="I248" s="111">
        <f>+VLOOKUP(C248, 'INPUT NFI'!C248:K527, 8, FALSE) * G248 / M248</f>
        <v>1684330.6072696834</v>
      </c>
      <c r="J248" s="213">
        <f t="shared" si="21"/>
        <v>177.35100494329765</v>
      </c>
      <c r="K248" s="4"/>
      <c r="L248" s="183">
        <f>+VLOOKUP(C248, 'INPUT NFI'!$C$3:$K$282, 3, FALSE)</f>
        <v>421116</v>
      </c>
      <c r="M248" s="184">
        <f>+VLOOKUP(C248, 'INPUT NFI'!$C$3:$K$282, 6, FALSE)</f>
        <v>71015999.587899998</v>
      </c>
      <c r="N248" s="201">
        <f>+VLOOKUP(B248, 'AREA CorrFactor'!$B$3:$J$40, 9, FALSE)</f>
        <v>3.332249850253776E-2</v>
      </c>
      <c r="O248" s="202">
        <f>+IF(N248&gt;0, VLOOKUP(C248, 'INPUT CBM'!$N$3:$P$282, 3, FALSE), M248/L248)</f>
        <v>43.957476658216592</v>
      </c>
      <c r="P248" s="200">
        <f>+VLOOKUP(B248, 'INPUT CBM'!$B$3:$K$29, 10, FALSE)</f>
        <v>7.8027616872256067E-2</v>
      </c>
      <c r="Q248" s="183">
        <f t="shared" si="22"/>
        <v>5541209.2076449562</v>
      </c>
      <c r="R248" s="78">
        <f t="shared" si="23"/>
        <v>14032.637279394692</v>
      </c>
      <c r="S248" s="184">
        <f t="shared" si="24"/>
        <v>616839.32566221221</v>
      </c>
      <c r="T248" s="18"/>
      <c r="U248" s="6"/>
      <c r="V248" s="6"/>
      <c r="W248" s="6"/>
    </row>
    <row r="249" spans="1:25" x14ac:dyDescent="0.25">
      <c r="A249" s="107" t="s">
        <v>249</v>
      </c>
      <c r="B249" s="108" t="s">
        <v>31</v>
      </c>
      <c r="C249" s="187" t="s">
        <v>197</v>
      </c>
      <c r="D249" s="181">
        <f t="shared" si="19"/>
        <v>773325.12468681869</v>
      </c>
      <c r="E249" s="111">
        <f>+VLOOKUP(C249, 'INPUT NFI'!$C$3:$K$282, 4, FALSE) * D249 / L249</f>
        <v>727189.90492234018</v>
      </c>
      <c r="F249" s="111">
        <f>+VLOOKUP(C249, 'INPUT NFI'!$C$3:$K$282, 5, FALSE) * D249 / L249</f>
        <v>46135.219764478446</v>
      </c>
      <c r="G249" s="111">
        <f t="shared" si="20"/>
        <v>144355688.16460949</v>
      </c>
      <c r="H249" s="111">
        <f>+VLOOKUP(C249, 'INPUT NFI'!$C$3:$K$282, 7, FALSE) * G249 / M249</f>
        <v>135815442.79874963</v>
      </c>
      <c r="I249" s="111">
        <f>+VLOOKUP(C249, 'INPUT NFI'!C249:K528, 8, FALSE) * G249 / M249</f>
        <v>8540245.3658598419</v>
      </c>
      <c r="J249" s="213">
        <f t="shared" si="21"/>
        <v>186.66881956417836</v>
      </c>
      <c r="K249" s="4"/>
      <c r="L249" s="183">
        <f>+VLOOKUP(C249, 'INPUT NFI'!$C$3:$K$282, 3, FALSE)</f>
        <v>748387</v>
      </c>
      <c r="M249" s="184">
        <f>+VLOOKUP(C249, 'INPUT NFI'!$C$3:$K$282, 6, FALSE)</f>
        <v>133042066.714</v>
      </c>
      <c r="N249" s="201">
        <f>+VLOOKUP(B249, 'AREA CorrFactor'!$B$3:$J$40, 9, FALSE)</f>
        <v>3.332249850253776E-2</v>
      </c>
      <c r="O249" s="202">
        <f>+IF(N249&gt;0, VLOOKUP(C249, 'INPUT CBM'!$N$3:$P$282, 3, FALSE), M249/L249)</f>
        <v>37.399205147503707</v>
      </c>
      <c r="P249" s="200">
        <f>+VLOOKUP(B249, 'INPUT CBM'!$B$3:$K$29, 10, FALSE)</f>
        <v>7.8027616872256067E-2</v>
      </c>
      <c r="Q249" s="183">
        <f t="shared" si="22"/>
        <v>10380955.409453124</v>
      </c>
      <c r="R249" s="78">
        <f t="shared" si="23"/>
        <v>24938.124686818726</v>
      </c>
      <c r="S249" s="184">
        <f t="shared" si="24"/>
        <v>932666.04115636018</v>
      </c>
      <c r="T249" s="18"/>
      <c r="U249" s="6"/>
      <c r="V249" s="6"/>
      <c r="W249" s="6"/>
    </row>
    <row r="250" spans="1:25" x14ac:dyDescent="0.25">
      <c r="A250" s="107" t="s">
        <v>249</v>
      </c>
      <c r="B250" s="108" t="s">
        <v>31</v>
      </c>
      <c r="C250" s="187" t="s">
        <v>198</v>
      </c>
      <c r="D250" s="181">
        <f t="shared" si="19"/>
        <v>687405.39225883118</v>
      </c>
      <c r="E250" s="111">
        <f>+VLOOKUP(C250, 'INPUT NFI'!$C$3:$K$282, 4, FALSE) * D250 / L250</f>
        <v>649965.11631042953</v>
      </c>
      <c r="F250" s="111">
        <f>+VLOOKUP(C250, 'INPUT NFI'!$C$3:$K$282, 5, FALSE) * D250 / L250</f>
        <v>37440.275948401548</v>
      </c>
      <c r="G250" s="111">
        <f t="shared" si="20"/>
        <v>123496817.65547988</v>
      </c>
      <c r="H250" s="111">
        <f>+VLOOKUP(C250, 'INPUT NFI'!$C$3:$K$282, 7, FALSE) * G250 / M250</f>
        <v>116933550.845218</v>
      </c>
      <c r="I250" s="111">
        <f>+VLOOKUP(C250, 'INPUT NFI'!C250:K529, 8, FALSE) * G250 / M250</f>
        <v>6563266.810261881</v>
      </c>
      <c r="J250" s="213">
        <f t="shared" si="21"/>
        <v>179.65645752307276</v>
      </c>
      <c r="K250" s="4"/>
      <c r="L250" s="183">
        <f>+VLOOKUP(C250, 'INPUT NFI'!$C$3:$K$282, 3, FALSE)</f>
        <v>665238</v>
      </c>
      <c r="M250" s="184">
        <f>+VLOOKUP(C250, 'INPUT NFI'!$C$3:$K$282, 6, FALSE)</f>
        <v>113789083.772</v>
      </c>
      <c r="N250" s="201">
        <f>+VLOOKUP(B250, 'AREA CorrFactor'!$B$3:$J$40, 9, FALSE)</f>
        <v>3.332249850253776E-2</v>
      </c>
      <c r="O250" s="202">
        <f>+IF(N250&gt;0, VLOOKUP(C250, 'INPUT CBM'!$N$3:$P$282, 3, FALSE), M250/L250)</f>
        <v>37.399205147503707</v>
      </c>
      <c r="P250" s="200">
        <f>+VLOOKUP(B250, 'INPUT CBM'!$B$3:$K$29, 10, FALSE)</f>
        <v>7.8027616872256067E-2</v>
      </c>
      <c r="Q250" s="183">
        <f t="shared" si="22"/>
        <v>8878691.0328066666</v>
      </c>
      <c r="R250" s="78">
        <f t="shared" si="23"/>
        <v>22167.392258831216</v>
      </c>
      <c r="S250" s="184">
        <f t="shared" si="24"/>
        <v>829042.8506732143</v>
      </c>
      <c r="T250" s="18"/>
      <c r="U250" s="6"/>
      <c r="V250" s="6"/>
      <c r="W250" s="6"/>
    </row>
    <row r="251" spans="1:25" x14ac:dyDescent="0.25">
      <c r="A251" s="107" t="s">
        <v>199</v>
      </c>
      <c r="B251" s="108" t="s">
        <v>32</v>
      </c>
      <c r="C251" s="187" t="s">
        <v>200</v>
      </c>
      <c r="D251" s="181">
        <f t="shared" si="19"/>
        <v>586142.69253435067</v>
      </c>
      <c r="E251" s="111">
        <f>+VLOOKUP(C251, 'INPUT NFI'!$C$3:$K$282, 4, FALSE) * D251 / L251</f>
        <v>567302.74960454076</v>
      </c>
      <c r="F251" s="111">
        <f>+VLOOKUP(C251, 'INPUT NFI'!$C$3:$K$282, 5, FALSE) * D251 / L251</f>
        <v>18839.942929809869</v>
      </c>
      <c r="G251" s="111">
        <f>+M251+Q251+S251</f>
        <v>31962369.564828016</v>
      </c>
      <c r="H251" s="111">
        <f>+VLOOKUP(C251, 'INPUT NFI'!$C$3:$K$282, 7, FALSE) * G251 / M251</f>
        <v>30313864.451994628</v>
      </c>
      <c r="I251" s="111">
        <f>+VLOOKUP(C251, 'INPUT NFI'!C251:K530, 8, FALSE) * G251 / M251</f>
        <v>1648505.1128333912</v>
      </c>
      <c r="J251" s="213">
        <f t="shared" si="21"/>
        <v>54.530014571417475</v>
      </c>
      <c r="K251" s="4"/>
      <c r="L251" s="183">
        <f>+VLOOKUP(C251, 'INPUT NFI'!$C$3:$K$282, 3, FALSE)</f>
        <v>584900</v>
      </c>
      <c r="M251" s="184">
        <f>+VLOOKUP(C251, 'INPUT NFI'!$C$3:$K$282, 6, FALSE)</f>
        <v>29509600</v>
      </c>
      <c r="N251" s="201">
        <f>+VLOOKUP(B251, 'AREA CorrFactor'!$B$3:$J$40, 9, FALSE)</f>
        <v>2.1246239260568839E-3</v>
      </c>
      <c r="O251" s="202">
        <f>+IF(N251&gt;0, VLOOKUP(C251, 'INPUT CBM'!$N$3:$P$282, 3, FALSE), M251/L251)</f>
        <v>40.622238539374059</v>
      </c>
      <c r="P251" s="200">
        <f>+VLOOKUP(B251, 'INPUT CBM'!$B$3:$K$29, 10, FALSE)</f>
        <v>8.1407020504057057E-2</v>
      </c>
      <c r="Q251" s="183">
        <f>+M251*P251</f>
        <v>2402288.6122665219</v>
      </c>
      <c r="R251" s="78">
        <f t="shared" si="23"/>
        <v>1242.6925343506714</v>
      </c>
      <c r="S251" s="184">
        <f t="shared" si="24"/>
        <v>50480.952561492268</v>
      </c>
      <c r="T251" s="18"/>
      <c r="U251" s="6"/>
      <c r="V251" s="6"/>
      <c r="W251" s="6"/>
    </row>
    <row r="252" spans="1:25" x14ac:dyDescent="0.25">
      <c r="A252" s="107" t="s">
        <v>199</v>
      </c>
      <c r="B252" s="108" t="s">
        <v>32</v>
      </c>
      <c r="C252" s="187" t="s">
        <v>201</v>
      </c>
      <c r="D252" s="181">
        <f t="shared" si="19"/>
        <v>145608.70785645608</v>
      </c>
      <c r="E252" s="111">
        <f>+VLOOKUP(C252, 'INPUT NFI'!$C$3:$K$282, 4, FALSE) * D252 / L252</f>
        <v>101715.64932849478</v>
      </c>
      <c r="F252" s="111">
        <f>+VLOOKUP(C252, 'INPUT NFI'!$C$3:$K$282, 5, FALSE) * D252 / L252</f>
        <v>43893.058527961301</v>
      </c>
      <c r="G252" s="111">
        <f t="shared" si="20"/>
        <v>2853546.1560718818</v>
      </c>
      <c r="H252" s="111">
        <f>+VLOOKUP(C252, 'INPUT NFI'!$C$3:$K$282, 7, FALSE) * G252 / M252</f>
        <v>1720509.300128262</v>
      </c>
      <c r="I252" s="111">
        <f>+VLOOKUP(C252, 'INPUT NFI'!C252:K531, 8, FALSE) * G252 / M252</f>
        <v>1133036.8559436197</v>
      </c>
      <c r="J252" s="213">
        <f t="shared" si="21"/>
        <v>19.597359238191739</v>
      </c>
      <c r="K252" s="4"/>
      <c r="L252" s="183">
        <f>+VLOOKUP(C252, 'INPUT NFI'!$C$3:$K$282, 3, FALSE)</f>
        <v>145300</v>
      </c>
      <c r="M252" s="184">
        <f>+VLOOKUP(C252, 'INPUT NFI'!$C$3:$K$282, 6, FALSE)</f>
        <v>2628300</v>
      </c>
      <c r="N252" s="201">
        <f>+VLOOKUP(B252, 'AREA CorrFactor'!$B$3:$J$40, 9, FALSE)</f>
        <v>2.1246239260568839E-3</v>
      </c>
      <c r="O252" s="202">
        <f>+IF(N252&gt;0, VLOOKUP(C252, 'INPUT CBM'!$N$3:$P$282, 3, FALSE), M252/L252)</f>
        <v>36.552630084017572</v>
      </c>
      <c r="P252" s="200">
        <f>+VLOOKUP(B252, 'INPUT CBM'!$B$3:$K$29, 10, FALSE)</f>
        <v>8.1407020504057057E-2</v>
      </c>
      <c r="Q252" s="183">
        <f t="shared" si="22"/>
        <v>213962.07199081316</v>
      </c>
      <c r="R252" s="78">
        <f t="shared" si="23"/>
        <v>308.70785645606526</v>
      </c>
      <c r="S252" s="184">
        <f t="shared" si="24"/>
        <v>11284.084081068549</v>
      </c>
      <c r="T252" s="18"/>
      <c r="U252" s="6"/>
      <c r="V252" s="6"/>
      <c r="W252" s="6"/>
    </row>
    <row r="253" spans="1:25" x14ac:dyDescent="0.25">
      <c r="A253" s="107" t="s">
        <v>199</v>
      </c>
      <c r="B253" s="108" t="s">
        <v>32</v>
      </c>
      <c r="C253" s="187" t="s">
        <v>202</v>
      </c>
      <c r="D253" s="181">
        <f t="shared" si="19"/>
        <v>1095422.4264135729</v>
      </c>
      <c r="E253" s="111">
        <f>+VLOOKUP(C253, 'INPUT NFI'!$C$3:$K$282, 4, FALSE) * D253 / L253</f>
        <v>1034693.6742036537</v>
      </c>
      <c r="F253" s="111">
        <f>+VLOOKUP(C253, 'INPUT NFI'!$C$3:$K$282, 5, FALSE) * D253 / L253</f>
        <v>60728.752209919054</v>
      </c>
      <c r="G253" s="111">
        <f t="shared" si="20"/>
        <v>54077537.436736196</v>
      </c>
      <c r="H253" s="111">
        <f>+VLOOKUP(C253, 'INPUT NFI'!$C$3:$K$282, 7, FALSE) * G253 / M253</f>
        <v>51053518.366360463</v>
      </c>
      <c r="I253" s="111">
        <f>+VLOOKUP(C253, 'INPUT NFI'!C253:K532, 8, FALSE) * G253 / M253</f>
        <v>3024019.0703757284</v>
      </c>
      <c r="J253" s="213">
        <f t="shared" si="21"/>
        <v>49.366834321428627</v>
      </c>
      <c r="K253" s="4"/>
      <c r="L253" s="183">
        <f>+VLOOKUP(C253, 'INPUT NFI'!$C$3:$K$282, 3, FALSE)</f>
        <v>1093100</v>
      </c>
      <c r="M253" s="184">
        <f>+VLOOKUP(C253, 'INPUT NFI'!$C$3:$K$282, 6, FALSE)</f>
        <v>49976700</v>
      </c>
      <c r="N253" s="201">
        <f>+VLOOKUP(B253, 'AREA CorrFactor'!$B$3:$J$40, 9, FALSE)</f>
        <v>2.1246239260568839E-3</v>
      </c>
      <c r="O253" s="202">
        <f>+IF(N253&gt;0, VLOOKUP(C253, 'INPUT CBM'!$N$3:$P$282, 3, FALSE), M253/L253)</f>
        <v>13.943690496212289</v>
      </c>
      <c r="P253" s="200">
        <f>+VLOOKUP(B253, 'INPUT CBM'!$B$3:$K$29, 10, FALSE)</f>
        <v>8.1407020504057057E-2</v>
      </c>
      <c r="Q253" s="183">
        <f t="shared" si="22"/>
        <v>4068454.2416251083</v>
      </c>
      <c r="R253" s="78">
        <f t="shared" si="23"/>
        <v>2322.4264135727799</v>
      </c>
      <c r="S253" s="184">
        <f t="shared" si="24"/>
        <v>32383.195111087163</v>
      </c>
      <c r="T253" s="18"/>
      <c r="U253" s="6"/>
      <c r="V253" s="6"/>
      <c r="W253" s="6"/>
    </row>
    <row r="254" spans="1:25" x14ac:dyDescent="0.25">
      <c r="A254" s="107" t="s">
        <v>199</v>
      </c>
      <c r="B254" s="108" t="s">
        <v>32</v>
      </c>
      <c r="C254" s="187" t="s">
        <v>203</v>
      </c>
      <c r="D254" s="181">
        <f t="shared" si="19"/>
        <v>66340.650103904962</v>
      </c>
      <c r="E254" s="111">
        <f>+VLOOKUP(C254, 'INPUT NFI'!$C$3:$K$282, 4, FALSE) * D254 / L254</f>
        <v>46999.644862132067</v>
      </c>
      <c r="F254" s="111">
        <f>+VLOOKUP(C254, 'INPUT NFI'!$C$3:$K$282, 5, FALSE) * D254 / L254</f>
        <v>19341.005241772898</v>
      </c>
      <c r="G254" s="111">
        <f t="shared" si="20"/>
        <v>3786549.2385904528</v>
      </c>
      <c r="H254" s="111">
        <f>+VLOOKUP(C254, 'INPUT NFI'!$C$3:$K$282, 7, FALSE) * G254 / M254</f>
        <v>2734531.4981156355</v>
      </c>
      <c r="I254" s="111">
        <f>+VLOOKUP(C254, 'INPUT NFI'!C254:K533, 8, FALSE) * G254 / M254</f>
        <v>1052017.7404748173</v>
      </c>
      <c r="J254" s="213">
        <f t="shared" si="21"/>
        <v>57.077361054795695</v>
      </c>
      <c r="K254" s="4"/>
      <c r="L254" s="183">
        <f>+VLOOKUP(C254, 'INPUT NFI'!$C$3:$K$282, 3, FALSE)</f>
        <v>66200</v>
      </c>
      <c r="M254" s="184">
        <f>+VLOOKUP(C254, 'INPUT NFI'!$C$3:$K$282, 6, FALSE)</f>
        <v>3497100</v>
      </c>
      <c r="N254" s="201">
        <f>+VLOOKUP(B254, 'AREA CorrFactor'!$B$3:$J$40, 9, FALSE)</f>
        <v>2.1246239260568839E-3</v>
      </c>
      <c r="O254" s="202">
        <f>+IF(N254&gt;0, VLOOKUP(C254, 'INPUT CBM'!$N$3:$P$282, 3, FALSE), M254/L254)</f>
        <v>33.848159749187268</v>
      </c>
      <c r="P254" s="200">
        <f>+VLOOKUP(B254, 'INPUT CBM'!$B$3:$K$29, 10, FALSE)</f>
        <v>8.1407020504057057E-2</v>
      </c>
      <c r="Q254" s="183">
        <f t="shared" si="22"/>
        <v>284688.49140473793</v>
      </c>
      <c r="R254" s="78">
        <f t="shared" si="23"/>
        <v>140.6501039049657</v>
      </c>
      <c r="S254" s="184">
        <f t="shared" si="24"/>
        <v>4760.7471857150667</v>
      </c>
      <c r="T254" s="18"/>
      <c r="U254" s="6"/>
      <c r="V254" s="6"/>
      <c r="W254" s="6"/>
    </row>
    <row r="255" spans="1:25" x14ac:dyDescent="0.25">
      <c r="A255" s="107" t="s">
        <v>199</v>
      </c>
      <c r="B255" s="108" t="s">
        <v>32</v>
      </c>
      <c r="C255" s="187" t="s">
        <v>204</v>
      </c>
      <c r="D255" s="181">
        <f t="shared" si="19"/>
        <v>1337435.5230917155</v>
      </c>
      <c r="E255" s="111">
        <f>+VLOOKUP(C255, 'INPUT NFI'!$C$3:$K$282, 4, FALSE) * D255 / L255</f>
        <v>408566.2091746534</v>
      </c>
      <c r="F255" s="111">
        <f>+VLOOKUP(C255, 'INPUT NFI'!$C$3:$K$282, 5, FALSE) * D255 / L255</f>
        <v>928869.31391706213</v>
      </c>
      <c r="G255" s="111">
        <f t="shared" si="20"/>
        <v>46038105.022906229</v>
      </c>
      <c r="H255" s="111">
        <f>+VLOOKUP(C255, 'INPUT NFI'!$C$3:$K$282, 7, FALSE) * G255 / M255</f>
        <v>14470807.025157385</v>
      </c>
      <c r="I255" s="111">
        <f>+VLOOKUP(C255, 'INPUT NFI'!C255:K534, 8, FALSE) * G255 / M255</f>
        <v>31567297.997748844</v>
      </c>
      <c r="J255" s="213">
        <f t="shared" si="21"/>
        <v>34.422672516190623</v>
      </c>
      <c r="K255" s="4"/>
      <c r="L255" s="183">
        <f>+VLOOKUP(C255, 'INPUT NFI'!$C$3:$K$282, 3, FALSE)</f>
        <v>1334600</v>
      </c>
      <c r="M255" s="184">
        <f>+VLOOKUP(C255, 'INPUT NFI'!$C$3:$K$282, 6, FALSE)</f>
        <v>42461500</v>
      </c>
      <c r="N255" s="201">
        <f>+VLOOKUP(B255, 'AREA CorrFactor'!$B$3:$J$40, 9, FALSE)</f>
        <v>2.1246239260568839E-3</v>
      </c>
      <c r="O255" s="202">
        <f>+IF(N255&gt;0, VLOOKUP(C255, 'INPUT CBM'!$N$3:$P$282, 3, FALSE), M255/L255)</f>
        <v>42.299363430909857</v>
      </c>
      <c r="P255" s="200">
        <f>+VLOOKUP(B255, 'INPUT CBM'!$B$3:$K$29, 10, FALSE)</f>
        <v>8.1407020504057057E-2</v>
      </c>
      <c r="Q255" s="183">
        <f t="shared" si="22"/>
        <v>3456664.2011330188</v>
      </c>
      <c r="R255" s="78">
        <f t="shared" si="23"/>
        <v>2835.5230917155172</v>
      </c>
      <c r="S255" s="184">
        <f t="shared" si="24"/>
        <v>119940.82177321181</v>
      </c>
      <c r="T255" s="18"/>
      <c r="U255" s="6"/>
      <c r="V255" s="6"/>
      <c r="W255" s="6"/>
    </row>
    <row r="256" spans="1:25" x14ac:dyDescent="0.25">
      <c r="A256" s="107" t="s">
        <v>205</v>
      </c>
      <c r="B256" s="108" t="s">
        <v>33</v>
      </c>
      <c r="C256" s="187" t="s">
        <v>206</v>
      </c>
      <c r="D256" s="181">
        <f t="shared" si="19"/>
        <v>2481540.9155764901</v>
      </c>
      <c r="E256" s="111">
        <f>+VLOOKUP(C256, 'INPUT NFI'!$C$3:$K$282, 4, FALSE) * D256 / L256</f>
        <v>2208335.2354074591</v>
      </c>
      <c r="F256" s="111">
        <f>+VLOOKUP(C256, 'INPUT NFI'!$C$3:$K$282, 5, FALSE) * D256 / L256</f>
        <v>273205.68016903132</v>
      </c>
      <c r="G256" s="111">
        <f t="shared" si="20"/>
        <v>466679890.24892163</v>
      </c>
      <c r="H256" s="111">
        <f>+VLOOKUP(C256, 'INPUT NFI'!$C$3:$K$282, 7, FALSE) * G256 / M256</f>
        <v>419851673.93669653</v>
      </c>
      <c r="I256" s="111">
        <f>+VLOOKUP(C256, 'INPUT NFI'!C256:K535, 8, FALSE) * G256 / M256</f>
        <v>46828216.312225088</v>
      </c>
      <c r="J256" s="213">
        <f t="shared" si="21"/>
        <v>188.06052615115016</v>
      </c>
      <c r="K256" s="4"/>
      <c r="L256" s="183">
        <f>+VLOOKUP(C256, 'INPUT NFI'!$C$3:$K$282, 3, FALSE)</f>
        <v>2330650.6782285539</v>
      </c>
      <c r="M256" s="184">
        <f>+VLOOKUP(C256, 'INPUT NFI'!$C$3:$K$282, 6, FALSE)</f>
        <v>398980362.83600003</v>
      </c>
      <c r="N256" s="201">
        <f>+VLOOKUP(B256, 'AREA CorrFactor'!$B$3:$J$40, 9, FALSE)</f>
        <v>6.4741678689756554E-2</v>
      </c>
      <c r="O256" s="202">
        <f>+IF(N256&gt;0, VLOOKUP(C256, 'INPUT CBM'!$N$3:$P$282, 3, FALSE), M256/L256)</f>
        <v>21.512534661748553</v>
      </c>
      <c r="P256" s="200">
        <f>+VLOOKUP(B256, 'INPUT CBM'!$B$3:$K$29, 10, FALSE)</f>
        <v>0.16154553445616102</v>
      </c>
      <c r="Q256" s="183">
        <f t="shared" si="22"/>
        <v>64453495.951854669</v>
      </c>
      <c r="R256" s="78">
        <f t="shared" si="23"/>
        <v>150890.23734793623</v>
      </c>
      <c r="S256" s="184">
        <f t="shared" si="24"/>
        <v>3246031.4610669441</v>
      </c>
      <c r="T256" s="18"/>
      <c r="U256" s="6"/>
      <c r="V256" s="6"/>
      <c r="W256" s="6"/>
    </row>
    <row r="257" spans="1:23" x14ac:dyDescent="0.25">
      <c r="A257" s="107" t="s">
        <v>205</v>
      </c>
      <c r="B257" s="108" t="s">
        <v>33</v>
      </c>
      <c r="C257" s="187" t="s">
        <v>207</v>
      </c>
      <c r="D257" s="181">
        <f t="shared" si="19"/>
        <v>1751753.958916747</v>
      </c>
      <c r="E257" s="111">
        <f>+VLOOKUP(C257, 'INPUT NFI'!$C$3:$K$282, 4, FALSE) * D257 / L257</f>
        <v>1496998.2463699086</v>
      </c>
      <c r="F257" s="111">
        <f>+VLOOKUP(C257, 'INPUT NFI'!$C$3:$K$282, 5, FALSE) * D257 / L257</f>
        <v>254755.71254683859</v>
      </c>
      <c r="G257" s="111">
        <f t="shared" si="20"/>
        <v>344527216.32070023</v>
      </c>
      <c r="H257" s="111">
        <f>+VLOOKUP(C257, 'INPUT NFI'!$C$3:$K$282, 7, FALSE) * G257 / M257</f>
        <v>293243832.8664124</v>
      </c>
      <c r="I257" s="111">
        <f>+VLOOKUP(C257, 'INPUT NFI'!C257:K536, 8, FALSE) * G257 / M257</f>
        <v>51283383.454287849</v>
      </c>
      <c r="J257" s="213">
        <f t="shared" si="21"/>
        <v>196.67557453887511</v>
      </c>
      <c r="K257" s="4"/>
      <c r="L257" s="183">
        <f>+VLOOKUP(C257, 'INPUT NFI'!$C$3:$K$282, 3, FALSE)</f>
        <v>1645238.4592217803</v>
      </c>
      <c r="M257" s="184">
        <f>+VLOOKUP(C257, 'INPUT NFI'!$C$3:$K$282, 6, FALSE)</f>
        <v>294243745.28399998</v>
      </c>
      <c r="N257" s="201">
        <f>+VLOOKUP(B257, 'AREA CorrFactor'!$B$3:$J$40, 9, FALSE)</f>
        <v>6.4741678689756554E-2</v>
      </c>
      <c r="O257" s="202">
        <f>+IF(N257&gt;0, VLOOKUP(C257, 'INPUT CBM'!$N$3:$P$282, 3, FALSE), M257/L257)</f>
        <v>25.81509688532136</v>
      </c>
      <c r="P257" s="200">
        <f>+VLOOKUP(B257, 'INPUT CBM'!$B$3:$K$29, 10, FALSE)</f>
        <v>0.16154553445616102</v>
      </c>
      <c r="Q257" s="183">
        <f t="shared" si="22"/>
        <v>47533763.092286281</v>
      </c>
      <c r="R257" s="78">
        <f t="shared" si="23"/>
        <v>106515.49969496664</v>
      </c>
      <c r="S257" s="184">
        <f t="shared" si="24"/>
        <v>2749707.9444139814</v>
      </c>
      <c r="T257" s="18"/>
      <c r="U257" s="6"/>
      <c r="V257" s="6"/>
      <c r="W257" s="6"/>
    </row>
    <row r="258" spans="1:23" x14ac:dyDescent="0.25">
      <c r="A258" s="107" t="s">
        <v>205</v>
      </c>
      <c r="B258" s="108" t="s">
        <v>33</v>
      </c>
      <c r="C258" s="187" t="s">
        <v>208</v>
      </c>
      <c r="D258" s="181">
        <f t="shared" si="19"/>
        <v>665521.66399990756</v>
      </c>
      <c r="E258" s="111">
        <f>+VLOOKUP(C258, 'INPUT NFI'!$C$3:$K$282, 4, FALSE) * D258 / L258</f>
        <v>600888.88794982515</v>
      </c>
      <c r="F258" s="111">
        <f>+VLOOKUP(C258, 'INPUT NFI'!$C$3:$K$282, 5, FALSE) * D258 / L258</f>
        <v>64632.776050082459</v>
      </c>
      <c r="G258" s="111">
        <f t="shared" si="20"/>
        <v>133333617.39625373</v>
      </c>
      <c r="H258" s="111">
        <f>+VLOOKUP(C258, 'INPUT NFI'!$C$3:$K$282, 7, FALSE) * G258 / M258</f>
        <v>120457127.90970795</v>
      </c>
      <c r="I258" s="111">
        <f>+VLOOKUP(C258, 'INPUT NFI'!C258:K537, 8, FALSE) * G258 / M258</f>
        <v>12876489.486545783</v>
      </c>
      <c r="J258" s="213">
        <f t="shared" si="21"/>
        <v>200.3445186064931</v>
      </c>
      <c r="K258" s="4"/>
      <c r="L258" s="183">
        <f>+VLOOKUP(C258, 'INPUT NFI'!$C$3:$K$282, 3, FALSE)</f>
        <v>625054.58114392706</v>
      </c>
      <c r="M258" s="184">
        <f>+VLOOKUP(C258, 'INPUT NFI'!$C$3:$K$282, 6, FALSE)</f>
        <v>113748543.792</v>
      </c>
      <c r="N258" s="201">
        <f>+VLOOKUP(B258, 'AREA CorrFactor'!$B$3:$J$40, 9, FALSE)</f>
        <v>6.4741678689756554E-2</v>
      </c>
      <c r="O258" s="202">
        <f>+IF(N258&gt;0, VLOOKUP(C258, 'INPUT CBM'!$N$3:$P$282, 3, FALSE), M258/L258)</f>
        <v>29.888596320856692</v>
      </c>
      <c r="P258" s="200">
        <f>+VLOOKUP(B258, 'INPUT CBM'!$B$3:$K$29, 10, FALSE)</f>
        <v>0.16154553445616102</v>
      </c>
      <c r="Q258" s="183">
        <f t="shared" si="22"/>
        <v>18375569.300488677</v>
      </c>
      <c r="R258" s="78">
        <f t="shared" si="23"/>
        <v>40467.082855980494</v>
      </c>
      <c r="S258" s="184">
        <f t="shared" si="24"/>
        <v>1209504.3037650615</v>
      </c>
      <c r="T258" s="18"/>
      <c r="U258" s="6"/>
      <c r="V258" s="6"/>
      <c r="W258" s="6"/>
    </row>
    <row r="259" spans="1:23" x14ac:dyDescent="0.25">
      <c r="A259" s="107" t="s">
        <v>205</v>
      </c>
      <c r="B259" s="108" t="s">
        <v>33</v>
      </c>
      <c r="C259" s="187" t="s">
        <v>209</v>
      </c>
      <c r="D259" s="181">
        <f t="shared" ref="D259:D282" si="25">+L259+R259</f>
        <v>2030233.4615068552</v>
      </c>
      <c r="E259" s="111">
        <f>+VLOOKUP(C259, 'INPUT NFI'!$C$3:$K$282, 4, FALSE) * D259 / L259</f>
        <v>1702970.7283015491</v>
      </c>
      <c r="F259" s="111">
        <f>+VLOOKUP(C259, 'INPUT NFI'!$C$3:$K$282, 5, FALSE) * D259 / L259</f>
        <v>327262.73320530623</v>
      </c>
      <c r="G259" s="111">
        <f t="shared" si="20"/>
        <v>423841527.72236019</v>
      </c>
      <c r="H259" s="111">
        <f>+VLOOKUP(C259, 'INPUT NFI'!$C$3:$K$282, 7, FALSE) * G259 / M259</f>
        <v>350246674.19126517</v>
      </c>
      <c r="I259" s="111">
        <f>+VLOOKUP(C259, 'INPUT NFI'!C259:K538, 8, FALSE) * G259 / M259</f>
        <v>73594853.531094998</v>
      </c>
      <c r="J259" s="213">
        <f t="shared" si="21"/>
        <v>208.76492076324152</v>
      </c>
      <c r="K259" s="4"/>
      <c r="L259" s="183">
        <f>+VLOOKUP(C259, 'INPUT NFI'!$C$3:$K$282, 3, FALSE)</f>
        <v>1906784.9997242596</v>
      </c>
      <c r="M259" s="184">
        <f>+VLOOKUP(C259, 'INPUT NFI'!$C$3:$K$282, 6, FALSE)</f>
        <v>361235872.31699997</v>
      </c>
      <c r="N259" s="201">
        <f>+VLOOKUP(B259, 'AREA CorrFactor'!$B$3:$J$40, 9, FALSE)</f>
        <v>6.4741678689756554E-2</v>
      </c>
      <c r="O259" s="202">
        <f>+IF(N259&gt;0, VLOOKUP(C259, 'INPUT CBM'!$N$3:$P$282, 3, FALSE), M259/L259)</f>
        <v>34.424190352868848</v>
      </c>
      <c r="P259" s="200">
        <f>+VLOOKUP(B259, 'INPUT CBM'!$B$3:$K$29, 10, FALSE)</f>
        <v>0.16154553445616102</v>
      </c>
      <c r="Q259" s="183">
        <f t="shared" si="22"/>
        <v>58356042.058187298</v>
      </c>
      <c r="R259" s="78">
        <f t="shared" si="23"/>
        <v>123448.46178259555</v>
      </c>
      <c r="S259" s="184">
        <f t="shared" si="24"/>
        <v>4249613.3471729243</v>
      </c>
      <c r="T259" s="18"/>
      <c r="U259" s="6"/>
      <c r="V259" s="6"/>
      <c r="W259" s="6"/>
    </row>
    <row r="260" spans="1:23" x14ac:dyDescent="0.25">
      <c r="A260" s="190" t="s">
        <v>327</v>
      </c>
      <c r="B260" s="108" t="s">
        <v>37</v>
      </c>
      <c r="C260" s="192" t="s">
        <v>425</v>
      </c>
      <c r="D260" s="181">
        <f t="shared" si="25"/>
        <v>50747.588565092032</v>
      </c>
      <c r="E260" s="111" t="e">
        <f>+VLOOKUP(C260, 'INPUT NFI'!$C$3:$K$282, 4, FALSE) * D260 / L260</f>
        <v>#N/A</v>
      </c>
      <c r="F260" s="111" t="e">
        <f>+VLOOKUP(C260, 'INPUT NFI'!$C$3:$K$282, 5, FALSE) * D260 / L260</f>
        <v>#N/A</v>
      </c>
      <c r="G260" s="111">
        <f t="shared" ref="G260:G282" si="26">+M260+Q260+S260</f>
        <v>5271140.400278938</v>
      </c>
      <c r="H260" s="111" t="e">
        <f>+VLOOKUP(C260, 'INPUT NFI'!$C$3:$K$282, 7, FALSE) * G260 / M260</f>
        <v>#N/A</v>
      </c>
      <c r="I260" s="111" t="e">
        <f>+VLOOKUP(C260, 'INPUT NFI'!C260:K539, 8, FALSE) * G260 / M260</f>
        <v>#N/A</v>
      </c>
      <c r="J260" s="213">
        <f t="shared" ref="J260:J282" si="27">+G260/D260</f>
        <v>103.8697709452311</v>
      </c>
      <c r="K260" s="10"/>
      <c r="L260" s="183">
        <f>+VLOOKUP(C260, 'INPUT NFI'!$C$3:$K$282, 3, FALSE)</f>
        <v>46450.761302978703</v>
      </c>
      <c r="M260" s="184">
        <f>+VLOOKUP(C260, 'INPUT NFI'!$C$3:$K$282, 6, FALSE)</f>
        <v>5060695.2380819675</v>
      </c>
      <c r="N260" s="201">
        <f>+VLOOKUP(B260, 'AREA CorrFactor'!$B$3:$J$40, 9, FALSE)</f>
        <v>9.2502838308438917E-2</v>
      </c>
      <c r="O260" s="202">
        <f>+IF(N260&gt;0, VLOOKUP(C260, 'INPUT CBM'!$N$3:$P$282, 3, FALSE), M260/L260)</f>
        <v>36.593010962899477</v>
      </c>
      <c r="P260" s="200">
        <f>+VLOOKUP(B260, 'INPUT CBM'!$B$3:$K$29, 10, FALSE)</f>
        <v>1.0514625478403499E-2</v>
      </c>
      <c r="Q260" s="183">
        <f t="shared" ref="Q260:Q282" si="28">+M260*P260</f>
        <v>53211.315088771917</v>
      </c>
      <c r="R260" s="78">
        <f t="shared" ref="R260:R282" si="29">+L260*N260</f>
        <v>4296.8272621133301</v>
      </c>
      <c r="S260" s="184">
        <f t="shared" ref="S260:S282" si="30">+R260*O260</f>
        <v>157233.84710819845</v>
      </c>
      <c r="T260" s="18"/>
      <c r="U260" s="6"/>
      <c r="V260" s="6"/>
      <c r="W260" s="6"/>
    </row>
    <row r="261" spans="1:23" x14ac:dyDescent="0.25">
      <c r="A261" s="190" t="s">
        <v>327</v>
      </c>
      <c r="B261" s="108" t="s">
        <v>37</v>
      </c>
      <c r="C261" s="192" t="s">
        <v>424</v>
      </c>
      <c r="D261" s="181">
        <f t="shared" si="25"/>
        <v>151805.28648350737</v>
      </c>
      <c r="E261" s="111" t="e">
        <f>+VLOOKUP(C261, 'INPUT NFI'!$C$3:$K$282, 4, FALSE) * D261 / L261</f>
        <v>#N/A</v>
      </c>
      <c r="F261" s="111" t="e">
        <f>+VLOOKUP(C261, 'INPUT NFI'!$C$3:$K$282, 5, FALSE) * D261 / L261</f>
        <v>#N/A</v>
      </c>
      <c r="G261" s="111">
        <f t="shared" si="26"/>
        <v>20750790.559222285</v>
      </c>
      <c r="H261" s="111" t="e">
        <f>+VLOOKUP(C261, 'INPUT NFI'!$C$3:$K$282, 7, FALSE) * G261 / M261</f>
        <v>#N/A</v>
      </c>
      <c r="I261" s="111" t="e">
        <f>+VLOOKUP(C261, 'INPUT NFI'!C261:K540, 8, FALSE) * G261 / M261</f>
        <v>#N/A</v>
      </c>
      <c r="J261" s="213">
        <f t="shared" si="27"/>
        <v>136.6934646342288</v>
      </c>
      <c r="K261" s="10"/>
      <c r="L261" s="183">
        <f>+VLOOKUP(C261, 'INPUT NFI'!$C$3:$K$282, 3, FALSE)</f>
        <v>138951.84631149599</v>
      </c>
      <c r="M261" s="184">
        <f>+VLOOKUP(C261, 'INPUT NFI'!$C$3:$K$282, 6, FALSE)</f>
        <v>20069422.025926262</v>
      </c>
      <c r="N261" s="201">
        <f>+VLOOKUP(B261, 'AREA CorrFactor'!$B$3:$J$40, 9, FALSE)</f>
        <v>9.2502838308438917E-2</v>
      </c>
      <c r="O261" s="202">
        <f>+IF(N261&gt;0, VLOOKUP(C261, 'INPUT CBM'!$N$3:$P$282, 3, FALSE), M261/L261)</f>
        <v>36.593010962899477</v>
      </c>
      <c r="P261" s="200">
        <f>+VLOOKUP(B261, 'INPUT CBM'!$B$3:$K$29, 10, FALSE)</f>
        <v>1.0514625478403499E-2</v>
      </c>
      <c r="Q261" s="183">
        <f t="shared" si="28"/>
        <v>211022.45617063664</v>
      </c>
      <c r="R261" s="78">
        <f t="shared" si="29"/>
        <v>12853.440172011367</v>
      </c>
      <c r="S261" s="184">
        <f t="shared" si="30"/>
        <v>470346.07712538453</v>
      </c>
      <c r="T261" s="18"/>
      <c r="U261" s="6"/>
      <c r="V261" s="6"/>
      <c r="W261" s="6"/>
    </row>
    <row r="262" spans="1:23" x14ac:dyDescent="0.25">
      <c r="A262" s="190" t="s">
        <v>327</v>
      </c>
      <c r="B262" s="108" t="s">
        <v>37</v>
      </c>
      <c r="C262" s="192" t="s">
        <v>426</v>
      </c>
      <c r="D262" s="181">
        <f t="shared" si="25"/>
        <v>1047762.7121844428</v>
      </c>
      <c r="E262" s="111" t="e">
        <f>+VLOOKUP(C262, 'INPUT NFI'!$C$3:$K$282, 4, FALSE) * D262 / L262</f>
        <v>#N/A</v>
      </c>
      <c r="F262" s="111" t="e">
        <f>+VLOOKUP(C262, 'INPUT NFI'!$C$3:$K$282, 5, FALSE) * D262 / L262</f>
        <v>#N/A</v>
      </c>
      <c r="G262" s="111">
        <f t="shared" si="26"/>
        <v>133914020.67810203</v>
      </c>
      <c r="H262" s="111" t="e">
        <f>+VLOOKUP(C262, 'INPUT NFI'!$C$3:$K$282, 7, FALSE) * G262 / M262</f>
        <v>#N/A</v>
      </c>
      <c r="I262" s="111" t="e">
        <f>+VLOOKUP(C262, 'INPUT NFI'!C262:K541, 8, FALSE) * G262 / M262</f>
        <v>#N/A</v>
      </c>
      <c r="J262" s="213">
        <f t="shared" si="27"/>
        <v>127.80949266548102</v>
      </c>
      <c r="K262" s="10"/>
      <c r="L262" s="183">
        <f>+VLOOKUP(C262, 'INPUT NFI'!$C$3:$K$282, 3, FALSE)</f>
        <v>959048.04586753401</v>
      </c>
      <c r="M262" s="184">
        <f>+VLOOKUP(C262, 'INPUT NFI'!$C$3:$K$282, 6, FALSE)</f>
        <v>129308058.11854132</v>
      </c>
      <c r="N262" s="201">
        <f>+VLOOKUP(B262, 'AREA CorrFactor'!$B$3:$J$40, 9, FALSE)</f>
        <v>9.2502838308438917E-2</v>
      </c>
      <c r="O262" s="202">
        <f>+IF(N262&gt;0, VLOOKUP(C262, 'INPUT CBM'!$N$3:$P$282, 3, FALSE), M262/L262)</f>
        <v>36.593010962899477</v>
      </c>
      <c r="P262" s="200">
        <f>+VLOOKUP(B262, 'INPUT CBM'!$B$3:$K$29, 10, FALSE)</f>
        <v>1.0514625478403499E-2</v>
      </c>
      <c r="Q262" s="183">
        <f t="shared" si="28"/>
        <v>1359625.8024560949</v>
      </c>
      <c r="R262" s="78">
        <f t="shared" si="29"/>
        <v>88714.666316908813</v>
      </c>
      <c r="S262" s="184">
        <f t="shared" si="30"/>
        <v>3246336.7571046134</v>
      </c>
      <c r="T262" s="18"/>
      <c r="U262" s="6"/>
      <c r="V262" s="6"/>
      <c r="W262" s="6"/>
    </row>
    <row r="263" spans="1:23" x14ac:dyDescent="0.25">
      <c r="A263" s="190" t="s">
        <v>327</v>
      </c>
      <c r="B263" s="108" t="s">
        <v>37</v>
      </c>
      <c r="C263" s="192" t="s">
        <v>427</v>
      </c>
      <c r="D263" s="181">
        <f t="shared" si="25"/>
        <v>1105947.4473495872</v>
      </c>
      <c r="E263" s="111" t="e">
        <f>+VLOOKUP(C263, 'INPUT NFI'!$C$3:$K$282, 4, FALSE) * D263 / L263</f>
        <v>#N/A</v>
      </c>
      <c r="F263" s="111" t="e">
        <f>+VLOOKUP(C263, 'INPUT NFI'!$C$3:$K$282, 5, FALSE) * D263 / L263</f>
        <v>#N/A</v>
      </c>
      <c r="G263" s="111">
        <f t="shared" si="26"/>
        <v>141062386.66905558</v>
      </c>
      <c r="H263" s="111" t="e">
        <f>+VLOOKUP(C263, 'INPUT NFI'!$C$3:$K$282, 7, FALSE) * G263 / M263</f>
        <v>#N/A</v>
      </c>
      <c r="I263" s="111" t="e">
        <f>+VLOOKUP(C263, 'INPUT NFI'!C263:K542, 8, FALSE) * G263 / M263</f>
        <v>#N/A</v>
      </c>
      <c r="J263" s="213">
        <f t="shared" si="27"/>
        <v>127.54890569810783</v>
      </c>
      <c r="K263" s="10"/>
      <c r="L263" s="183">
        <f>+VLOOKUP(C263, 'INPUT NFI'!$C$3:$K$282, 3, FALSE)</f>
        <v>1012306.2463269799</v>
      </c>
      <c r="M263" s="184">
        <f>+VLOOKUP(C263, 'INPUT NFI'!$C$3:$K$282, 6, FALSE)</f>
        <v>136203642.8797811</v>
      </c>
      <c r="N263" s="201">
        <f>+VLOOKUP(B263, 'AREA CorrFactor'!$B$3:$J$40, 9, FALSE)</f>
        <v>9.2502838308438917E-2</v>
      </c>
      <c r="O263" s="202">
        <f>+IF(N263&gt;0, VLOOKUP(C263, 'INPUT CBM'!$N$3:$P$282, 3, FALSE), M263/L263)</f>
        <v>36.593010962899477</v>
      </c>
      <c r="P263" s="200">
        <f>+VLOOKUP(B263, 'INPUT CBM'!$B$3:$K$29, 10, FALSE)</f>
        <v>1.0514625478403499E-2</v>
      </c>
      <c r="Q263" s="183">
        <f t="shared" si="28"/>
        <v>1432130.2936751177</v>
      </c>
      <c r="R263" s="78">
        <f t="shared" si="29"/>
        <v>93641.201022607362</v>
      </c>
      <c r="S263" s="184">
        <f t="shared" si="30"/>
        <v>3426613.4955993448</v>
      </c>
      <c r="T263" s="18"/>
      <c r="U263" s="6"/>
      <c r="V263" s="6"/>
      <c r="W263" s="6"/>
    </row>
    <row r="264" spans="1:23" x14ac:dyDescent="0.25">
      <c r="A264" s="190" t="s">
        <v>327</v>
      </c>
      <c r="B264" s="108" t="s">
        <v>37</v>
      </c>
      <c r="C264" s="192" t="s">
        <v>428</v>
      </c>
      <c r="D264" s="181">
        <f t="shared" si="25"/>
        <v>525493.86522635911</v>
      </c>
      <c r="E264" s="111" t="e">
        <f>+VLOOKUP(C264, 'INPUT NFI'!$C$3:$K$282, 4, FALSE) * D264 / L264</f>
        <v>#N/A</v>
      </c>
      <c r="F264" s="111" t="e">
        <f>+VLOOKUP(C264, 'INPUT NFI'!$C$3:$K$282, 5, FALSE) * D264 / L264</f>
        <v>#N/A</v>
      </c>
      <c r="G264" s="111">
        <f t="shared" si="26"/>
        <v>37750020.30036094</v>
      </c>
      <c r="H264" s="111" t="e">
        <f>+VLOOKUP(C264, 'INPUT NFI'!$C$3:$K$282, 7, FALSE) * G264 / M264</f>
        <v>#N/A</v>
      </c>
      <c r="I264" s="111" t="e">
        <f>+VLOOKUP(C264, 'INPUT NFI'!C264:K543, 8, FALSE) * G264 / M264</f>
        <v>#N/A</v>
      </c>
      <c r="J264" s="213">
        <f t="shared" si="27"/>
        <v>71.837223606977659</v>
      </c>
      <c r="K264" s="10"/>
      <c r="L264" s="183">
        <f>+VLOOKUP(C264, 'INPUT NFI'!$C$3:$K$282, 3, FALSE)</f>
        <v>481000</v>
      </c>
      <c r="M264" s="184">
        <f>+VLOOKUP(C264, 'INPUT NFI'!$C$3:$K$282, 6, FALSE)</f>
        <v>35746000</v>
      </c>
      <c r="N264" s="201">
        <f>+VLOOKUP(B264, 'AREA CorrFactor'!$B$3:$J$40, 9, FALSE)</f>
        <v>9.2502838308438917E-2</v>
      </c>
      <c r="O264" s="202">
        <f>+IF(N264&gt;0, VLOOKUP(C264, 'INPUT CBM'!$N$3:$P$282, 3, FALSE), M264/L264)</f>
        <v>36.593010962899477</v>
      </c>
      <c r="P264" s="200">
        <f>+VLOOKUP(B264, 'INPUT CBM'!$B$3:$K$29, 10, FALSE)</f>
        <v>1.0514625478403499E-2</v>
      </c>
      <c r="Q264" s="183">
        <f t="shared" si="28"/>
        <v>375855.80235101149</v>
      </c>
      <c r="R264" s="78">
        <f t="shared" si="29"/>
        <v>44493.865226359121</v>
      </c>
      <c r="S264" s="184">
        <f t="shared" si="30"/>
        <v>1628164.4980099311</v>
      </c>
      <c r="T264" s="18"/>
      <c r="U264" s="6"/>
      <c r="V264" s="6"/>
      <c r="W264" s="6"/>
    </row>
    <row r="265" spans="1:23" x14ac:dyDescent="0.25">
      <c r="A265" s="107" t="s">
        <v>210</v>
      </c>
      <c r="B265" s="108" t="s">
        <v>34</v>
      </c>
      <c r="C265" s="187" t="s">
        <v>211</v>
      </c>
      <c r="D265" s="181">
        <f>+L265+R265</f>
        <v>349134.10854131164</v>
      </c>
      <c r="E265" s="111">
        <f>+VLOOKUP(C265, 'INPUT NFI'!$C$3:$K$282, 4, FALSE) * D265 / L265</f>
        <v>269506.92711631459</v>
      </c>
      <c r="F265" s="111">
        <f>+VLOOKUP(C265, 'INPUT NFI'!$C$3:$K$282, 5, FALSE) * D265 / L265</f>
        <v>79627.181424997019</v>
      </c>
      <c r="G265" s="111">
        <f>+M265+Q265+S265</f>
        <v>35056647.829056807</v>
      </c>
      <c r="H265" s="111">
        <f>+VLOOKUP(C265, 'INPUT NFI'!$C$3:$K$282, 7, FALSE) * G265 / M265</f>
        <v>29601736.075721912</v>
      </c>
      <c r="I265" s="111">
        <f>+VLOOKUP(C265, 'INPUT NFI'!C265:K544, 8, FALSE) * G265 / M265</f>
        <v>5454911.7533348938</v>
      </c>
      <c r="J265" s="213">
        <f t="shared" si="27"/>
        <v>100.41026348162913</v>
      </c>
      <c r="K265" s="4"/>
      <c r="L265" s="183">
        <f>+VLOOKUP(C265, 'INPUT NFI'!$C$3:$K$282, 3, FALSE)</f>
        <v>350627</v>
      </c>
      <c r="M265" s="184">
        <f>+VLOOKUP(C265, 'INPUT NFI'!$C$3:$K$282, 6, FALSE)</f>
        <v>33718612.678999998</v>
      </c>
      <c r="N265" s="201">
        <f>+VLOOKUP(B265, 'AREA CorrFactor'!$B$3:$J$40, 9, FALSE)</f>
        <v>-4.2577766649126705E-3</v>
      </c>
      <c r="O265" s="202">
        <f>+IF(N265&gt;0, VLOOKUP(C265, 'INPUT CBM'!$N$3:$P$282, 3, FALSE), M265/L265)</f>
        <v>96.166617741930878</v>
      </c>
      <c r="P265" s="200">
        <f>+VLOOKUP(B265, 'INPUT CBM'!$B$3:$K$29, 10, FALSE)</f>
        <v>4.3940167005074485E-2</v>
      </c>
      <c r="Q265" s="183">
        <f t="shared" si="28"/>
        <v>1481601.4722946819</v>
      </c>
      <c r="R265" s="78">
        <f t="shared" si="29"/>
        <v>-1492.891458688335</v>
      </c>
      <c r="S265" s="184">
        <f t="shared" si="30"/>
        <v>-143566.3222378747</v>
      </c>
      <c r="T265" s="18"/>
      <c r="U265" s="6"/>
      <c r="V265" s="6"/>
      <c r="W265" s="6"/>
    </row>
    <row r="266" spans="1:23" x14ac:dyDescent="0.25">
      <c r="A266" s="107" t="s">
        <v>210</v>
      </c>
      <c r="B266" s="108" t="s">
        <v>34</v>
      </c>
      <c r="C266" s="187" t="s">
        <v>212</v>
      </c>
      <c r="D266" s="181">
        <f t="shared" si="25"/>
        <v>2612043.9449015046</v>
      </c>
      <c r="E266" s="111">
        <f>+VLOOKUP(C266, 'INPUT NFI'!$C$3:$K$282, 4, FALSE) * D266 / L266</f>
        <v>2335050.2454145486</v>
      </c>
      <c r="F266" s="111">
        <f>+VLOOKUP(C266, 'INPUT NFI'!$C$3:$K$282, 5, FALSE) * D266 / L266</f>
        <v>276993.69948695542</v>
      </c>
      <c r="G266" s="111">
        <f t="shared" si="26"/>
        <v>255063910.50828525</v>
      </c>
      <c r="H266" s="111">
        <f>+VLOOKUP(C266, 'INPUT NFI'!$C$3:$K$282, 7, FALSE) * G266 / M266</f>
        <v>236713543.38664865</v>
      </c>
      <c r="I266" s="111">
        <f>+VLOOKUP(C266, 'INPUT NFI'!C266:K545, 8, FALSE) * G266 / M266</f>
        <v>18350367.121636592</v>
      </c>
      <c r="J266" s="213">
        <f t="shared" si="27"/>
        <v>97.64916513221344</v>
      </c>
      <c r="K266" s="4"/>
      <c r="L266" s="183">
        <f>+VLOOKUP(C266, 'INPUT NFI'!$C$3:$K$282, 3, FALSE)</f>
        <v>2623213</v>
      </c>
      <c r="M266" s="184">
        <f>+VLOOKUP(C266, 'INPUT NFI'!$C$3:$K$282, 6, FALSE)</f>
        <v>245328681.98800001</v>
      </c>
      <c r="N266" s="201">
        <f>+VLOOKUP(B266, 'AREA CorrFactor'!$B$3:$J$40, 9, FALSE)</f>
        <v>-4.2577766649126705E-3</v>
      </c>
      <c r="O266" s="202">
        <f>+IF(N266&gt;0, VLOOKUP(C266, 'INPUT CBM'!$N$3:$P$282, 3, FALSE), M266/L266)</f>
        <v>93.522211878333934</v>
      </c>
      <c r="P266" s="200">
        <f>+VLOOKUP(B266, 'INPUT CBM'!$B$3:$K$29, 10, FALSE)</f>
        <v>4.3940167005074485E-2</v>
      </c>
      <c r="Q266" s="183">
        <f t="shared" si="28"/>
        <v>10779783.25768753</v>
      </c>
      <c r="R266" s="78">
        <f t="shared" si="29"/>
        <v>-11169.055098495561</v>
      </c>
      <c r="S266" s="184">
        <f t="shared" si="30"/>
        <v>-1044554.7374022877</v>
      </c>
      <c r="T266" s="14"/>
      <c r="U266" s="6"/>
      <c r="V266" s="6"/>
      <c r="W266" s="6"/>
    </row>
    <row r="267" spans="1:23" x14ac:dyDescent="0.25">
      <c r="A267" s="107" t="s">
        <v>210</v>
      </c>
      <c r="B267" s="108" t="s">
        <v>34</v>
      </c>
      <c r="C267" s="187" t="s">
        <v>213</v>
      </c>
      <c r="D267" s="181">
        <f t="shared" si="25"/>
        <v>2401972.208044501</v>
      </c>
      <c r="E267" s="111">
        <f>+VLOOKUP(C267, 'INPUT NFI'!$C$3:$K$282, 4, FALSE) * D267 / L267</f>
        <v>2211978.8613104052</v>
      </c>
      <c r="F267" s="111">
        <f>+VLOOKUP(C267, 'INPUT NFI'!$C$3:$K$282, 5, FALSE) * D267 / L267</f>
        <v>189993.34673409592</v>
      </c>
      <c r="G267" s="111">
        <f t="shared" si="26"/>
        <v>217206466.8562555</v>
      </c>
      <c r="H267" s="111">
        <f>+VLOOKUP(C267, 'INPUT NFI'!$C$3:$K$282, 7, FALSE) * G267 / M267</f>
        <v>206416916.3658852</v>
      </c>
      <c r="I267" s="111">
        <f>+VLOOKUP(C267, 'INPUT NFI'!C267:K546, 8, FALSE) * G267 / M267</f>
        <v>10789550.490370318</v>
      </c>
      <c r="J267" s="213">
        <f t="shared" si="27"/>
        <v>90.428384695211818</v>
      </c>
      <c r="K267" s="4"/>
      <c r="L267" s="183">
        <f>+VLOOKUP(C267, 'INPUT NFI'!$C$3:$K$282, 3, FALSE)</f>
        <v>2412243</v>
      </c>
      <c r="M267" s="184">
        <f>+VLOOKUP(C267, 'INPUT NFI'!$C$3:$K$282, 6, FALSE)</f>
        <v>208916173.70300001</v>
      </c>
      <c r="N267" s="201">
        <f>+VLOOKUP(B267, 'AREA CorrFactor'!$B$3:$J$40, 9, FALSE)</f>
        <v>-4.2577766649126705E-3</v>
      </c>
      <c r="O267" s="202">
        <f>+IF(N267&gt;0, VLOOKUP(C267, 'INPUT CBM'!$N$3:$P$282, 3, FALSE), M267/L267)</f>
        <v>86.606603772090963</v>
      </c>
      <c r="P267" s="200">
        <f>+VLOOKUP(B267, 'INPUT CBM'!$B$3:$K$29, 10, FALSE)</f>
        <v>4.3940167005074485E-2</v>
      </c>
      <c r="Q267" s="183">
        <f t="shared" si="28"/>
        <v>9179811.5625709705</v>
      </c>
      <c r="R267" s="78">
        <f t="shared" si="29"/>
        <v>-10270.791955498935</v>
      </c>
      <c r="S267" s="184">
        <f t="shared" si="30"/>
        <v>-889518.40931547561</v>
      </c>
      <c r="T267" s="14"/>
      <c r="U267" s="6"/>
      <c r="V267" s="6"/>
      <c r="W267" s="6"/>
    </row>
    <row r="268" spans="1:23" x14ac:dyDescent="0.25">
      <c r="A268" s="107" t="s">
        <v>210</v>
      </c>
      <c r="B268" s="108" t="s">
        <v>34</v>
      </c>
      <c r="C268" s="187" t="s">
        <v>214</v>
      </c>
      <c r="D268" s="181">
        <f t="shared" si="25"/>
        <v>598952.88772718178</v>
      </c>
      <c r="E268" s="111">
        <f>+VLOOKUP(C268, 'INPUT NFI'!$C$3:$K$282, 4, FALSE) * D268 / L268</f>
        <v>548344.96816332452</v>
      </c>
      <c r="F268" s="111">
        <f>+VLOOKUP(C268, 'INPUT NFI'!$C$3:$K$282, 5, FALSE) * D268 / L268</f>
        <v>50607.919563857322</v>
      </c>
      <c r="G268" s="111">
        <f t="shared" si="26"/>
        <v>66806171.417158157</v>
      </c>
      <c r="H268" s="111">
        <f>+VLOOKUP(C268, 'INPUT NFI'!$C$3:$K$282, 7, FALSE) * G268 / M268</f>
        <v>62106606.052331582</v>
      </c>
      <c r="I268" s="111">
        <f>+VLOOKUP(C268, 'INPUT NFI'!C268:K547, 8, FALSE) * G268 / M268</f>
        <v>4699565.3648265805</v>
      </c>
      <c r="J268" s="213">
        <f t="shared" si="27"/>
        <v>111.53827418824939</v>
      </c>
      <c r="K268" s="4"/>
      <c r="L268" s="183">
        <f>+VLOOKUP(C268, 'INPUT NFI'!$C$3:$K$282, 3, FALSE)</f>
        <v>601514</v>
      </c>
      <c r="M268" s="184">
        <f>+VLOOKUP(C268, 'INPUT NFI'!$C$3:$K$282, 6, FALSE)</f>
        <v>64256326.776199996</v>
      </c>
      <c r="N268" s="201">
        <f>+VLOOKUP(B268, 'AREA CorrFactor'!$B$3:$J$40, 9, FALSE)</f>
        <v>-4.2577766649126705E-3</v>
      </c>
      <c r="O268" s="202">
        <f>+IF(N268&gt;0, VLOOKUP(C268, 'INPUT CBM'!$N$3:$P$282, 3, FALSE), M268/L268)</f>
        <v>106.8243245813065</v>
      </c>
      <c r="P268" s="200">
        <f>+VLOOKUP(B268, 'INPUT CBM'!$B$3:$K$29, 10, FALSE)</f>
        <v>4.3940167005074485E-2</v>
      </c>
      <c r="Q268" s="183">
        <f t="shared" si="28"/>
        <v>2823433.7296788674</v>
      </c>
      <c r="R268" s="78">
        <f t="shared" si="29"/>
        <v>-2561.11227281828</v>
      </c>
      <c r="S268" s="184">
        <f t="shared" si="30"/>
        <v>-273589.08872070751</v>
      </c>
      <c r="T268" s="14"/>
      <c r="U268" s="6"/>
      <c r="V268" s="6"/>
      <c r="W268" s="6"/>
    </row>
    <row r="269" spans="1:23" x14ac:dyDescent="0.25">
      <c r="A269" s="107" t="s">
        <v>210</v>
      </c>
      <c r="B269" s="108" t="s">
        <v>34</v>
      </c>
      <c r="C269" s="187" t="s">
        <v>215</v>
      </c>
      <c r="D269" s="181">
        <f t="shared" si="25"/>
        <v>1822442.2681256935</v>
      </c>
      <c r="E269" s="111">
        <f>+VLOOKUP(C269, 'INPUT NFI'!$C$3:$K$282, 4, FALSE) * D269 / L269</f>
        <v>1599904.0253513732</v>
      </c>
      <c r="F269" s="111">
        <f>+VLOOKUP(C269, 'INPUT NFI'!$C$3:$K$282, 5, FALSE) * D269 / L269</f>
        <v>222538.24277432018</v>
      </c>
      <c r="G269" s="111">
        <f t="shared" si="26"/>
        <v>188421968.84692723</v>
      </c>
      <c r="H269" s="111">
        <f>+VLOOKUP(C269, 'INPUT NFI'!$C$3:$K$282, 7, FALSE) * G269 / M269</f>
        <v>175727467.34334919</v>
      </c>
      <c r="I269" s="111">
        <f>+VLOOKUP(C269, 'INPUT NFI'!C269:K548, 8, FALSE) * G269 / M269</f>
        <v>12694501.503578039</v>
      </c>
      <c r="J269" s="213">
        <f t="shared" si="27"/>
        <v>103.38981494360939</v>
      </c>
      <c r="K269" s="4"/>
      <c r="L269" s="183">
        <f>+VLOOKUP(C269, 'INPUT NFI'!$C$3:$K$282, 3, FALSE)</f>
        <v>1830235</v>
      </c>
      <c r="M269" s="184">
        <f>+VLOOKUP(C269, 'INPUT NFI'!$C$3:$K$282, 6, FALSE)</f>
        <v>181230316.67899999</v>
      </c>
      <c r="N269" s="201">
        <f>+VLOOKUP(B269, 'AREA CorrFactor'!$B$3:$J$40, 9, FALSE)</f>
        <v>-4.2577766649126705E-3</v>
      </c>
      <c r="O269" s="202">
        <f>+IF(N269&gt;0, VLOOKUP(C269, 'INPUT CBM'!$N$3:$P$282, 3, FALSE), M269/L269)</f>
        <v>99.020244219458149</v>
      </c>
      <c r="P269" s="200">
        <f>+VLOOKUP(B269, 'INPUT CBM'!$B$3:$K$29, 10, FALSE)</f>
        <v>4.3940167005074485E-2</v>
      </c>
      <c r="Q269" s="183">
        <f t="shared" si="28"/>
        <v>7963290.3812577957</v>
      </c>
      <c r="R269" s="78">
        <f t="shared" si="29"/>
        <v>-7792.7318743064416</v>
      </c>
      <c r="S269" s="184">
        <f t="shared" si="30"/>
        <v>-771638.21333057969</v>
      </c>
      <c r="T269" s="14"/>
      <c r="U269" s="6"/>
      <c r="V269" s="6"/>
      <c r="W269" s="6"/>
    </row>
    <row r="270" spans="1:23" x14ac:dyDescent="0.25">
      <c r="A270" s="107" t="s">
        <v>210</v>
      </c>
      <c r="B270" s="108" t="s">
        <v>34</v>
      </c>
      <c r="C270" s="187" t="s">
        <v>216</v>
      </c>
      <c r="D270" s="181">
        <f t="shared" si="25"/>
        <v>5391211.2730831234</v>
      </c>
      <c r="E270" s="111">
        <f>+VLOOKUP(C270, 'INPUT NFI'!$C$3:$K$282, 4, FALSE) * D270 / L270</f>
        <v>4699829.6727606179</v>
      </c>
      <c r="F270" s="111">
        <f>+VLOOKUP(C270, 'INPUT NFI'!$C$3:$K$282, 5, FALSE) * D270 / L270</f>
        <v>691381.60032250488</v>
      </c>
      <c r="G270" s="111">
        <f t="shared" si="26"/>
        <v>416187706.10309935</v>
      </c>
      <c r="H270" s="111">
        <f>+VLOOKUP(C270, 'INPUT NFI'!$C$3:$K$282, 7, FALSE) * G270 / M270</f>
        <v>384290245.7359879</v>
      </c>
      <c r="I270" s="111">
        <f>+VLOOKUP(C270, 'INPUT NFI'!C270:K549, 8, FALSE) * G270 / M270</f>
        <v>31897460.367111392</v>
      </c>
      <c r="J270" s="213">
        <f t="shared" si="27"/>
        <v>77.197439503254728</v>
      </c>
      <c r="K270" s="4"/>
      <c r="L270" s="183">
        <f>+VLOOKUP(C270, 'INPUT NFI'!$C$3:$K$282, 3, FALSE)</f>
        <v>5414264</v>
      </c>
      <c r="M270" s="184">
        <f>+VLOOKUP(C270, 'INPUT NFI'!$C$3:$K$282, 6, FALSE)</f>
        <v>400302736.653</v>
      </c>
      <c r="N270" s="201">
        <f>+VLOOKUP(B270, 'AREA CorrFactor'!$B$3:$J$40, 9, FALSE)</f>
        <v>-4.2577766649126705E-3</v>
      </c>
      <c r="O270" s="202">
        <f>+IF(N270&gt;0, VLOOKUP(C270, 'INPUT CBM'!$N$3:$P$282, 3, FALSE), M270/L270)</f>
        <v>73.934838909406707</v>
      </c>
      <c r="P270" s="200">
        <f>+VLOOKUP(B270, 'INPUT CBM'!$B$3:$K$29, 10, FALSE)</f>
        <v>4.3940167005074485E-2</v>
      </c>
      <c r="Q270" s="183">
        <f t="shared" si="28"/>
        <v>17589369.101121172</v>
      </c>
      <c r="R270" s="78">
        <f t="shared" si="29"/>
        <v>-23052.726916876734</v>
      </c>
      <c r="S270" s="184">
        <f t="shared" si="30"/>
        <v>-1704399.6510218254</v>
      </c>
      <c r="T270" s="14"/>
      <c r="U270" s="6"/>
      <c r="V270" s="6"/>
      <c r="W270" s="6"/>
    </row>
    <row r="271" spans="1:23" x14ac:dyDescent="0.25">
      <c r="A271" s="107" t="s">
        <v>210</v>
      </c>
      <c r="B271" s="108" t="s">
        <v>34</v>
      </c>
      <c r="C271" s="187" t="s">
        <v>217</v>
      </c>
      <c r="D271" s="181">
        <f t="shared" si="25"/>
        <v>5263948.4467453361</v>
      </c>
      <c r="E271" s="111">
        <f>+VLOOKUP(C271, 'INPUT NFI'!$C$3:$K$282, 4, FALSE) * D271 / L271</f>
        <v>4217316.0675735623</v>
      </c>
      <c r="F271" s="111">
        <f>+VLOOKUP(C271, 'INPUT NFI'!$C$3:$K$282, 5, FALSE) * D271 / L271</f>
        <v>1046632.3791717739</v>
      </c>
      <c r="G271" s="111">
        <f t="shared" si="26"/>
        <v>395814771.33264965</v>
      </c>
      <c r="H271" s="111">
        <f>+VLOOKUP(C271, 'INPUT NFI'!$C$3:$K$282, 7, FALSE) * G271 / M271</f>
        <v>345595266.83741814</v>
      </c>
      <c r="I271" s="111">
        <f>+VLOOKUP(C271, 'INPUT NFI'!C271:K550, 8, FALSE) * G271 / M271</f>
        <v>50219504.495231479</v>
      </c>
      <c r="J271" s="213">
        <f t="shared" si="27"/>
        <v>75.193512120617228</v>
      </c>
      <c r="K271" s="4"/>
      <c r="L271" s="183">
        <f>+VLOOKUP(C271, 'INPUT NFI'!$C$3:$K$282, 3, FALSE)</f>
        <v>5286457</v>
      </c>
      <c r="M271" s="184">
        <f>+VLOOKUP(C271, 'INPUT NFI'!$C$3:$K$282, 6, FALSE)</f>
        <v>380707391.99800003</v>
      </c>
      <c r="N271" s="201">
        <f>+VLOOKUP(B271, 'AREA CorrFactor'!$B$3:$J$40, 9, FALSE)</f>
        <v>-4.2577766649126705E-3</v>
      </c>
      <c r="O271" s="202">
        <f>+IF(N271&gt;0, VLOOKUP(C271, 'INPUT CBM'!$N$3:$P$282, 3, FALSE), M271/L271)</f>
        <v>72.01560364493649</v>
      </c>
      <c r="P271" s="200">
        <f>+VLOOKUP(B271, 'INPUT CBM'!$B$3:$K$29, 10, FALSE)</f>
        <v>4.3940167005074485E-2</v>
      </c>
      <c r="Q271" s="183">
        <f t="shared" si="28"/>
        <v>16728346.384458479</v>
      </c>
      <c r="R271" s="78">
        <f t="shared" si="29"/>
        <v>-22508.553254664243</v>
      </c>
      <c r="S271" s="184">
        <f t="shared" si="30"/>
        <v>-1620967.0498088454</v>
      </c>
      <c r="T271" s="14"/>
      <c r="U271" s="6"/>
      <c r="V271" s="6"/>
      <c r="W271" s="6"/>
    </row>
    <row r="272" spans="1:23" x14ac:dyDescent="0.25">
      <c r="A272" s="107" t="s">
        <v>210</v>
      </c>
      <c r="B272" s="108" t="s">
        <v>34</v>
      </c>
      <c r="C272" s="187" t="s">
        <v>218</v>
      </c>
      <c r="D272" s="181">
        <f t="shared" si="25"/>
        <v>9540294.8628313486</v>
      </c>
      <c r="E272" s="111">
        <f>+VLOOKUP(C272, 'INPUT NFI'!$C$3:$K$282, 4, FALSE) * D272 / L272</f>
        <v>6427524.2899025073</v>
      </c>
      <c r="F272" s="111">
        <f>+VLOOKUP(C272, 'INPUT NFI'!$C$3:$K$282, 5, FALSE) * D272 / L272</f>
        <v>3112770.5729288398</v>
      </c>
      <c r="G272" s="111">
        <f t="shared" si="26"/>
        <v>517008438.63813537</v>
      </c>
      <c r="H272" s="111">
        <f>+VLOOKUP(C272, 'INPUT NFI'!$C$3:$K$282, 7, FALSE) * G272 / M272</f>
        <v>393465084.99909806</v>
      </c>
      <c r="I272" s="111">
        <f>+VLOOKUP(C272, 'INPUT NFI'!C272:K551, 8, FALSE) * G272 / M272</f>
        <v>123543353.63903733</v>
      </c>
      <c r="J272" s="213">
        <f t="shared" si="27"/>
        <v>54.192081698898214</v>
      </c>
      <c r="K272" s="4"/>
      <c r="L272" s="183">
        <f>+VLOOKUP(C272, 'INPUT NFI'!$C$3:$K$282, 3, FALSE)</f>
        <v>9581089</v>
      </c>
      <c r="M272" s="184">
        <f>+VLOOKUP(C272, 'INPUT NFI'!$C$3:$K$282, 6, FALSE)</f>
        <v>497275363.55500001</v>
      </c>
      <c r="N272" s="201">
        <f>+VLOOKUP(B272, 'AREA CorrFactor'!$B$3:$J$40, 9, FALSE)</f>
        <v>-4.2577766649126705E-3</v>
      </c>
      <c r="O272" s="202">
        <f>+IF(N272&gt;0, VLOOKUP(C272, 'INPUT CBM'!$N$3:$P$282, 3, FALSE), M272/L272)</f>
        <v>51.901758093991198</v>
      </c>
      <c r="P272" s="200">
        <f>+VLOOKUP(B272, 'INPUT CBM'!$B$3:$K$29, 10, FALSE)</f>
        <v>4.3940167005074485E-2</v>
      </c>
      <c r="Q272" s="183">
        <f t="shared" si="28"/>
        <v>21850362.52211583</v>
      </c>
      <c r="R272" s="78">
        <f t="shared" si="29"/>
        <v>-40794.137168651476</v>
      </c>
      <c r="S272" s="184">
        <f t="shared" si="30"/>
        <v>-2117287.4389804439</v>
      </c>
      <c r="T272" s="14"/>
      <c r="U272" s="6"/>
      <c r="V272" s="6"/>
      <c r="W272" s="6"/>
    </row>
    <row r="273" spans="1:23" x14ac:dyDescent="0.25">
      <c r="A273" s="188" t="s">
        <v>251</v>
      </c>
      <c r="B273" s="108" t="s">
        <v>35</v>
      </c>
      <c r="C273" s="189" t="s">
        <v>299</v>
      </c>
      <c r="D273" s="181">
        <f t="shared" si="25"/>
        <v>737820.65158057422</v>
      </c>
      <c r="E273" s="111">
        <f>+VLOOKUP(C273, 'INPUT NFI'!$C$3:$K$282, 4, FALSE) * D273 / L273</f>
        <v>697102.58061586483</v>
      </c>
      <c r="F273" s="111">
        <f>+VLOOKUP(C273, 'INPUT NFI'!$C$3:$K$282, 5, FALSE) * D273 / L273</f>
        <v>40718.070964709383</v>
      </c>
      <c r="G273" s="111">
        <f t="shared" si="26"/>
        <v>169649326.52834669</v>
      </c>
      <c r="H273" s="111">
        <f>+VLOOKUP(C273, 'INPUT NFI'!$C$3:$K$282, 7, FALSE) * G273 / M273</f>
        <v>161594214.71129671</v>
      </c>
      <c r="I273" s="111">
        <f>+VLOOKUP(C273, 'INPUT NFI'!C273:K552, 8, FALSE) * G273 / M273</f>
        <v>8055111.8170500062</v>
      </c>
      <c r="J273" s="213">
        <f t="shared" si="27"/>
        <v>229.93301443232917</v>
      </c>
      <c r="K273" s="11"/>
      <c r="L273" s="183">
        <f>+VLOOKUP(C273, 'INPUT NFI'!$C$3:$K$282, 3, FALSE)</f>
        <v>724201.7013931697</v>
      </c>
      <c r="M273" s="184">
        <f>+VLOOKUP(C273, 'INPUT NFI'!$C$3:$K$282, 6, FALSE)</f>
        <v>164813823.20305756</v>
      </c>
      <c r="N273" s="201">
        <f>+VLOOKUP(B273, 'AREA CorrFactor'!$B$3:$J$40, 9, FALSE)</f>
        <v>1.8805465606067169E-2</v>
      </c>
      <c r="O273" s="202">
        <f>+IF(N273&gt;0, VLOOKUP(C273, 'INPUT CBM'!$N$3:$P$282, 3, FALSE), M273/L273)</f>
        <v>21.008699776664731</v>
      </c>
      <c r="P273" s="200">
        <f>+VLOOKUP(B273, 'INPUT CBM'!$B$3:$K$29, 10, FALSE)</f>
        <v>2.7603187652067152E-2</v>
      </c>
      <c r="Q273" s="183">
        <f t="shared" si="28"/>
        <v>4549386.8895286173</v>
      </c>
      <c r="R273" s="78">
        <f t="shared" si="29"/>
        <v>13618.950187404578</v>
      </c>
      <c r="S273" s="184">
        <f t="shared" si="30"/>
        <v>286116.43576053466</v>
      </c>
      <c r="T273" s="14"/>
      <c r="U273" s="6"/>
      <c r="V273" s="6"/>
      <c r="W273" s="6"/>
    </row>
    <row r="274" spans="1:23" x14ac:dyDescent="0.25">
      <c r="A274" s="188" t="s">
        <v>251</v>
      </c>
      <c r="B274" s="108" t="s">
        <v>35</v>
      </c>
      <c r="C274" s="189" t="s">
        <v>298</v>
      </c>
      <c r="D274" s="181">
        <f t="shared" si="25"/>
        <v>500009.34841942572</v>
      </c>
      <c r="E274" s="111">
        <f>+VLOOKUP(C274, 'INPUT NFI'!$C$3:$K$282, 4, FALSE) * D274 / L274</f>
        <v>420201.92932859546</v>
      </c>
      <c r="F274" s="111">
        <f>+VLOOKUP(C274, 'INPUT NFI'!$C$3:$K$282, 5, FALSE) * D274 / L274</f>
        <v>79807.419090830299</v>
      </c>
      <c r="G274" s="111">
        <f t="shared" si="26"/>
        <v>94998542.242463052</v>
      </c>
      <c r="H274" s="111">
        <f>+VLOOKUP(C274, 'INPUT NFI'!$C$3:$K$282, 7, FALSE) * G274 / M274</f>
        <v>81898371.357799083</v>
      </c>
      <c r="I274" s="111">
        <f>+VLOOKUP(C274, 'INPUT NFI'!C274:K553, 8, FALSE) * G274 / M274</f>
        <v>13100170.884663962</v>
      </c>
      <c r="J274" s="213">
        <f t="shared" si="27"/>
        <v>189.99353220647163</v>
      </c>
      <c r="K274" s="11"/>
      <c r="L274" s="183">
        <f>+VLOOKUP(C274, 'INPUT NFI'!$C$3:$K$282, 3, FALSE)</f>
        <v>490780.00197219208</v>
      </c>
      <c r="M274" s="184">
        <f>+VLOOKUP(C274, 'INPUT NFI'!$C$3:$K$282, 6, FALSE)</f>
        <v>92271548.170791835</v>
      </c>
      <c r="N274" s="201">
        <f>+VLOOKUP(B274, 'AREA CorrFactor'!$B$3:$J$40, 9, FALSE)</f>
        <v>1.8805465606067169E-2</v>
      </c>
      <c r="O274" s="202">
        <f>+IF(N274&gt;0, VLOOKUP(C274, 'INPUT CBM'!$N$3:$P$282, 3, FALSE), M274/L274)</f>
        <v>19.503570875275521</v>
      </c>
      <c r="P274" s="200">
        <f>+VLOOKUP(B274, 'INPUT CBM'!$B$3:$K$29, 10, FALSE)</f>
        <v>2.7603187652067152E-2</v>
      </c>
      <c r="Q274" s="183">
        <f t="shared" si="28"/>
        <v>2546988.8591051204</v>
      </c>
      <c r="R274" s="78">
        <f t="shared" si="29"/>
        <v>9229.3464472336364</v>
      </c>
      <c r="S274" s="184">
        <f t="shared" si="30"/>
        <v>180005.21256609354</v>
      </c>
      <c r="T274" s="14"/>
      <c r="U274" s="6"/>
      <c r="V274" s="6"/>
      <c r="W274" s="6"/>
    </row>
    <row r="275" spans="1:23" x14ac:dyDescent="0.25">
      <c r="A275" s="107" t="s">
        <v>219</v>
      </c>
      <c r="B275" s="108" t="s">
        <v>36</v>
      </c>
      <c r="C275" s="187" t="s">
        <v>303</v>
      </c>
      <c r="D275" s="181">
        <f t="shared" si="25"/>
        <v>77833.771849501267</v>
      </c>
      <c r="E275" s="111">
        <f>+VLOOKUP(C275, 'INPUT NFI'!$C$3:$K$282, 4, FALSE) * D275 / L275</f>
        <v>73012.610652989839</v>
      </c>
      <c r="F275" s="111">
        <f>+VLOOKUP(C275, 'INPUT NFI'!$C$3:$K$282, 5, FALSE) * D275 / L275</f>
        <v>4821.161196511418</v>
      </c>
      <c r="G275" s="111">
        <f t="shared" si="26"/>
        <v>17994257.671273615</v>
      </c>
      <c r="H275" s="111">
        <f>+VLOOKUP(C275, 'INPUT NFI'!$C$3:$K$282, 7, FALSE) * G275 / M275</f>
        <v>16243845.506436599</v>
      </c>
      <c r="I275" s="111">
        <f>+VLOOKUP(C275, 'INPUT NFI'!C275:K554, 8, FALSE) * G275 / M275</f>
        <v>1750412.164837016</v>
      </c>
      <c r="J275" s="213">
        <f t="shared" si="27"/>
        <v>231.18830353059545</v>
      </c>
      <c r="K275" s="4"/>
      <c r="L275" s="183">
        <f>+VLOOKUP(C275, 'INPUT NFI'!$C$3:$K$282, 3, FALSE)</f>
        <v>77357.523989188805</v>
      </c>
      <c r="M275" s="184">
        <f>+VLOOKUP(C275, 'INPUT NFI'!$C$3:$K$282, 6, FALSE)</f>
        <v>16693753.68</v>
      </c>
      <c r="N275" s="201">
        <f>+VLOOKUP(B275, 'AREA CorrFactor'!$B$3:$J$40, 9, FALSE)</f>
        <v>6.156451703120948E-3</v>
      </c>
      <c r="O275" s="202">
        <f>+IF(N275&gt;0, VLOOKUP(C275, 'INPUT CBM'!$N$3:$P$282, 3, FALSE), M275/L275)</f>
        <v>22.769623340408842</v>
      </c>
      <c r="P275" s="200">
        <f>+VLOOKUP(B275, 'INPUT CBM'!$B$3:$K$29, 10, FALSE)</f>
        <v>7.7254045530976423E-2</v>
      </c>
      <c r="Q275" s="183">
        <f t="shared" si="28"/>
        <v>1289660.0068776251</v>
      </c>
      <c r="R275" s="78">
        <f t="shared" si="29"/>
        <v>476.247860312461</v>
      </c>
      <c r="S275" s="184">
        <f t="shared" si="30"/>
        <v>10843.984395990381</v>
      </c>
      <c r="T275" s="14"/>
      <c r="U275" s="6"/>
      <c r="V275" s="6"/>
      <c r="W275" s="6"/>
    </row>
    <row r="276" spans="1:23" x14ac:dyDescent="0.25">
      <c r="A276" s="107" t="s">
        <v>219</v>
      </c>
      <c r="B276" s="108" t="s">
        <v>36</v>
      </c>
      <c r="C276" s="187" t="s">
        <v>304</v>
      </c>
      <c r="D276" s="181">
        <f t="shared" si="25"/>
        <v>65152.707958596598</v>
      </c>
      <c r="E276" s="111">
        <f>+VLOOKUP(C276, 'INPUT NFI'!$C$3:$K$282, 4, FALSE) * D276 / L276</f>
        <v>57117.43929774424</v>
      </c>
      <c r="F276" s="111">
        <f>+VLOOKUP(C276, 'INPUT NFI'!$C$3:$K$282, 5, FALSE) * D276 / L276</f>
        <v>8035.2686608523554</v>
      </c>
      <c r="G276" s="111">
        <f t="shared" si="26"/>
        <v>15933834.692176653</v>
      </c>
      <c r="H276" s="111">
        <f>+VLOOKUP(C276, 'INPUT NFI'!$C$3:$K$282, 7, FALSE) * G276 / M276</f>
        <v>14532164.082132233</v>
      </c>
      <c r="I276" s="111">
        <f>+VLOOKUP(C276, 'INPUT NFI'!C276:K555, 8, FALSE) * G276 / M276</f>
        <v>1401670.6100444198</v>
      </c>
      <c r="J276" s="213">
        <f t="shared" si="27"/>
        <v>244.56135733149151</v>
      </c>
      <c r="K276" s="4"/>
      <c r="L276" s="183">
        <f>+VLOOKUP(C276, 'INPUT NFI'!$C$3:$K$282, 3, FALSE)</f>
        <v>64754.052760197097</v>
      </c>
      <c r="M276" s="184">
        <f>+VLOOKUP(C276, 'INPUT NFI'!$C$3:$K$282, 6, FALSE)</f>
        <v>14783350.25</v>
      </c>
      <c r="N276" s="201">
        <f>+VLOOKUP(B276, 'AREA CorrFactor'!$B$3:$J$40, 9, FALSE)</f>
        <v>6.156451703120948E-3</v>
      </c>
      <c r="O276" s="202">
        <f>+IF(N276&gt;0, VLOOKUP(C276, 'INPUT CBM'!$N$3:$P$282, 3, FALSE), M276/L276)</f>
        <v>21.09800372991225</v>
      </c>
      <c r="P276" s="200">
        <f>+VLOOKUP(B276, 'INPUT CBM'!$B$3:$K$29, 10, FALSE)</f>
        <v>7.7254045530976423E-2</v>
      </c>
      <c r="Q276" s="183">
        <f t="shared" si="28"/>
        <v>1142073.6133138717</v>
      </c>
      <c r="R276" s="78">
        <f t="shared" si="29"/>
        <v>398.65519839949917</v>
      </c>
      <c r="S276" s="184">
        <f t="shared" si="30"/>
        <v>8410.8288627815418</v>
      </c>
      <c r="T276" s="14"/>
      <c r="U276" s="6"/>
      <c r="V276" s="6"/>
      <c r="W276" s="6"/>
    </row>
    <row r="277" spans="1:23" x14ac:dyDescent="0.25">
      <c r="A277" s="107" t="s">
        <v>219</v>
      </c>
      <c r="B277" s="108" t="s">
        <v>36</v>
      </c>
      <c r="C277" s="187" t="s">
        <v>305</v>
      </c>
      <c r="D277" s="181">
        <f t="shared" si="25"/>
        <v>246124.96126863165</v>
      </c>
      <c r="E277" s="111">
        <f>+VLOOKUP(C277, 'INPUT NFI'!$C$3:$K$282, 4, FALSE) * D277 / L277</f>
        <v>225233.26275041554</v>
      </c>
      <c r="F277" s="111">
        <f>+VLOOKUP(C277, 'INPUT NFI'!$C$3:$K$282, 5, FALSE) * D277 / L277</f>
        <v>20891.69851821613</v>
      </c>
      <c r="G277" s="111">
        <f t="shared" si="26"/>
        <v>62485250.587908432</v>
      </c>
      <c r="H277" s="111">
        <f>+VLOOKUP(C277, 'INPUT NFI'!$C$3:$K$282, 7, FALSE) * G277 / M277</f>
        <v>58486316.61701297</v>
      </c>
      <c r="I277" s="111">
        <f>+VLOOKUP(C277, 'INPUT NFI'!C277:K556, 8, FALSE) * G277 / M277</f>
        <v>3998933.9708954603</v>
      </c>
      <c r="J277" s="213">
        <f t="shared" si="27"/>
        <v>253.87612156781316</v>
      </c>
      <c r="K277" s="4"/>
      <c r="L277" s="183">
        <f>+VLOOKUP(C277, 'INPUT NFI'!$C$3:$K$282, 3, FALSE)</f>
        <v>244618.976355035</v>
      </c>
      <c r="M277" s="184">
        <f>+VLOOKUP(C277, 'INPUT NFI'!$C$3:$K$282, 6, FALSE)</f>
        <v>57974697.399999999</v>
      </c>
      <c r="N277" s="201">
        <f>+VLOOKUP(B277, 'AREA CorrFactor'!$B$3:$J$40, 9, FALSE)</f>
        <v>6.156451703120948E-3</v>
      </c>
      <c r="O277" s="202">
        <f>+IF(N277&gt;0, VLOOKUP(C277, 'INPUT CBM'!$N$3:$P$282, 3, FALSE), M277/L277)</f>
        <v>21.09800372991225</v>
      </c>
      <c r="P277" s="200">
        <f>+VLOOKUP(B277, 'INPUT CBM'!$B$3:$K$29, 10, FALSE)</f>
        <v>7.7254045530976423E-2</v>
      </c>
      <c r="Q277" s="183">
        <f t="shared" si="28"/>
        <v>4478779.91258418</v>
      </c>
      <c r="R277" s="78">
        <f t="shared" si="29"/>
        <v>1505.9849135966581</v>
      </c>
      <c r="S277" s="184">
        <f t="shared" si="30"/>
        <v>31773.275324253871</v>
      </c>
      <c r="T277" s="14"/>
      <c r="U277" s="6"/>
      <c r="V277" s="6"/>
      <c r="W277" s="6"/>
    </row>
    <row r="278" spans="1:23" x14ac:dyDescent="0.25">
      <c r="A278" s="107" t="s">
        <v>219</v>
      </c>
      <c r="B278" s="108" t="s">
        <v>36</v>
      </c>
      <c r="C278" s="187" t="s">
        <v>306</v>
      </c>
      <c r="D278" s="181">
        <f t="shared" si="25"/>
        <v>90584.784902151572</v>
      </c>
      <c r="E278" s="111">
        <f>+VLOOKUP(C278, 'INPUT NFI'!$C$3:$K$282, 4, FALSE) * D278 / L278</f>
        <v>88977.731169981096</v>
      </c>
      <c r="F278" s="111">
        <f>+VLOOKUP(C278, 'INPUT NFI'!$C$3:$K$282, 5, FALSE) * D278 / L278</f>
        <v>1607.053732170473</v>
      </c>
      <c r="G278" s="111">
        <f t="shared" si="26"/>
        <v>20330206.066931706</v>
      </c>
      <c r="H278" s="111">
        <f>+VLOOKUP(C278, 'INPUT NFI'!$C$3:$K$282, 7, FALSE) * G278 / M278</f>
        <v>20109115.477774605</v>
      </c>
      <c r="I278" s="111">
        <f>+VLOOKUP(C278, 'INPUT NFI'!C278:K557, 8, FALSE) * G278 / M278</f>
        <v>221090.58915710144</v>
      </c>
      <c r="J278" s="213">
        <f t="shared" si="27"/>
        <v>224.43290105388132</v>
      </c>
      <c r="K278" s="4"/>
      <c r="L278" s="183">
        <f>+VLOOKUP(C278, 'INPUT NFI'!$C$3:$K$282, 3, FALSE)</f>
        <v>90030.516376273998</v>
      </c>
      <c r="M278" s="184">
        <f>+VLOOKUP(C278, 'INPUT NFI'!$C$3:$K$282, 6, FALSE)</f>
        <v>18861393.18</v>
      </c>
      <c r="N278" s="201">
        <f>+VLOOKUP(B278, 'AREA CorrFactor'!$B$3:$J$40, 9, FALSE)</f>
        <v>6.156451703120948E-3</v>
      </c>
      <c r="O278" s="202">
        <f>+IF(N278&gt;0, VLOOKUP(C278, 'INPUT CBM'!$N$3:$P$282, 3, FALSE), M278/L278)</f>
        <v>21.09800372991225</v>
      </c>
      <c r="P278" s="200">
        <f>+VLOOKUP(B278, 'INPUT CBM'!$B$3:$K$29, 10, FALSE)</f>
        <v>7.7254045530976423E-2</v>
      </c>
      <c r="Q278" s="183">
        <f t="shared" si="28"/>
        <v>1457118.9275053681</v>
      </c>
      <c r="R278" s="78">
        <f t="shared" si="29"/>
        <v>554.26852587757048</v>
      </c>
      <c r="S278" s="184">
        <f t="shared" si="30"/>
        <v>11693.959426337946</v>
      </c>
      <c r="T278" s="14"/>
      <c r="U278" s="6"/>
      <c r="V278" s="6"/>
      <c r="W278" s="6"/>
    </row>
    <row r="279" spans="1:23" x14ac:dyDescent="0.25">
      <c r="A279" s="107" t="s">
        <v>219</v>
      </c>
      <c r="B279" s="108" t="s">
        <v>36</v>
      </c>
      <c r="C279" s="187" t="s">
        <v>307</v>
      </c>
      <c r="D279" s="181">
        <f t="shared" si="25"/>
        <v>407331.11296347919</v>
      </c>
      <c r="E279" s="111">
        <f>+VLOOKUP(C279, 'INPUT NFI'!$C$3:$K$282, 4, FALSE) * D279 / L279</f>
        <v>343048.96367666026</v>
      </c>
      <c r="F279" s="111">
        <f>+VLOOKUP(C279, 'INPUT NFI'!$C$3:$K$282, 5, FALSE) * D279 / L279</f>
        <v>64282.149286818923</v>
      </c>
      <c r="G279" s="111">
        <f t="shared" si="26"/>
        <v>80388825.06171003</v>
      </c>
      <c r="H279" s="111">
        <f>+VLOOKUP(C279, 'INPUT NFI'!$C$3:$K$282, 7, FALSE) * G279 / M279</f>
        <v>68698929.662441939</v>
      </c>
      <c r="I279" s="111">
        <f>+VLOOKUP(C279, 'INPUT NFI'!C279:K558, 8, FALSE) * G279 / M279</f>
        <v>11689895.399268098</v>
      </c>
      <c r="J279" s="213">
        <f t="shared" si="27"/>
        <v>197.35498346014535</v>
      </c>
      <c r="K279" s="4"/>
      <c r="L279" s="183">
        <f>+VLOOKUP(C279, 'INPUT NFI'!$C$3:$K$282, 3, FALSE)</f>
        <v>404838.74279590399</v>
      </c>
      <c r="M279" s="184">
        <f>+VLOOKUP(C279, 'INPUT NFI'!$C$3:$K$282, 6, FALSE)</f>
        <v>74571296.420000002</v>
      </c>
      <c r="N279" s="201">
        <f>+VLOOKUP(B279, 'AREA CorrFactor'!$B$3:$J$40, 9, FALSE)</f>
        <v>6.156451703120948E-3</v>
      </c>
      <c r="O279" s="202">
        <f>+IF(N279&gt;0, VLOOKUP(C279, 'INPUT CBM'!$N$3:$P$282, 3, FALSE), M279/L279)</f>
        <v>22.70702542971642</v>
      </c>
      <c r="P279" s="200">
        <f>+VLOOKUP(B279, 'INPUT CBM'!$B$3:$K$29, 10, FALSE)</f>
        <v>7.7254045530976423E-2</v>
      </c>
      <c r="Q279" s="183">
        <f t="shared" si="28"/>
        <v>5760934.3289346192</v>
      </c>
      <c r="R279" s="78">
        <f t="shared" si="29"/>
        <v>2492.3701675751868</v>
      </c>
      <c r="S279" s="184">
        <f t="shared" si="30"/>
        <v>56594.312775396342</v>
      </c>
      <c r="T279" s="14"/>
      <c r="U279" s="6"/>
      <c r="V279" s="6"/>
      <c r="W279" s="6"/>
    </row>
    <row r="280" spans="1:23" x14ac:dyDescent="0.25">
      <c r="A280" s="107" t="s">
        <v>219</v>
      </c>
      <c r="B280" s="108" t="s">
        <v>36</v>
      </c>
      <c r="C280" s="187" t="s">
        <v>308</v>
      </c>
      <c r="D280" s="181">
        <f t="shared" si="25"/>
        <v>510487.65152413299</v>
      </c>
      <c r="E280" s="111">
        <f>+VLOOKUP(C280, 'INPUT NFI'!$C$3:$K$282, 4, FALSE) * D280 / L280</f>
        <v>476739.5231485531</v>
      </c>
      <c r="F280" s="111">
        <f>+VLOOKUP(C280, 'INPUT NFI'!$C$3:$K$282, 5, FALSE) * D280 / L280</f>
        <v>33748.128375579894</v>
      </c>
      <c r="G280" s="111">
        <f t="shared" si="26"/>
        <v>115886994.55132671</v>
      </c>
      <c r="H280" s="111">
        <f>+VLOOKUP(C280, 'INPUT NFI'!$C$3:$K$282, 7, FALSE) * G280 / M280</f>
        <v>108940947.47229722</v>
      </c>
      <c r="I280" s="111">
        <f>+VLOOKUP(C280, 'INPUT NFI'!C280:K559, 8, FALSE) * G280 / M280</f>
        <v>6946047.0790294828</v>
      </c>
      <c r="J280" s="213">
        <f t="shared" si="27"/>
        <v>227.01233654786697</v>
      </c>
      <c r="K280" s="4"/>
      <c r="L280" s="183">
        <f>+VLOOKUP(C280, 'INPUT NFI'!$C$3:$K$282, 3, FALSE)</f>
        <v>507364.089014219</v>
      </c>
      <c r="M280" s="184">
        <f>+VLOOKUP(C280, 'INPUT NFI'!$C$3:$K$282, 6, FALSE)</f>
        <v>107510450.5</v>
      </c>
      <c r="N280" s="201">
        <f>+VLOOKUP(B280, 'AREA CorrFactor'!$B$3:$J$40, 9, FALSE)</f>
        <v>6.156451703120948E-3</v>
      </c>
      <c r="O280" s="202">
        <f>+IF(N280&gt;0, VLOOKUP(C280, 'INPUT CBM'!$N$3:$P$282, 3, FALSE), M280/L280)</f>
        <v>22.70702542971642</v>
      </c>
      <c r="P280" s="200">
        <f>+VLOOKUP(B280, 'INPUT CBM'!$B$3:$K$29, 10, FALSE)</f>
        <v>7.7254045530976423E-2</v>
      </c>
      <c r="Q280" s="183">
        <f t="shared" si="28"/>
        <v>8305617.2379827872</v>
      </c>
      <c r="R280" s="78">
        <f t="shared" si="29"/>
        <v>3123.562509913997</v>
      </c>
      <c r="S280" s="184">
        <f t="shared" si="30"/>
        <v>70926.813343925984</v>
      </c>
      <c r="U280" s="6"/>
      <c r="V280" s="6"/>
      <c r="W280" s="6"/>
    </row>
    <row r="281" spans="1:23" x14ac:dyDescent="0.25">
      <c r="A281" s="107" t="s">
        <v>219</v>
      </c>
      <c r="B281" s="108" t="s">
        <v>36</v>
      </c>
      <c r="C281" s="187" t="s">
        <v>309</v>
      </c>
      <c r="D281" s="181">
        <f t="shared" si="25"/>
        <v>489301.03124342836</v>
      </c>
      <c r="E281" s="111">
        <f>+VLOOKUP(C281, 'INPUT NFI'!$C$3:$K$282, 4, FALSE) * D281 / L281</f>
        <v>437875.31181397318</v>
      </c>
      <c r="F281" s="111">
        <f>+VLOOKUP(C281, 'INPUT NFI'!$C$3:$K$282, 5, FALSE) * D281 / L281</f>
        <v>51425.719429455166</v>
      </c>
      <c r="G281" s="111">
        <f t="shared" si="26"/>
        <v>96615561.30796288</v>
      </c>
      <c r="H281" s="111">
        <f>+VLOOKUP(C281, 'INPUT NFI'!$C$3:$K$282, 7, FALSE) * G281 / M281</f>
        <v>91232593.31577374</v>
      </c>
      <c r="I281" s="111">
        <f>+VLOOKUP(C281, 'INPUT NFI'!C281:K560, 8, FALSE) * G281 / M281</f>
        <v>5382967.9921891326</v>
      </c>
      <c r="J281" s="213">
        <f t="shared" si="27"/>
        <v>197.45627975162884</v>
      </c>
      <c r="K281" s="4"/>
      <c r="L281" s="183">
        <f>+VLOOKUP(C281, 'INPUT NFI'!$C$3:$K$282, 3, FALSE)</f>
        <v>486307.10503837501</v>
      </c>
      <c r="M281" s="184">
        <f>+VLOOKUP(C281, 'INPUT NFI'!$C$3:$K$282, 6, FALSE)</f>
        <v>89626399.459999993</v>
      </c>
      <c r="N281" s="201">
        <f>+VLOOKUP(B281, 'AREA CorrFactor'!$B$3:$J$40, 9, FALSE)</f>
        <v>6.156451703120948E-3</v>
      </c>
      <c r="O281" s="202">
        <f>+IF(N281&gt;0, VLOOKUP(C281, 'INPUT CBM'!$N$3:$P$282, 3, FALSE), M281/L281)</f>
        <v>21.764031188406481</v>
      </c>
      <c r="P281" s="200">
        <f>+VLOOKUP(B281, 'INPUT CBM'!$B$3:$K$29, 10, FALSE)</f>
        <v>7.7254045530976423E-2</v>
      </c>
      <c r="Q281" s="183">
        <f t="shared" si="28"/>
        <v>6924001.9446603199</v>
      </c>
      <c r="R281" s="78">
        <f t="shared" si="29"/>
        <v>2993.9262050533216</v>
      </c>
      <c r="S281" s="184">
        <f t="shared" si="30"/>
        <v>65159.903302567946</v>
      </c>
      <c r="U281" s="6"/>
      <c r="V281" s="6"/>
      <c r="W281" s="6"/>
    </row>
    <row r="282" spans="1:23" x14ac:dyDescent="0.25">
      <c r="A282" s="112" t="s">
        <v>219</v>
      </c>
      <c r="B282" s="113" t="s">
        <v>36</v>
      </c>
      <c r="C282" s="193" t="s">
        <v>310</v>
      </c>
      <c r="D282" s="182">
        <f t="shared" si="25"/>
        <v>300547.51153568528</v>
      </c>
      <c r="E282" s="197">
        <f>+VLOOKUP(C282, 'INPUT NFI'!$C$3:$K$282, 4, FALSE) * D282 / L282</f>
        <v>287691.08167832153</v>
      </c>
      <c r="F282" s="197">
        <f>+VLOOKUP(C282, 'INPUT NFI'!$C$3:$K$282, 5, FALSE) * D282 / L282</f>
        <v>12856.429857363762</v>
      </c>
      <c r="G282" s="197">
        <f t="shared" si="26"/>
        <v>61758380.780649811</v>
      </c>
      <c r="H282" s="197">
        <f>+VLOOKUP(C282, 'INPUT NFI'!$C$3:$K$282, 7, FALSE) * G282 / M282</f>
        <v>59950934.842548475</v>
      </c>
      <c r="I282" s="197">
        <f>+VLOOKUP(C282, 'INPUT NFI'!C282:K561, 8, FALSE) * G282 / M282</f>
        <v>1807445.9381013368</v>
      </c>
      <c r="J282" s="214">
        <f t="shared" si="27"/>
        <v>205.48624896305947</v>
      </c>
      <c r="K282" s="4"/>
      <c r="L282" s="185">
        <f>+VLOOKUP(C282, 'INPUT NFI'!$C$3:$K$282, 3, FALSE)</f>
        <v>298708.52691641398</v>
      </c>
      <c r="M282" s="186">
        <f>+VLOOKUP(C282, 'INPUT NFI'!$C$3:$K$282, 6, FALSE)</f>
        <v>57292295.460000001</v>
      </c>
      <c r="N282" s="203">
        <f>+VLOOKUP(B282, 'AREA CorrFactor'!$B$3:$J$40, 9, FALSE)</f>
        <v>6.156451703120948E-3</v>
      </c>
      <c r="O282" s="256">
        <f>+IF(N282&gt;0, VLOOKUP(C282, 'INPUT CBM'!$N$3:$P$282, 3, FALSE), M282/L282)</f>
        <v>21.764031188406481</v>
      </c>
      <c r="P282" s="204">
        <f>+VLOOKUP(B282, 'INPUT CBM'!$B$3:$K$29, 10, FALSE)</f>
        <v>7.7254045530976423E-2</v>
      </c>
      <c r="Q282" s="185">
        <f t="shared" si="28"/>
        <v>4426061.602040994</v>
      </c>
      <c r="R282" s="79">
        <f t="shared" si="29"/>
        <v>1838.9846192713064</v>
      </c>
      <c r="S282" s="186">
        <f t="shared" si="30"/>
        <v>40023.718608820534</v>
      </c>
      <c r="U282" s="6"/>
      <c r="V282" s="6"/>
      <c r="W282" s="6"/>
    </row>
    <row r="283" spans="1:23" x14ac:dyDescent="0.25">
      <c r="A283" s="2"/>
      <c r="B283" s="2"/>
      <c r="C283" s="10"/>
      <c r="D283" s="123"/>
      <c r="E283" s="10"/>
      <c r="F283" s="10"/>
      <c r="G283" s="4">
        <f>SUM(G3:G282) - G146-G147</f>
        <v>19512682794.389229</v>
      </c>
      <c r="H283" s="10"/>
      <c r="I283" s="10"/>
      <c r="J283" s="10"/>
      <c r="K283" s="10"/>
      <c r="L283" s="2"/>
      <c r="M283" s="255">
        <f>SUM(M3:M282) - M146-M147</f>
        <v>17662541137.946594</v>
      </c>
      <c r="N283" s="4"/>
      <c r="O283" s="4"/>
      <c r="P283" s="4"/>
      <c r="Q283" s="255">
        <f>SUM(Q3:Q282) - Q146-Q147</f>
        <v>1743517272.8071613</v>
      </c>
      <c r="R283" s="2"/>
      <c r="S283" s="255">
        <f>SUM(S3:S282) - S146-S147</f>
        <v>106624383.63547827</v>
      </c>
    </row>
    <row r="284" spans="1:23" x14ac:dyDescent="0.25">
      <c r="T284" s="14"/>
    </row>
    <row r="285" spans="1:23" x14ac:dyDescent="0.25">
      <c r="I285" s="25" t="s">
        <v>465</v>
      </c>
      <c r="J285" s="258">
        <f>+(Q283)/M283</f>
        <v>9.8712708391735904E-2</v>
      </c>
      <c r="T285" s="14"/>
    </row>
    <row r="286" spans="1:23" x14ac:dyDescent="0.25">
      <c r="I286" s="26" t="s">
        <v>466</v>
      </c>
      <c r="J286" s="257">
        <f>+S283/M283</f>
        <v>6.0367521752803781E-3</v>
      </c>
      <c r="T286" s="14"/>
    </row>
    <row r="287" spans="1:23" x14ac:dyDescent="0.25">
      <c r="I287" s="26" t="s">
        <v>467</v>
      </c>
      <c r="J287" s="257">
        <f>(SUMIF(S3:S282, "&gt; 0", S3:S282)) / M283</f>
        <v>6.6337323514174236E-3</v>
      </c>
      <c r="T287" s="14"/>
    </row>
    <row r="288" spans="1:23" x14ac:dyDescent="0.25">
      <c r="I288" s="26" t="s">
        <v>468</v>
      </c>
      <c r="J288" s="257">
        <f>(SUMIF(S3:S282, "&lt; 0", S3:S282)) / M283</f>
        <v>-5.969801761370444E-4</v>
      </c>
    </row>
    <row r="289" spans="1:18" x14ac:dyDescent="0.25">
      <c r="I289" s="28" t="s">
        <v>469</v>
      </c>
      <c r="J289" s="259">
        <f>+(G283-M283)/M283</f>
        <v>0.10474946056701599</v>
      </c>
    </row>
    <row r="291" spans="1:18" x14ac:dyDescent="0.25">
      <c r="A291" s="2"/>
      <c r="B291" s="2"/>
      <c r="L291" s="2"/>
      <c r="R291" s="2"/>
    </row>
    <row r="292" spans="1:18" x14ac:dyDescent="0.25">
      <c r="A292" s="2"/>
      <c r="B292" s="2"/>
      <c r="L292" s="2"/>
      <c r="R292" s="2"/>
    </row>
    <row r="293" spans="1:18" x14ac:dyDescent="0.25">
      <c r="A293" s="2"/>
      <c r="B293" s="2"/>
      <c r="L293" s="2"/>
      <c r="R293" s="2"/>
    </row>
    <row r="295" spans="1:18" x14ac:dyDescent="0.25">
      <c r="L295" s="2"/>
      <c r="M295" s="30"/>
      <c r="N295" s="30"/>
      <c r="O295" s="30"/>
      <c r="P295" s="30"/>
      <c r="Q295" s="30"/>
      <c r="R295" s="2"/>
    </row>
    <row r="296" spans="1:18" x14ac:dyDescent="0.25">
      <c r="L296" s="2"/>
      <c r="M296" s="30"/>
      <c r="N296" s="30"/>
      <c r="O296" s="30"/>
      <c r="P296" s="30"/>
      <c r="Q296" s="30"/>
      <c r="R296" s="2"/>
    </row>
    <row r="297" spans="1:18" x14ac:dyDescent="0.25">
      <c r="L297" s="2"/>
      <c r="M297" s="30"/>
      <c r="N297" s="30"/>
      <c r="O297" s="30"/>
      <c r="P297" s="30"/>
      <c r="Q297" s="30"/>
      <c r="R297" s="2"/>
    </row>
    <row r="298" spans="1:18" x14ac:dyDescent="0.25">
      <c r="L298" s="2"/>
      <c r="M298" s="30"/>
      <c r="N298" s="30"/>
      <c r="O298" s="30"/>
      <c r="P298" s="30"/>
      <c r="Q298" s="30"/>
      <c r="R298" s="2"/>
    </row>
    <row r="299" spans="1:18" x14ac:dyDescent="0.25">
      <c r="L299" s="2"/>
      <c r="M299" s="30"/>
      <c r="N299" s="30"/>
      <c r="O299" s="30"/>
      <c r="P299" s="30"/>
      <c r="Q299" s="30"/>
      <c r="R299" s="2"/>
    </row>
  </sheetData>
  <dataConsolidate/>
  <mergeCells count="7">
    <mergeCell ref="W1:X1"/>
    <mergeCell ref="Y1:Y2"/>
    <mergeCell ref="N1:P1"/>
    <mergeCell ref="Q1:S1"/>
    <mergeCell ref="A1:C1"/>
    <mergeCell ref="L1:M1"/>
    <mergeCell ref="D1:J1"/>
  </mergeCells>
  <phoneticPr fontId="30" type="noConversion"/>
  <pageMargins left="0.7" right="0.7" top="0.75" bottom="0.75" header="0.3" footer="0.3"/>
  <pageSetup orientation="portrait" verticalDpi="0" r:id="rId1"/>
  <ignoredErrors>
    <ignoredError sqref="E12:I14 E58:I68 E119:I145 E147:I168 E146:F146 H146:I146 E172:I193 E195:I250 G194:I194 E252:I264 E251:F251 H251:I251 G171 F169:G169 I169 E266:I282 E265:F265 H265:I265" evalError="1"/>
  </ignoredError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59999389629810485"/>
  </sheetPr>
  <dimension ref="A1:L50"/>
  <sheetViews>
    <sheetView zoomScaleNormal="100" workbookViewId="0">
      <selection sqref="A1:B1"/>
    </sheetView>
  </sheetViews>
  <sheetFormatPr defaultRowHeight="15" x14ac:dyDescent="0.25"/>
  <cols>
    <col min="1" max="1" width="15.28515625" customWidth="1"/>
    <col min="3" max="3" width="11.28515625" customWidth="1"/>
    <col min="4" max="4" width="12.85546875" customWidth="1"/>
    <col min="5" max="5" width="11.28515625" customWidth="1"/>
    <col min="6" max="6" width="12.85546875" customWidth="1"/>
    <col min="7" max="7" width="11.7109375" customWidth="1"/>
    <col min="8" max="8" width="12.85546875" customWidth="1"/>
    <col min="9" max="9" width="16.140625" bestFit="1" customWidth="1"/>
    <col min="10" max="10" width="17" customWidth="1"/>
    <col min="11" max="11" width="10.28515625" bestFit="1" customWidth="1"/>
  </cols>
  <sheetData>
    <row r="1" spans="1:11" x14ac:dyDescent="0.25">
      <c r="A1" s="356" t="s">
        <v>243</v>
      </c>
      <c r="B1" s="358"/>
      <c r="C1" s="356" t="s">
        <v>255</v>
      </c>
      <c r="D1" s="357"/>
      <c r="E1" s="356" t="s">
        <v>505</v>
      </c>
      <c r="F1" s="357"/>
      <c r="G1" s="357"/>
      <c r="H1" s="121" t="s">
        <v>502</v>
      </c>
      <c r="I1" s="253" t="s">
        <v>556</v>
      </c>
      <c r="J1" s="254" t="s">
        <v>547</v>
      </c>
    </row>
    <row r="2" spans="1:11" x14ac:dyDescent="0.25">
      <c r="A2" s="120" t="s">
        <v>518</v>
      </c>
      <c r="B2" s="87" t="s">
        <v>244</v>
      </c>
      <c r="C2" s="120" t="s">
        <v>421</v>
      </c>
      <c r="D2" s="86" t="s">
        <v>520</v>
      </c>
      <c r="E2" s="120" t="s">
        <v>421</v>
      </c>
      <c r="F2" s="86" t="s">
        <v>520</v>
      </c>
      <c r="G2" s="86" t="s">
        <v>519</v>
      </c>
      <c r="H2" s="122" t="s">
        <v>521</v>
      </c>
      <c r="I2" s="122">
        <v>2020</v>
      </c>
      <c r="J2" s="157" t="s">
        <v>554</v>
      </c>
    </row>
    <row r="3" spans="1:11" x14ac:dyDescent="0.25">
      <c r="A3" s="26" t="s">
        <v>506</v>
      </c>
      <c r="B3" s="229" t="s">
        <v>0</v>
      </c>
      <c r="C3" s="231"/>
      <c r="D3" s="20"/>
      <c r="E3" s="167">
        <v>2020</v>
      </c>
      <c r="F3" s="235">
        <f>+IF(E3=2020, VLOOKUP(B3, 'INPUT SoEF'!$B$4:$G$41, 2, FALSE), IF(E3=2015, VLOOKUP(B3, 'INPUT SoEF'!$B$4:$G$41, 3, FALSE), IF(E3=2010, VLOOKUP(B3, 'INPUT SoEF'!$B$4:$G$41, 4, FALSE), IF(E3=2005, VLOOKUP(B3, 'INPUT SoEF'!$B$4:$G$41, 5, FALSE),VLOOKUP(B3, 'INPUT SoEF'!$B$4:$G$41, 6, FALSE)))))</f>
        <v>16000</v>
      </c>
      <c r="G3" s="236"/>
      <c r="H3" s="126"/>
      <c r="I3" s="127">
        <f>+IF(OR(H3 = 0, ABS(H3) &lt; 0.02), VLOOKUP(B3, 'INPUT SoEF'!$B$4:$G$41, 2, FALSE), D3 + G3 * (2020-C3))</f>
        <v>16000</v>
      </c>
      <c r="J3" s="128">
        <f t="shared" ref="J3:J40" si="0">+IF(D3=0, (I3-F3) / F3, (I3-D3) / D3)</f>
        <v>0</v>
      </c>
      <c r="K3" s="56"/>
    </row>
    <row r="4" spans="1:11" x14ac:dyDescent="0.25">
      <c r="A4" s="26" t="s">
        <v>513</v>
      </c>
      <c r="B4" s="229" t="s">
        <v>1</v>
      </c>
      <c r="C4" s="231"/>
      <c r="D4" s="20"/>
      <c r="E4" s="124">
        <v>2020</v>
      </c>
      <c r="F4" s="233">
        <f>+IF(E4=2020, VLOOKUP(B4, 'INPUT SoEF'!$B$4:$G$41, 2, FALSE), IF(E4=2015, VLOOKUP(B4, 'INPUT SoEF'!$B$4:$G$41, 3, FALSE), IF(E4=2010, VLOOKUP(B4, 'INPUT SoEF'!$B$4:$G$41, 4, FALSE), IF(E4=2005, VLOOKUP(B4, 'INPUT SoEF'!$B$4:$G$41, 5, FALSE),VLOOKUP(B4, 'INPUT SoEF'!$B$4:$G$41, 6, FALSE)))))</f>
        <v>785000</v>
      </c>
      <c r="G4" s="129"/>
      <c r="H4" s="126"/>
      <c r="I4" s="127">
        <f>+IF(OR(H4 = 0, ABS(H4) &lt; 0.02), VLOOKUP(B4, 'INPUT SoEF'!$B$4:$G$41, 2, FALSE), D4 + G4 * (2020-C4))</f>
        <v>785000</v>
      </c>
      <c r="J4" s="128">
        <f t="shared" si="0"/>
        <v>0</v>
      </c>
      <c r="K4" s="56"/>
    </row>
    <row r="5" spans="1:11" x14ac:dyDescent="0.25">
      <c r="A5" s="26" t="s">
        <v>39</v>
      </c>
      <c r="B5" s="229" t="s">
        <v>2</v>
      </c>
      <c r="C5" s="231">
        <f>+VLOOKUP($B5, 'INPUT NFI'!$N$3:$R$28, 2, FALSE)</f>
        <v>2008</v>
      </c>
      <c r="D5" s="125">
        <f>+VLOOKUP($B5, 'INPUT NFI'!$N$3:$R$28, 5, FALSE)</f>
        <v>3858000</v>
      </c>
      <c r="E5" s="124">
        <v>2010</v>
      </c>
      <c r="F5" s="233">
        <f>+IF(E5=2020, VLOOKUP(B5, 'INPUT SoEF'!$B$4:$G$41, 2, FALSE), IF(E5=2015, VLOOKUP(B5, 'INPUT SoEF'!$B$4:$G$41, 3, FALSE), IF(E5=2010, VLOOKUP(B5, 'INPUT SoEF'!$B$4:$G$41, 4, FALSE), IF(E5=2005, VLOOKUP(B5, 'INPUT SoEF'!$B$4:$G$41, 5, FALSE),VLOOKUP(B5, 'INPUT SoEF'!$B$4:$G$41, 6, FALSE)))))</f>
        <v>3863000</v>
      </c>
      <c r="G5" s="237">
        <f>+IF(E5=2015,VLOOKUP(B5,'INPUT SoEF'!$B$4:$K$41,7,FALSE), IF(E5=2010, VLOOKUP(B5, 'INPUT SoEF'!$B$4:$K$41, 8, FALSE), IF(E5=2005, VLOOKUP(B5, 'INPUT SoEF'!$B$4:$K$41, 9, FALSE), VLOOKUP(B5, 'INPUT SoEF'!$B$4:$K$41, 10, FALSE))))</f>
        <v>3600</v>
      </c>
      <c r="H5" s="126">
        <f>D5/F5 - 1</f>
        <v>-1.2943308309604218E-3</v>
      </c>
      <c r="I5" s="127">
        <f>+IF(OR(H5 = 0, ABS(H5) &lt; 0.02), VLOOKUP(B5, 'INPUT SoEF'!$B$4:$G$41, 2, FALSE), D5 + G5 * (2020-C5))</f>
        <v>3899000</v>
      </c>
      <c r="J5" s="128">
        <f>+IF(D5=0, (I5-F5) / F5, (I5-D5) / D5)</f>
        <v>1.0627268014515292E-2</v>
      </c>
      <c r="K5" s="56"/>
    </row>
    <row r="6" spans="1:11" x14ac:dyDescent="0.25">
      <c r="A6" s="26" t="s">
        <v>514</v>
      </c>
      <c r="B6" s="229" t="s">
        <v>3</v>
      </c>
      <c r="C6" s="231"/>
      <c r="D6" s="125"/>
      <c r="E6" s="124">
        <v>2020</v>
      </c>
      <c r="F6" s="233">
        <f>+IF(E6=2020, VLOOKUP(B6, 'INPUT SoEF'!$B$4:$G$41, 2, FALSE), IF(E6=2015, VLOOKUP(B6, 'INPUT SoEF'!$B$4:$G$41, 3, FALSE), IF(E6=2010, VLOOKUP(B6, 'INPUT SoEF'!$B$4:$G$41, 4, FALSE), IF(E6=2005, VLOOKUP(B6, 'INPUT SoEF'!$B$4:$G$41, 5, FALSE),VLOOKUP(B6, 'INPUT SoEF'!$B$4:$G$41, 6, FALSE)))))</f>
        <v>2187910</v>
      </c>
      <c r="G6" s="237">
        <f>+IF(E6=2015,VLOOKUP(B6,'INPUT SoEF'!$B$4:$K$41,7,FALSE), IF(E6=2010, VLOOKUP(B6, 'INPUT SoEF'!$B$4:$K$41, 8, FALSE), IF(E6=2005, VLOOKUP(B6, 'INPUT SoEF'!$B$4:$K$41, 9, FALSE), VLOOKUP(B6, 'INPUT SoEF'!$B$4:$K$41, 10, FALSE))))</f>
        <v>3813</v>
      </c>
      <c r="H6" s="125"/>
      <c r="I6" s="127">
        <f>+IF(OR(H6 = 0, ABS(H6) &lt; 0.02), VLOOKUP(B6, 'INPUT SoEF'!$B$4:$G$41, 2, FALSE), D6 + G6 * (2020-C6))</f>
        <v>2187910</v>
      </c>
      <c r="J6" s="128">
        <f t="shared" si="0"/>
        <v>0</v>
      </c>
      <c r="K6" s="56"/>
    </row>
    <row r="7" spans="1:11" x14ac:dyDescent="0.25">
      <c r="A7" s="26" t="s">
        <v>313</v>
      </c>
      <c r="B7" s="229" t="s">
        <v>4</v>
      </c>
      <c r="C7" s="231">
        <f>+VLOOKUP($B7, 'INPUT NFI'!$N$3:$R$28, 2, FALSE)</f>
        <v>2012</v>
      </c>
      <c r="D7" s="125">
        <f>+VLOOKUP($B7, 'INPUT NFI'!$N$3:$R$28, 5, FALSE)</f>
        <v>696179</v>
      </c>
      <c r="E7" s="124">
        <v>2010</v>
      </c>
      <c r="F7" s="233">
        <f>+IF(E7=2020, VLOOKUP(B7, 'INPUT SoEF'!$B$4:$G$41, 2, FALSE), IF(E7=2015, VLOOKUP(B7, 'INPUT SoEF'!$B$4:$G$41, 3, FALSE), IF(E7=2010, VLOOKUP(B7, 'INPUT SoEF'!$B$4:$G$41, 4, FALSE), IF(E7=2005, VLOOKUP(B7, 'INPUT SoEF'!$B$4:$G$41, 5, FALSE),VLOOKUP(B7, 'INPUT SoEF'!$B$4:$G$41, 6, FALSE)))))</f>
        <v>689870</v>
      </c>
      <c r="G7" s="237">
        <f>+IF(E7=2015,VLOOKUP(B7,'INPUT SoEF'!$B$4:$K$41,7,FALSE), IF(E7=2010, VLOOKUP(B7, 'INPUT SoEF'!$B$4:$K$41, 8, FALSE), IF(E7=2005, VLOOKUP(B7, 'INPUT SoEF'!$B$4:$K$41, 9, FALSE), VLOOKUP(B7, 'INPUT SoEF'!$B$4:$K$41, 10, FALSE))))</f>
        <v>-106</v>
      </c>
      <c r="H7" s="126">
        <f t="shared" ref="H7:H9" si="1">D7/F7 - 1</f>
        <v>9.1452012698045593E-3</v>
      </c>
      <c r="I7" s="127">
        <f>+IF(OR(H7 = 0, ABS(H7) &lt; 0.02), VLOOKUP(B7, 'INPUT SoEF'!$B$4:$G$41, 2, FALSE), D7 + G7 * (2020-C7))</f>
        <v>688810</v>
      </c>
      <c r="J7" s="128">
        <f t="shared" si="0"/>
        <v>-1.0584921406707182E-2</v>
      </c>
      <c r="K7" s="56"/>
    </row>
    <row r="8" spans="1:11" x14ac:dyDescent="0.25">
      <c r="A8" s="26" t="s">
        <v>245</v>
      </c>
      <c r="B8" s="229" t="s">
        <v>5</v>
      </c>
      <c r="C8" s="231">
        <f>+VLOOKUP($B8, 'INPUT NFI'!$N$3:$R$28, 2, FALSE)</f>
        <v>2007</v>
      </c>
      <c r="D8" s="125">
        <f>+VLOOKUP($B8, 'INPUT NFI'!$N$3:$R$28, 5, FALSE)</f>
        <v>3703337.7256637169</v>
      </c>
      <c r="E8" s="124">
        <v>2005</v>
      </c>
      <c r="F8" s="233">
        <f>+IF(E8=2020, VLOOKUP(B8, 'INPUT SoEF'!$B$4:$G$41, 2, FALSE), IF(E8=2015, VLOOKUP(B8, 'INPUT SoEF'!$B$4:$G$41, 3, FALSE), IF(E8=2010, VLOOKUP(B8, 'INPUT SoEF'!$B$4:$G$41, 4, FALSE), IF(E8=2005, VLOOKUP(B8, 'INPUT SoEF'!$B$4:$G$41, 5, FALSE),VLOOKUP(B8, 'INPUT SoEF'!$B$4:$G$41, 6, FALSE)))))</f>
        <v>3651000</v>
      </c>
      <c r="G8" s="237">
        <f>+IF(E8=2015,VLOOKUP(B8,'INPUT SoEF'!$B$4:$K$41,7,FALSE), IF(E8=2010, VLOOKUP(B8, 'INPUT SoEF'!$B$4:$K$41, 8, FALSE), IF(E8=2005, VLOOKUP(B8, 'INPUT SoEF'!$B$4:$K$41, 9, FALSE), VLOOKUP(B8, 'INPUT SoEF'!$B$4:$K$41, 10, FALSE))))</f>
        <v>16133.333333333334</v>
      </c>
      <c r="H8" s="126">
        <f t="shared" si="1"/>
        <v>1.4335175476230422E-2</v>
      </c>
      <c r="I8" s="127">
        <f>+IF(OR(H8 = 0, ABS(H8) &lt; 0.02), VLOOKUP(B8, 'INPUT SoEF'!$B$4:$G$41, 2, FALSE), D8 + G8 * (2020-C8))</f>
        <v>3893000</v>
      </c>
      <c r="J8" s="128">
        <f t="shared" si="0"/>
        <v>5.1213874722238997E-2</v>
      </c>
      <c r="K8" s="56"/>
    </row>
    <row r="9" spans="1:11" x14ac:dyDescent="0.25">
      <c r="A9" s="26" t="s">
        <v>49</v>
      </c>
      <c r="B9" s="229" t="s">
        <v>6</v>
      </c>
      <c r="C9" s="231">
        <f>+VLOOKUP($B9, 'INPUT NFI'!$N$3:$R$28, 2, FALSE)</f>
        <v>2005</v>
      </c>
      <c r="D9" s="125">
        <f>+VLOOKUP($B9, 'INPUT NFI'!$N$3:$R$28, 5, FALSE)</f>
        <v>1177421.3960000002</v>
      </c>
      <c r="E9" s="124">
        <v>2005</v>
      </c>
      <c r="F9" s="233">
        <f>+IF(E9=2020, VLOOKUP(B9, 'INPUT SoEF'!$B$4:$G$41, 2, FALSE), IF(E9=2015, VLOOKUP(B9, 'INPUT SoEF'!$B$4:$G$41, 3, FALSE), IF(E9=2010, VLOOKUP(B9, 'INPUT SoEF'!$B$4:$G$41, 4, FALSE), IF(E9=2005, VLOOKUP(B9, 'INPUT SoEF'!$B$4:$G$41, 5, FALSE),VLOOKUP(B9, 'INPUT SoEF'!$B$4:$G$41, 6, FALSE)))))</f>
        <v>1217520</v>
      </c>
      <c r="G9" s="237">
        <f>+IF(E9=2015,VLOOKUP(B9,'INPUT SoEF'!$B$4:$K$41,7,FALSE), IF(E9=2010, VLOOKUP(B9, 'INPUT SoEF'!$B$4:$K$41, 8, FALSE), IF(E9=2005, VLOOKUP(B9, 'INPUT SoEF'!$B$4:$K$41, 9, FALSE), VLOOKUP(B9, 'INPUT SoEF'!$B$4:$K$41, 10, FALSE))))</f>
        <v>3439.3333333333335</v>
      </c>
      <c r="H9" s="130">
        <f t="shared" si="1"/>
        <v>-3.293465733622436E-2</v>
      </c>
      <c r="I9" s="127">
        <f>+IF(OR(H9 = 0, ABS(H9) &lt; 0.02), VLOOKUP(B9, 'INPUT SoEF'!$B$4:$G$41, 2, FALSE), D9 + G9 * (2020-C9))</f>
        <v>1229011.3960000002</v>
      </c>
      <c r="J9" s="128">
        <f t="shared" si="0"/>
        <v>4.381608842447092E-2</v>
      </c>
      <c r="K9" s="56"/>
    </row>
    <row r="10" spans="1:11" x14ac:dyDescent="0.25">
      <c r="A10" s="26" t="s">
        <v>329</v>
      </c>
      <c r="B10" s="229" t="s">
        <v>7</v>
      </c>
      <c r="C10" s="231"/>
      <c r="D10" s="125"/>
      <c r="E10" s="124">
        <v>2020</v>
      </c>
      <c r="F10" s="233">
        <f>+IF(E10=2020, VLOOKUP(B10, 'INPUT SoEF'!$B$4:$G$41, 2, FALSE), IF(E10=2015, VLOOKUP(B10, 'INPUT SoEF'!$B$4:$G$41, 3, FALSE), IF(E10=2010, VLOOKUP(B10, 'INPUT SoEF'!$B$4:$G$41, 4, FALSE), IF(E10=2005, VLOOKUP(B10, 'INPUT SoEF'!$B$4:$G$41, 5, FALSE),VLOOKUP(B10, 'INPUT SoEF'!$B$4:$G$41, 6, FALSE)))))</f>
        <v>172700</v>
      </c>
      <c r="G10" s="237">
        <f>+IF(E10=2015,VLOOKUP(B10,'INPUT SoEF'!$B$4:$K$41,7,FALSE), IF(E10=2010, VLOOKUP(B10, 'INPUT SoEF'!$B$4:$K$41, 8, FALSE), IF(E10=2005, VLOOKUP(B10, 'INPUT SoEF'!$B$4:$K$41, 9, FALSE), VLOOKUP(B10, 'INPUT SoEF'!$B$4:$K$41, 10, FALSE))))</f>
        <v>54.5</v>
      </c>
      <c r="H10" s="125"/>
      <c r="I10" s="127">
        <f>+IF(OR(H10 = 0, ABS(H10) &lt; 0.02), VLOOKUP(B10, 'INPUT SoEF'!$B$4:$G$41, 2, FALSE), D10 + G10 * (2020-C10))</f>
        <v>172700</v>
      </c>
      <c r="J10" s="128">
        <f t="shared" si="0"/>
        <v>0</v>
      </c>
      <c r="K10" s="56"/>
    </row>
    <row r="11" spans="1:11" x14ac:dyDescent="0.25">
      <c r="A11" s="26" t="s">
        <v>57</v>
      </c>
      <c r="B11" s="229" t="s">
        <v>8</v>
      </c>
      <c r="C11" s="231">
        <f>+VLOOKUP($B11, 'INPUT NFI'!$N$3:$R$28, 2, FALSE)</f>
        <v>2003</v>
      </c>
      <c r="D11" s="125">
        <f>+VLOOKUP($B11, 'INPUT NFI'!$N$3:$R$28, 5, FALSE)</f>
        <v>2751600</v>
      </c>
      <c r="E11" s="124">
        <v>2005</v>
      </c>
      <c r="F11" s="233">
        <f>+IF(E11=2020, VLOOKUP(B11, 'INPUT SoEF'!$B$4:$G$41, 2, FALSE), IF(E11=2015, VLOOKUP(B11, 'INPUT SoEF'!$B$4:$G$41, 3, FALSE), IF(E11=2010, VLOOKUP(B11, 'INPUT SoEF'!$B$4:$G$41, 4, FALSE), IF(E11=2005, VLOOKUP(B11, 'INPUT SoEF'!$B$4:$G$41, 5, FALSE),VLOOKUP(B11, 'INPUT SoEF'!$B$4:$G$41, 6, FALSE)))))</f>
        <v>2647420</v>
      </c>
      <c r="G11" s="237">
        <f>+IF(E11=2015,VLOOKUP(B11,'INPUT SoEF'!$B$4:$K$41,7,FALSE), IF(E11=2010, VLOOKUP(B11, 'INPUT SoEF'!$B$4:$K$41, 8, FALSE), IF(E11=2005, VLOOKUP(B11, 'INPUT SoEF'!$B$4:$K$41, 9, FALSE), VLOOKUP(B11, 'INPUT SoEF'!$B$4:$K$41, 10, FALSE))))</f>
        <v>1978</v>
      </c>
      <c r="H11" s="130">
        <f t="shared" ref="H11" si="2">D11/F11 - 1</f>
        <v>3.9351519592659923E-2</v>
      </c>
      <c r="I11" s="127">
        <f>+IF(OR(H11 = 0, ABS(H11) &lt; 0.02), VLOOKUP(B11, 'INPUT SoEF'!$B$4:$G$41, 2, FALSE), D11 + G11 * (2020-C11))</f>
        <v>2785226</v>
      </c>
      <c r="J11" s="128">
        <f t="shared" si="0"/>
        <v>1.2220526239278965E-2</v>
      </c>
      <c r="K11" s="56"/>
    </row>
    <row r="12" spans="1:11" x14ac:dyDescent="0.25">
      <c r="A12" s="26" t="s">
        <v>72</v>
      </c>
      <c r="B12" s="229" t="s">
        <v>9</v>
      </c>
      <c r="C12" s="231">
        <f>+VLOOKUP($B12, 'INPUT NFI'!$N$3:$R$28, 2, FALSE)</f>
        <v>2002</v>
      </c>
      <c r="D12" s="125">
        <f>+VLOOKUP($B12, 'INPUT NFI'!$N$3:$R$28, 5, FALSE)</f>
        <v>10545496.323230248</v>
      </c>
      <c r="E12" s="124">
        <v>2000</v>
      </c>
      <c r="F12" s="233">
        <f>+IF(E12=2020, VLOOKUP(B12, 'INPUT SoEF'!$B$4:$G$41, 2, FALSE), IF(E12=2015, VLOOKUP(B12, 'INPUT SoEF'!$B$4:$G$41, 3, FALSE), IF(E12=2010, VLOOKUP(B12, 'INPUT SoEF'!$B$4:$G$41, 4, FALSE), IF(E12=2005, VLOOKUP(B12, 'INPUT SoEF'!$B$4:$G$41, 5, FALSE),VLOOKUP(B12, 'INPUT SoEF'!$B$4:$G$41, 6, FALSE)))))</f>
        <v>11354000</v>
      </c>
      <c r="G12" s="237">
        <f>+IF(E12=2015,VLOOKUP(B12,'INPUT SoEF'!$B$4:$K$41,7,FALSE), IF(E12=2010, VLOOKUP(B12, 'INPUT SoEF'!$B$4:$K$41, 8, FALSE), IF(E12=2005, VLOOKUP(B12, 'INPUT SoEF'!$B$4:$K$41, 9, FALSE), VLOOKUP(B12, 'INPUT SoEF'!$B$4:$K$41, 10, FALSE))))</f>
        <v>3250</v>
      </c>
      <c r="H12" s="130">
        <f>D12/F12 - 1</f>
        <v>-7.120870854058059E-2</v>
      </c>
      <c r="I12" s="127">
        <f>+IF(OR(H12 = 0, ABS(H12) &lt; 0.02), VLOOKUP(B12, 'INPUT SoEF'!$B$4:$G$41, 2, FALSE), D12 + G12 * (2020-C12))</f>
        <v>10603996.323230248</v>
      </c>
      <c r="J12" s="128">
        <f t="shared" si="0"/>
        <v>5.5473918160810235E-3</v>
      </c>
      <c r="K12" s="56"/>
    </row>
    <row r="13" spans="1:11" x14ac:dyDescent="0.25">
      <c r="A13" s="26" t="s">
        <v>324</v>
      </c>
      <c r="B13" s="229" t="s">
        <v>10</v>
      </c>
      <c r="C13" s="231">
        <f>+VLOOKUP($B13, 'INPUT NFI'!$N$3:$R$28, 2, FALSE)</f>
        <v>2014</v>
      </c>
      <c r="D13" s="125">
        <f>+VLOOKUP($B13, 'INPUT NFI'!$N$3:$R$28, 5, FALSE)</f>
        <v>620500.24726340862</v>
      </c>
      <c r="E13" s="124">
        <v>2015</v>
      </c>
      <c r="F13" s="233">
        <f>+IF(E13=2020, VLOOKUP(B13, 'INPUT SoEF'!$B$4:$G$41, 2, FALSE), IF(E13=2015, VLOOKUP(B13, 'INPUT SoEF'!$B$4:$G$41, 3, FALSE), IF(E13=2010, VLOOKUP(B13, 'INPUT SoEF'!$B$4:$G$41, 4, FALSE), IF(E13=2005, VLOOKUP(B13, 'INPUT SoEF'!$B$4:$G$41, 5, FALSE),VLOOKUP(B13, 'INPUT SoEF'!$B$4:$G$41, 6, FALSE)))))</f>
        <v>624680</v>
      </c>
      <c r="G13" s="237">
        <f>+IF(E13=2015,VLOOKUP(B13,'INPUT SoEF'!$B$4:$K$41,7,FALSE), IF(E13=2010, VLOOKUP(B13, 'INPUT SoEF'!$B$4:$K$41, 8, FALSE), IF(E13=2005, VLOOKUP(B13, 'INPUT SoEF'!$B$4:$K$41, 9, FALSE), VLOOKUP(B13, 'INPUT SoEF'!$B$4:$K$41, 10, FALSE))))</f>
        <v>752</v>
      </c>
      <c r="H13" s="126">
        <f>D13/F13 - 1</f>
        <v>-6.6910301860014787E-3</v>
      </c>
      <c r="I13" s="127">
        <f>+IF(OR(H13 = 0, ABS(H13) &lt; 0.02), VLOOKUP(B13, 'INPUT SoEF'!$B$4:$G$41, 2, FALSE), D13 + G13 * (2020-C13))</f>
        <v>628440</v>
      </c>
      <c r="J13" s="128">
        <f t="shared" si="0"/>
        <v>1.2795728561927356E-2</v>
      </c>
      <c r="K13" s="56"/>
    </row>
    <row r="14" spans="1:11" x14ac:dyDescent="0.25">
      <c r="A14" s="26" t="s">
        <v>507</v>
      </c>
      <c r="B14" s="229" t="s">
        <v>11</v>
      </c>
      <c r="C14" s="231"/>
      <c r="D14" s="125"/>
      <c r="E14" s="124">
        <v>2020</v>
      </c>
      <c r="F14" s="233">
        <f>+IF(E14=2020, VLOOKUP(B14, 'INPUT SoEF'!$B$4:$G$41, 2, FALSE), IF(E14=2015, VLOOKUP(B14, 'INPUT SoEF'!$B$4:$G$41, 3, FALSE), IF(E14=2010, VLOOKUP(B14, 'INPUT SoEF'!$B$4:$G$41, 4, FALSE), IF(E14=2005, VLOOKUP(B14, 'INPUT SoEF'!$B$4:$G$41, 5, FALSE),VLOOKUP(B14, 'INPUT SoEF'!$B$4:$G$41, 6, FALSE)))))</f>
        <v>2438400</v>
      </c>
      <c r="G14" s="237">
        <f>+IF(E14=2015,VLOOKUP(B14,'INPUT SoEF'!$B$4:$K$41,7,FALSE), IF(E14=2010, VLOOKUP(B14, 'INPUT SoEF'!$B$4:$K$41, 8, FALSE), IF(E14=2005, VLOOKUP(B14, 'INPUT SoEF'!$B$4:$K$41, 9, FALSE), VLOOKUP(B14, 'INPUT SoEF'!$B$4:$K$41, 10, FALSE))))</f>
        <v>9975.5</v>
      </c>
      <c r="H14" s="125"/>
      <c r="I14" s="127">
        <f>+IF(OR(H14 = 0, ABS(H14) &lt; 0.02), VLOOKUP(B14, 'INPUT SoEF'!$B$4:$G$41, 2, FALSE), D14 + G14 * (2020-C14))</f>
        <v>2438400</v>
      </c>
      <c r="J14" s="128">
        <f t="shared" si="0"/>
        <v>0</v>
      </c>
      <c r="K14" s="56"/>
    </row>
    <row r="15" spans="1:11" x14ac:dyDescent="0.25">
      <c r="A15" s="26" t="s">
        <v>89</v>
      </c>
      <c r="B15" s="229" t="s">
        <v>12</v>
      </c>
      <c r="C15" s="231">
        <v>2002</v>
      </c>
      <c r="D15" s="125">
        <f>+VLOOKUP($B15, 'INPUT NFI'!$N$3:$R$28, 5, FALSE)</f>
        <v>18535494.671328027</v>
      </c>
      <c r="E15" s="124">
        <v>2010</v>
      </c>
      <c r="F15" s="233">
        <f>+IF(E15=2020, VLOOKUP(B15, 'INPUT SoEF'!$B$4:$G$41, 2, FALSE), IF(E15=2015, VLOOKUP(B15, 'INPUT SoEF'!$B$4:$G$41, 3, FALSE), IF(E15=2010, VLOOKUP(B15, 'INPUT SoEF'!$B$4:$G$41, 4, FALSE), IF(E15=2005, VLOOKUP(B15, 'INPUT SoEF'!$B$4:$G$41, 5, FALSE),VLOOKUP(B15, 'INPUT SoEF'!$B$4:$G$41, 6, FALSE)))))</f>
        <v>18545340</v>
      </c>
      <c r="G15" s="237">
        <f>+IF(E15=2015,VLOOKUP(B15,'INPUT SoEF'!$B$4:$K$41,7,FALSE), IF(E15=2010, VLOOKUP(B15, 'INPUT SoEF'!$B$4:$K$41, 8, FALSE), IF(E15=2005, VLOOKUP(B15, 'INPUT SoEF'!$B$4:$K$41, 9, FALSE), VLOOKUP(B15, 'INPUT SoEF'!$B$4:$K$41, 10, FALSE))))</f>
        <v>2683</v>
      </c>
      <c r="H15" s="126">
        <f>D15/F15 - 1</f>
        <v>-5.3087884460323309E-4</v>
      </c>
      <c r="I15" s="127">
        <f>+IF(OR(H15 = 0, ABS(H15) &lt; 0.02), VLOOKUP(B15, 'INPUT SoEF'!$B$4:$G$41, 2, FALSE), D15 + G15 * (2020-C15))</f>
        <v>18572170</v>
      </c>
      <c r="J15" s="128">
        <f>+IF(D15=0, (I15-F15) / F15, (I15-D15) / D15)</f>
        <v>1.9786538920218357E-3</v>
      </c>
    </row>
    <row r="16" spans="1:11" x14ac:dyDescent="0.25">
      <c r="A16" s="26" t="s">
        <v>330</v>
      </c>
      <c r="B16" s="229" t="s">
        <v>13</v>
      </c>
      <c r="C16" s="231">
        <f>+VLOOKUP($B16, 'INPUT NFI'!$N$3:$R$28, 2, FALSE)</f>
        <v>2006</v>
      </c>
      <c r="D16" s="125">
        <f>+VLOOKUP($B16, 'INPUT NFI'!$N$3:$R$28, 5, FALSE)</f>
        <v>21958311.059999999</v>
      </c>
      <c r="E16" s="124">
        <v>2005</v>
      </c>
      <c r="F16" s="233">
        <f>+IF(E16=2020, VLOOKUP(B16, 'INPUT SoEF'!$B$4:$G$41, 2, FALSE), IF(E16=2015, VLOOKUP(B16, 'INPUT SoEF'!$B$4:$G$41, 3, FALSE), IF(E16=2010, VLOOKUP(B16, 'INPUT SoEF'!$B$4:$G$41, 4, FALSE), IF(E16=2005, VLOOKUP(B16, 'INPUT SoEF'!$B$4:$G$41, 5, FALSE),VLOOKUP(B16, 'INPUT SoEF'!$B$4:$G$41, 6, FALSE)))))</f>
        <v>22162000</v>
      </c>
      <c r="G16" s="237">
        <f>+IF(E16=2015,VLOOKUP(B16,'INPUT SoEF'!$B$4:$K$41,7,FALSE), IF(E16=2010, VLOOKUP(B16, 'INPUT SoEF'!$B$4:$K$41, 8, FALSE), IF(E16=2005, VLOOKUP(B16, 'INPUT SoEF'!$B$4:$K$41, 9, FALSE), VLOOKUP(B16, 'INPUT SoEF'!$B$4:$K$41, 10, FALSE))))</f>
        <v>16466.666666666668</v>
      </c>
      <c r="H16" s="126">
        <f t="shared" ref="H16:H17" si="3">D16/F16 - 1</f>
        <v>-9.1909096651927591E-3</v>
      </c>
      <c r="I16" s="127">
        <f>+IF(OR(H16 = 0, ABS(H16) &lt; 0.02), VLOOKUP(B16, 'INPUT SoEF'!$B$4:$G$41, 2, FALSE), D16 + G16 * (2020-C16))</f>
        <v>22409000</v>
      </c>
      <c r="J16" s="128">
        <f t="shared" si="0"/>
        <v>2.0524754329625632E-2</v>
      </c>
      <c r="K16" s="56"/>
    </row>
    <row r="17" spans="1:11" x14ac:dyDescent="0.25">
      <c r="A17" s="26" t="s">
        <v>252</v>
      </c>
      <c r="B17" s="229" t="s">
        <v>14</v>
      </c>
      <c r="C17" s="231">
        <f>+VLOOKUP($B17, 'INPUT NFI'!$N$3:$R$28, 2, FALSE)</f>
        <v>2010</v>
      </c>
      <c r="D17" s="125">
        <f>+VLOOKUP($B17, 'INPUT NFI'!$N$3:$R$28, 5, FALSE)</f>
        <v>16424000</v>
      </c>
      <c r="E17" s="124">
        <v>2010</v>
      </c>
      <c r="F17" s="233">
        <f>+IF(E17=2020, VLOOKUP(B17, 'INPUT SoEF'!$B$4:$G$41, 2, FALSE), IF(E17=2015, VLOOKUP(B17, 'INPUT SoEF'!$B$4:$G$41, 3, FALSE), IF(E17=2010, VLOOKUP(B17, 'INPUT SoEF'!$B$4:$G$41, 4, FALSE), IF(E17=2005, VLOOKUP(B17, 'INPUT SoEF'!$B$4:$G$41, 5, FALSE),VLOOKUP(B17, 'INPUT SoEF'!$B$4:$G$41, 6, FALSE)))))</f>
        <v>16419000</v>
      </c>
      <c r="G17" s="237">
        <f>+IF(E17=2015,VLOOKUP(B17,'INPUT SoEF'!$B$4:$K$41,7,FALSE), IF(E17=2010, VLOOKUP(B17, 'INPUT SoEF'!$B$4:$K$41, 8, FALSE), IF(E17=2005, VLOOKUP(B17, 'INPUT SoEF'!$B$4:$K$41, 9, FALSE), VLOOKUP(B17, 'INPUT SoEF'!$B$4:$K$41, 10, FALSE))))</f>
        <v>83400</v>
      </c>
      <c r="H17" s="126">
        <f t="shared" si="3"/>
        <v>3.0452524514279489E-4</v>
      </c>
      <c r="I17" s="127">
        <f>+IF(OR(H17 = 0, ABS(H17) &lt; 0.02), VLOOKUP(B17, 'INPUT SoEF'!$B$4:$G$41, 2, FALSE), D17 + G17 * (2020-C17))</f>
        <v>17253000</v>
      </c>
      <c r="J17" s="128">
        <f t="shared" si="0"/>
        <v>5.0474914758889433E-2</v>
      </c>
      <c r="K17" s="56"/>
    </row>
    <row r="18" spans="1:11" x14ac:dyDescent="0.25">
      <c r="A18" s="26" t="s">
        <v>515</v>
      </c>
      <c r="B18" s="229" t="s">
        <v>15</v>
      </c>
      <c r="C18" s="231"/>
      <c r="D18" s="125"/>
      <c r="E18" s="124">
        <v>2020</v>
      </c>
      <c r="F18" s="233">
        <f>+IF(E18=2020, VLOOKUP(B18, 'INPUT SoEF'!$B$4:$G$41, 2, FALSE), IF(E18=2015, VLOOKUP(B18, 'INPUT SoEF'!$B$4:$G$41, 3, FALSE), IF(E18=2010, VLOOKUP(B18, 'INPUT SoEF'!$B$4:$G$41, 4, FALSE), IF(E18=2005, VLOOKUP(B18, 'INPUT SoEF'!$B$4:$G$41, 5, FALSE),VLOOKUP(B18, 'INPUT SoEF'!$B$4:$G$41, 6, FALSE)))))</f>
        <v>3190000</v>
      </c>
      <c r="G18" s="237">
        <f>+IF(E18=2015,VLOOKUP(B18,'INPUT SoEF'!$B$4:$K$41,7,FALSE), IF(E18=2010, VLOOKUP(B18, 'INPUT SoEF'!$B$4:$K$41, 8, FALSE), IF(E18=2005, VLOOKUP(B18, 'INPUT SoEF'!$B$4:$K$41, 9, FALSE), VLOOKUP(B18, 'INPUT SoEF'!$B$4:$K$41, 10, FALSE))))</f>
        <v>11800</v>
      </c>
      <c r="H18" s="125"/>
      <c r="I18" s="127">
        <f>+IF(OR(H18 = 0, ABS(H18) &lt; 0.02), VLOOKUP(B18, 'INPUT SoEF'!$B$4:$G$41, 2, FALSE), D18 + G18 * (2020-C18))</f>
        <v>3190000</v>
      </c>
      <c r="J18" s="128">
        <f t="shared" si="0"/>
        <v>0</v>
      </c>
      <c r="K18" s="56"/>
    </row>
    <row r="19" spans="1:11" x14ac:dyDescent="0.25">
      <c r="A19" s="26" t="s">
        <v>454</v>
      </c>
      <c r="B19" s="229" t="s">
        <v>16</v>
      </c>
      <c r="C19" s="231"/>
      <c r="D19" s="125"/>
      <c r="E19" s="124">
        <v>2020</v>
      </c>
      <c r="F19" s="233">
        <f>+IF(E19=2020, VLOOKUP(B19, 'INPUT SoEF'!$B$4:$G$41, 2, FALSE), IF(E19=2015, VLOOKUP(B19, 'INPUT SoEF'!$B$4:$G$41, 3, FALSE), IF(E19=2010, VLOOKUP(B19, 'INPUT SoEF'!$B$4:$G$41, 4, FALSE), IF(E19=2005, VLOOKUP(B19, 'INPUT SoEF'!$B$4:$G$41, 5, FALSE),VLOOKUP(B19, 'INPUT SoEF'!$B$4:$G$41, 6, FALSE)))))</f>
        <v>3903000</v>
      </c>
      <c r="G19" s="237">
        <f>+IF(E19=2015,VLOOKUP(B19,'INPUT SoEF'!$B$4:$K$41,7,FALSE), IF(E19=2010, VLOOKUP(B19, 'INPUT SoEF'!$B$4:$K$41, 8, FALSE), IF(E19=2005, VLOOKUP(B19, 'INPUT SoEF'!$B$4:$K$41, 9, FALSE), VLOOKUP(B19, 'INPUT SoEF'!$B$4:$K$41, 10, FALSE))))</f>
        <v>15100</v>
      </c>
      <c r="H19" s="125"/>
      <c r="I19" s="127">
        <f>+IF(OR(H19 = 0, ABS(H19) &lt; 0.02), VLOOKUP(B19, 'INPUT SoEF'!$B$4:$G$41, 2, FALSE), D19 + G19 * (2020-C19))</f>
        <v>3903000</v>
      </c>
      <c r="J19" s="128">
        <f t="shared" si="0"/>
        <v>0</v>
      </c>
      <c r="K19" s="56"/>
    </row>
    <row r="20" spans="1:11" x14ac:dyDescent="0.25">
      <c r="A20" s="26" t="s">
        <v>323</v>
      </c>
      <c r="B20" s="229" t="s">
        <v>17</v>
      </c>
      <c r="C20" s="231">
        <f>+VLOOKUP($B20, 'INPUT NFI'!$N$3:$R$28, 2, FALSE)</f>
        <v>2008</v>
      </c>
      <c r="D20" s="125">
        <f>+VLOOKUP($B20, 'INPUT NFI'!$N$3:$R$28, 5, FALSE)</f>
        <v>2455062.1582182217</v>
      </c>
      <c r="E20" s="124">
        <v>2010</v>
      </c>
      <c r="F20" s="233">
        <f>+IF(E20=2020, VLOOKUP(B20, 'INPUT SoEF'!$B$4:$G$41, 2, FALSE), IF(E20=2015, VLOOKUP(B20, 'INPUT SoEF'!$B$4:$G$41, 3, FALSE), IF(E20=2010, VLOOKUP(B20, 'INPUT SoEF'!$B$4:$G$41, 4, FALSE), IF(E20=2005, VLOOKUP(B20, 'INPUT SoEF'!$B$4:$G$41, 5, FALSE),VLOOKUP(B20, 'INPUT SoEF'!$B$4:$G$41, 6, FALSE)))))</f>
        <v>1920000</v>
      </c>
      <c r="G20" s="237">
        <f>+IF(E20=2015,VLOOKUP(B20,'INPUT SoEF'!$B$4:$K$41,7,FALSE), IF(E20=2010, VLOOKUP(B20, 'INPUT SoEF'!$B$4:$K$41, 8, FALSE), IF(E20=2005, VLOOKUP(B20, 'INPUT SoEF'!$B$4:$K$41, 9, FALSE), VLOOKUP(B20, 'INPUT SoEF'!$B$4:$K$41, 10, FALSE))))</f>
        <v>1911</v>
      </c>
      <c r="H20" s="130">
        <f t="shared" ref="H20:H24" si="4">D20/F20 - 1</f>
        <v>0.27867820740532379</v>
      </c>
      <c r="I20" s="127">
        <f>+IF(OR(H20 = 0, ABS(H20) &lt; 0.02), VLOOKUP(B20, 'INPUT SoEF'!$B$4:$G$41, 2, FALSE), D20 + G20 * (2020-C20))</f>
        <v>2477994.1582182217</v>
      </c>
      <c r="J20" s="128">
        <f t="shared" si="0"/>
        <v>9.3407003660726275E-3</v>
      </c>
    </row>
    <row r="21" spans="1:11" x14ac:dyDescent="0.25">
      <c r="A21" s="26" t="s">
        <v>246</v>
      </c>
      <c r="B21" s="229" t="s">
        <v>18</v>
      </c>
      <c r="C21" s="231">
        <f>+VLOOKUP($B21, 'INPUT NFI'!$N$3:$R$28, 2, FALSE)</f>
        <v>2012</v>
      </c>
      <c r="D21" s="125">
        <f>+VLOOKUP($B21, 'INPUT NFI'!$N$3:$R$28, 5, FALSE)</f>
        <v>2142000</v>
      </c>
      <c r="E21" s="124">
        <v>2010</v>
      </c>
      <c r="F21" s="233">
        <f>+IF(E21=2020, VLOOKUP(B21, 'INPUT SoEF'!$B$4:$G$41, 2, FALSE), IF(E21=2015, VLOOKUP(B21, 'INPUT SoEF'!$B$4:$G$41, 3, FALSE), IF(E21=2010, VLOOKUP(B21, 'INPUT SoEF'!$B$4:$G$41, 4, FALSE), IF(E21=2005, VLOOKUP(B21, 'INPUT SoEF'!$B$4:$G$41, 5, FALSE),VLOOKUP(B21, 'INPUT SoEF'!$B$4:$G$41, 6, FALSE)))))</f>
        <v>2046390</v>
      </c>
      <c r="G21" s="237">
        <f>+IF(E21=2015,VLOOKUP(B21,'INPUT SoEF'!$B$4:$K$41,7,FALSE), IF(E21=2010, VLOOKUP(B21, 'INPUT SoEF'!$B$4:$K$41, 8, FALSE), IF(E21=2005, VLOOKUP(B21, 'INPUT SoEF'!$B$4:$K$41, 9, FALSE), VLOOKUP(B21, 'INPUT SoEF'!$B$4:$K$41, 10, FALSE))))</f>
        <v>662.00000000002331</v>
      </c>
      <c r="H21" s="130">
        <f t="shared" si="4"/>
        <v>4.672129945904735E-2</v>
      </c>
      <c r="I21" s="127">
        <f>+IF(OR(H21 = 0, ABS(H21) &lt; 0.02), VLOOKUP(B21, 'INPUT SoEF'!$B$4:$G$41, 2, FALSE), D21 + G21 * (2020-C21))</f>
        <v>2147296</v>
      </c>
      <c r="J21" s="128">
        <f t="shared" si="0"/>
        <v>2.4724556489262371E-3</v>
      </c>
      <c r="K21" s="56"/>
    </row>
    <row r="22" spans="1:11" x14ac:dyDescent="0.25">
      <c r="A22" s="26" t="s">
        <v>139</v>
      </c>
      <c r="B22" s="229" t="s">
        <v>19</v>
      </c>
      <c r="C22" s="231">
        <f>+VLOOKUP($B22, 'INPUT NFI'!$N$3:$R$28, 2, FALSE)</f>
        <v>2006</v>
      </c>
      <c r="D22" s="125">
        <f>+VLOOKUP($B22, 'INPUT NFI'!$N$3:$R$28, 5, FALSE)</f>
        <v>697840</v>
      </c>
      <c r="E22" s="124">
        <v>2005</v>
      </c>
      <c r="F22" s="233">
        <f>+IF(E22=2020, VLOOKUP(B22, 'INPUT SoEF'!$B$4:$G$41, 2, FALSE), IF(E22=2015, VLOOKUP(B22, 'INPUT SoEF'!$B$4:$G$41, 3, FALSE), IF(E22=2010, VLOOKUP(B22, 'INPUT SoEF'!$B$4:$G$41, 4, FALSE), IF(E22=2005, VLOOKUP(B22, 'INPUT SoEF'!$B$4:$G$41, 5, FALSE),VLOOKUP(B22, 'INPUT SoEF'!$B$4:$G$41, 6, FALSE)))))</f>
        <v>689810</v>
      </c>
      <c r="G22" s="237">
        <f>+IF(E22=2015,VLOOKUP(B22,'INPUT SoEF'!$B$4:$K$41,7,FALSE), IF(E22=2010, VLOOKUP(B22, 'INPUT SoEF'!$B$4:$K$41, 8, FALSE), IF(E22=2005, VLOOKUP(B22, 'INPUT SoEF'!$B$4:$K$41, 9, FALSE), VLOOKUP(B22, 'INPUT SoEF'!$B$4:$K$41, 10, FALSE))))</f>
        <v>6147.333333333333</v>
      </c>
      <c r="H22" s="325">
        <f>D22/F22 - 1</f>
        <v>1.1640886620953639E-2</v>
      </c>
      <c r="I22" s="127">
        <f>+IF(OR(H22 = 0, ABS(H22) &lt; 0.02), VLOOKUP(B22, 'INPUT SoEF'!$B$4:$G$41, 2, FALSE), D22 + G22 * (2020-C22))</f>
        <v>782020</v>
      </c>
      <c r="J22" s="128">
        <f>+IF(D22=0, (I22-F22) / F22, (I22-D22) / D22)</f>
        <v>0.12062937062937062</v>
      </c>
      <c r="K22" s="56"/>
    </row>
    <row r="23" spans="1:11" x14ac:dyDescent="0.25">
      <c r="A23" s="26" t="s">
        <v>140</v>
      </c>
      <c r="B23" s="229" t="s">
        <v>20</v>
      </c>
      <c r="C23" s="231">
        <f>+VLOOKUP($B23, 'INPUT NFI'!$N$3:$R$28, 2, FALSE)</f>
        <v>2010</v>
      </c>
      <c r="D23" s="125">
        <f>+VLOOKUP($B23, 'INPUT NFI'!$N$3:$R$28, 5, FALSE)</f>
        <v>35692.838070166501</v>
      </c>
      <c r="E23" s="124">
        <v>2010</v>
      </c>
      <c r="F23" s="233">
        <f>+IF(E23=2020, VLOOKUP(B23, 'INPUT SoEF'!$B$4:$G$41, 2, FALSE), IF(E23=2015, VLOOKUP(B23, 'INPUT SoEF'!$B$4:$G$41, 3, FALSE), IF(E23=2010, VLOOKUP(B23, 'INPUT SoEF'!$B$4:$G$41, 4, FALSE), IF(E23=2005, VLOOKUP(B23, 'INPUT SoEF'!$B$4:$G$41, 5, FALSE),VLOOKUP(B23, 'INPUT SoEF'!$B$4:$G$41, 6, FALSE)))))</f>
        <v>44670</v>
      </c>
      <c r="G23" s="237">
        <f>+IF(E23=2015,VLOOKUP(B23,'INPUT SoEF'!$B$4:$K$41,7,FALSE), IF(E23=2010, VLOOKUP(B23, 'INPUT SoEF'!$B$4:$K$41, 8, FALSE), IF(E23=2005, VLOOKUP(B23, 'INPUT SoEF'!$B$4:$K$41, 9, FALSE), VLOOKUP(B23, 'INPUT SoEF'!$B$4:$K$41, 10, FALSE))))</f>
        <v>668</v>
      </c>
      <c r="H23" s="130">
        <f t="shared" si="4"/>
        <v>-0.20096623975449968</v>
      </c>
      <c r="I23" s="127">
        <f>+IF(OR(H23 = 0, ABS(H23) &lt; 0.02), VLOOKUP(B23, 'INPUT SoEF'!$B$4:$G$41, 2, FALSE), D23 + G23 * (2020-C23))</f>
        <v>42372.838070166501</v>
      </c>
      <c r="J23" s="128">
        <f t="shared" si="0"/>
        <v>0.18715239138081907</v>
      </c>
      <c r="K23" s="56"/>
    </row>
    <row r="24" spans="1:11" x14ac:dyDescent="0.25">
      <c r="A24" s="26" t="s">
        <v>141</v>
      </c>
      <c r="B24" s="229" t="s">
        <v>21</v>
      </c>
      <c r="C24" s="231">
        <f>+VLOOKUP($B24, 'INPUT NFI'!$N$3:$R$28, 2, FALSE)</f>
        <v>2005</v>
      </c>
      <c r="D24" s="125">
        <f>+VLOOKUP($B24, 'INPUT NFI'!$N$3:$R$28, 5, FALSE)</f>
        <v>8759200.3999999985</v>
      </c>
      <c r="E24" s="124">
        <v>2005</v>
      </c>
      <c r="F24" s="233">
        <f>+IF(E24=2020, VLOOKUP(B24, 'INPUT SoEF'!$B$4:$G$41, 2, FALSE), IF(E24=2015, VLOOKUP(B24, 'INPUT SoEF'!$B$4:$G$41, 3, FALSE), IF(E24=2010, VLOOKUP(B24, 'INPUT SoEF'!$B$4:$G$41, 4, FALSE), IF(E24=2005, VLOOKUP(B24, 'INPUT SoEF'!$B$4:$G$41, 5, FALSE),VLOOKUP(B24, 'INPUT SoEF'!$B$4:$G$41, 6, FALSE)))))</f>
        <v>8759000</v>
      </c>
      <c r="G24" s="237">
        <f>+IF(E24=2015,VLOOKUP(B24,'INPUT SoEF'!$B$4:$K$41,7,FALSE), IF(E24=2010, VLOOKUP(B24, 'INPUT SoEF'!$B$4:$K$41, 8, FALSE), IF(E24=2005, VLOOKUP(B24, 'INPUT SoEF'!$B$4:$K$41, 9, FALSE), VLOOKUP(B24, 'INPUT SoEF'!$B$4:$K$41, 10, FALSE))))</f>
        <v>53808.666666666664</v>
      </c>
      <c r="H24" s="126">
        <f t="shared" si="4"/>
        <v>2.2879324123481481E-5</v>
      </c>
      <c r="I24" s="127">
        <f>+IF(OR(H24 = 0, ABS(H24) &lt; 0.02), VLOOKUP(B24, 'INPUT SoEF'!$B$4:$G$41, 2, FALSE), D24 + G24 * (2020-C24))</f>
        <v>9566130</v>
      </c>
      <c r="J24" s="128">
        <f t="shared" si="0"/>
        <v>9.2123660054632572E-2</v>
      </c>
      <c r="K24" s="56"/>
    </row>
    <row r="25" spans="1:11" x14ac:dyDescent="0.25">
      <c r="A25" s="26" t="s">
        <v>508</v>
      </c>
      <c r="B25" s="229" t="s">
        <v>22</v>
      </c>
      <c r="C25" s="231"/>
      <c r="D25" s="125"/>
      <c r="E25" s="124">
        <v>2020</v>
      </c>
      <c r="F25" s="233">
        <f>+IF(E25=2020, VLOOKUP(B25, 'INPUT SoEF'!$B$4:$G$41, 2, FALSE), IF(E25=2015, VLOOKUP(B25, 'INPUT SoEF'!$B$4:$G$41, 3, FALSE), IF(E25=2010, VLOOKUP(B25, 'INPUT SoEF'!$B$4:$G$41, 4, FALSE), IF(E25=2005, VLOOKUP(B25, 'INPUT SoEF'!$B$4:$G$41, 5, FALSE),VLOOKUP(B25, 'INPUT SoEF'!$B$4:$G$41, 6, FALSE)))))</f>
        <v>6700</v>
      </c>
      <c r="G25" s="237">
        <f>+IF(E25=2015,VLOOKUP(B25,'INPUT SoEF'!$B$4:$K$41,7,FALSE), IF(E25=2010, VLOOKUP(B25, 'INPUT SoEF'!$B$4:$K$41, 8, FALSE), IF(E25=2005, VLOOKUP(B25, 'INPUT SoEF'!$B$4:$K$41, 9, FALSE), VLOOKUP(B25, 'INPUT SoEF'!$B$4:$K$41, 10, FALSE))))</f>
        <v>0</v>
      </c>
      <c r="H25" s="125"/>
      <c r="I25" s="127">
        <f>+IF(OR(H25 = 0, ABS(H25) &lt; 0.02), VLOOKUP(B25, 'INPUT SoEF'!$B$4:$G$41, 2, FALSE), D25 + G25 * (2020-C25))</f>
        <v>6700</v>
      </c>
      <c r="J25" s="128">
        <f t="shared" si="0"/>
        <v>0</v>
      </c>
      <c r="K25" s="56"/>
    </row>
    <row r="26" spans="1:11" x14ac:dyDescent="0.25">
      <c r="A26" s="26" t="s">
        <v>248</v>
      </c>
      <c r="B26" s="229" t="s">
        <v>23</v>
      </c>
      <c r="C26" s="231">
        <f>+VLOOKUP($B26, 'INPUT NFI'!$N$3:$R$28, 2, FALSE)</f>
        <v>2010</v>
      </c>
      <c r="D26" s="125">
        <f>+VLOOKUP($B26, 'INPUT NFI'!$N$3:$R$28, 5, FALSE)</f>
        <v>2163200</v>
      </c>
      <c r="E26" s="124">
        <v>2010</v>
      </c>
      <c r="F26" s="233">
        <f>+IF(E26=2020, VLOOKUP(B26, 'INPUT SoEF'!$B$4:$G$41, 2, FALSE), IF(E26=2015, VLOOKUP(B26, 'INPUT SoEF'!$B$4:$G$41, 3, FALSE), IF(E26=2010, VLOOKUP(B26, 'INPUT SoEF'!$B$4:$G$41, 4, FALSE), IF(E26=2005, VLOOKUP(B26, 'INPUT SoEF'!$B$4:$G$41, 5, FALSE),VLOOKUP(B26, 'INPUT SoEF'!$B$4:$G$41, 6, FALSE)))))</f>
        <v>2170000</v>
      </c>
      <c r="G26" s="237">
        <f>+IF(E26=2015,VLOOKUP(B26,'INPUT SoEF'!$B$4:$K$41,7,FALSE), IF(E26=2010, VLOOKUP(B26, 'INPUT SoEF'!$B$4:$K$41, 8, FALSE), IF(E26=2005, VLOOKUP(B26, 'INPUT SoEF'!$B$4:$K$41, 9, FALSE), VLOOKUP(B26, 'INPUT SoEF'!$B$4:$K$41, 10, FALSE))))</f>
        <v>3100</v>
      </c>
      <c r="H26" s="126">
        <f>D26/F26 - 1</f>
        <v>-3.1336405529953648E-3</v>
      </c>
      <c r="I26" s="127">
        <f>+IF(OR(H26 = 0, ABS(H26) &lt; 0.02), VLOOKUP(B26, 'INPUT SoEF'!$B$4:$G$41, 2, FALSE), D26 + G26 * (2020-C26))</f>
        <v>2201000</v>
      </c>
      <c r="J26" s="128">
        <f t="shared" si="0"/>
        <v>1.7474112426035502E-2</v>
      </c>
      <c r="K26" s="56"/>
    </row>
    <row r="27" spans="1:11" x14ac:dyDescent="0.25">
      <c r="A27" s="26" t="s">
        <v>509</v>
      </c>
      <c r="B27" s="229" t="s">
        <v>24</v>
      </c>
      <c r="C27" s="231"/>
      <c r="D27" s="125"/>
      <c r="E27" s="124">
        <v>2020</v>
      </c>
      <c r="F27" s="233">
        <f>+IF(E27=2020, VLOOKUP(B27, 'INPUT SoEF'!$B$4:$G$41, 2, FALSE), IF(E27=2015, VLOOKUP(B27, 'INPUT SoEF'!$B$4:$G$41, 3, FALSE), IF(E27=2010, VLOOKUP(B27, 'INPUT SoEF'!$B$4:$G$41, 4, FALSE), IF(E27=2005, VLOOKUP(B27, 'INPUT SoEF'!$B$4:$G$41, 5, FALSE),VLOOKUP(B27, 'INPUT SoEF'!$B$4:$G$41, 6, FALSE)))))</f>
        <v>88700</v>
      </c>
      <c r="G27" s="237">
        <f>+IF(E27=2015,VLOOKUP(B27,'INPUT SoEF'!$B$4:$K$41,7,FALSE), IF(E27=2010, VLOOKUP(B27, 'INPUT SoEF'!$B$4:$K$41, 8, FALSE), IF(E27=2005, VLOOKUP(B27, 'INPUT SoEF'!$B$4:$K$41, 9, FALSE), VLOOKUP(B27, 'INPUT SoEF'!$B$4:$K$41, 10, FALSE))))</f>
        <v>100</v>
      </c>
      <c r="H27" s="125"/>
      <c r="I27" s="127">
        <f>+IF(OR(H27 = 0, ABS(H27) &lt; 0.02), VLOOKUP(B27, 'INPUT SoEF'!$B$4:$G$41, 2, FALSE), D27 + G27 * (2020-C27))</f>
        <v>88700</v>
      </c>
      <c r="J27" s="128">
        <f t="shared" si="0"/>
        <v>0</v>
      </c>
      <c r="K27" s="56"/>
    </row>
    <row r="28" spans="1:11" x14ac:dyDescent="0.25">
      <c r="A28" s="26" t="s">
        <v>247</v>
      </c>
      <c r="B28" s="229" t="s">
        <v>25</v>
      </c>
      <c r="C28" s="231">
        <f>+VLOOKUP($B28, 'INPUT NFI'!$N$3:$R$28, 2, FALSE)</f>
        <v>2011</v>
      </c>
      <c r="D28" s="125">
        <f>+VLOOKUP($B28, 'INPUT NFI'!$N$3:$R$28, 5, FALSE)</f>
        <v>3329596.2340000002</v>
      </c>
      <c r="E28" s="124">
        <v>2010</v>
      </c>
      <c r="F28" s="233">
        <f>+IF(E28=2020, VLOOKUP(B28, 'INPUT SoEF'!$B$4:$G$41, 2, FALSE), IF(E28=2015, VLOOKUP(B28, 'INPUT SoEF'!$B$4:$G$41, 3, FALSE), IF(E28=2010, VLOOKUP(B28, 'INPUT SoEF'!$B$4:$G$41, 4, FALSE), IF(E28=2005, VLOOKUP(B28, 'INPUT SoEF'!$B$4:$G$41, 5, FALSE),VLOOKUP(B28, 'INPUT SoEF'!$B$4:$G$41, 6, FALSE)))))</f>
        <v>3372120</v>
      </c>
      <c r="G28" s="237">
        <f>+IF(E28=2015,VLOOKUP(B28,'INPUT SoEF'!$B$4:$K$41,7,FALSE), IF(E28=2010, VLOOKUP(B28, 'INPUT SoEF'!$B$4:$K$41, 8, FALSE), IF(E28=2005, VLOOKUP(B28, 'INPUT SoEF'!$B$4:$K$41, 9, FALSE), VLOOKUP(B28, 'INPUT SoEF'!$B$4:$K$41, 10, FALSE))))</f>
        <v>3867</v>
      </c>
      <c r="H28" s="126">
        <f>D28/F28 - 1</f>
        <v>-1.2610395240975958E-2</v>
      </c>
      <c r="I28" s="127">
        <f>+IF(OR(H28 = 0, ABS(H28) &lt; 0.02), VLOOKUP(B28, 'INPUT SoEF'!$B$4:$G$41, 2, FALSE), D28 + G28 * (2020-C28))</f>
        <v>3410790</v>
      </c>
      <c r="J28" s="128">
        <f t="shared" si="0"/>
        <v>2.4385469076068107E-2</v>
      </c>
      <c r="K28" s="56"/>
    </row>
    <row r="29" spans="1:11" x14ac:dyDescent="0.25">
      <c r="A29" s="26" t="s">
        <v>511</v>
      </c>
      <c r="B29" s="229" t="s">
        <v>26</v>
      </c>
      <c r="C29" s="231"/>
      <c r="D29" s="125"/>
      <c r="E29" s="124">
        <v>2020</v>
      </c>
      <c r="F29" s="233">
        <f>+IF(E29=2020, VLOOKUP(B29, 'INPUT SoEF'!$B$4:$G$41, 2, FALSE), IF(E29=2015, VLOOKUP(B29, 'INPUT SoEF'!$B$4:$G$41, 3, FALSE), IF(E29=2010, VLOOKUP(B29, 'INPUT SoEF'!$B$4:$G$41, 4, FALSE), IF(E29=2005, VLOOKUP(B29, 'INPUT SoEF'!$B$4:$G$41, 5, FALSE),VLOOKUP(B29, 'INPUT SoEF'!$B$4:$G$41, 6, FALSE)))))</f>
        <v>826780</v>
      </c>
      <c r="G29" s="237">
        <f>+IF(E29=2015,VLOOKUP(B29,'INPUT SoEF'!$B$4:$K$41,7,FALSE), IF(E29=2010, VLOOKUP(B29, 'INPUT SoEF'!$B$4:$K$41, 8, FALSE), IF(E29=2005, VLOOKUP(B29, 'INPUT SoEF'!$B$4:$K$41, 9, FALSE), VLOOKUP(B29, 'INPUT SoEF'!$B$4:$K$41, 10, FALSE))))</f>
        <v>10028.5</v>
      </c>
      <c r="H29" s="125"/>
      <c r="I29" s="127">
        <f>+IF(OR(H29 = 0, ABS(H29) &lt; 0.02), VLOOKUP(B29, 'INPUT SoEF'!$B$4:$G$41, 2, FALSE), D29 + G29 * (2020-C29))</f>
        <v>826780</v>
      </c>
      <c r="J29" s="128">
        <f t="shared" si="0"/>
        <v>0</v>
      </c>
      <c r="K29" s="56"/>
    </row>
    <row r="30" spans="1:11" x14ac:dyDescent="0.25">
      <c r="A30" s="26" t="s">
        <v>516</v>
      </c>
      <c r="B30" s="229" t="s">
        <v>27</v>
      </c>
      <c r="C30" s="231"/>
      <c r="D30" s="125"/>
      <c r="E30" s="124">
        <v>2020</v>
      </c>
      <c r="F30" s="233">
        <f>+IF(E30=2020, VLOOKUP(B30, 'INPUT SoEF'!$B$4:$G$41, 2, FALSE), IF(E30=2015, VLOOKUP(B30, 'INPUT SoEF'!$B$4:$G$41, 3, FALSE), IF(E30=2010, VLOOKUP(B30, 'INPUT SoEF'!$B$4:$G$41, 4, FALSE), IF(E30=2005, VLOOKUP(B30, 'INPUT SoEF'!$B$4:$G$41, 5, FALSE),VLOOKUP(B30, 'INPUT SoEF'!$B$4:$G$41, 6, FALSE)))))</f>
        <v>1001490</v>
      </c>
      <c r="G30" s="237">
        <f>+IF(E30=2015,VLOOKUP(B30,'INPUT SoEF'!$B$4:$K$41,7,FALSE), IF(E30=2010, VLOOKUP(B30, 'INPUT SoEF'!$B$4:$K$41, 8, FALSE), IF(E30=2005, VLOOKUP(B30, 'INPUT SoEF'!$B$4:$K$41, 9, FALSE), VLOOKUP(B30, 'INPUT SoEF'!$B$4:$K$41, 10, FALSE))))</f>
        <v>2197</v>
      </c>
      <c r="H30" s="125"/>
      <c r="I30" s="127">
        <f>+IF(OR(H30 = 0, ABS(H30) &lt; 0.02), VLOOKUP(B30, 'INPUT SoEF'!$B$4:$G$41, 2, FALSE), D30 + G30 * (2020-C30))</f>
        <v>1001490</v>
      </c>
      <c r="J30" s="128">
        <f t="shared" si="0"/>
        <v>0</v>
      </c>
      <c r="K30" s="56"/>
    </row>
    <row r="31" spans="1:11" x14ac:dyDescent="0.25">
      <c r="A31" s="26" t="s">
        <v>510</v>
      </c>
      <c r="B31" s="229" t="s">
        <v>28</v>
      </c>
      <c r="C31" s="231"/>
      <c r="D31" s="125"/>
      <c r="E31" s="124">
        <v>2020</v>
      </c>
      <c r="F31" s="233">
        <f>+IF(E31=2020, VLOOKUP(B31, 'INPUT SoEF'!$B$4:$G$41, 2, FALSE), IF(E31=2015, VLOOKUP(B31, 'INPUT SoEF'!$B$4:$G$41, 3, FALSE), IF(E31=2010, VLOOKUP(B31, 'INPUT SoEF'!$B$4:$G$41, 4, FALSE), IF(E31=2005, VLOOKUP(B31, 'INPUT SoEF'!$B$4:$G$41, 5, FALSE),VLOOKUP(B31, 'INPUT SoEF'!$B$4:$G$41, 6, FALSE)))))</f>
        <v>350</v>
      </c>
      <c r="G31" s="237">
        <f>+IF(E31=2015,VLOOKUP(B31,'INPUT SoEF'!$B$4:$K$41,7,FALSE), IF(E31=2010, VLOOKUP(B31, 'INPUT SoEF'!$B$4:$K$41, 8, FALSE), IF(E31=2005, VLOOKUP(B31, 'INPUT SoEF'!$B$4:$K$41, 9, FALSE), VLOOKUP(B31, 'INPUT SoEF'!$B$4:$K$41, 10, FALSE))))</f>
        <v>0</v>
      </c>
      <c r="H31" s="125"/>
      <c r="I31" s="127">
        <f>+IF(OR(H31 = 0, ABS(H31) &lt; 0.02), VLOOKUP(B31, 'INPUT SoEF'!$B$4:$G$41, 2, FALSE), D31 + G31 * (2020-C31))</f>
        <v>350</v>
      </c>
      <c r="J31" s="128">
        <f t="shared" si="0"/>
        <v>0</v>
      </c>
      <c r="K31" s="56"/>
    </row>
    <row r="32" spans="1:11" x14ac:dyDescent="0.25">
      <c r="A32" s="26" t="s">
        <v>152</v>
      </c>
      <c r="B32" s="229" t="s">
        <v>29</v>
      </c>
      <c r="C32" s="231">
        <f>+VLOOKUP($B32, 'INPUT NFI'!$N$3:$R$28, 2, FALSE)</f>
        <v>2012</v>
      </c>
      <c r="D32" s="125">
        <f>+VLOOKUP($B32, 'INPUT NFI'!$N$3:$R$28, 5, FALSE)</f>
        <v>373481</v>
      </c>
      <c r="E32" s="124">
        <v>2010</v>
      </c>
      <c r="F32" s="233">
        <f>+IF(E32=2020, VLOOKUP(B32, 'INPUT SoEF'!$B$4:$G$41, 2, FALSE), IF(E32=2015, VLOOKUP(B32, 'INPUT SoEF'!$B$4:$G$41, 3, FALSE), IF(E32=2010, VLOOKUP(B32, 'INPUT SoEF'!$B$4:$G$41, 4, FALSE), IF(E32=2005, VLOOKUP(B32, 'INPUT SoEF'!$B$4:$G$41, 5, FALSE),VLOOKUP(B32, 'INPUT SoEF'!$B$4:$G$41, 6, FALSE)))))</f>
        <v>373480</v>
      </c>
      <c r="G32" s="237">
        <f>+IF(E32=2015,VLOOKUP(B32,'INPUT SoEF'!$B$4:$K$41,7,FALSE), IF(E32=2010, VLOOKUP(B32, 'INPUT SoEF'!$B$4:$K$41, 8, FALSE), IF(E32=2005, VLOOKUP(B32, 'INPUT SoEF'!$B$4:$K$41, 9, FALSE), VLOOKUP(B32, 'INPUT SoEF'!$B$4:$K$41, 10, FALSE))))</f>
        <v>-398</v>
      </c>
      <c r="H32" s="126">
        <f t="shared" ref="H32:H40" si="5">D32/F32 - 1</f>
        <v>2.6775195458572654E-6</v>
      </c>
      <c r="I32" s="127">
        <f>+IF(OR(H32 = 0, ABS(H32) &lt; 0.02), VLOOKUP(B32, 'INPUT SoEF'!$B$4:$G$41, 2, FALSE), D32 + G32 * (2020-C32))</f>
        <v>369500</v>
      </c>
      <c r="J32" s="128">
        <f t="shared" si="0"/>
        <v>-1.0659176772044629E-2</v>
      </c>
      <c r="K32" s="56"/>
    </row>
    <row r="33" spans="1:12" x14ac:dyDescent="0.25">
      <c r="A33" s="26" t="s">
        <v>165</v>
      </c>
      <c r="B33" s="229" t="s">
        <v>30</v>
      </c>
      <c r="C33" s="231">
        <f>+VLOOKUP($B33, 'INPUT NFI'!$N$3:$R$28, 2, FALSE)</f>
        <v>2010</v>
      </c>
      <c r="D33" s="125">
        <f>+VLOOKUP($B33, 'INPUT NFI'!$N$3:$R$28, 5, FALSE)</f>
        <v>12151722.985599998</v>
      </c>
      <c r="E33" s="124">
        <v>2010</v>
      </c>
      <c r="F33" s="233">
        <f>+IF(E33=2020, VLOOKUP(B33, 'INPUT SoEF'!$B$4:$G$41, 2, FALSE), IF(E33=2015, VLOOKUP(B33, 'INPUT SoEF'!$B$4:$G$41, 3, FALSE), IF(E33=2010, VLOOKUP(B33, 'INPUT SoEF'!$B$4:$G$41, 4, FALSE), IF(E33=2005, VLOOKUP(B33, 'INPUT SoEF'!$B$4:$G$41, 5, FALSE),VLOOKUP(B33, 'INPUT SoEF'!$B$4:$G$41, 6, FALSE)))))</f>
        <v>12102000</v>
      </c>
      <c r="G33" s="237">
        <f>+IF(E33=2015,VLOOKUP(B33,'INPUT SoEF'!$B$4:$K$41,7,FALSE), IF(E33=2010, VLOOKUP(B33, 'INPUT SoEF'!$B$4:$K$41, 8, FALSE), IF(E33=2005, VLOOKUP(B33, 'INPUT SoEF'!$B$4:$K$41, 9, FALSE), VLOOKUP(B33, 'INPUT SoEF'!$B$4:$K$41, 10, FALSE))))</f>
        <v>7800</v>
      </c>
      <c r="H33" s="126">
        <f t="shared" si="5"/>
        <v>4.1086585357790195E-3</v>
      </c>
      <c r="I33" s="127">
        <f>+IF(OR(H33 = 0, ABS(H33) &lt; 0.02), VLOOKUP(B33, 'INPUT SoEF'!$B$4:$G$41, 2, FALSE), D33 + G33 * (2020-C33))</f>
        <v>12180000</v>
      </c>
      <c r="J33" s="128">
        <f t="shared" si="0"/>
        <v>2.3269962978509605E-3</v>
      </c>
      <c r="K33" s="56"/>
    </row>
    <row r="34" spans="1:12" x14ac:dyDescent="0.25">
      <c r="A34" s="26" t="s">
        <v>249</v>
      </c>
      <c r="B34" s="229" t="s">
        <v>31</v>
      </c>
      <c r="C34" s="231">
        <f>+VLOOKUP($B34, 'INPUT NFI'!$N$3:$R$28, 2, FALSE)</f>
        <v>2012</v>
      </c>
      <c r="D34" s="125">
        <f>+VLOOKUP($B34, 'INPUT NFI'!$N$3:$R$28, 5, FALSE)</f>
        <v>9177193</v>
      </c>
      <c r="E34" s="124">
        <v>2010</v>
      </c>
      <c r="F34" s="233">
        <f>+IF(E34=2020, VLOOKUP(B34, 'INPUT SoEF'!$B$4:$G$41, 2, FALSE), IF(E34=2015, VLOOKUP(B34, 'INPUT SoEF'!$B$4:$G$41, 3, FALSE), IF(E34=2010, VLOOKUP(B34, 'INPUT SoEF'!$B$4:$G$41, 4, FALSE), IF(E34=2005, VLOOKUP(B34, 'INPUT SoEF'!$B$4:$G$41, 5, FALSE),VLOOKUP(B34, 'INPUT SoEF'!$B$4:$G$41, 6, FALSE)))))</f>
        <v>9329000</v>
      </c>
      <c r="G34" s="237">
        <f>+IF(E34=2015,VLOOKUP(B34,'INPUT SoEF'!$B$4:$K$41,7,FALSE), IF(E34=2010, VLOOKUP(B34, 'INPUT SoEF'!$B$4:$K$41, 8, FALSE), IF(E34=2005, VLOOKUP(B34, 'INPUT SoEF'!$B$4:$K$41, 9, FALSE), VLOOKUP(B34, 'INPUT SoEF'!$B$4:$K$41, 10, FALSE))))</f>
        <v>15400</v>
      </c>
      <c r="H34" s="126">
        <f t="shared" si="5"/>
        <v>-1.6272590845749835E-2</v>
      </c>
      <c r="I34" s="127">
        <f>+IF(OR(H34 = 0, ABS(H34) &lt; 0.02), VLOOKUP(B34, 'INPUT SoEF'!$B$4:$G$41, 2, FALSE), D34 + G34 * (2020-C34))</f>
        <v>9483000</v>
      </c>
      <c r="J34" s="128">
        <f t="shared" si="0"/>
        <v>3.332249850253776E-2</v>
      </c>
      <c r="K34" s="56"/>
    </row>
    <row r="35" spans="1:12" x14ac:dyDescent="0.25">
      <c r="A35" s="26" t="s">
        <v>199</v>
      </c>
      <c r="B35" s="229" t="s">
        <v>32</v>
      </c>
      <c r="C35" s="231">
        <f>+VLOOKUP($B35, 'INPUT NFI'!$N$3:$R$28, 2, FALSE)</f>
        <v>2015</v>
      </c>
      <c r="D35" s="125">
        <f>+VLOOKUP($B35, 'INPUT NFI'!$N$3:$R$28, 5, FALSE)</f>
        <v>3224100</v>
      </c>
      <c r="E35" s="124">
        <v>2015</v>
      </c>
      <c r="F35" s="233">
        <f>+IF(E35=2020, VLOOKUP(B35, 'INPUT SoEF'!$B$4:$G$41, 2, FALSE), IF(E35=2015, VLOOKUP(B35, 'INPUT SoEF'!$B$4:$G$41, 3, FALSE), IF(E35=2010, VLOOKUP(B35, 'INPUT SoEF'!$B$4:$G$41, 4, FALSE), IF(E35=2005, VLOOKUP(B35, 'INPUT SoEF'!$B$4:$G$41, 5, FALSE),VLOOKUP(B35, 'INPUT SoEF'!$B$4:$G$41, 6, FALSE))))) - 32300 - 48500</f>
        <v>3230950</v>
      </c>
      <c r="G35" s="237">
        <f>+IF(E35=2015,VLOOKUP(B35,'INPUT SoEF'!$B$4:$K$41,7,FALSE), IF(E35=2010, VLOOKUP(B35, 'INPUT SoEF'!$B$4:$K$41, 8, FALSE), IF(E35=2005, VLOOKUP(B35, 'INPUT SoEF'!$B$4:$K$41, 9, FALSE), VLOOKUP(B35, 'INPUT SoEF'!$B$4:$K$41, 10, FALSE))))</f>
        <v>0</v>
      </c>
      <c r="H35" s="325">
        <f t="shared" si="5"/>
        <v>-2.1201194695058545E-3</v>
      </c>
      <c r="I35" s="127">
        <f>+IF(OR(H35 = 0, ABS(H35) &lt; 0.02), VLOOKUP(B35, 'INPUT SoEF'!$B$4:$G$41, 2, FALSE), D35 + G35 * (2020-C35)) - 32300 - 48500</f>
        <v>3230950</v>
      </c>
      <c r="J35" s="128">
        <f t="shared" si="0"/>
        <v>2.1246239260568839E-3</v>
      </c>
      <c r="K35" s="56"/>
    </row>
    <row r="36" spans="1:12" x14ac:dyDescent="0.25">
      <c r="A36" s="26" t="s">
        <v>205</v>
      </c>
      <c r="B36" s="229" t="s">
        <v>33</v>
      </c>
      <c r="C36" s="231">
        <f>+VLOOKUP($B36, 'INPUT NFI'!$N$3:$R$28, 2, FALSE)</f>
        <v>2011</v>
      </c>
      <c r="D36" s="125">
        <f>+VLOOKUP($B36, 'INPUT NFI'!$N$3:$R$28, 5, FALSE)</f>
        <v>6507728.718318521</v>
      </c>
      <c r="E36" s="124">
        <v>2010</v>
      </c>
      <c r="F36" s="233">
        <f>+IF(E36=2020, VLOOKUP(B36, 'INPUT SoEF'!$B$4:$G$41, 2, FALSE), IF(E36=2015, VLOOKUP(B36, 'INPUT SoEF'!$B$4:$G$41, 3, FALSE), IF(E36=2010, VLOOKUP(B36, 'INPUT SoEF'!$B$4:$G$41, 4, FALSE), IF(E36=2005, VLOOKUP(B36, 'INPUT SoEF'!$B$4:$G$41, 5, FALSE),VLOOKUP(B36, 'INPUT SoEF'!$B$4:$G$41, 6, FALSE)))))</f>
        <v>6515000</v>
      </c>
      <c r="G36" s="237">
        <f>+IF(E36=2015,VLOOKUP(B36,'INPUT SoEF'!$B$4:$K$41,7,FALSE), IF(E36=2010, VLOOKUP(B36, 'INPUT SoEF'!$B$4:$K$41, 8, FALSE), IF(E36=2005, VLOOKUP(B36, 'INPUT SoEF'!$B$4:$K$41, 9, FALSE), VLOOKUP(B36, 'INPUT SoEF'!$B$4:$K$41, 10, FALSE))))</f>
        <v>41405</v>
      </c>
      <c r="H36" s="126">
        <f t="shared" si="5"/>
        <v>-1.1160831437420082E-3</v>
      </c>
      <c r="I36" s="127">
        <f>+IF(OR(H36 = 0, ABS(H36) &lt; 0.02), VLOOKUP(B36, 'INPUT SoEF'!$B$4:$G$41, 2, FALSE), D36 + G36 * (2020-C36))</f>
        <v>6929050</v>
      </c>
      <c r="J36" s="128">
        <f t="shared" si="0"/>
        <v>6.4741678689756554E-2</v>
      </c>
      <c r="K36" s="56"/>
    </row>
    <row r="37" spans="1:12" x14ac:dyDescent="0.25">
      <c r="A37" s="26" t="s">
        <v>327</v>
      </c>
      <c r="B37" s="229" t="s">
        <v>37</v>
      </c>
      <c r="C37" s="231">
        <f>+VLOOKUP($B37, 'INPUT NFI'!$N$3:$R$28, 2, FALSE)</f>
        <v>2005</v>
      </c>
      <c r="D37" s="125">
        <f>+VLOOKUP($B37, 'INPUT NFI'!$N$3:$R$28, 5, FALSE)</f>
        <v>2637756.8998089889</v>
      </c>
      <c r="E37" s="124">
        <v>2005</v>
      </c>
      <c r="F37" s="233">
        <f>+IF(E37=2020, VLOOKUP(B37, 'INPUT SoEF'!$B$4:$G$41, 2, FALSE), IF(E37=2015, VLOOKUP(B37, 'INPUT SoEF'!$B$4:$G$41, 3, FALSE), IF(E37=2010, VLOOKUP(B37, 'INPUT SoEF'!$B$4:$G$41, 4, FALSE), IF(E37=2005, VLOOKUP(B37, 'INPUT SoEF'!$B$4:$G$41, 5, FALSE),VLOOKUP(B37, 'INPUT SoEF'!$B$4:$G$41, 6, FALSE)))))</f>
        <v>2476000</v>
      </c>
      <c r="G37" s="237">
        <f>+IF(E37=2015,VLOOKUP(B37,'INPUT SoEF'!$B$4:$K$41,7,FALSE), IF(E37=2010, VLOOKUP(B37, 'INPUT SoEF'!$B$4:$K$41, 8, FALSE), IF(E37=2005, VLOOKUP(B37, 'INPUT SoEF'!$B$4:$K$41, 9, FALSE), VLOOKUP(B37, 'INPUT SoEF'!$B$4:$K$41, 10, FALSE))))</f>
        <v>16266.666666666666</v>
      </c>
      <c r="H37" s="130">
        <f t="shared" si="5"/>
        <v>6.5329927224955231E-2</v>
      </c>
      <c r="I37" s="127">
        <f>+IF(OR(H37 = 0, ABS(H37) &lt; 0.02), VLOOKUP(B37, 'INPUT SoEF'!$B$4:$G$41, 2, FALSE), D37 + G37 * (2020-C37))</f>
        <v>2881756.8998089889</v>
      </c>
      <c r="J37" s="128">
        <f>+IF(D37=0, (I37-F37) / F37, (I37-D37) / D37)</f>
        <v>9.2502838308438917E-2</v>
      </c>
      <c r="K37" s="56"/>
    </row>
    <row r="38" spans="1:12" x14ac:dyDescent="0.25">
      <c r="A38" s="26" t="s">
        <v>210</v>
      </c>
      <c r="B38" s="229" t="s">
        <v>34</v>
      </c>
      <c r="C38" s="231">
        <f>+VLOOKUP($B38, 'INPUT NFI'!$N$3:$R$28, 2, FALSE)</f>
        <v>2011</v>
      </c>
      <c r="D38" s="125">
        <f>+VLOOKUP($B38, 'INPUT NFI'!$N$3:$R$28, 5, FALSE)</f>
        <v>28099642</v>
      </c>
      <c r="E38" s="124">
        <v>2010</v>
      </c>
      <c r="F38" s="233">
        <f>+IF(E38=2020, VLOOKUP(B38, 'INPUT SoEF'!$B$4:$G$41, 2, FALSE), IF(E38=2015, VLOOKUP(B38, 'INPUT SoEF'!$B$4:$G$41, 3, FALSE), IF(E38=2010, VLOOKUP(B38, 'INPUT SoEF'!$B$4:$G$41, 4, FALSE), IF(E38=2005, VLOOKUP(B38, 'INPUT SoEF'!$B$4:$G$41, 5, FALSE),VLOOKUP(B38, 'INPUT SoEF'!$B$4:$G$41, 6, FALSE)))))</f>
        <v>28073000</v>
      </c>
      <c r="G38" s="237">
        <f>+IF(E38=2015,VLOOKUP(B38,'INPUT SoEF'!$B$4:$K$41,7,FALSE), IF(E38=2010, VLOOKUP(B38, 'INPUT SoEF'!$B$4:$K$41, 8, FALSE), IF(E38=2005, VLOOKUP(B38, 'INPUT SoEF'!$B$4:$K$41, 9, FALSE), VLOOKUP(B38, 'INPUT SoEF'!$B$4:$K$41, 10, FALSE))))</f>
        <v>-9300</v>
      </c>
      <c r="H38" s="325">
        <f t="shared" si="5"/>
        <v>9.4902575428346125E-4</v>
      </c>
      <c r="I38" s="127">
        <f>+IF(OR(H38 = 0, ABS(H38) &lt; 0.03), VLOOKUP(B38, 'INPUT SoEF'!$B$4:$G$41, 2, FALSE), D38 + G38 * (2020-C38))</f>
        <v>27980000</v>
      </c>
      <c r="J38" s="128">
        <f t="shared" si="0"/>
        <v>-4.2577766649126705E-3</v>
      </c>
      <c r="K38" s="56"/>
    </row>
    <row r="39" spans="1:12" x14ac:dyDescent="0.25">
      <c r="A39" s="26" t="s">
        <v>251</v>
      </c>
      <c r="B39" s="229" t="s">
        <v>35</v>
      </c>
      <c r="C39" s="231">
        <f>+VLOOKUP($B39, 'INPUT NFI'!$N$3:$R$28, 2, FALSE)</f>
        <v>2012</v>
      </c>
      <c r="D39" s="125">
        <f>+VLOOKUP($B39, 'INPUT NFI'!$N$3:$R$28, 5, FALSE)</f>
        <v>1214981.7033653618</v>
      </c>
      <c r="E39" s="124">
        <v>2010</v>
      </c>
      <c r="F39" s="233">
        <f>+IF(E39=2020, VLOOKUP(B39, 'INPUT SoEF'!$B$4:$G$41, 2, FALSE), IF(E39=2015, VLOOKUP(B39, 'INPUT SoEF'!$B$4:$G$41, 3, FALSE), IF(E39=2010, VLOOKUP(B39, 'INPUT SoEF'!$B$4:$G$41, 4, FALSE), IF(E39=2005, VLOOKUP(B39, 'INPUT SoEF'!$B$4:$G$41, 5, FALSE),VLOOKUP(B39, 'INPUT SoEF'!$B$4:$G$41, 6, FALSE)))))</f>
        <v>1247000</v>
      </c>
      <c r="G39" s="237">
        <f>+IF(E39=2015,VLOOKUP(B39,'INPUT SoEF'!$B$4:$K$41,7,FALSE), IF(E39=2010, VLOOKUP(B39, 'INPUT SoEF'!$B$4:$K$41, 8, FALSE), IF(E39=2005, VLOOKUP(B39, 'INPUT SoEF'!$B$4:$K$41, 9, FALSE), VLOOKUP(B39, 'INPUT SoEF'!$B$4:$K$41, 10, FALSE))))</f>
        <v>-917</v>
      </c>
      <c r="H39" s="325">
        <f t="shared" si="5"/>
        <v>-2.5676260332508583E-2</v>
      </c>
      <c r="I39" s="127">
        <f>+IF(OR(H39 = 0, ABS(H39) &lt; 0.028), VLOOKUP(B39, 'INPUT SoEF'!$B$4:$G$41, 2, FALSE), D39 + G39 * (2020-C39))</f>
        <v>1237830</v>
      </c>
      <c r="J39" s="128">
        <f t="shared" si="0"/>
        <v>1.8805465606067169E-2</v>
      </c>
      <c r="K39" s="56"/>
    </row>
    <row r="40" spans="1:12" x14ac:dyDescent="0.25">
      <c r="A40" s="28" t="s">
        <v>250</v>
      </c>
      <c r="B40" s="230" t="s">
        <v>36</v>
      </c>
      <c r="C40" s="232">
        <f>+VLOOKUP($B40, 'INPUT NFI'!$N$3:$R$28, 2, FALSE)</f>
        <v>2006</v>
      </c>
      <c r="D40" s="132">
        <f>+VLOOKUP($B40, 'INPUT NFI'!$N$3:$R$28, 5, FALSE)</f>
        <v>2173979.5332456068</v>
      </c>
      <c r="E40" s="131">
        <v>2005</v>
      </c>
      <c r="F40" s="234">
        <f>+IF(E40=2020, VLOOKUP(B40, 'INPUT SoEF'!$B$4:$G$41, 2, FALSE), IF(E40=2015, VLOOKUP(B40, 'INPUT SoEF'!$B$4:$G$41, 3, FALSE), IF(E40=2010, VLOOKUP(B40, 'INPUT SoEF'!$B$4:$G$41, 4, FALSE), IF(E40=2005, VLOOKUP(B40, 'INPUT SoEF'!$B$4:$G$41, 5, FALSE),VLOOKUP(B40, 'INPUT SoEF'!$B$4:$G$41, 6, FALSE)))))</f>
        <v>1911560</v>
      </c>
      <c r="G40" s="238">
        <f>+IF(E40=2015,VLOOKUP(B40,'INPUT SoEF'!$B$4:$K$41,7,FALSE), IF(E40=2010, VLOOKUP(B40, 'INPUT SoEF'!$B$4:$K$41, 8, FALSE), IF(E40=2005, VLOOKUP(B40, 'INPUT SoEF'!$B$4:$K$41, 9, FALSE), VLOOKUP(B40, 'INPUT SoEF'!$B$4:$K$41, 10, FALSE))))</f>
        <v>956</v>
      </c>
      <c r="H40" s="133">
        <f t="shared" si="5"/>
        <v>0.13728030155768423</v>
      </c>
      <c r="I40" s="134">
        <f>+IF(OR(H40 = 0, ABS(H40) &lt; 0.02), VLOOKUP(B40, 'INPUT SoEF'!$B$4:$G$41, 2, FALSE), D40 + G40 * (2020-C40))</f>
        <v>2187363.5332456068</v>
      </c>
      <c r="J40" s="135">
        <f t="shared" si="0"/>
        <v>6.156451703120948E-3</v>
      </c>
      <c r="K40" s="56"/>
    </row>
    <row r="41" spans="1:12" x14ac:dyDescent="0.25">
      <c r="B41" s="317"/>
      <c r="C41" s="318"/>
      <c r="D41" s="125"/>
      <c r="E41" s="20"/>
      <c r="F41" s="233"/>
      <c r="G41" s="233"/>
      <c r="H41" s="320">
        <f>+I9+I11+I12+I20+I21+I23+I37+I40</f>
        <v>24355017.148573231</v>
      </c>
      <c r="I41" s="233">
        <f>SUM(I3:I40)</f>
        <v>183685737.14857325</v>
      </c>
      <c r="J41" s="319"/>
      <c r="K41" s="56"/>
      <c r="L41" s="348"/>
    </row>
    <row r="42" spans="1:12" x14ac:dyDescent="0.25">
      <c r="D42" s="6"/>
      <c r="E42" s="6"/>
      <c r="F42" s="6"/>
      <c r="G42" s="6"/>
      <c r="H42" s="5">
        <f>+H41/I41</f>
        <v>0.13259068192580353</v>
      </c>
      <c r="I42" s="3"/>
      <c r="L42" s="348"/>
    </row>
    <row r="43" spans="1:12" ht="15" customHeight="1" x14ac:dyDescent="0.25">
      <c r="B43" s="363" t="s">
        <v>646</v>
      </c>
      <c r="C43" s="364"/>
      <c r="D43" s="364"/>
      <c r="E43" s="364"/>
      <c r="F43" s="364"/>
      <c r="G43" s="364"/>
      <c r="H43" s="364"/>
      <c r="I43" s="364"/>
      <c r="J43" s="365"/>
      <c r="L43" s="348"/>
    </row>
    <row r="44" spans="1:12" x14ac:dyDescent="0.25">
      <c r="B44" s="366"/>
      <c r="C44" s="367"/>
      <c r="D44" s="367"/>
      <c r="E44" s="367"/>
      <c r="F44" s="367"/>
      <c r="G44" s="367"/>
      <c r="H44" s="367"/>
      <c r="I44" s="367"/>
      <c r="J44" s="368"/>
    </row>
    <row r="45" spans="1:12" x14ac:dyDescent="0.25">
      <c r="B45" s="366"/>
      <c r="C45" s="367"/>
      <c r="D45" s="367"/>
      <c r="E45" s="367"/>
      <c r="F45" s="367"/>
      <c r="G45" s="367"/>
      <c r="H45" s="367"/>
      <c r="I45" s="367"/>
      <c r="J45" s="368"/>
    </row>
    <row r="46" spans="1:12" x14ac:dyDescent="0.25">
      <c r="B46" s="369"/>
      <c r="C46" s="370"/>
      <c r="D46" s="370"/>
      <c r="E46" s="370"/>
      <c r="F46" s="370"/>
      <c r="G46" s="370"/>
      <c r="H46" s="370"/>
      <c r="I46" s="370"/>
      <c r="J46" s="371"/>
    </row>
    <row r="47" spans="1:12" x14ac:dyDescent="0.25">
      <c r="B47" s="228"/>
      <c r="C47" s="228"/>
      <c r="D47" s="228"/>
      <c r="E47" s="228"/>
      <c r="F47" s="228"/>
      <c r="H47" s="228"/>
      <c r="J47" s="3"/>
    </row>
    <row r="48" spans="1:12" x14ac:dyDescent="0.25">
      <c r="F48" s="8"/>
      <c r="I48" s="8"/>
      <c r="J48" s="3"/>
    </row>
    <row r="49" spans="6:9" x14ac:dyDescent="0.25">
      <c r="F49" s="8"/>
      <c r="I49" s="8"/>
    </row>
    <row r="50" spans="6:9" x14ac:dyDescent="0.25">
      <c r="F50" s="5"/>
      <c r="I50" s="5"/>
    </row>
  </sheetData>
  <mergeCells count="4">
    <mergeCell ref="B43:J46"/>
    <mergeCell ref="C1:D1"/>
    <mergeCell ref="A1:B1"/>
    <mergeCell ref="E1:G1"/>
  </mergeCells>
  <pageMargins left="0.7" right="0.7" top="0.75" bottom="0.75" header="0.3" footer="0.3"/>
  <pageSetup orientation="portrait" horizontalDpi="0" verticalDpi="0" r:id="rId1"/>
  <ignoredErrors>
    <ignoredError sqref="F35 I35 I39" formula="1"/>
  </ignoredError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0AE7E-2E02-487D-A105-AF5512E0DE42}">
  <sheetPr>
    <tabColor rgb="FF92D050"/>
  </sheetPr>
  <dimension ref="A1:V46"/>
  <sheetViews>
    <sheetView workbookViewId="0">
      <selection activeCell="A2" sqref="A2:B2"/>
    </sheetView>
  </sheetViews>
  <sheetFormatPr defaultRowHeight="15" x14ac:dyDescent="0.25"/>
  <cols>
    <col min="1" max="1" width="18.7109375" customWidth="1"/>
    <col min="2" max="2" width="9.42578125" customWidth="1"/>
    <col min="3" max="7" width="13.28515625" bestFit="1" customWidth="1"/>
    <col min="8" max="11" width="11.7109375" customWidth="1"/>
    <col min="12" max="18" width="12.28515625" customWidth="1"/>
    <col min="19" max="20" width="13.7109375" customWidth="1"/>
    <col min="21" max="22" width="16.85546875" bestFit="1" customWidth="1"/>
  </cols>
  <sheetData>
    <row r="1" spans="1:22" x14ac:dyDescent="0.25">
      <c r="C1" s="353" t="s">
        <v>439</v>
      </c>
      <c r="D1" s="354"/>
      <c r="E1" s="354"/>
      <c r="F1" s="354"/>
      <c r="G1" s="354"/>
      <c r="H1" s="354"/>
      <c r="I1" s="354"/>
      <c r="J1" s="354"/>
      <c r="K1" s="354"/>
      <c r="L1" s="354"/>
      <c r="M1" s="354"/>
      <c r="N1" s="354"/>
      <c r="O1" s="354"/>
      <c r="P1" s="354"/>
      <c r="Q1" s="354"/>
      <c r="R1" s="354"/>
      <c r="S1" s="354"/>
      <c r="T1" s="355"/>
    </row>
    <row r="2" spans="1:22" ht="15" customHeight="1" x14ac:dyDescent="0.25">
      <c r="A2" s="356" t="s">
        <v>243</v>
      </c>
      <c r="B2" s="358"/>
      <c r="C2" s="357" t="s">
        <v>501</v>
      </c>
      <c r="D2" s="357"/>
      <c r="E2" s="357"/>
      <c r="F2" s="357"/>
      <c r="G2" s="357"/>
      <c r="H2" s="356" t="s">
        <v>517</v>
      </c>
      <c r="I2" s="357"/>
      <c r="J2" s="357"/>
      <c r="K2" s="358"/>
      <c r="L2" s="71" t="s">
        <v>460</v>
      </c>
      <c r="M2" s="356" t="s">
        <v>538</v>
      </c>
      <c r="N2" s="358"/>
      <c r="O2" s="372" t="s">
        <v>528</v>
      </c>
      <c r="P2" s="372"/>
      <c r="Q2" s="356" t="s">
        <v>525</v>
      </c>
      <c r="R2" s="357"/>
      <c r="S2" s="357"/>
      <c r="T2" s="358"/>
    </row>
    <row r="3" spans="1:22" x14ac:dyDescent="0.25">
      <c r="A3" s="120" t="s">
        <v>518</v>
      </c>
      <c r="B3" s="87" t="s">
        <v>244</v>
      </c>
      <c r="C3" s="86">
        <v>2020</v>
      </c>
      <c r="D3" s="86">
        <v>2015</v>
      </c>
      <c r="E3" s="86">
        <v>2010</v>
      </c>
      <c r="F3" s="86">
        <v>2005</v>
      </c>
      <c r="G3" s="86">
        <v>2000</v>
      </c>
      <c r="H3" s="120" t="s">
        <v>440</v>
      </c>
      <c r="I3" s="86" t="s">
        <v>441</v>
      </c>
      <c r="J3" s="86" t="s">
        <v>442</v>
      </c>
      <c r="K3" s="87" t="s">
        <v>443</v>
      </c>
      <c r="L3" s="120">
        <v>2020</v>
      </c>
      <c r="M3" s="120" t="s">
        <v>481</v>
      </c>
      <c r="N3" s="87" t="s">
        <v>588</v>
      </c>
      <c r="O3" s="140" t="s">
        <v>532</v>
      </c>
      <c r="P3" s="141" t="s">
        <v>533</v>
      </c>
      <c r="Q3" s="75" t="s">
        <v>481</v>
      </c>
      <c r="R3" s="9" t="s">
        <v>490</v>
      </c>
      <c r="S3" s="9" t="s">
        <v>539</v>
      </c>
      <c r="T3" s="147" t="s">
        <v>540</v>
      </c>
    </row>
    <row r="4" spans="1:22" x14ac:dyDescent="0.25">
      <c r="A4" s="26" t="s">
        <v>506</v>
      </c>
      <c r="B4" s="27" t="s">
        <v>0</v>
      </c>
      <c r="C4">
        <v>16000</v>
      </c>
      <c r="D4">
        <v>16000</v>
      </c>
      <c r="E4">
        <v>16000</v>
      </c>
      <c r="F4">
        <v>16000</v>
      </c>
      <c r="G4" s="27">
        <v>16000</v>
      </c>
      <c r="H4" s="116">
        <f t="shared" ref="H4:H5" si="0">+(C4-D4) / 5</f>
        <v>0</v>
      </c>
      <c r="I4" s="2">
        <f t="shared" ref="I4:I5" si="1">+(C4-E4) / 10</f>
        <v>0</v>
      </c>
      <c r="J4" s="2">
        <f t="shared" ref="J4:J5" si="2">+(C4-F4) / 15</f>
        <v>0</v>
      </c>
      <c r="K4" s="117">
        <f t="shared" ref="K4:K5" si="3">+(C4-G4) / 20</f>
        <v>0</v>
      </c>
      <c r="L4" s="138" t="e">
        <v>#N/A</v>
      </c>
      <c r="M4" s="145">
        <v>2020</v>
      </c>
      <c r="N4" s="160" t="e">
        <v>#N/A</v>
      </c>
      <c r="O4" s="145" t="e">
        <v>#N/A</v>
      </c>
      <c r="P4" s="162">
        <v>0.5</v>
      </c>
      <c r="Q4" s="145">
        <v>2020</v>
      </c>
      <c r="R4" s="158" t="e">
        <v>#N/A</v>
      </c>
      <c r="S4" s="158" t="e">
        <v>#N/A</v>
      </c>
      <c r="T4" s="161" t="e">
        <f t="shared" ref="T4:T41" si="4">+S4/R4</f>
        <v>#N/A</v>
      </c>
      <c r="U4" s="2"/>
    </row>
    <row r="5" spans="1:22" x14ac:dyDescent="0.25">
      <c r="A5" s="26" t="s">
        <v>513</v>
      </c>
      <c r="B5" s="27" t="s">
        <v>1</v>
      </c>
      <c r="C5">
        <v>785000</v>
      </c>
      <c r="D5">
        <v>785000</v>
      </c>
      <c r="E5">
        <v>776000</v>
      </c>
      <c r="F5">
        <v>782600</v>
      </c>
      <c r="G5" s="27">
        <v>769600</v>
      </c>
      <c r="H5" s="116">
        <f t="shared" si="0"/>
        <v>0</v>
      </c>
      <c r="I5" s="2">
        <f t="shared" si="1"/>
        <v>900</v>
      </c>
      <c r="J5" s="2">
        <f t="shared" si="2"/>
        <v>160</v>
      </c>
      <c r="K5" s="117">
        <f t="shared" si="3"/>
        <v>770</v>
      </c>
      <c r="L5" s="138">
        <v>565000</v>
      </c>
      <c r="M5" s="143">
        <v>2015</v>
      </c>
      <c r="N5" s="27">
        <v>37000000</v>
      </c>
      <c r="O5" s="143" t="e">
        <v>#N/A</v>
      </c>
      <c r="P5" s="20">
        <v>0.5</v>
      </c>
      <c r="Q5" s="143">
        <v>2015</v>
      </c>
      <c r="R5">
        <v>52000000</v>
      </c>
      <c r="S5">
        <v>50000000</v>
      </c>
      <c r="T5" s="148">
        <f t="shared" si="4"/>
        <v>0.96153846153846156</v>
      </c>
      <c r="U5" s="2"/>
    </row>
    <row r="6" spans="1:22" x14ac:dyDescent="0.25">
      <c r="A6" s="26" t="s">
        <v>39</v>
      </c>
      <c r="B6" s="27" t="s">
        <v>2</v>
      </c>
      <c r="C6">
        <v>3899000</v>
      </c>
      <c r="D6">
        <v>3881000</v>
      </c>
      <c r="E6">
        <v>3863000</v>
      </c>
      <c r="F6">
        <v>3851000</v>
      </c>
      <c r="G6" s="27">
        <v>3838000</v>
      </c>
      <c r="H6" s="116">
        <f>+(C6-D6) / 5</f>
        <v>3600</v>
      </c>
      <c r="I6" s="2">
        <f>+(C6-E6) / 10</f>
        <v>3600</v>
      </c>
      <c r="J6" s="2">
        <f>+(C6-F6) / 15</f>
        <v>3200</v>
      </c>
      <c r="K6" s="117">
        <f>+(C6-G6) / 20</f>
        <v>3050</v>
      </c>
      <c r="L6" s="138">
        <v>3305000</v>
      </c>
      <c r="M6" s="143">
        <v>2020</v>
      </c>
      <c r="N6" s="27">
        <v>321180000</v>
      </c>
      <c r="O6" s="124" t="s">
        <v>530</v>
      </c>
      <c r="P6" s="20">
        <v>0.5</v>
      </c>
      <c r="Q6" s="143">
        <v>2020</v>
      </c>
      <c r="R6">
        <v>1166000000</v>
      </c>
      <c r="S6">
        <v>1141000000</v>
      </c>
      <c r="T6" s="148">
        <f t="shared" si="4"/>
        <v>0.97855917667238423</v>
      </c>
      <c r="U6" s="2"/>
    </row>
    <row r="7" spans="1:22" x14ac:dyDescent="0.25">
      <c r="A7" s="26" t="s">
        <v>514</v>
      </c>
      <c r="B7" s="27" t="s">
        <v>3</v>
      </c>
      <c r="C7">
        <v>2187910</v>
      </c>
      <c r="D7">
        <v>2160500</v>
      </c>
      <c r="E7">
        <v>2102660</v>
      </c>
      <c r="F7">
        <v>2112310</v>
      </c>
      <c r="G7" s="27">
        <v>2111650</v>
      </c>
      <c r="H7" s="116">
        <f t="shared" ref="H7:H41" si="5">+(C7-D7) / 5</f>
        <v>5482</v>
      </c>
      <c r="I7" s="2">
        <f t="shared" ref="I7:I41" si="6">+(C7-E7) / 10</f>
        <v>8525</v>
      </c>
      <c r="J7" s="2">
        <f t="shared" ref="J7:J41" si="7">+(C7-F7) / 15</f>
        <v>5040</v>
      </c>
      <c r="K7" s="117">
        <f t="shared" ref="K7:K41" si="8">+(C7-G7) / 20</f>
        <v>3813</v>
      </c>
      <c r="L7" s="138" t="e">
        <v>#N/A</v>
      </c>
      <c r="M7" s="143">
        <v>2020</v>
      </c>
      <c r="N7" s="27">
        <v>95080000</v>
      </c>
      <c r="O7" s="143" t="e">
        <v>#N/A</v>
      </c>
      <c r="P7" s="20">
        <v>0.5</v>
      </c>
      <c r="Q7" s="143">
        <v>2020</v>
      </c>
      <c r="R7">
        <v>404720000</v>
      </c>
      <c r="S7" s="146" t="e">
        <v>#N/A</v>
      </c>
      <c r="T7" s="148" t="e">
        <f t="shared" si="4"/>
        <v>#N/A</v>
      </c>
      <c r="U7" s="2"/>
      <c r="V7" s="4"/>
    </row>
    <row r="8" spans="1:22" x14ac:dyDescent="0.25">
      <c r="A8" s="26" t="s">
        <v>313</v>
      </c>
      <c r="B8" s="27" t="s">
        <v>4</v>
      </c>
      <c r="C8">
        <v>688810</v>
      </c>
      <c r="D8">
        <v>689340</v>
      </c>
      <c r="E8">
        <v>689870</v>
      </c>
      <c r="F8">
        <v>674200</v>
      </c>
      <c r="G8" s="27">
        <v>667300</v>
      </c>
      <c r="H8" s="116">
        <f t="shared" si="5"/>
        <v>-106</v>
      </c>
      <c r="I8" s="2">
        <f t="shared" si="6"/>
        <v>-106</v>
      </c>
      <c r="J8" s="2">
        <f t="shared" si="7"/>
        <v>974</v>
      </c>
      <c r="K8" s="117">
        <f t="shared" si="8"/>
        <v>1075.5</v>
      </c>
      <c r="L8" s="138">
        <v>664350</v>
      </c>
      <c r="M8" s="143">
        <v>2020</v>
      </c>
      <c r="N8" s="27">
        <v>62020000</v>
      </c>
      <c r="O8" s="159">
        <v>0.5</v>
      </c>
      <c r="P8" s="20">
        <v>0.5</v>
      </c>
      <c r="Q8" s="143">
        <v>2020</v>
      </c>
      <c r="R8">
        <v>180500000</v>
      </c>
      <c r="S8">
        <v>167730000</v>
      </c>
      <c r="T8" s="148">
        <f t="shared" si="4"/>
        <v>0.92925207756232686</v>
      </c>
      <c r="U8" s="2"/>
    </row>
    <row r="9" spans="1:22" x14ac:dyDescent="0.25">
      <c r="A9" s="26" t="s">
        <v>245</v>
      </c>
      <c r="B9" s="27" t="s">
        <v>5</v>
      </c>
      <c r="C9">
        <v>3893000</v>
      </c>
      <c r="D9">
        <v>3833000</v>
      </c>
      <c r="E9">
        <v>3737000</v>
      </c>
      <c r="F9">
        <v>3651000</v>
      </c>
      <c r="G9" s="27">
        <v>3375000</v>
      </c>
      <c r="H9" s="116">
        <f t="shared" si="5"/>
        <v>12000</v>
      </c>
      <c r="I9" s="2">
        <f t="shared" si="6"/>
        <v>15600</v>
      </c>
      <c r="J9" s="2">
        <f t="shared" si="7"/>
        <v>16133.333333333334</v>
      </c>
      <c r="K9" s="117">
        <f t="shared" si="8"/>
        <v>25900</v>
      </c>
      <c r="L9" s="138">
        <v>2039000</v>
      </c>
      <c r="M9" s="143">
        <v>2020</v>
      </c>
      <c r="N9" s="27">
        <v>84830000</v>
      </c>
      <c r="O9" s="143" t="e">
        <v>#N/A</v>
      </c>
      <c r="P9" s="20">
        <v>0.5</v>
      </c>
      <c r="Q9" s="143">
        <v>2015</v>
      </c>
      <c r="R9">
        <v>680000000</v>
      </c>
      <c r="S9">
        <v>424000000</v>
      </c>
      <c r="T9" s="148">
        <f t="shared" si="4"/>
        <v>0.62352941176470589</v>
      </c>
      <c r="U9" s="2"/>
    </row>
    <row r="10" spans="1:22" x14ac:dyDescent="0.25">
      <c r="A10" s="26" t="s">
        <v>49</v>
      </c>
      <c r="B10" s="27" t="s">
        <v>6</v>
      </c>
      <c r="C10">
        <v>1269110</v>
      </c>
      <c r="D10">
        <v>1251910</v>
      </c>
      <c r="E10">
        <v>1234720</v>
      </c>
      <c r="F10">
        <v>1217520</v>
      </c>
      <c r="G10" s="27">
        <v>1196180</v>
      </c>
      <c r="H10" s="116">
        <f t="shared" si="5"/>
        <v>3440</v>
      </c>
      <c r="I10" s="2">
        <f t="shared" si="6"/>
        <v>3439</v>
      </c>
      <c r="J10" s="2">
        <f t="shared" si="7"/>
        <v>3439.3333333333335</v>
      </c>
      <c r="K10" s="117">
        <f t="shared" si="8"/>
        <v>3646.5</v>
      </c>
      <c r="L10" s="138">
        <v>1223450</v>
      </c>
      <c r="M10" s="143">
        <v>2020</v>
      </c>
      <c r="N10" s="27">
        <v>122510000</v>
      </c>
      <c r="O10" s="124">
        <v>0.5</v>
      </c>
      <c r="P10" s="20">
        <v>0.5</v>
      </c>
      <c r="Q10" s="143">
        <v>2020</v>
      </c>
      <c r="R10">
        <v>449120000</v>
      </c>
      <c r="S10">
        <v>432970000</v>
      </c>
      <c r="T10" s="148">
        <f t="shared" si="4"/>
        <v>0.96404079087994299</v>
      </c>
      <c r="U10" s="2"/>
    </row>
    <row r="11" spans="1:22" x14ac:dyDescent="0.25">
      <c r="A11" s="26" t="s">
        <v>329</v>
      </c>
      <c r="B11" s="27" t="s">
        <v>7</v>
      </c>
      <c r="C11">
        <v>172700</v>
      </c>
      <c r="D11">
        <v>172700</v>
      </c>
      <c r="E11">
        <v>172840</v>
      </c>
      <c r="F11">
        <v>172850</v>
      </c>
      <c r="G11" s="27">
        <v>171610</v>
      </c>
      <c r="H11" s="116">
        <f t="shared" si="5"/>
        <v>0</v>
      </c>
      <c r="I11" s="2">
        <f t="shared" si="6"/>
        <v>-14</v>
      </c>
      <c r="J11" s="2">
        <f t="shared" si="7"/>
        <v>-10</v>
      </c>
      <c r="K11" s="117">
        <f t="shared" si="8"/>
        <v>54.5</v>
      </c>
      <c r="L11" s="138">
        <v>41120</v>
      </c>
      <c r="M11" s="143">
        <v>2015</v>
      </c>
      <c r="N11" s="27">
        <v>2900000</v>
      </c>
      <c r="O11" s="143" t="e">
        <v>#N/A</v>
      </c>
      <c r="P11" s="20">
        <v>0.5</v>
      </c>
      <c r="Q11" s="143">
        <v>2015</v>
      </c>
      <c r="R11">
        <v>11120000</v>
      </c>
      <c r="S11">
        <v>3560000</v>
      </c>
      <c r="T11" s="148">
        <f t="shared" si="4"/>
        <v>0.32014388489208634</v>
      </c>
      <c r="U11" s="5"/>
    </row>
    <row r="12" spans="1:22" x14ac:dyDescent="0.25">
      <c r="A12" s="26" t="s">
        <v>57</v>
      </c>
      <c r="B12" s="27" t="s">
        <v>8</v>
      </c>
      <c r="C12">
        <v>2677090</v>
      </c>
      <c r="D12">
        <v>2668390</v>
      </c>
      <c r="E12">
        <v>2657380</v>
      </c>
      <c r="F12">
        <v>2647420</v>
      </c>
      <c r="G12" s="27">
        <v>2637290</v>
      </c>
      <c r="H12" s="116">
        <f t="shared" si="5"/>
        <v>1740</v>
      </c>
      <c r="I12" s="2">
        <f t="shared" si="6"/>
        <v>1971</v>
      </c>
      <c r="J12" s="2">
        <f t="shared" si="7"/>
        <v>1978</v>
      </c>
      <c r="K12" s="117">
        <f t="shared" si="8"/>
        <v>1990</v>
      </c>
      <c r="L12" s="138">
        <v>2304380</v>
      </c>
      <c r="M12" s="143">
        <v>2020</v>
      </c>
      <c r="N12" s="27">
        <v>205230000</v>
      </c>
      <c r="O12" s="124">
        <v>0.47</v>
      </c>
      <c r="P12" s="20">
        <v>0.47</v>
      </c>
      <c r="Q12" s="143">
        <v>2020</v>
      </c>
      <c r="R12">
        <v>790680000</v>
      </c>
      <c r="S12">
        <v>681570000</v>
      </c>
      <c r="T12" s="148">
        <f t="shared" si="4"/>
        <v>0.86200485657914705</v>
      </c>
      <c r="U12" s="2"/>
    </row>
    <row r="13" spans="1:22" x14ac:dyDescent="0.25">
      <c r="A13" s="26" t="s">
        <v>72</v>
      </c>
      <c r="B13" s="27" t="s">
        <v>9</v>
      </c>
      <c r="C13">
        <v>11419000</v>
      </c>
      <c r="D13">
        <v>11419000</v>
      </c>
      <c r="E13">
        <v>11409000</v>
      </c>
      <c r="F13">
        <v>11384000</v>
      </c>
      <c r="G13" s="27">
        <v>11354000</v>
      </c>
      <c r="H13" s="116">
        <f t="shared" si="5"/>
        <v>0</v>
      </c>
      <c r="I13" s="2">
        <f t="shared" si="6"/>
        <v>1000</v>
      </c>
      <c r="J13" s="2">
        <f t="shared" si="7"/>
        <v>2333.3333333333335</v>
      </c>
      <c r="K13" s="117">
        <f t="shared" si="8"/>
        <v>3250</v>
      </c>
      <c r="L13" s="138">
        <v>9942000</v>
      </c>
      <c r="M13" s="143">
        <v>2020</v>
      </c>
      <c r="N13" s="27">
        <v>1057069999.9999999</v>
      </c>
      <c r="O13" s="124">
        <v>0.5</v>
      </c>
      <c r="P13" s="20">
        <v>0.5</v>
      </c>
      <c r="Q13" s="143">
        <v>2020</v>
      </c>
      <c r="R13">
        <v>3663000000</v>
      </c>
      <c r="S13">
        <v>3505000000</v>
      </c>
      <c r="T13" s="148">
        <f t="shared" si="4"/>
        <v>0.95686595686595688</v>
      </c>
      <c r="U13" s="2"/>
    </row>
    <row r="14" spans="1:22" x14ac:dyDescent="0.25">
      <c r="A14" s="26" t="s">
        <v>324</v>
      </c>
      <c r="B14" s="27" t="s">
        <v>10</v>
      </c>
      <c r="C14">
        <v>628440</v>
      </c>
      <c r="D14">
        <v>624680</v>
      </c>
      <c r="E14">
        <v>586490</v>
      </c>
      <c r="F14">
        <v>538060</v>
      </c>
      <c r="G14" s="27">
        <v>571600</v>
      </c>
      <c r="H14" s="116">
        <f t="shared" si="5"/>
        <v>752</v>
      </c>
      <c r="I14" s="2">
        <f t="shared" si="6"/>
        <v>4195</v>
      </c>
      <c r="J14" s="2">
        <f t="shared" si="7"/>
        <v>6025.333333333333</v>
      </c>
      <c r="K14" s="117">
        <f t="shared" si="8"/>
        <v>2842</v>
      </c>
      <c r="L14" s="138">
        <v>613880</v>
      </c>
      <c r="M14" s="143">
        <v>2020</v>
      </c>
      <c r="N14" s="27">
        <v>33560000</v>
      </c>
      <c r="O14" s="143" t="e">
        <v>#N/A</v>
      </c>
      <c r="P14" s="20">
        <v>0.5</v>
      </c>
      <c r="Q14" s="143">
        <v>2020</v>
      </c>
      <c r="R14">
        <v>132690000</v>
      </c>
      <c r="S14">
        <v>129070000</v>
      </c>
      <c r="T14" s="148">
        <f t="shared" si="4"/>
        <v>0.97271836611651219</v>
      </c>
      <c r="U14" s="2"/>
    </row>
    <row r="15" spans="1:22" x14ac:dyDescent="0.25">
      <c r="A15" s="26" t="s">
        <v>507</v>
      </c>
      <c r="B15" s="27" t="s">
        <v>11</v>
      </c>
      <c r="C15">
        <v>2438400</v>
      </c>
      <c r="D15">
        <v>2421010</v>
      </c>
      <c r="E15">
        <v>2336020</v>
      </c>
      <c r="F15">
        <v>2300180</v>
      </c>
      <c r="G15" s="27">
        <v>2238890</v>
      </c>
      <c r="H15" s="116">
        <f t="shared" si="5"/>
        <v>3478</v>
      </c>
      <c r="I15" s="2">
        <f t="shared" si="6"/>
        <v>10238</v>
      </c>
      <c r="J15" s="2">
        <f t="shared" si="7"/>
        <v>9214.6666666666661</v>
      </c>
      <c r="K15" s="117">
        <f t="shared" si="8"/>
        <v>9975.5</v>
      </c>
      <c r="L15" s="138">
        <v>2106040</v>
      </c>
      <c r="M15" s="143">
        <v>2020</v>
      </c>
      <c r="N15" s="27">
        <v>132789999.99999999</v>
      </c>
      <c r="O15" s="143" t="e">
        <v>#N/A</v>
      </c>
      <c r="P15" s="20">
        <v>0.5</v>
      </c>
      <c r="Q15" s="143">
        <v>2020</v>
      </c>
      <c r="R15">
        <v>494150000</v>
      </c>
      <c r="S15">
        <v>422500000</v>
      </c>
      <c r="T15" s="148">
        <f t="shared" si="4"/>
        <v>0.85500354143478696</v>
      </c>
      <c r="U15" s="2"/>
    </row>
    <row r="16" spans="1:22" x14ac:dyDescent="0.25">
      <c r="A16" s="26" t="s">
        <v>89</v>
      </c>
      <c r="B16" s="27" t="s">
        <v>12</v>
      </c>
      <c r="C16">
        <v>18572170</v>
      </c>
      <c r="D16">
        <v>18551180</v>
      </c>
      <c r="E16">
        <v>18545340</v>
      </c>
      <c r="F16">
        <v>18083200</v>
      </c>
      <c r="G16" s="27">
        <v>17093930</v>
      </c>
      <c r="H16" s="116">
        <f t="shared" si="5"/>
        <v>4198</v>
      </c>
      <c r="I16" s="2">
        <f t="shared" si="6"/>
        <v>2683</v>
      </c>
      <c r="J16" s="2">
        <f t="shared" si="7"/>
        <v>32598</v>
      </c>
      <c r="K16" s="117">
        <f t="shared" si="8"/>
        <v>73912</v>
      </c>
      <c r="L16" s="138">
        <v>17079400</v>
      </c>
      <c r="M16" s="143">
        <v>2020</v>
      </c>
      <c r="N16" s="27">
        <v>507440000</v>
      </c>
      <c r="O16" s="124" t="s">
        <v>530</v>
      </c>
      <c r="P16" s="20">
        <v>0.5</v>
      </c>
      <c r="Q16" s="143">
        <v>2020</v>
      </c>
      <c r="R16">
        <v>1108850000</v>
      </c>
      <c r="S16">
        <v>978580000</v>
      </c>
      <c r="T16" s="148">
        <f t="shared" si="4"/>
        <v>0.88251792397528972</v>
      </c>
      <c r="U16" s="4"/>
      <c r="V16" s="4"/>
    </row>
    <row r="17" spans="1:22" x14ac:dyDescent="0.25">
      <c r="A17" s="26" t="s">
        <v>330</v>
      </c>
      <c r="B17" s="27" t="s">
        <v>13</v>
      </c>
      <c r="C17">
        <v>22409000</v>
      </c>
      <c r="D17">
        <v>22409000</v>
      </c>
      <c r="E17">
        <v>22242000</v>
      </c>
      <c r="F17">
        <v>22162000</v>
      </c>
      <c r="G17" s="27">
        <v>22445640</v>
      </c>
      <c r="H17" s="116">
        <f t="shared" si="5"/>
        <v>0</v>
      </c>
      <c r="I17" s="2">
        <f t="shared" si="6"/>
        <v>16700</v>
      </c>
      <c r="J17" s="2">
        <f t="shared" si="7"/>
        <v>16466.666666666668</v>
      </c>
      <c r="K17" s="117">
        <f t="shared" si="8"/>
        <v>-1832</v>
      </c>
      <c r="L17" s="138">
        <v>19719020</v>
      </c>
      <c r="M17" s="143">
        <v>2020</v>
      </c>
      <c r="N17" s="27">
        <v>669670000</v>
      </c>
      <c r="O17" s="124">
        <v>0.5</v>
      </c>
      <c r="P17" s="20">
        <v>0.5</v>
      </c>
      <c r="Q17" s="143">
        <v>2020</v>
      </c>
      <c r="R17">
        <v>2449000000</v>
      </c>
      <c r="S17">
        <v>2203000000</v>
      </c>
      <c r="T17" s="148">
        <f t="shared" si="4"/>
        <v>0.89955083707635775</v>
      </c>
      <c r="V17" s="4"/>
    </row>
    <row r="18" spans="1:22" x14ac:dyDescent="0.25">
      <c r="A18" s="26" t="s">
        <v>252</v>
      </c>
      <c r="B18" s="27" t="s">
        <v>14</v>
      </c>
      <c r="C18">
        <v>17253000</v>
      </c>
      <c r="D18">
        <v>16836000</v>
      </c>
      <c r="E18">
        <v>16419000</v>
      </c>
      <c r="F18">
        <v>15882000</v>
      </c>
      <c r="G18" s="27">
        <v>15289000</v>
      </c>
      <c r="H18" s="116">
        <f t="shared" si="5"/>
        <v>83400</v>
      </c>
      <c r="I18" s="2">
        <f t="shared" si="6"/>
        <v>83400</v>
      </c>
      <c r="J18" s="2">
        <f t="shared" si="7"/>
        <v>91400</v>
      </c>
      <c r="K18" s="117">
        <f t="shared" si="8"/>
        <v>98200</v>
      </c>
      <c r="L18" s="138">
        <v>16493000</v>
      </c>
      <c r="M18" s="143">
        <v>2020</v>
      </c>
      <c r="N18" s="27">
        <v>1110000000</v>
      </c>
      <c r="O18" s="124">
        <v>0.47499999999999998</v>
      </c>
      <c r="P18" s="20">
        <v>0.47499999999999998</v>
      </c>
      <c r="Q18" s="143">
        <v>2020</v>
      </c>
      <c r="R18">
        <v>3056000000</v>
      </c>
      <c r="S18">
        <v>2921380000</v>
      </c>
      <c r="T18" s="148">
        <f t="shared" si="4"/>
        <v>0.95594895287958115</v>
      </c>
      <c r="U18" s="2"/>
    </row>
    <row r="19" spans="1:22" x14ac:dyDescent="0.25">
      <c r="A19" s="26" t="s">
        <v>515</v>
      </c>
      <c r="B19" s="27" t="s">
        <v>15</v>
      </c>
      <c r="C19">
        <v>3190000</v>
      </c>
      <c r="D19">
        <v>3155000</v>
      </c>
      <c r="E19">
        <v>3059000</v>
      </c>
      <c r="F19">
        <v>3021000</v>
      </c>
      <c r="G19" s="27">
        <v>2954000</v>
      </c>
      <c r="H19" s="116">
        <f t="shared" si="5"/>
        <v>7000</v>
      </c>
      <c r="I19" s="2">
        <f t="shared" si="6"/>
        <v>13100</v>
      </c>
      <c r="J19" s="2">
        <f t="shared" si="7"/>
        <v>11266.666666666666</v>
      </c>
      <c r="K19" s="117">
        <f t="shared" si="8"/>
        <v>11800</v>
      </c>
      <c r="L19" s="138">
        <v>3190000</v>
      </c>
      <c r="M19" s="143">
        <v>2020</v>
      </c>
      <c r="N19" s="27">
        <v>184000000</v>
      </c>
      <c r="O19" s="124">
        <v>0.5</v>
      </c>
      <c r="P19" s="20">
        <v>0.5</v>
      </c>
      <c r="Q19" s="143">
        <v>2020</v>
      </c>
      <c r="R19">
        <v>677000000</v>
      </c>
      <c r="S19">
        <v>677000000</v>
      </c>
      <c r="T19" s="148">
        <f t="shared" si="4"/>
        <v>1</v>
      </c>
      <c r="U19" s="2"/>
      <c r="V19" s="327"/>
    </row>
    <row r="20" spans="1:22" x14ac:dyDescent="0.25">
      <c r="A20" s="26" t="s">
        <v>454</v>
      </c>
      <c r="B20" s="27" t="s">
        <v>16</v>
      </c>
      <c r="C20">
        <v>3903000</v>
      </c>
      <c r="D20">
        <v>3903000</v>
      </c>
      <c r="E20">
        <v>3903000</v>
      </c>
      <c r="F20">
        <v>3752000</v>
      </c>
      <c r="G20" s="27">
        <v>3601000</v>
      </c>
      <c r="H20" s="116">
        <f t="shared" si="5"/>
        <v>0</v>
      </c>
      <c r="I20" s="2">
        <f t="shared" si="6"/>
        <v>0</v>
      </c>
      <c r="J20" s="2">
        <f t="shared" si="7"/>
        <v>10066.666666666666</v>
      </c>
      <c r="K20" s="117">
        <f t="shared" si="8"/>
        <v>15100</v>
      </c>
      <c r="L20" s="138">
        <v>3594660</v>
      </c>
      <c r="M20" s="143">
        <v>2015</v>
      </c>
      <c r="N20" s="27">
        <v>62000000</v>
      </c>
      <c r="O20" s="143" t="e">
        <v>#N/A</v>
      </c>
      <c r="P20" s="20">
        <v>0.5</v>
      </c>
      <c r="Q20" s="143">
        <v>2015</v>
      </c>
      <c r="R20">
        <v>185000000</v>
      </c>
      <c r="S20">
        <v>170000000</v>
      </c>
      <c r="T20" s="148">
        <f t="shared" si="4"/>
        <v>0.91891891891891897</v>
      </c>
      <c r="U20" s="2"/>
    </row>
    <row r="21" spans="1:22" x14ac:dyDescent="0.25">
      <c r="A21" s="26" t="s">
        <v>323</v>
      </c>
      <c r="B21" s="27" t="s">
        <v>17</v>
      </c>
      <c r="C21" s="1">
        <v>1939110</v>
      </c>
      <c r="D21" s="1">
        <v>1922000</v>
      </c>
      <c r="E21" s="1">
        <v>1920000</v>
      </c>
      <c r="F21" s="1">
        <v>1903000</v>
      </c>
      <c r="G21" s="1">
        <v>1885000</v>
      </c>
      <c r="H21" s="116">
        <f t="shared" si="5"/>
        <v>3422</v>
      </c>
      <c r="I21" s="2">
        <f t="shared" si="6"/>
        <v>1911</v>
      </c>
      <c r="J21" s="2">
        <f t="shared" si="7"/>
        <v>2407.3333333333335</v>
      </c>
      <c r="K21" s="117">
        <f t="shared" si="8"/>
        <v>2705.5</v>
      </c>
      <c r="L21" s="138">
        <v>1742500</v>
      </c>
      <c r="M21" s="143">
        <v>2020</v>
      </c>
      <c r="N21" s="27">
        <v>158600000</v>
      </c>
      <c r="O21" s="143" t="e">
        <v>#N/A</v>
      </c>
      <c r="P21" s="20">
        <v>0.5</v>
      </c>
      <c r="Q21" s="143">
        <v>2020</v>
      </c>
      <c r="R21">
        <v>427220000</v>
      </c>
      <c r="S21">
        <v>402390000</v>
      </c>
      <c r="T21" s="148">
        <f>+S21/R21</f>
        <v>0.94188006179485984</v>
      </c>
      <c r="U21" s="2"/>
    </row>
    <row r="22" spans="1:22" x14ac:dyDescent="0.25">
      <c r="A22" s="26" t="s">
        <v>246</v>
      </c>
      <c r="B22" s="27" t="s">
        <v>18</v>
      </c>
      <c r="C22">
        <v>2053010.0000000002</v>
      </c>
      <c r="D22">
        <v>2060820.0000000002</v>
      </c>
      <c r="E22">
        <v>2046390</v>
      </c>
      <c r="F22">
        <v>1983900</v>
      </c>
      <c r="G22" s="27">
        <v>1921170</v>
      </c>
      <c r="H22" s="116">
        <f t="shared" si="5"/>
        <v>-1562</v>
      </c>
      <c r="I22" s="2">
        <f t="shared" si="6"/>
        <v>662.00000000002331</v>
      </c>
      <c r="J22" s="2">
        <f t="shared" si="7"/>
        <v>4607.3333333333485</v>
      </c>
      <c r="K22" s="117">
        <f t="shared" si="8"/>
        <v>6592.0000000000118</v>
      </c>
      <c r="L22" s="138">
        <v>1871120</v>
      </c>
      <c r="M22" s="143">
        <v>2020</v>
      </c>
      <c r="N22" s="27">
        <v>102670000</v>
      </c>
      <c r="O22" s="124" t="s">
        <v>529</v>
      </c>
      <c r="P22" s="20">
        <v>0.5</v>
      </c>
      <c r="Q22" s="143">
        <v>2020</v>
      </c>
      <c r="R22">
        <v>397030000</v>
      </c>
      <c r="S22">
        <v>356630000</v>
      </c>
      <c r="T22" s="148">
        <f t="shared" si="4"/>
        <v>0.89824446515376677</v>
      </c>
      <c r="U22" s="2"/>
    </row>
    <row r="23" spans="1:22" x14ac:dyDescent="0.25">
      <c r="A23" s="26" t="s">
        <v>139</v>
      </c>
      <c r="B23" s="27" t="s">
        <v>19</v>
      </c>
      <c r="C23">
        <v>782020</v>
      </c>
      <c r="D23">
        <v>754670</v>
      </c>
      <c r="E23">
        <v>720380</v>
      </c>
      <c r="F23">
        <v>689810</v>
      </c>
      <c r="G23" s="27">
        <v>630360</v>
      </c>
      <c r="H23" s="116">
        <f t="shared" si="5"/>
        <v>5470</v>
      </c>
      <c r="I23" s="2">
        <f t="shared" si="6"/>
        <v>6164</v>
      </c>
      <c r="J23" s="2">
        <f t="shared" si="7"/>
        <v>6147.333333333333</v>
      </c>
      <c r="K23" s="117">
        <f t="shared" si="8"/>
        <v>7583</v>
      </c>
      <c r="L23" s="138">
        <v>607420</v>
      </c>
      <c r="M23" s="143">
        <v>2020</v>
      </c>
      <c r="N23" s="27">
        <v>43650000</v>
      </c>
      <c r="O23" s="124">
        <v>0.5</v>
      </c>
      <c r="P23" s="20">
        <v>0.5</v>
      </c>
      <c r="Q23" s="143">
        <v>2020</v>
      </c>
      <c r="R23">
        <v>121370000</v>
      </c>
      <c r="S23">
        <v>101990000</v>
      </c>
      <c r="T23" s="148">
        <f t="shared" si="4"/>
        <v>0.84032297931943645</v>
      </c>
      <c r="U23" s="2"/>
    </row>
    <row r="24" spans="1:22" x14ac:dyDescent="0.25">
      <c r="A24" s="26" t="s">
        <v>140</v>
      </c>
      <c r="B24" s="27" t="s">
        <v>20</v>
      </c>
      <c r="C24">
        <v>51350</v>
      </c>
      <c r="D24">
        <v>48160</v>
      </c>
      <c r="E24">
        <v>44670</v>
      </c>
      <c r="F24">
        <v>38250</v>
      </c>
      <c r="G24" s="27">
        <v>29830</v>
      </c>
      <c r="H24" s="116">
        <f t="shared" si="5"/>
        <v>638</v>
      </c>
      <c r="I24" s="2">
        <f t="shared" si="6"/>
        <v>668</v>
      </c>
      <c r="J24" s="2">
        <f t="shared" si="7"/>
        <v>873.33333333333337</v>
      </c>
      <c r="K24" s="117">
        <f t="shared" si="8"/>
        <v>1076</v>
      </c>
      <c r="L24" s="138">
        <v>29510</v>
      </c>
      <c r="M24" s="143">
        <v>2020</v>
      </c>
      <c r="N24" s="27">
        <v>610000</v>
      </c>
      <c r="O24" s="124">
        <v>0.5</v>
      </c>
      <c r="P24" s="20">
        <v>0.5</v>
      </c>
      <c r="Q24" s="143">
        <v>2020</v>
      </c>
      <c r="R24">
        <v>820000</v>
      </c>
      <c r="S24">
        <v>690000</v>
      </c>
      <c r="T24" s="148">
        <f t="shared" si="4"/>
        <v>0.84146341463414631</v>
      </c>
      <c r="U24" s="2"/>
    </row>
    <row r="25" spans="1:22" x14ac:dyDescent="0.25">
      <c r="A25" s="26" t="s">
        <v>141</v>
      </c>
      <c r="B25" s="27" t="s">
        <v>21</v>
      </c>
      <c r="C25">
        <v>9566130</v>
      </c>
      <c r="D25">
        <v>9297000</v>
      </c>
      <c r="E25">
        <v>9028000</v>
      </c>
      <c r="F25">
        <v>8759000</v>
      </c>
      <c r="G25" s="27">
        <v>8369000</v>
      </c>
      <c r="H25" s="116">
        <f t="shared" si="5"/>
        <v>53826</v>
      </c>
      <c r="I25" s="2">
        <f t="shared" si="6"/>
        <v>53813</v>
      </c>
      <c r="J25" s="2">
        <f t="shared" si="7"/>
        <v>53808.666666666664</v>
      </c>
      <c r="K25" s="117">
        <f t="shared" si="8"/>
        <v>59856.5</v>
      </c>
      <c r="L25" s="138">
        <v>8454330</v>
      </c>
      <c r="M25" s="143">
        <v>2015</v>
      </c>
      <c r="N25" s="27">
        <v>514000000</v>
      </c>
      <c r="O25" s="124">
        <v>0.5</v>
      </c>
      <c r="P25" s="20">
        <v>0.5</v>
      </c>
      <c r="Q25" s="143">
        <v>2015</v>
      </c>
      <c r="R25">
        <v>1384680000</v>
      </c>
      <c r="S25">
        <v>1285960000</v>
      </c>
      <c r="T25" s="148">
        <f t="shared" si="4"/>
        <v>0.92870554929658833</v>
      </c>
      <c r="U25" s="2"/>
      <c r="V25" s="4"/>
    </row>
    <row r="26" spans="1:22" x14ac:dyDescent="0.25">
      <c r="A26" s="26" t="s">
        <v>508</v>
      </c>
      <c r="B26" s="27" t="s">
        <v>22</v>
      </c>
      <c r="C26">
        <v>6700</v>
      </c>
      <c r="D26">
        <v>6700</v>
      </c>
      <c r="E26">
        <v>6700</v>
      </c>
      <c r="F26">
        <v>6700</v>
      </c>
      <c r="G26" s="27">
        <v>6700</v>
      </c>
      <c r="H26" s="116">
        <f t="shared" si="5"/>
        <v>0</v>
      </c>
      <c r="I26" s="2">
        <f t="shared" si="6"/>
        <v>0</v>
      </c>
      <c r="J26" s="2">
        <f t="shared" si="7"/>
        <v>0</v>
      </c>
      <c r="K26" s="117">
        <f t="shared" si="8"/>
        <v>0</v>
      </c>
      <c r="L26" s="138">
        <v>4000</v>
      </c>
      <c r="M26" s="143">
        <v>2020</v>
      </c>
      <c r="N26" s="27">
        <v>760000</v>
      </c>
      <c r="O26" s="143" t="e">
        <v>#N/A</v>
      </c>
      <c r="P26" s="20">
        <v>0.5</v>
      </c>
      <c r="Q26" s="143">
        <v>2015</v>
      </c>
      <c r="R26">
        <v>2740000</v>
      </c>
      <c r="S26">
        <v>1400000</v>
      </c>
      <c r="T26" s="148">
        <f t="shared" si="4"/>
        <v>0.51094890510948909</v>
      </c>
      <c r="U26" s="2"/>
    </row>
    <row r="27" spans="1:22" x14ac:dyDescent="0.25">
      <c r="A27" s="26" t="s">
        <v>248</v>
      </c>
      <c r="B27" s="27" t="s">
        <v>23</v>
      </c>
      <c r="C27">
        <v>2201000</v>
      </c>
      <c r="D27">
        <v>2187000</v>
      </c>
      <c r="E27">
        <v>2170000</v>
      </c>
      <c r="F27">
        <v>2121000</v>
      </c>
      <c r="G27" s="27">
        <v>2020000</v>
      </c>
      <c r="H27" s="116">
        <f t="shared" si="5"/>
        <v>2800</v>
      </c>
      <c r="I27" s="2">
        <f t="shared" si="6"/>
        <v>3100</v>
      </c>
      <c r="J27" s="2">
        <f t="shared" si="7"/>
        <v>5333.333333333333</v>
      </c>
      <c r="K27" s="117">
        <f t="shared" si="8"/>
        <v>9050</v>
      </c>
      <c r="L27" s="138">
        <v>1936000</v>
      </c>
      <c r="M27" s="143">
        <v>2020</v>
      </c>
      <c r="N27" s="27">
        <v>146700000</v>
      </c>
      <c r="O27" s="124" t="s">
        <v>529</v>
      </c>
      <c r="P27" s="20">
        <v>0.5</v>
      </c>
      <c r="Q27" s="143">
        <v>2020</v>
      </c>
      <c r="R27">
        <v>559130000</v>
      </c>
      <c r="S27">
        <v>473930000</v>
      </c>
      <c r="T27" s="148">
        <f t="shared" si="4"/>
        <v>0.84762041028025681</v>
      </c>
      <c r="U27" s="2"/>
    </row>
    <row r="28" spans="1:22" x14ac:dyDescent="0.25">
      <c r="A28" s="26" t="s">
        <v>509</v>
      </c>
      <c r="B28" s="27" t="s">
        <v>24</v>
      </c>
      <c r="C28">
        <v>88700</v>
      </c>
      <c r="D28">
        <v>88700</v>
      </c>
      <c r="E28">
        <v>88700</v>
      </c>
      <c r="F28">
        <v>86700</v>
      </c>
      <c r="G28" s="27">
        <v>86700</v>
      </c>
      <c r="H28" s="116">
        <f t="shared" si="5"/>
        <v>0</v>
      </c>
      <c r="I28" s="2">
        <f t="shared" si="6"/>
        <v>0</v>
      </c>
      <c r="J28" s="2">
        <f t="shared" si="7"/>
        <v>133.33333333333334</v>
      </c>
      <c r="K28" s="117">
        <f t="shared" si="8"/>
        <v>100</v>
      </c>
      <c r="L28" s="138">
        <v>86100</v>
      </c>
      <c r="M28" s="143">
        <v>2020</v>
      </c>
      <c r="N28" s="27">
        <v>7530000</v>
      </c>
      <c r="O28" s="143" t="e">
        <v>#N/A</v>
      </c>
      <c r="P28" s="20">
        <v>0.5</v>
      </c>
      <c r="Q28" s="143">
        <v>2020</v>
      </c>
      <c r="R28">
        <v>34600000</v>
      </c>
      <c r="S28" s="146" t="e">
        <v>#N/A</v>
      </c>
      <c r="T28" s="148" t="e">
        <f t="shared" si="4"/>
        <v>#N/A</v>
      </c>
      <c r="U28" s="2"/>
    </row>
    <row r="29" spans="1:22" x14ac:dyDescent="0.25">
      <c r="A29" s="26" t="s">
        <v>247</v>
      </c>
      <c r="B29" s="27" t="s">
        <v>25</v>
      </c>
      <c r="C29">
        <v>3410790</v>
      </c>
      <c r="D29">
        <v>3391440</v>
      </c>
      <c r="E29">
        <v>3372120</v>
      </c>
      <c r="F29">
        <v>3297000</v>
      </c>
      <c r="G29" s="27">
        <v>3241000</v>
      </c>
      <c r="H29" s="116">
        <f t="shared" si="5"/>
        <v>3870</v>
      </c>
      <c r="I29" s="2">
        <f t="shared" si="6"/>
        <v>3867</v>
      </c>
      <c r="J29" s="2">
        <f t="shared" si="7"/>
        <v>7586</v>
      </c>
      <c r="K29" s="117">
        <f t="shared" si="8"/>
        <v>8489.5</v>
      </c>
      <c r="L29" s="138">
        <v>3198710</v>
      </c>
      <c r="M29" s="143">
        <v>2020</v>
      </c>
      <c r="N29" s="27">
        <v>218500000</v>
      </c>
      <c r="O29" s="124">
        <v>0.5</v>
      </c>
      <c r="P29" s="20">
        <v>0.5</v>
      </c>
      <c r="Q29" s="143">
        <v>2020</v>
      </c>
      <c r="R29">
        <v>672320000</v>
      </c>
      <c r="S29">
        <v>618170000</v>
      </c>
      <c r="T29" s="148">
        <f t="shared" si="4"/>
        <v>0.91945799619228941</v>
      </c>
      <c r="U29" s="2"/>
    </row>
    <row r="30" spans="1:22" ht="15" customHeight="1" x14ac:dyDescent="0.25">
      <c r="A30" s="26" t="s">
        <v>511</v>
      </c>
      <c r="B30" s="27" t="s">
        <v>26</v>
      </c>
      <c r="C30">
        <v>826780</v>
      </c>
      <c r="D30">
        <v>826780</v>
      </c>
      <c r="E30">
        <v>826780</v>
      </c>
      <c r="F30">
        <v>626210</v>
      </c>
      <c r="G30" s="27">
        <v>626210</v>
      </c>
      <c r="H30" s="116">
        <f t="shared" si="5"/>
        <v>0</v>
      </c>
      <c r="I30" s="2">
        <f t="shared" si="6"/>
        <v>0</v>
      </c>
      <c r="J30" s="2">
        <f t="shared" si="7"/>
        <v>13371.333333333334</v>
      </c>
      <c r="K30" s="117">
        <f t="shared" si="8"/>
        <v>10028.5</v>
      </c>
      <c r="L30" s="138">
        <v>728130</v>
      </c>
      <c r="M30" s="143">
        <v>2020</v>
      </c>
      <c r="N30" s="27">
        <v>48430000</v>
      </c>
      <c r="O30" s="143" t="e">
        <v>#N/A</v>
      </c>
      <c r="P30" s="20">
        <v>0.5</v>
      </c>
      <c r="Q30" s="143">
        <v>2020</v>
      </c>
      <c r="R30">
        <v>121400000</v>
      </c>
      <c r="S30">
        <v>116220000</v>
      </c>
      <c r="T30" s="148">
        <f t="shared" si="4"/>
        <v>0.95733113673805603</v>
      </c>
      <c r="U30" s="2"/>
    </row>
    <row r="31" spans="1:22" x14ac:dyDescent="0.25">
      <c r="A31" s="26" t="s">
        <v>516</v>
      </c>
      <c r="B31" s="27" t="s">
        <v>27</v>
      </c>
      <c r="C31">
        <v>1001490</v>
      </c>
      <c r="D31">
        <v>994400</v>
      </c>
      <c r="E31">
        <v>960430</v>
      </c>
      <c r="F31">
        <v>955230</v>
      </c>
      <c r="G31" s="27">
        <v>957550</v>
      </c>
      <c r="H31" s="116">
        <f t="shared" si="5"/>
        <v>1418</v>
      </c>
      <c r="I31" s="2">
        <f t="shared" si="6"/>
        <v>4106</v>
      </c>
      <c r="J31" s="2">
        <f t="shared" si="7"/>
        <v>3084</v>
      </c>
      <c r="K31" s="117">
        <f t="shared" si="8"/>
        <v>2197</v>
      </c>
      <c r="L31" s="138">
        <v>804000</v>
      </c>
      <c r="M31" s="143">
        <v>2020</v>
      </c>
      <c r="N31" s="27">
        <v>47900000</v>
      </c>
      <c r="O31" s="143" t="e">
        <v>#N/A</v>
      </c>
      <c r="P31" s="20">
        <v>0.5</v>
      </c>
      <c r="Q31" s="143">
        <v>2020</v>
      </c>
      <c r="R31">
        <v>76410000</v>
      </c>
      <c r="S31">
        <v>66000000</v>
      </c>
      <c r="T31" s="148">
        <f t="shared" si="4"/>
        <v>0.8637612877895563</v>
      </c>
      <c r="U31" s="2"/>
    </row>
    <row r="32" spans="1:22" x14ac:dyDescent="0.25">
      <c r="A32" s="26" t="s">
        <v>510</v>
      </c>
      <c r="B32" s="27" t="s">
        <v>28</v>
      </c>
      <c r="C32">
        <v>350</v>
      </c>
      <c r="D32">
        <v>350</v>
      </c>
      <c r="E32">
        <v>350</v>
      </c>
      <c r="F32">
        <v>350</v>
      </c>
      <c r="G32" s="27">
        <v>350</v>
      </c>
      <c r="H32" s="116">
        <f t="shared" si="5"/>
        <v>0</v>
      </c>
      <c r="I32" s="2">
        <f t="shared" si="6"/>
        <v>0</v>
      </c>
      <c r="J32" s="2">
        <f t="shared" si="7"/>
        <v>0</v>
      </c>
      <c r="K32" s="117">
        <f t="shared" si="8"/>
        <v>0</v>
      </c>
      <c r="L32" s="138" t="e">
        <v>#N/A</v>
      </c>
      <c r="M32" s="143">
        <v>2015</v>
      </c>
      <c r="N32" s="27">
        <v>50000</v>
      </c>
      <c r="O32" s="143" t="e">
        <v>#N/A</v>
      </c>
      <c r="P32" s="20">
        <v>0.5</v>
      </c>
      <c r="Q32" s="143">
        <v>2015</v>
      </c>
      <c r="R32">
        <v>80000</v>
      </c>
      <c r="S32" s="146" t="e">
        <v>#N/A</v>
      </c>
      <c r="T32" s="148" t="e">
        <f t="shared" si="4"/>
        <v>#N/A</v>
      </c>
      <c r="U32" s="2"/>
    </row>
    <row r="33" spans="1:22" x14ac:dyDescent="0.25">
      <c r="A33" s="26" t="s">
        <v>152</v>
      </c>
      <c r="B33" s="27" t="s">
        <v>29</v>
      </c>
      <c r="C33">
        <v>369500</v>
      </c>
      <c r="D33">
        <v>364830</v>
      </c>
      <c r="E33">
        <v>373480</v>
      </c>
      <c r="F33">
        <v>365000</v>
      </c>
      <c r="G33" s="27">
        <v>360000</v>
      </c>
      <c r="H33" s="116">
        <f t="shared" si="5"/>
        <v>934</v>
      </c>
      <c r="I33" s="2">
        <f t="shared" si="6"/>
        <v>-398</v>
      </c>
      <c r="J33" s="2">
        <f t="shared" si="7"/>
        <v>300</v>
      </c>
      <c r="K33" s="117">
        <f t="shared" si="8"/>
        <v>475</v>
      </c>
      <c r="L33" s="138">
        <v>299070</v>
      </c>
      <c r="M33" s="143">
        <v>2020</v>
      </c>
      <c r="N33" s="27">
        <v>27560000</v>
      </c>
      <c r="O33" s="124">
        <v>0.5</v>
      </c>
      <c r="P33" s="20">
        <v>0.5</v>
      </c>
      <c r="Q33" s="143">
        <v>2020</v>
      </c>
      <c r="R33">
        <v>82740000</v>
      </c>
      <c r="S33">
        <v>66970000</v>
      </c>
      <c r="T33" s="148">
        <f t="shared" si="4"/>
        <v>0.80940294899685761</v>
      </c>
      <c r="U33" s="2"/>
    </row>
    <row r="34" spans="1:22" x14ac:dyDescent="0.25">
      <c r="A34" s="26" t="s">
        <v>165</v>
      </c>
      <c r="B34" s="27" t="s">
        <v>30</v>
      </c>
      <c r="C34">
        <v>12180000</v>
      </c>
      <c r="D34">
        <v>12141000</v>
      </c>
      <c r="E34">
        <v>12102000</v>
      </c>
      <c r="F34">
        <v>12092000</v>
      </c>
      <c r="G34" s="27">
        <v>12113000</v>
      </c>
      <c r="H34" s="116">
        <f t="shared" si="5"/>
        <v>7800</v>
      </c>
      <c r="I34" s="2">
        <f t="shared" si="6"/>
        <v>7800</v>
      </c>
      <c r="J34" s="2">
        <f t="shared" si="7"/>
        <v>5866.666666666667</v>
      </c>
      <c r="K34" s="117">
        <f t="shared" si="8"/>
        <v>3350</v>
      </c>
      <c r="L34" s="138">
        <v>8264000</v>
      </c>
      <c r="M34" s="143">
        <v>2020</v>
      </c>
      <c r="N34" s="27">
        <v>390700000</v>
      </c>
      <c r="O34" s="124">
        <v>0.5</v>
      </c>
      <c r="P34" s="20">
        <v>0.5</v>
      </c>
      <c r="Q34" s="143">
        <v>2020</v>
      </c>
      <c r="R34">
        <v>1233000000</v>
      </c>
      <c r="S34">
        <v>1093000000</v>
      </c>
      <c r="T34" s="148">
        <f t="shared" si="4"/>
        <v>0.88645579886455794</v>
      </c>
      <c r="U34" s="2"/>
    </row>
    <row r="35" spans="1:22" x14ac:dyDescent="0.25">
      <c r="A35" s="26" t="s">
        <v>249</v>
      </c>
      <c r="B35" s="27" t="s">
        <v>31</v>
      </c>
      <c r="C35">
        <v>9483000</v>
      </c>
      <c r="D35">
        <v>9420000</v>
      </c>
      <c r="E35">
        <v>9329000</v>
      </c>
      <c r="F35">
        <v>9200000</v>
      </c>
      <c r="G35" s="27">
        <v>9059000</v>
      </c>
      <c r="H35" s="116">
        <f t="shared" si="5"/>
        <v>12600</v>
      </c>
      <c r="I35" s="2">
        <f t="shared" si="6"/>
        <v>15400</v>
      </c>
      <c r="J35" s="2">
        <f t="shared" si="7"/>
        <v>18866.666666666668</v>
      </c>
      <c r="K35" s="117">
        <f t="shared" si="8"/>
        <v>21200</v>
      </c>
      <c r="L35" s="138">
        <v>8331000</v>
      </c>
      <c r="M35" s="143">
        <v>2020</v>
      </c>
      <c r="N35" s="27">
        <v>738000000</v>
      </c>
      <c r="O35" s="124">
        <v>0.47</v>
      </c>
      <c r="P35" s="20">
        <v>0.47</v>
      </c>
      <c r="Q35" s="143">
        <v>2020</v>
      </c>
      <c r="R35">
        <v>2730000000</v>
      </c>
      <c r="S35">
        <v>2366000000</v>
      </c>
      <c r="T35" s="148">
        <f t="shared" si="4"/>
        <v>0.8666666666666667</v>
      </c>
      <c r="U35" s="2"/>
    </row>
    <row r="36" spans="1:22" x14ac:dyDescent="0.25">
      <c r="A36" s="26" t="s">
        <v>199</v>
      </c>
      <c r="B36" s="27" t="s">
        <v>32</v>
      </c>
      <c r="C36">
        <f>3311750</f>
        <v>3311750</v>
      </c>
      <c r="D36">
        <f>3311750</f>
        <v>3311750</v>
      </c>
      <c r="E36">
        <f>3251590</f>
        <v>3251590</v>
      </c>
      <c r="F36">
        <f>3303430</f>
        <v>3303430</v>
      </c>
      <c r="G36" s="27">
        <f>3280610</f>
        <v>3280610</v>
      </c>
      <c r="H36" s="116">
        <f t="shared" si="5"/>
        <v>0</v>
      </c>
      <c r="I36" s="2">
        <f t="shared" si="6"/>
        <v>6016</v>
      </c>
      <c r="J36" s="2">
        <f t="shared" si="7"/>
        <v>554.66666666666663</v>
      </c>
      <c r="K36" s="117">
        <f t="shared" si="8"/>
        <v>1557</v>
      </c>
      <c r="L36" s="138">
        <v>2199260</v>
      </c>
      <c r="M36" s="143">
        <v>2015</v>
      </c>
      <c r="N36" s="27">
        <v>66610000</v>
      </c>
      <c r="O36" s="143" t="e">
        <v>#N/A</v>
      </c>
      <c r="P36" s="20">
        <v>0.5</v>
      </c>
      <c r="Q36" s="143">
        <v>2015</v>
      </c>
      <c r="R36">
        <v>171060000</v>
      </c>
      <c r="S36">
        <v>137830000</v>
      </c>
      <c r="T36" s="148">
        <f t="shared" si="4"/>
        <v>0.80574067578627384</v>
      </c>
      <c r="U36" s="2"/>
      <c r="V36" s="4"/>
    </row>
    <row r="37" spans="1:22" x14ac:dyDescent="0.25">
      <c r="A37" s="26" t="s">
        <v>205</v>
      </c>
      <c r="B37" s="27" t="s">
        <v>33</v>
      </c>
      <c r="C37">
        <v>6929050</v>
      </c>
      <c r="D37">
        <v>6901000</v>
      </c>
      <c r="E37">
        <v>6515000</v>
      </c>
      <c r="F37">
        <v>6391000</v>
      </c>
      <c r="G37" s="27">
        <v>6366000</v>
      </c>
      <c r="H37" s="116">
        <f t="shared" si="5"/>
        <v>5610</v>
      </c>
      <c r="I37" s="2">
        <f t="shared" si="6"/>
        <v>41405</v>
      </c>
      <c r="J37" s="2">
        <f t="shared" si="7"/>
        <v>35870</v>
      </c>
      <c r="K37" s="117">
        <f t="shared" si="8"/>
        <v>28152.5</v>
      </c>
      <c r="L37" s="138">
        <v>5585900</v>
      </c>
      <c r="M37" s="143">
        <v>2020</v>
      </c>
      <c r="N37" s="27">
        <v>675720000</v>
      </c>
      <c r="O37" s="124">
        <v>0.47</v>
      </c>
      <c r="P37" s="20">
        <v>0.47</v>
      </c>
      <c r="Q37" s="143">
        <v>2020</v>
      </c>
      <c r="R37">
        <v>2354790000</v>
      </c>
      <c r="S37">
        <v>1864990000</v>
      </c>
      <c r="T37" s="148">
        <f t="shared" si="4"/>
        <v>0.79199843722794816</v>
      </c>
      <c r="U37" s="2"/>
    </row>
    <row r="38" spans="1:22" x14ac:dyDescent="0.25">
      <c r="A38" s="26" t="s">
        <v>327</v>
      </c>
      <c r="B38" s="27" t="s">
        <v>37</v>
      </c>
      <c r="C38">
        <v>2720000</v>
      </c>
      <c r="D38">
        <v>2720000</v>
      </c>
      <c r="E38">
        <v>2713000</v>
      </c>
      <c r="F38">
        <v>2476000</v>
      </c>
      <c r="G38" s="27">
        <v>2460000</v>
      </c>
      <c r="H38" s="116">
        <f t="shared" si="5"/>
        <v>0</v>
      </c>
      <c r="I38" s="2">
        <f t="shared" si="6"/>
        <v>700</v>
      </c>
      <c r="J38" s="2">
        <f t="shared" si="7"/>
        <v>16266.666666666666</v>
      </c>
      <c r="K38" s="117">
        <f t="shared" si="8"/>
        <v>13000</v>
      </c>
      <c r="L38" s="138" t="e">
        <v>#N/A</v>
      </c>
      <c r="M38" s="143">
        <v>2015</v>
      </c>
      <c r="N38" s="27">
        <v>185300000</v>
      </c>
      <c r="O38" s="143" t="e">
        <v>#N/A</v>
      </c>
      <c r="P38" s="20">
        <v>0.5</v>
      </c>
      <c r="Q38" s="143">
        <v>2015</v>
      </c>
      <c r="R38">
        <v>418000000</v>
      </c>
      <c r="S38">
        <v>352500000</v>
      </c>
      <c r="T38" s="148">
        <f t="shared" si="4"/>
        <v>0.84330143540669855</v>
      </c>
      <c r="U38" s="2"/>
    </row>
    <row r="39" spans="1:22" x14ac:dyDescent="0.25">
      <c r="A39" s="26" t="s">
        <v>210</v>
      </c>
      <c r="B39" s="27" t="s">
        <v>34</v>
      </c>
      <c r="C39">
        <v>27980000</v>
      </c>
      <c r="D39">
        <v>27980000</v>
      </c>
      <c r="E39">
        <v>28073000</v>
      </c>
      <c r="F39">
        <v>28218000</v>
      </c>
      <c r="G39" s="27">
        <v>28163000</v>
      </c>
      <c r="H39" s="116">
        <f t="shared" si="5"/>
        <v>0</v>
      </c>
      <c r="I39" s="2">
        <f t="shared" si="6"/>
        <v>-9300</v>
      </c>
      <c r="J39" s="2">
        <f t="shared" si="7"/>
        <v>-15866.666666666666</v>
      </c>
      <c r="K39" s="117">
        <f t="shared" si="8"/>
        <v>-9150</v>
      </c>
      <c r="L39" s="138">
        <v>19556460</v>
      </c>
      <c r="M39" s="143">
        <v>2020</v>
      </c>
      <c r="N39" s="27">
        <v>1021560000</v>
      </c>
      <c r="O39" s="124">
        <v>0.5</v>
      </c>
      <c r="P39" s="20">
        <v>0.5</v>
      </c>
      <c r="Q39" s="143">
        <v>2020</v>
      </c>
      <c r="R39">
        <v>3653910000</v>
      </c>
      <c r="S39">
        <v>2719110000</v>
      </c>
      <c r="T39" s="148">
        <f t="shared" si="4"/>
        <v>0.74416447038925426</v>
      </c>
      <c r="U39" s="2"/>
    </row>
    <row r="40" spans="1:22" x14ac:dyDescent="0.25">
      <c r="A40" s="26" t="s">
        <v>251</v>
      </c>
      <c r="B40" s="27" t="s">
        <v>35</v>
      </c>
      <c r="C40">
        <v>1237830</v>
      </c>
      <c r="D40">
        <v>1248000</v>
      </c>
      <c r="E40">
        <v>1247000</v>
      </c>
      <c r="F40">
        <v>1243000</v>
      </c>
      <c r="G40" s="27">
        <v>1233000</v>
      </c>
      <c r="H40" s="116">
        <f t="shared" si="5"/>
        <v>-2034</v>
      </c>
      <c r="I40" s="2">
        <f t="shared" si="6"/>
        <v>-917</v>
      </c>
      <c r="J40" s="2">
        <f t="shared" si="7"/>
        <v>-344.66666666666669</v>
      </c>
      <c r="K40" s="117">
        <f t="shared" si="8"/>
        <v>241.5</v>
      </c>
      <c r="L40" s="138">
        <v>1129560</v>
      </c>
      <c r="M40" s="143">
        <v>2020</v>
      </c>
      <c r="N40" s="27">
        <v>111210000</v>
      </c>
      <c r="O40" s="124">
        <v>0.5</v>
      </c>
      <c r="P40" s="20">
        <v>0.5</v>
      </c>
      <c r="Q40" s="143">
        <v>2020</v>
      </c>
      <c r="R40">
        <v>414170000</v>
      </c>
      <c r="S40">
        <v>383710000</v>
      </c>
      <c r="T40" s="148">
        <f t="shared" si="4"/>
        <v>0.92645532027911248</v>
      </c>
      <c r="U40" s="2"/>
    </row>
    <row r="41" spans="1:22" x14ac:dyDescent="0.25">
      <c r="A41" s="28" t="s">
        <v>250</v>
      </c>
      <c r="B41" s="61" t="s">
        <v>36</v>
      </c>
      <c r="C41" s="23">
        <v>1925900</v>
      </c>
      <c r="D41" s="23">
        <v>1921750</v>
      </c>
      <c r="E41" s="23">
        <v>1917910</v>
      </c>
      <c r="F41" s="23">
        <v>1911560</v>
      </c>
      <c r="G41" s="61">
        <v>1901410</v>
      </c>
      <c r="H41" s="118">
        <f t="shared" si="5"/>
        <v>830</v>
      </c>
      <c r="I41" s="57">
        <f t="shared" si="6"/>
        <v>799</v>
      </c>
      <c r="J41" s="57">
        <f t="shared" si="7"/>
        <v>956</v>
      </c>
      <c r="K41" s="119">
        <f t="shared" si="8"/>
        <v>1224.5</v>
      </c>
      <c r="L41" s="139">
        <v>1796160</v>
      </c>
      <c r="M41" s="144">
        <v>2020</v>
      </c>
      <c r="N41" s="61">
        <v>162490000</v>
      </c>
      <c r="O41" s="131" t="s">
        <v>531</v>
      </c>
      <c r="P41" s="67">
        <v>0.5</v>
      </c>
      <c r="Q41" s="144">
        <v>2020</v>
      </c>
      <c r="R41" s="23">
        <v>537670000</v>
      </c>
      <c r="S41" s="23">
        <v>500880000</v>
      </c>
      <c r="T41" s="149">
        <f t="shared" si="4"/>
        <v>0.9315751297264121</v>
      </c>
      <c r="U41" s="2"/>
    </row>
    <row r="42" spans="1:22" x14ac:dyDescent="0.25">
      <c r="A42" t="s">
        <v>512</v>
      </c>
      <c r="L42" s="81"/>
      <c r="M42" s="81"/>
      <c r="O42" s="20"/>
      <c r="P42" s="20"/>
      <c r="Q42" s="20"/>
    </row>
    <row r="43" spans="1:22" x14ac:dyDescent="0.25">
      <c r="A43" s="55"/>
      <c r="L43" s="81"/>
      <c r="M43" s="81"/>
    </row>
    <row r="44" spans="1:22" x14ac:dyDescent="0.25">
      <c r="L44" s="2"/>
    </row>
    <row r="45" spans="1:22" x14ac:dyDescent="0.25">
      <c r="C45" s="4"/>
      <c r="E45" s="4"/>
      <c r="G45" s="17"/>
    </row>
    <row r="46" spans="1:22" x14ac:dyDescent="0.25">
      <c r="C46" s="5"/>
      <c r="E46" s="5"/>
      <c r="G46" s="17"/>
    </row>
  </sheetData>
  <mergeCells count="7">
    <mergeCell ref="A2:B2"/>
    <mergeCell ref="C2:G2"/>
    <mergeCell ref="C1:T1"/>
    <mergeCell ref="O2:P2"/>
    <mergeCell ref="M2:N2"/>
    <mergeCell ref="Q2:T2"/>
    <mergeCell ref="H2:K2"/>
  </mergeCells>
  <pageMargins left="0.7" right="0.7" top="0.75" bottom="0.75" header="0.3" footer="0.3"/>
  <pageSetup orientation="portrait" verticalDpi="0" r:id="rId1"/>
  <ignoredErrors>
    <ignoredError sqref="T4 T28 T32" evalError="1"/>
  </ignoredError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A9A8E-06B7-4C90-ADAD-9A2F60DAD7D0}">
  <sheetPr>
    <tabColor rgb="FF92D050"/>
  </sheetPr>
  <dimension ref="A1:AC286"/>
  <sheetViews>
    <sheetView workbookViewId="0">
      <pane ySplit="2" topLeftCell="A3" activePane="bottomLeft" state="frozen"/>
      <selection pane="bottomLeft" sqref="A1:C1"/>
    </sheetView>
  </sheetViews>
  <sheetFormatPr defaultRowHeight="15" x14ac:dyDescent="0.25"/>
  <cols>
    <col min="1" max="1" width="15" bestFit="1" customWidth="1"/>
    <col min="2" max="2" width="10.85546875" bestFit="1" customWidth="1"/>
    <col min="5" max="5" width="11.7109375" bestFit="1" customWidth="1"/>
    <col min="6" max="6" width="14.28515625" bestFit="1" customWidth="1"/>
    <col min="7" max="7" width="13.140625" bestFit="1" customWidth="1"/>
    <col min="8" max="8" width="12.5703125" bestFit="1" customWidth="1"/>
    <col min="9" max="9" width="14.28515625" bestFit="1" customWidth="1"/>
    <col min="10" max="10" width="15" bestFit="1" customWidth="1"/>
    <col min="11" max="11" width="11.28515625" bestFit="1" customWidth="1"/>
    <col min="12" max="12" width="10.85546875" customWidth="1"/>
    <col min="13" max="13" width="14.42578125" bestFit="1" customWidth="1"/>
    <col min="14" max="14" width="13.42578125" bestFit="1" customWidth="1"/>
    <col min="15" max="15" width="18.140625" bestFit="1" customWidth="1"/>
    <col min="16" max="16" width="14.28515625" bestFit="1" customWidth="1"/>
    <col min="17" max="17" width="11.5703125" bestFit="1" customWidth="1"/>
    <col min="18" max="19" width="11.7109375" bestFit="1" customWidth="1"/>
    <col min="20" max="20" width="14.7109375" customWidth="1"/>
    <col min="21" max="21" width="14.42578125" bestFit="1" customWidth="1"/>
    <col min="22" max="22" width="14.28515625" customWidth="1"/>
    <col min="23" max="23" width="15" bestFit="1" customWidth="1"/>
    <col min="24" max="24" width="11.7109375" bestFit="1" customWidth="1"/>
    <col min="25" max="25" width="8.140625" customWidth="1"/>
    <col min="26" max="26" width="11.5703125" customWidth="1"/>
    <col min="28" max="28" width="12.5703125" bestFit="1" customWidth="1"/>
  </cols>
  <sheetData>
    <row r="1" spans="1:28" x14ac:dyDescent="0.25">
      <c r="A1" s="361" t="s">
        <v>243</v>
      </c>
      <c r="B1" s="362"/>
      <c r="C1" s="373"/>
      <c r="D1" s="356" t="s">
        <v>576</v>
      </c>
      <c r="E1" s="357"/>
      <c r="F1" s="357"/>
      <c r="G1" s="357"/>
      <c r="H1" s="357"/>
      <c r="I1" s="357"/>
      <c r="J1" s="357"/>
      <c r="K1" s="358"/>
      <c r="M1" s="374" t="s">
        <v>243</v>
      </c>
      <c r="N1" s="375"/>
      <c r="O1" s="356" t="s">
        <v>577</v>
      </c>
      <c r="P1" s="357"/>
      <c r="Q1" s="357"/>
      <c r="R1" s="357"/>
      <c r="S1" s="357"/>
      <c r="T1" s="357"/>
      <c r="U1" s="357"/>
      <c r="V1" s="357"/>
      <c r="W1" s="357"/>
      <c r="X1" s="357"/>
      <c r="Y1" s="357"/>
      <c r="Z1" s="358"/>
    </row>
    <row r="2" spans="1:28" x14ac:dyDescent="0.25">
      <c r="A2" s="120" t="s">
        <v>518</v>
      </c>
      <c r="B2" s="172" t="s">
        <v>492</v>
      </c>
      <c r="C2" s="173" t="s">
        <v>38</v>
      </c>
      <c r="D2" s="171" t="s">
        <v>421</v>
      </c>
      <c r="E2" s="172" t="s">
        <v>501</v>
      </c>
      <c r="F2" s="172" t="s">
        <v>460</v>
      </c>
      <c r="G2" s="172" t="s">
        <v>461</v>
      </c>
      <c r="H2" s="172" t="s">
        <v>462</v>
      </c>
      <c r="I2" s="172" t="s">
        <v>463</v>
      </c>
      <c r="J2" s="172" t="s">
        <v>464</v>
      </c>
      <c r="K2" s="156" t="s">
        <v>436</v>
      </c>
      <c r="L2" s="3"/>
      <c r="M2" s="154" t="s">
        <v>518</v>
      </c>
      <c r="N2" s="252" t="s">
        <v>244</v>
      </c>
      <c r="O2" s="86" t="s">
        <v>500</v>
      </c>
      <c r="P2" s="86" t="s">
        <v>491</v>
      </c>
      <c r="Q2" s="174" t="s">
        <v>457</v>
      </c>
      <c r="R2" s="174" t="s">
        <v>501</v>
      </c>
      <c r="S2" s="172" t="s">
        <v>460</v>
      </c>
      <c r="T2" s="172" t="s">
        <v>461</v>
      </c>
      <c r="U2" s="172" t="s">
        <v>462</v>
      </c>
      <c r="V2" s="172" t="s">
        <v>463</v>
      </c>
      <c r="W2" s="172" t="s">
        <v>464</v>
      </c>
      <c r="X2" s="155" t="s">
        <v>436</v>
      </c>
      <c r="Y2" s="86" t="s">
        <v>493</v>
      </c>
      <c r="Z2" s="175" t="s">
        <v>494</v>
      </c>
    </row>
    <row r="3" spans="1:28" x14ac:dyDescent="0.25">
      <c r="A3" s="241" t="s">
        <v>39</v>
      </c>
      <c r="B3" s="242" t="s">
        <v>2</v>
      </c>
      <c r="C3" s="246" t="s">
        <v>40</v>
      </c>
      <c r="D3" s="283">
        <f t="shared" ref="D3:D34" si="0">+VLOOKUP(B3, N$3:O$28, 2, FALSE)</f>
        <v>2008</v>
      </c>
      <c r="E3" s="77">
        <v>131000</v>
      </c>
      <c r="F3" s="243">
        <f>+E3-G3-3000</f>
        <v>127600</v>
      </c>
      <c r="G3" s="243">
        <v>400</v>
      </c>
      <c r="H3" s="243">
        <f>+I3+J3</f>
        <v>21405299.369734801</v>
      </c>
      <c r="I3" s="279">
        <f>167.591343023 * F3</f>
        <v>21384655.369734801</v>
      </c>
      <c r="J3" s="284">
        <f>51.61 * G3</f>
        <v>20644</v>
      </c>
      <c r="K3" s="244">
        <f>+H3/E3</f>
        <v>163.39923183003665</v>
      </c>
      <c r="L3" s="14"/>
      <c r="M3" s="96" t="s">
        <v>39</v>
      </c>
      <c r="N3" s="247" t="s">
        <v>2</v>
      </c>
      <c r="O3" s="90">
        <v>2008</v>
      </c>
      <c r="P3" s="90" t="s">
        <v>328</v>
      </c>
      <c r="Q3" s="91">
        <v>8860.7999999999993</v>
      </c>
      <c r="R3" s="176">
        <f t="shared" ref="R3:R28" si="1">+SUMIF($B$3:$B$282, $N3, E$3:E$282)</f>
        <v>3858000</v>
      </c>
      <c r="S3" s="176">
        <f t="shared" ref="S3:S28" si="2">+SUMIF($B$3:$B$282, $N3, F$3:F$282)</f>
        <v>3323200</v>
      </c>
      <c r="T3" s="176">
        <f t="shared" ref="T3:T28" si="3">+SUMIF($B$3:$B$282, $N3, G$3:G$282)</f>
        <v>410800</v>
      </c>
      <c r="U3" s="176">
        <f t="shared" ref="U3:U28" si="4">+SUMIF($B$3:$B$282, $N3, H$3:H$282)</f>
        <v>676882504.45777678</v>
      </c>
      <c r="V3" s="176">
        <f t="shared" ref="V3:V28" si="5">+SUMIF($B$3:$B$282, $N3, I$3:I$282)</f>
        <v>629357393.45777678</v>
      </c>
      <c r="W3" s="176">
        <f t="shared" ref="W3:W28" si="6">+SUMIF($B$3:$B$282, $N3, J$3:J$282)</f>
        <v>47525111</v>
      </c>
      <c r="X3" s="95">
        <f t="shared" ref="X3:X28" si="7">+U3/R3</f>
        <v>175.44906802949114</v>
      </c>
      <c r="Y3" s="95">
        <v>1.50906441054</v>
      </c>
      <c r="Z3" s="97">
        <f>Y3/X3</f>
        <v>8.6011537564071993E-3</v>
      </c>
      <c r="AA3" s="65"/>
    </row>
    <row r="4" spans="1:28" x14ac:dyDescent="0.25">
      <c r="A4" s="107" t="s">
        <v>39</v>
      </c>
      <c r="B4" s="108" t="s">
        <v>2</v>
      </c>
      <c r="C4" s="187" t="s">
        <v>41</v>
      </c>
      <c r="D4" s="285">
        <f t="shared" si="0"/>
        <v>2008</v>
      </c>
      <c r="E4" s="3">
        <v>758000</v>
      </c>
      <c r="F4" s="32">
        <f>+E4-G4-17000</f>
        <v>719900</v>
      </c>
      <c r="G4" s="32">
        <v>21100</v>
      </c>
      <c r="H4" s="32">
        <f t="shared" ref="H4:H11" si="8">+I4+J4</f>
        <v>134449992.54342681</v>
      </c>
      <c r="I4" s="282">
        <f>183.090716132 * F4</f>
        <v>131807006.54342681</v>
      </c>
      <c r="J4" s="6">
        <f>125.26 * G4</f>
        <v>2642986</v>
      </c>
      <c r="K4" s="109">
        <f t="shared" ref="K4:K11" si="9">+H4/E4</f>
        <v>177.37466034752879</v>
      </c>
      <c r="L4" s="14"/>
      <c r="M4" s="98" t="s">
        <v>313</v>
      </c>
      <c r="N4" s="248" t="s">
        <v>4</v>
      </c>
      <c r="O4" s="90">
        <v>2012</v>
      </c>
      <c r="P4" s="90" t="s">
        <v>322</v>
      </c>
      <c r="Q4" s="92">
        <v>12290</v>
      </c>
      <c r="R4" s="176">
        <f t="shared" si="1"/>
        <v>696179</v>
      </c>
      <c r="S4" s="32" t="e">
        <f t="shared" si="2"/>
        <v>#N/A</v>
      </c>
      <c r="T4" s="32" t="e">
        <f t="shared" si="3"/>
        <v>#N/A</v>
      </c>
      <c r="U4" s="176">
        <f t="shared" si="4"/>
        <v>112192150.53831148</v>
      </c>
      <c r="V4" s="32" t="e">
        <f t="shared" si="5"/>
        <v>#N/A</v>
      </c>
      <c r="W4" s="32" t="e">
        <f t="shared" si="6"/>
        <v>#N/A</v>
      </c>
      <c r="X4" s="95">
        <f t="shared" si="7"/>
        <v>161.15417232969034</v>
      </c>
      <c r="Y4" s="95">
        <v>1.04770787056</v>
      </c>
      <c r="Z4" s="97">
        <f t="shared" ref="Z4:Z6" si="10">Y4/X4</f>
        <v>6.5012767303138262E-3</v>
      </c>
      <c r="AA4" s="65"/>
    </row>
    <row r="5" spans="1:28" x14ac:dyDescent="0.25">
      <c r="A5" s="107" t="s">
        <v>39</v>
      </c>
      <c r="B5" s="108" t="s">
        <v>2</v>
      </c>
      <c r="C5" s="187" t="s">
        <v>42</v>
      </c>
      <c r="D5" s="285">
        <f t="shared" si="0"/>
        <v>2008</v>
      </c>
      <c r="E5" s="3">
        <v>8000</v>
      </c>
      <c r="F5" s="32">
        <f t="shared" ref="F5" si="11">+E5-G5</f>
        <v>6900</v>
      </c>
      <c r="G5" s="32">
        <v>1100</v>
      </c>
      <c r="H5" s="32">
        <f t="shared" si="8"/>
        <v>2256387.65</v>
      </c>
      <c r="I5" s="282">
        <f>291.5385 * F5</f>
        <v>2011615.65</v>
      </c>
      <c r="J5" s="6">
        <f>222.52 * G5</f>
        <v>244772</v>
      </c>
      <c r="K5" s="109">
        <f t="shared" si="9"/>
        <v>282.04845625000002</v>
      </c>
      <c r="L5" s="14"/>
      <c r="M5" s="98" t="s">
        <v>245</v>
      </c>
      <c r="N5" s="249" t="s">
        <v>5</v>
      </c>
      <c r="O5" s="90">
        <v>2007</v>
      </c>
      <c r="P5" s="90" t="s">
        <v>504</v>
      </c>
      <c r="Q5" s="106">
        <v>377</v>
      </c>
      <c r="R5" s="176">
        <f t="shared" si="1"/>
        <v>3703337.7256637169</v>
      </c>
      <c r="S5" s="176">
        <f t="shared" si="2"/>
        <v>3035361.6902587167</v>
      </c>
      <c r="T5" s="176">
        <f t="shared" si="3"/>
        <v>667976.03540499997</v>
      </c>
      <c r="U5" s="176">
        <f t="shared" si="4"/>
        <v>402097122.99666345</v>
      </c>
      <c r="V5" s="176">
        <f t="shared" si="5"/>
        <v>306130952.85586345</v>
      </c>
      <c r="W5" s="176">
        <f t="shared" si="6"/>
        <v>95966170.140799999</v>
      </c>
      <c r="X5" s="95">
        <f t="shared" si="7"/>
        <v>108.57695213973473</v>
      </c>
      <c r="Y5" s="95">
        <v>4.48165020216</v>
      </c>
      <c r="Z5" s="97">
        <f t="shared" si="10"/>
        <v>4.1276257196760077E-2</v>
      </c>
      <c r="AA5" s="65"/>
    </row>
    <row r="6" spans="1:28" x14ac:dyDescent="0.25">
      <c r="A6" s="107" t="s">
        <v>39</v>
      </c>
      <c r="B6" s="108" t="s">
        <v>2</v>
      </c>
      <c r="C6" s="187" t="s">
        <v>43</v>
      </c>
      <c r="D6" s="285">
        <f t="shared" si="0"/>
        <v>2008</v>
      </c>
      <c r="E6" s="3">
        <v>571000</v>
      </c>
      <c r="F6" s="32">
        <f>+E6-G6-23000</f>
        <v>501200</v>
      </c>
      <c r="G6" s="32">
        <v>46800</v>
      </c>
      <c r="H6" s="32">
        <f t="shared" si="8"/>
        <v>101015072.679966</v>
      </c>
      <c r="I6" s="282">
        <f>190.562627055 * F6</f>
        <v>95509988.679966003</v>
      </c>
      <c r="J6" s="6">
        <f>117.63 * G6</f>
        <v>5505084</v>
      </c>
      <c r="K6" s="109">
        <f t="shared" si="9"/>
        <v>176.90905898417864</v>
      </c>
      <c r="L6" s="14"/>
      <c r="M6" s="99" t="s">
        <v>49</v>
      </c>
      <c r="N6" s="250" t="s">
        <v>6</v>
      </c>
      <c r="O6" s="90">
        <v>2005</v>
      </c>
      <c r="P6" s="90" t="s">
        <v>319</v>
      </c>
      <c r="Q6" s="93">
        <v>5920</v>
      </c>
      <c r="R6" s="176">
        <f t="shared" si="1"/>
        <v>1177421.3960000002</v>
      </c>
      <c r="S6" s="176">
        <f t="shared" si="2"/>
        <v>1116609.234085086</v>
      </c>
      <c r="T6" s="176">
        <f t="shared" si="3"/>
        <v>60812.161914914119</v>
      </c>
      <c r="U6" s="176">
        <f t="shared" si="4"/>
        <v>232782432.00890002</v>
      </c>
      <c r="V6" s="176">
        <f t="shared" si="5"/>
        <v>225351824.72786039</v>
      </c>
      <c r="W6" s="176">
        <f t="shared" si="6"/>
        <v>7430607.2810396198</v>
      </c>
      <c r="X6" s="95">
        <f t="shared" si="7"/>
        <v>197.70528444592659</v>
      </c>
      <c r="Y6" s="95">
        <v>2.06671937034</v>
      </c>
      <c r="Z6" s="97">
        <f t="shared" si="10"/>
        <v>1.045353631356909E-2</v>
      </c>
      <c r="AA6" s="65"/>
    </row>
    <row r="7" spans="1:28" x14ac:dyDescent="0.25">
      <c r="A7" s="107" t="s">
        <v>39</v>
      </c>
      <c r="B7" s="108" t="s">
        <v>2</v>
      </c>
      <c r="C7" s="187" t="s">
        <v>44</v>
      </c>
      <c r="D7" s="285">
        <f t="shared" si="0"/>
        <v>2008</v>
      </c>
      <c r="E7" s="3">
        <v>979000</v>
      </c>
      <c r="F7" s="32">
        <f>+E7-G7-41000</f>
        <v>854600</v>
      </c>
      <c r="G7" s="32">
        <v>83400</v>
      </c>
      <c r="H7" s="32">
        <f t="shared" si="8"/>
        <v>173465519.19825959</v>
      </c>
      <c r="I7" s="282">
        <f>191.115627426 * F7</f>
        <v>163327415.19825959</v>
      </c>
      <c r="J7" s="6">
        <f>121.56 * G7</f>
        <v>10138104</v>
      </c>
      <c r="K7" s="109">
        <f t="shared" si="9"/>
        <v>177.18643431895771</v>
      </c>
      <c r="L7" s="14"/>
      <c r="M7" s="99" t="s">
        <v>57</v>
      </c>
      <c r="N7" s="250" t="s">
        <v>8</v>
      </c>
      <c r="O7" s="90">
        <v>2003</v>
      </c>
      <c r="P7" s="90" t="s">
        <v>320</v>
      </c>
      <c r="Q7" s="93">
        <v>13758</v>
      </c>
      <c r="R7" s="176">
        <f t="shared" si="1"/>
        <v>2751600</v>
      </c>
      <c r="S7" s="176">
        <f t="shared" si="2"/>
        <v>2588189.9815921485</v>
      </c>
      <c r="T7" s="176">
        <f t="shared" si="3"/>
        <v>163410.01840785163</v>
      </c>
      <c r="U7" s="176">
        <f t="shared" si="4"/>
        <v>581621450.44218004</v>
      </c>
      <c r="V7" s="176">
        <f t="shared" si="5"/>
        <v>551831273.99556363</v>
      </c>
      <c r="W7" s="176">
        <f t="shared" si="6"/>
        <v>29790176.446616378</v>
      </c>
      <c r="X7" s="95">
        <f t="shared" si="7"/>
        <v>211.37572701053207</v>
      </c>
      <c r="Y7" s="95">
        <v>1.2540077512500001</v>
      </c>
      <c r="Z7" s="97">
        <f>Y7/X7</f>
        <v>5.9326005354792578E-3</v>
      </c>
      <c r="AA7" s="65"/>
    </row>
    <row r="8" spans="1:28" x14ac:dyDescent="0.25">
      <c r="A8" s="107" t="s">
        <v>39</v>
      </c>
      <c r="B8" s="108" t="s">
        <v>2</v>
      </c>
      <c r="C8" s="187" t="s">
        <v>45</v>
      </c>
      <c r="D8" s="285">
        <f t="shared" si="0"/>
        <v>2008</v>
      </c>
      <c r="E8" s="3">
        <v>491000</v>
      </c>
      <c r="F8" s="32">
        <f>+E8-G8-13000</f>
        <v>433100</v>
      </c>
      <c r="G8" s="32">
        <v>44900</v>
      </c>
      <c r="H8" s="32">
        <f t="shared" si="8"/>
        <v>96642409.184549198</v>
      </c>
      <c r="I8" s="282">
        <f>205.091939932 * F8</f>
        <v>88825319.184549198</v>
      </c>
      <c r="J8" s="6">
        <f>174.1 * G8</f>
        <v>7817090</v>
      </c>
      <c r="K8" s="109">
        <f t="shared" si="9"/>
        <v>196.82771728014094</v>
      </c>
      <c r="L8" s="14"/>
      <c r="M8" s="96" t="s">
        <v>72</v>
      </c>
      <c r="N8" s="247" t="s">
        <v>9</v>
      </c>
      <c r="O8" s="90">
        <v>2002</v>
      </c>
      <c r="P8" s="90">
        <v>2002</v>
      </c>
      <c r="Q8" s="91">
        <v>51691</v>
      </c>
      <c r="R8" s="176">
        <f t="shared" si="1"/>
        <v>10545496.323230248</v>
      </c>
      <c r="S8" s="176">
        <f t="shared" si="2"/>
        <v>9891488.903230248</v>
      </c>
      <c r="T8" s="176">
        <f t="shared" si="3"/>
        <v>654007.42000000004</v>
      </c>
      <c r="U8" s="176">
        <f t="shared" si="4"/>
        <v>1854966884.5747507</v>
      </c>
      <c r="V8" s="176">
        <f t="shared" si="5"/>
        <v>1746343491.0826507</v>
      </c>
      <c r="W8" s="176">
        <f t="shared" si="6"/>
        <v>108623393.4921</v>
      </c>
      <c r="X8" s="95">
        <f t="shared" si="7"/>
        <v>175.90133529215871</v>
      </c>
      <c r="Y8" s="95">
        <v>0.76670486840499996</v>
      </c>
      <c r="Z8" s="97">
        <f>Y8/X8</f>
        <v>4.3587211383674922E-3</v>
      </c>
      <c r="AA8" s="5"/>
    </row>
    <row r="9" spans="1:28" x14ac:dyDescent="0.25">
      <c r="A9" s="107" t="s">
        <v>39</v>
      </c>
      <c r="B9" s="108" t="s">
        <v>2</v>
      </c>
      <c r="C9" s="187" t="s">
        <v>46</v>
      </c>
      <c r="D9" s="285">
        <f t="shared" si="0"/>
        <v>2008</v>
      </c>
      <c r="E9" s="3">
        <v>355000</v>
      </c>
      <c r="F9" s="32">
        <f>+E9-G9-11000</f>
        <v>275000</v>
      </c>
      <c r="G9" s="32">
        <v>69000</v>
      </c>
      <c r="H9" s="32">
        <f t="shared" si="8"/>
        <v>58087255</v>
      </c>
      <c r="I9" s="282">
        <f>187.9646 * F9</f>
        <v>51690265</v>
      </c>
      <c r="J9" s="6">
        <f>92.71 * G9</f>
        <v>6396990</v>
      </c>
      <c r="K9" s="109">
        <f t="shared" si="9"/>
        <v>163.62607042253521</v>
      </c>
      <c r="L9" s="14"/>
      <c r="M9" s="98" t="s">
        <v>324</v>
      </c>
      <c r="N9" s="248" t="s">
        <v>10</v>
      </c>
      <c r="O9" s="90">
        <v>2014</v>
      </c>
      <c r="P9" s="90" t="s">
        <v>325</v>
      </c>
      <c r="Q9" s="92">
        <v>6188</v>
      </c>
      <c r="R9" s="176">
        <f t="shared" si="1"/>
        <v>620500.24726340862</v>
      </c>
      <c r="S9" s="33" t="e">
        <f t="shared" si="2"/>
        <v>#N/A</v>
      </c>
      <c r="T9" s="33" t="e">
        <f t="shared" si="3"/>
        <v>#N/A</v>
      </c>
      <c r="U9" s="176">
        <f t="shared" si="4"/>
        <v>71054718.299973637</v>
      </c>
      <c r="V9" s="33" t="e">
        <f t="shared" si="5"/>
        <v>#N/A</v>
      </c>
      <c r="W9" s="33" t="e">
        <f t="shared" si="6"/>
        <v>#N/A</v>
      </c>
      <c r="X9" s="95">
        <f t="shared" si="7"/>
        <v>114.51199030676645</v>
      </c>
      <c r="Y9" s="95">
        <v>1.78273826934</v>
      </c>
      <c r="Z9" s="97">
        <f>Y9/X9</f>
        <v>1.5568136267339499E-2</v>
      </c>
      <c r="AA9" s="65"/>
    </row>
    <row r="10" spans="1:28" x14ac:dyDescent="0.25">
      <c r="A10" s="107" t="s">
        <v>39</v>
      </c>
      <c r="B10" s="108" t="s">
        <v>2</v>
      </c>
      <c r="C10" s="187" t="s">
        <v>47</v>
      </c>
      <c r="D10" s="285">
        <f t="shared" si="0"/>
        <v>2008</v>
      </c>
      <c r="E10" s="3">
        <v>482000</v>
      </c>
      <c r="F10" s="32">
        <f>+E10-G10-13000</f>
        <v>343000</v>
      </c>
      <c r="G10" s="32">
        <v>126000</v>
      </c>
      <c r="H10" s="32">
        <f t="shared" si="8"/>
        <v>73923076.765152991</v>
      </c>
      <c r="I10" s="282">
        <f>178.747745671 * F10</f>
        <v>61310476.765152998</v>
      </c>
      <c r="J10" s="6">
        <f>100.1 * G10</f>
        <v>12612600</v>
      </c>
      <c r="K10" s="109">
        <f t="shared" si="9"/>
        <v>153.36737918081533</v>
      </c>
      <c r="L10" s="14"/>
      <c r="M10" s="99" t="s">
        <v>89</v>
      </c>
      <c r="N10" s="250" t="s">
        <v>12</v>
      </c>
      <c r="O10" s="90">
        <v>2002</v>
      </c>
      <c r="P10" s="90" t="s">
        <v>336</v>
      </c>
      <c r="Q10" s="93">
        <v>82749</v>
      </c>
      <c r="R10" s="176">
        <f t="shared" si="1"/>
        <v>18535494.671328027</v>
      </c>
      <c r="S10" s="176">
        <f t="shared" si="2"/>
        <v>17056046.754053328</v>
      </c>
      <c r="T10" s="176">
        <f t="shared" si="3"/>
        <v>1479447.9172746842</v>
      </c>
      <c r="U10" s="176">
        <f t="shared" si="4"/>
        <v>1050107626.7743665</v>
      </c>
      <c r="V10" s="176">
        <f t="shared" si="5"/>
        <v>976635736.47958684</v>
      </c>
      <c r="W10" s="176">
        <f t="shared" si="6"/>
        <v>73471890.29477945</v>
      </c>
      <c r="X10" s="95">
        <f t="shared" si="7"/>
        <v>56.653876543081687</v>
      </c>
      <c r="Y10" s="95"/>
      <c r="Z10" s="97"/>
      <c r="AA10" s="65"/>
    </row>
    <row r="11" spans="1:28" x14ac:dyDescent="0.25">
      <c r="A11" s="107" t="s">
        <v>39</v>
      </c>
      <c r="B11" s="108" t="s">
        <v>2</v>
      </c>
      <c r="C11" s="187" t="s">
        <v>48</v>
      </c>
      <c r="D11" s="285">
        <f t="shared" si="0"/>
        <v>2008</v>
      </c>
      <c r="E11" s="3">
        <v>83000</v>
      </c>
      <c r="F11" s="32">
        <f>+E11-G11-3000</f>
        <v>61900</v>
      </c>
      <c r="G11" s="32">
        <v>18100</v>
      </c>
      <c r="H11" s="32">
        <f t="shared" si="8"/>
        <v>15637492.066687299</v>
      </c>
      <c r="I11" s="282">
        <f>217.942666667 * F11</f>
        <v>13490651.066687299</v>
      </c>
      <c r="J11" s="6">
        <f>118.61 * G11</f>
        <v>2146841</v>
      </c>
      <c r="K11" s="109">
        <f t="shared" si="9"/>
        <v>188.40351887575059</v>
      </c>
      <c r="L11" s="14"/>
      <c r="M11" s="96" t="s">
        <v>330</v>
      </c>
      <c r="N11" s="247" t="s">
        <v>13</v>
      </c>
      <c r="O11" s="90">
        <v>2006</v>
      </c>
      <c r="P11" s="90" t="s">
        <v>331</v>
      </c>
      <c r="Q11" s="91">
        <v>51363</v>
      </c>
      <c r="R11" s="176">
        <f t="shared" si="1"/>
        <v>21958311.059999999</v>
      </c>
      <c r="S11" s="32" t="e">
        <f t="shared" si="2"/>
        <v>#N/A</v>
      </c>
      <c r="T11" s="32" t="e">
        <f t="shared" si="3"/>
        <v>#N/A</v>
      </c>
      <c r="U11" s="176">
        <f t="shared" si="4"/>
        <v>1302525685.8300676</v>
      </c>
      <c r="V11" s="32" t="e">
        <f t="shared" si="5"/>
        <v>#N/A</v>
      </c>
      <c r="W11" s="32" t="e">
        <f t="shared" si="6"/>
        <v>#N/A</v>
      </c>
      <c r="X11" s="95">
        <f t="shared" si="7"/>
        <v>59.318117967769957</v>
      </c>
      <c r="Y11" s="95">
        <v>0.40050576701500001</v>
      </c>
      <c r="Z11" s="97">
        <f t="shared" ref="Z11:Z26" si="12">Y11/X11</f>
        <v>6.7518286273447132E-3</v>
      </c>
      <c r="AA11" s="65"/>
    </row>
    <row r="12" spans="1:28" x14ac:dyDescent="0.25">
      <c r="A12" s="188" t="s">
        <v>313</v>
      </c>
      <c r="B12" s="108" t="s">
        <v>4</v>
      </c>
      <c r="C12" s="189" t="s">
        <v>423</v>
      </c>
      <c r="D12" s="285">
        <f t="shared" si="0"/>
        <v>2012</v>
      </c>
      <c r="E12" s="32">
        <f>1164</f>
        <v>1164</v>
      </c>
      <c r="F12" s="32" t="e">
        <v>#N/A</v>
      </c>
      <c r="G12" s="32" t="e">
        <v>#N/A</v>
      </c>
      <c r="H12" s="32">
        <f>+K12*E12</f>
        <v>293640.1080157762</v>
      </c>
      <c r="I12" s="32" t="e">
        <v>#N/A</v>
      </c>
      <c r="J12" s="32" t="e">
        <v>#N/A</v>
      </c>
      <c r="K12" s="110">
        <v>252.26813403417199</v>
      </c>
      <c r="M12" s="96" t="s">
        <v>252</v>
      </c>
      <c r="N12" s="247" t="s">
        <v>14</v>
      </c>
      <c r="O12" s="90">
        <v>2010</v>
      </c>
      <c r="P12" s="90" t="s">
        <v>332</v>
      </c>
      <c r="Q12" s="91">
        <v>31812</v>
      </c>
      <c r="R12" s="176">
        <f t="shared" si="1"/>
        <v>16424000</v>
      </c>
      <c r="S12" s="176">
        <f t="shared" si="2"/>
        <v>15606000</v>
      </c>
      <c r="T12" s="176">
        <f t="shared" si="3"/>
        <v>818000</v>
      </c>
      <c r="U12" s="176">
        <f t="shared" si="4"/>
        <v>2290179521.7189183</v>
      </c>
      <c r="V12" s="32">
        <f t="shared" si="5"/>
        <v>2187151253.7778559</v>
      </c>
      <c r="W12" s="32">
        <f t="shared" si="6"/>
        <v>103028267.94106215</v>
      </c>
      <c r="X12" s="95">
        <f t="shared" si="7"/>
        <v>139.44103273982699</v>
      </c>
      <c r="Y12" s="95">
        <v>0.55959700591799999</v>
      </c>
      <c r="Z12" s="97">
        <f t="shared" si="12"/>
        <v>4.0131444448070885E-3</v>
      </c>
      <c r="AA12" s="65"/>
    </row>
    <row r="13" spans="1:28" x14ac:dyDescent="0.25">
      <c r="A13" s="188" t="s">
        <v>313</v>
      </c>
      <c r="B13" s="108" t="s">
        <v>4</v>
      </c>
      <c r="C13" s="189" t="s">
        <v>338</v>
      </c>
      <c r="D13" s="285">
        <f t="shared" si="0"/>
        <v>2012</v>
      </c>
      <c r="E13" s="32">
        <f>138815</f>
        <v>138815</v>
      </c>
      <c r="F13" s="32" t="e">
        <v>#N/A</v>
      </c>
      <c r="G13" s="32" t="e">
        <v>#N/A</v>
      </c>
      <c r="H13" s="32">
        <f t="shared" ref="H13:H14" si="13">+K13*E13</f>
        <v>22999302.548188426</v>
      </c>
      <c r="I13" s="32" t="e">
        <v>#N/A</v>
      </c>
      <c r="J13" s="32" t="e">
        <v>#N/A</v>
      </c>
      <c r="K13" s="110">
        <v>165.68312176773711</v>
      </c>
      <c r="M13" s="98" t="s">
        <v>323</v>
      </c>
      <c r="N13" s="248" t="s">
        <v>17</v>
      </c>
      <c r="O13" s="90">
        <v>2008</v>
      </c>
      <c r="P13" s="90" t="s">
        <v>321</v>
      </c>
      <c r="Q13" s="92">
        <v>5221</v>
      </c>
      <c r="R13" s="176">
        <f t="shared" si="1"/>
        <v>2455062.1582182217</v>
      </c>
      <c r="S13" s="32" t="e">
        <f t="shared" si="2"/>
        <v>#N/A</v>
      </c>
      <c r="T13" s="32" t="e">
        <f t="shared" si="3"/>
        <v>#N/A</v>
      </c>
      <c r="U13" s="176">
        <f t="shared" si="4"/>
        <v>418452445.45500004</v>
      </c>
      <c r="V13" s="32" t="e">
        <f t="shared" si="5"/>
        <v>#N/A</v>
      </c>
      <c r="W13" s="32" t="e">
        <f t="shared" si="6"/>
        <v>#N/A</v>
      </c>
      <c r="X13" s="95">
        <f t="shared" si="7"/>
        <v>170.44474578953015</v>
      </c>
      <c r="Y13" s="95">
        <v>2.78544106884</v>
      </c>
      <c r="Z13" s="97">
        <f t="shared" si="12"/>
        <v>1.6342193805607474E-2</v>
      </c>
      <c r="AA13" s="65"/>
      <c r="AB13" s="6"/>
    </row>
    <row r="14" spans="1:28" x14ac:dyDescent="0.25">
      <c r="A14" s="188" t="s">
        <v>313</v>
      </c>
      <c r="B14" s="108" t="s">
        <v>4</v>
      </c>
      <c r="C14" s="189" t="s">
        <v>340</v>
      </c>
      <c r="D14" s="285">
        <f t="shared" si="0"/>
        <v>2012</v>
      </c>
      <c r="E14" s="32">
        <f>556200</f>
        <v>556200</v>
      </c>
      <c r="F14" s="32" t="e">
        <v>#N/A</v>
      </c>
      <c r="G14" s="32" t="e">
        <v>#N/A</v>
      </c>
      <c r="H14" s="32">
        <f t="shared" si="13"/>
        <v>88899207.882107273</v>
      </c>
      <c r="I14" s="32" t="e">
        <v>#N/A</v>
      </c>
      <c r="J14" s="32" t="e">
        <v>#N/A</v>
      </c>
      <c r="K14" s="110">
        <v>159.83316771324573</v>
      </c>
      <c r="M14" s="98" t="s">
        <v>246</v>
      </c>
      <c r="N14" s="248" t="s">
        <v>18</v>
      </c>
      <c r="O14" s="90">
        <v>2012</v>
      </c>
      <c r="P14" s="90" t="s">
        <v>325</v>
      </c>
      <c r="Q14" s="92">
        <v>4575</v>
      </c>
      <c r="R14" s="176">
        <f t="shared" si="1"/>
        <v>2142000</v>
      </c>
      <c r="S14" s="176">
        <f t="shared" si="2"/>
        <v>1967200</v>
      </c>
      <c r="T14" s="176">
        <f t="shared" si="3"/>
        <v>174800</v>
      </c>
      <c r="U14" s="176">
        <f t="shared" si="4"/>
        <v>299725973.40181857</v>
      </c>
      <c r="V14" s="176">
        <f t="shared" si="5"/>
        <v>287866085.40181857</v>
      </c>
      <c r="W14" s="176">
        <f t="shared" si="6"/>
        <v>11859888</v>
      </c>
      <c r="X14" s="95">
        <f t="shared" si="7"/>
        <v>139.92809215771175</v>
      </c>
      <c r="Y14" s="95">
        <v>1.59863033255</v>
      </c>
      <c r="Z14" s="97">
        <f t="shared" si="12"/>
        <v>1.1424656106567919E-2</v>
      </c>
      <c r="AA14" s="65"/>
    </row>
    <row r="15" spans="1:28" x14ac:dyDescent="0.25">
      <c r="A15" s="76" t="s">
        <v>245</v>
      </c>
      <c r="B15" s="108" t="s">
        <v>5</v>
      </c>
      <c r="C15" s="142" t="s">
        <v>429</v>
      </c>
      <c r="D15" s="285">
        <f t="shared" si="0"/>
        <v>2007</v>
      </c>
      <c r="E15" s="33">
        <v>461689.31858407083</v>
      </c>
      <c r="F15" s="282">
        <f>+E15-G15</f>
        <v>373280.72566207079</v>
      </c>
      <c r="G15" s="282">
        <v>88408.592922000011</v>
      </c>
      <c r="H15" s="33">
        <v>44001420.072025314</v>
      </c>
      <c r="I15" s="282">
        <f>+H15-J15</f>
        <v>30354290.888725314</v>
      </c>
      <c r="J15" s="282">
        <v>13647129.1833</v>
      </c>
      <c r="K15" s="110">
        <f>+H15/E15</f>
        <v>95.305258971489337</v>
      </c>
      <c r="M15" s="99" t="s">
        <v>139</v>
      </c>
      <c r="N15" s="250" t="s">
        <v>19</v>
      </c>
      <c r="O15" s="90">
        <v>2006</v>
      </c>
      <c r="P15" s="90">
        <v>2006</v>
      </c>
      <c r="Q15" s="93">
        <v>1418</v>
      </c>
      <c r="R15" s="176">
        <f t="shared" si="1"/>
        <v>697840</v>
      </c>
      <c r="S15" s="176">
        <f t="shared" si="2"/>
        <v>598541.61418814212</v>
      </c>
      <c r="T15" s="176">
        <f t="shared" si="3"/>
        <v>99298.385811857894</v>
      </c>
      <c r="U15" s="176">
        <f t="shared" si="4"/>
        <v>63638738.467299998</v>
      </c>
      <c r="V15" s="176">
        <f t="shared" si="5"/>
        <v>53096469.31210956</v>
      </c>
      <c r="W15" s="176">
        <f t="shared" si="6"/>
        <v>10542269.15519044</v>
      </c>
      <c r="X15" s="95">
        <f t="shared" si="7"/>
        <v>91.193881788518851</v>
      </c>
      <c r="Y15" s="95">
        <v>2.6485091066700002</v>
      </c>
      <c r="Z15" s="97">
        <f t="shared" si="12"/>
        <v>2.9042618372271581E-2</v>
      </c>
      <c r="AA15" s="65"/>
    </row>
    <row r="16" spans="1:28" x14ac:dyDescent="0.25">
      <c r="A16" s="76" t="s">
        <v>245</v>
      </c>
      <c r="B16" s="108" t="s">
        <v>5</v>
      </c>
      <c r="C16" s="142" t="s">
        <v>430</v>
      </c>
      <c r="D16" s="285">
        <f t="shared" si="0"/>
        <v>2007</v>
      </c>
      <c r="E16" s="33">
        <v>284872.13274336298</v>
      </c>
      <c r="F16" s="282">
        <f t="shared" ref="F16:F57" si="14">+E16-G16</f>
        <v>245579.42478136299</v>
      </c>
      <c r="G16" s="282">
        <v>39292.707962</v>
      </c>
      <c r="H16" s="33">
        <v>27270824.325666592</v>
      </c>
      <c r="I16" s="282">
        <f t="shared" ref="I16:I41" si="15">+H16-J16</f>
        <v>24632503.700066593</v>
      </c>
      <c r="J16" s="282">
        <v>2638320.6255999999</v>
      </c>
      <c r="K16" s="110">
        <f t="shared" ref="K16:K41" si="16">+H16/E16</f>
        <v>95.730052859310277</v>
      </c>
      <c r="M16" s="98" t="s">
        <v>140</v>
      </c>
      <c r="N16" s="248" t="s">
        <v>20</v>
      </c>
      <c r="O16" s="90">
        <v>2010</v>
      </c>
      <c r="P16" s="90" t="s">
        <v>456</v>
      </c>
      <c r="Q16" s="92">
        <v>642</v>
      </c>
      <c r="R16" s="176">
        <f t="shared" si="1"/>
        <v>35692.838070166501</v>
      </c>
      <c r="S16" s="176">
        <f t="shared" si="2"/>
        <v>23130.064170038699</v>
      </c>
      <c r="T16" s="176">
        <f t="shared" si="3"/>
        <v>12562.773900127801</v>
      </c>
      <c r="U16" s="176">
        <f t="shared" si="4"/>
        <v>538455.75694600004</v>
      </c>
      <c r="V16" s="176">
        <f t="shared" si="5"/>
        <v>338308.00560720504</v>
      </c>
      <c r="W16" s="176">
        <f t="shared" si="6"/>
        <v>200147.751338795</v>
      </c>
      <c r="X16" s="95">
        <f t="shared" si="7"/>
        <v>15.085820743295358</v>
      </c>
      <c r="Y16" s="95">
        <v>2.9446626872400001</v>
      </c>
      <c r="Z16" s="97">
        <f t="shared" si="12"/>
        <v>0.19519406582825177</v>
      </c>
      <c r="AA16" s="65"/>
    </row>
    <row r="17" spans="1:29" x14ac:dyDescent="0.25">
      <c r="A17" s="76" t="s">
        <v>245</v>
      </c>
      <c r="B17" s="108" t="s">
        <v>5</v>
      </c>
      <c r="C17" s="142" t="s">
        <v>431</v>
      </c>
      <c r="D17" s="285">
        <f t="shared" si="0"/>
        <v>2007</v>
      </c>
      <c r="E17" s="33">
        <v>196463.53982300911</v>
      </c>
      <c r="F17" s="282">
        <f t="shared" si="14"/>
        <v>157170.83186300911</v>
      </c>
      <c r="G17" s="282">
        <v>39292.70796</v>
      </c>
      <c r="H17" s="33">
        <v>28203512.012522139</v>
      </c>
      <c r="I17" s="282">
        <f t="shared" si="15"/>
        <v>21108164.603522137</v>
      </c>
      <c r="J17" s="282">
        <v>7095347.409</v>
      </c>
      <c r="K17" s="110">
        <f t="shared" si="16"/>
        <v>143.55595973649989</v>
      </c>
      <c r="M17" s="96" t="s">
        <v>141</v>
      </c>
      <c r="N17" s="247" t="s">
        <v>21</v>
      </c>
      <c r="O17" s="90">
        <v>2005</v>
      </c>
      <c r="P17" s="90" t="s">
        <v>333</v>
      </c>
      <c r="Q17" s="91">
        <v>23289</v>
      </c>
      <c r="R17" s="176">
        <f t="shared" si="1"/>
        <v>8759200.3999999985</v>
      </c>
      <c r="S17" s="32" t="e">
        <f t="shared" si="2"/>
        <v>#N/A</v>
      </c>
      <c r="T17" s="32" t="e">
        <f t="shared" si="3"/>
        <v>#N/A</v>
      </c>
      <c r="U17" s="176">
        <f t="shared" si="4"/>
        <v>898586381.89890003</v>
      </c>
      <c r="V17" s="32" t="e">
        <f t="shared" si="5"/>
        <v>#N/A</v>
      </c>
      <c r="W17" s="32" t="e">
        <f t="shared" si="6"/>
        <v>#N/A</v>
      </c>
      <c r="X17" s="95">
        <f t="shared" si="7"/>
        <v>102.5877181550613</v>
      </c>
      <c r="Y17" s="95">
        <v>0.73286816047000003</v>
      </c>
      <c r="Z17" s="97">
        <f t="shared" si="12"/>
        <v>7.143819685727585E-3</v>
      </c>
      <c r="AA17" s="65"/>
    </row>
    <row r="18" spans="1:29" x14ac:dyDescent="0.25">
      <c r="A18" s="76" t="s">
        <v>245</v>
      </c>
      <c r="B18" s="108" t="s">
        <v>5</v>
      </c>
      <c r="C18" s="142" t="s">
        <v>432</v>
      </c>
      <c r="D18" s="285">
        <f t="shared" si="0"/>
        <v>2007</v>
      </c>
      <c r="E18" s="33">
        <v>599213.79646017798</v>
      </c>
      <c r="F18" s="282">
        <f t="shared" si="14"/>
        <v>451866.14158017799</v>
      </c>
      <c r="G18" s="282">
        <v>147347.65487999999</v>
      </c>
      <c r="H18" s="33">
        <v>67563241.720906466</v>
      </c>
      <c r="I18" s="282">
        <f t="shared" si="15"/>
        <v>44528304.496906467</v>
      </c>
      <c r="J18" s="282">
        <v>23034937.223999999</v>
      </c>
      <c r="K18" s="110">
        <f t="shared" si="16"/>
        <v>112.75314774131127</v>
      </c>
      <c r="M18" s="96" t="s">
        <v>248</v>
      </c>
      <c r="N18" s="247" t="s">
        <v>23</v>
      </c>
      <c r="O18" s="90">
        <v>2010</v>
      </c>
      <c r="P18" s="90" t="s">
        <v>332</v>
      </c>
      <c r="Q18" s="93">
        <v>5408</v>
      </c>
      <c r="R18" s="176">
        <f t="shared" si="1"/>
        <v>2163200</v>
      </c>
      <c r="S18" s="176">
        <f t="shared" si="2"/>
        <v>1769460.5096300002</v>
      </c>
      <c r="T18" s="176">
        <f t="shared" si="3"/>
        <v>393739.49037000001</v>
      </c>
      <c r="U18" s="176">
        <f t="shared" si="4"/>
        <v>279697679.57559997</v>
      </c>
      <c r="V18" s="176">
        <f t="shared" si="5"/>
        <v>219203490.7306</v>
      </c>
      <c r="W18" s="176">
        <f t="shared" si="6"/>
        <v>60494188.845000006</v>
      </c>
      <c r="X18" s="95">
        <f t="shared" si="7"/>
        <v>129.29811370913461</v>
      </c>
      <c r="Y18" s="95">
        <v>1.26489203913</v>
      </c>
      <c r="Z18" s="97">
        <f t="shared" si="12"/>
        <v>9.7827570940088541E-3</v>
      </c>
      <c r="AA18" s="65"/>
    </row>
    <row r="19" spans="1:29" x14ac:dyDescent="0.25">
      <c r="A19" s="76" t="s">
        <v>245</v>
      </c>
      <c r="B19" s="108" t="s">
        <v>5</v>
      </c>
      <c r="C19" s="142" t="s">
        <v>433</v>
      </c>
      <c r="D19" s="285">
        <f t="shared" si="0"/>
        <v>2007</v>
      </c>
      <c r="E19" s="33">
        <v>1001964.0530973437</v>
      </c>
      <c r="F19" s="282">
        <f t="shared" si="14"/>
        <v>805500.51327734371</v>
      </c>
      <c r="G19" s="282">
        <v>196463.53982000001</v>
      </c>
      <c r="H19" s="33">
        <v>109786180.37834723</v>
      </c>
      <c r="I19" s="282">
        <f t="shared" si="15"/>
        <v>82332334.073347241</v>
      </c>
      <c r="J19" s="282">
        <v>27453846.305</v>
      </c>
      <c r="K19" s="110">
        <f t="shared" si="16"/>
        <v>109.57097716127466</v>
      </c>
      <c r="M19" s="99" t="s">
        <v>247</v>
      </c>
      <c r="N19" s="250" t="s">
        <v>25</v>
      </c>
      <c r="O19" s="90">
        <v>2011</v>
      </c>
      <c r="P19" s="90" t="s">
        <v>334</v>
      </c>
      <c r="Q19" s="93">
        <v>10418</v>
      </c>
      <c r="R19" s="176">
        <f t="shared" si="1"/>
        <v>3329596.2340000002</v>
      </c>
      <c r="S19" s="176">
        <f t="shared" si="2"/>
        <v>2939364.2315000002</v>
      </c>
      <c r="T19" s="176">
        <f t="shared" si="3"/>
        <v>390232.0025</v>
      </c>
      <c r="U19" s="176">
        <f t="shared" si="4"/>
        <v>415625952.13099998</v>
      </c>
      <c r="V19" s="176">
        <f t="shared" si="5"/>
        <v>346108175.921</v>
      </c>
      <c r="W19" s="176">
        <f t="shared" si="6"/>
        <v>69517776.209999993</v>
      </c>
      <c r="X19" s="95">
        <f t="shared" si="7"/>
        <v>124.82773373145278</v>
      </c>
      <c r="Y19" s="95">
        <v>1.6897520241399999</v>
      </c>
      <c r="Z19" s="97">
        <f t="shared" si="12"/>
        <v>1.3536671488206583E-2</v>
      </c>
      <c r="AA19" s="65"/>
    </row>
    <row r="20" spans="1:29" x14ac:dyDescent="0.25">
      <c r="A20" s="76" t="s">
        <v>245</v>
      </c>
      <c r="B20" s="108" t="s">
        <v>5</v>
      </c>
      <c r="C20" s="142" t="s">
        <v>434</v>
      </c>
      <c r="D20" s="285">
        <f t="shared" si="0"/>
        <v>2007</v>
      </c>
      <c r="E20" s="33">
        <v>1159134.8849557522</v>
      </c>
      <c r="F20" s="282">
        <f t="shared" si="14"/>
        <v>1001964.0530947521</v>
      </c>
      <c r="G20" s="282">
        <v>157170.83186099998</v>
      </c>
      <c r="H20" s="33">
        <v>125271944.48719573</v>
      </c>
      <c r="I20" s="282">
        <f t="shared" si="15"/>
        <v>103175355.09329572</v>
      </c>
      <c r="J20" s="282">
        <v>22096589.3939</v>
      </c>
      <c r="K20" s="110">
        <f t="shared" si="16"/>
        <v>108.0736557177966</v>
      </c>
      <c r="M20" s="96" t="s">
        <v>152</v>
      </c>
      <c r="N20" s="247" t="s">
        <v>29</v>
      </c>
      <c r="O20" s="90">
        <v>2012</v>
      </c>
      <c r="P20" s="90" t="s">
        <v>335</v>
      </c>
      <c r="Q20" s="91">
        <v>3190</v>
      </c>
      <c r="R20" s="176">
        <f t="shared" si="1"/>
        <v>373481</v>
      </c>
      <c r="S20" s="176">
        <f t="shared" si="2"/>
        <v>313325.54419599997</v>
      </c>
      <c r="T20" s="176">
        <f t="shared" si="3"/>
        <v>60155.45580399999</v>
      </c>
      <c r="U20" s="176">
        <f t="shared" si="4"/>
        <v>74219700.992149994</v>
      </c>
      <c r="V20" s="176">
        <f t="shared" si="5"/>
        <v>57529644.971749991</v>
      </c>
      <c r="W20" s="176">
        <f t="shared" si="6"/>
        <v>16690056.020399997</v>
      </c>
      <c r="X20" s="95">
        <f t="shared" si="7"/>
        <v>198.72416800894823</v>
      </c>
      <c r="Y20" s="95">
        <v>2.6067214091399999</v>
      </c>
      <c r="Z20" s="97">
        <f t="shared" si="12"/>
        <v>1.3117284300431055E-2</v>
      </c>
      <c r="AA20" s="65"/>
    </row>
    <row r="21" spans="1:29" x14ac:dyDescent="0.25">
      <c r="A21" s="107" t="s">
        <v>49</v>
      </c>
      <c r="B21" s="108" t="s">
        <v>6</v>
      </c>
      <c r="C21" s="187" t="s">
        <v>50</v>
      </c>
      <c r="D21" s="285">
        <f t="shared" si="0"/>
        <v>2005</v>
      </c>
      <c r="E21" s="3">
        <v>214187.78400000001</v>
      </c>
      <c r="F21" s="282">
        <f t="shared" si="14"/>
        <v>211187.1839055141</v>
      </c>
      <c r="G21" s="32">
        <v>3000.6000944859002</v>
      </c>
      <c r="H21" s="32">
        <v>38032332.8411</v>
      </c>
      <c r="I21" s="32">
        <f t="shared" si="15"/>
        <v>37724903.328399748</v>
      </c>
      <c r="J21" s="32">
        <v>307429.51270025101</v>
      </c>
      <c r="K21" s="110">
        <f t="shared" si="16"/>
        <v>177.56536871916092</v>
      </c>
      <c r="M21" s="99" t="s">
        <v>165</v>
      </c>
      <c r="N21" s="250" t="s">
        <v>30</v>
      </c>
      <c r="O21" s="90">
        <v>2010</v>
      </c>
      <c r="P21" s="90" t="s">
        <v>332</v>
      </c>
      <c r="Q21" s="93">
        <v>12682</v>
      </c>
      <c r="R21" s="176">
        <f t="shared" si="1"/>
        <v>12151722.985599998</v>
      </c>
      <c r="S21" s="176">
        <f t="shared" si="2"/>
        <v>7213002.5041107414</v>
      </c>
      <c r="T21" s="176">
        <f t="shared" si="3"/>
        <v>4938720.4814892579</v>
      </c>
      <c r="U21" s="176">
        <f t="shared" si="4"/>
        <v>719313567.78839004</v>
      </c>
      <c r="V21" s="176">
        <f t="shared" si="5"/>
        <v>563213245.0908339</v>
      </c>
      <c r="W21" s="176">
        <f t="shared" si="6"/>
        <v>156100322.69755614</v>
      </c>
      <c r="X21" s="95">
        <f t="shared" si="7"/>
        <v>59.194368456291265</v>
      </c>
      <c r="Y21" s="95">
        <v>0.92733999077100004</v>
      </c>
      <c r="Z21" s="97">
        <f t="shared" si="12"/>
        <v>1.566601713904156E-2</v>
      </c>
      <c r="AA21" s="65"/>
    </row>
    <row r="22" spans="1:29" x14ac:dyDescent="0.25">
      <c r="A22" s="107" t="s">
        <v>49</v>
      </c>
      <c r="B22" s="108" t="s">
        <v>6</v>
      </c>
      <c r="C22" s="187" t="s">
        <v>51</v>
      </c>
      <c r="D22" s="285">
        <f t="shared" si="0"/>
        <v>2005</v>
      </c>
      <c r="E22" s="3">
        <v>311159.43599999999</v>
      </c>
      <c r="F22" s="282">
        <f t="shared" si="14"/>
        <v>309759.15595590655</v>
      </c>
      <c r="G22" s="32">
        <v>1400.28004409342</v>
      </c>
      <c r="H22" s="32">
        <v>69801075.530000001</v>
      </c>
      <c r="I22" s="32">
        <f t="shared" si="15"/>
        <v>69620279.43838647</v>
      </c>
      <c r="J22" s="32">
        <v>180796.09161352899</v>
      </c>
      <c r="K22" s="110">
        <f t="shared" si="16"/>
        <v>224.32575539827116</v>
      </c>
      <c r="M22" s="98" t="s">
        <v>249</v>
      </c>
      <c r="N22" s="248" t="s">
        <v>31</v>
      </c>
      <c r="O22" s="90">
        <v>2012</v>
      </c>
      <c r="P22" s="90" t="s">
        <v>325</v>
      </c>
      <c r="Q22" s="92">
        <v>29523</v>
      </c>
      <c r="R22" s="176">
        <f t="shared" si="1"/>
        <v>9177193</v>
      </c>
      <c r="S22" s="176">
        <f t="shared" si="2"/>
        <v>8687182.3173924815</v>
      </c>
      <c r="T22" s="176">
        <f t="shared" si="3"/>
        <v>490010.68260751775</v>
      </c>
      <c r="U22" s="176">
        <f t="shared" si="4"/>
        <v>1589527990.5911999</v>
      </c>
      <c r="V22" s="176">
        <f t="shared" si="5"/>
        <v>1491006826.2060845</v>
      </c>
      <c r="W22" s="176">
        <f t="shared" si="6"/>
        <v>98521164.385115415</v>
      </c>
      <c r="X22" s="95">
        <f t="shared" si="7"/>
        <v>173.20415846013043</v>
      </c>
      <c r="Y22" s="95">
        <v>0.811297700402</v>
      </c>
      <c r="Z22" s="97">
        <f t="shared" si="12"/>
        <v>4.6840543992409467E-3</v>
      </c>
      <c r="AA22" s="65"/>
    </row>
    <row r="23" spans="1:29" x14ac:dyDescent="0.25">
      <c r="A23" s="107" t="s">
        <v>49</v>
      </c>
      <c r="B23" s="108" t="s">
        <v>6</v>
      </c>
      <c r="C23" s="187" t="s">
        <v>52</v>
      </c>
      <c r="D23" s="285">
        <f t="shared" si="0"/>
        <v>2005</v>
      </c>
      <c r="E23" s="3">
        <v>69810.918999999994</v>
      </c>
      <c r="F23" s="282">
        <f t="shared" si="14"/>
        <v>69810.918999999994</v>
      </c>
      <c r="G23" s="32">
        <v>0</v>
      </c>
      <c r="H23" s="32">
        <v>15163691.0919</v>
      </c>
      <c r="I23" s="32">
        <f t="shared" si="15"/>
        <v>15163691.0919</v>
      </c>
      <c r="J23" s="32">
        <v>0</v>
      </c>
      <c r="K23" s="110">
        <f t="shared" si="16"/>
        <v>217.21087917350008</v>
      </c>
      <c r="M23" s="98" t="s">
        <v>199</v>
      </c>
      <c r="N23" s="248" t="s">
        <v>32</v>
      </c>
      <c r="O23" s="90">
        <v>2015</v>
      </c>
      <c r="P23" s="90">
        <v>2015</v>
      </c>
      <c r="Q23" s="92">
        <v>6749</v>
      </c>
      <c r="R23" s="176">
        <f t="shared" si="1"/>
        <v>3224100</v>
      </c>
      <c r="S23" s="176">
        <f t="shared" si="2"/>
        <v>2154700</v>
      </c>
      <c r="T23" s="176">
        <f t="shared" si="3"/>
        <v>1069400</v>
      </c>
      <c r="U23" s="176">
        <f t="shared" si="4"/>
        <v>128073200</v>
      </c>
      <c r="V23" s="176">
        <f t="shared" si="5"/>
        <v>92626400</v>
      </c>
      <c r="W23" s="176">
        <f t="shared" si="6"/>
        <v>35446800</v>
      </c>
      <c r="X23" s="95">
        <f t="shared" si="7"/>
        <v>39.723705840389563</v>
      </c>
      <c r="Y23" s="95">
        <v>0.63880594615200004</v>
      </c>
      <c r="Z23" s="97">
        <f t="shared" si="12"/>
        <v>1.6081227383938742E-2</v>
      </c>
      <c r="AA23" s="65"/>
    </row>
    <row r="24" spans="1:29" x14ac:dyDescent="0.25">
      <c r="A24" s="107" t="s">
        <v>49</v>
      </c>
      <c r="B24" s="108" t="s">
        <v>6</v>
      </c>
      <c r="C24" s="187" t="s">
        <v>53</v>
      </c>
      <c r="D24" s="285">
        <f t="shared" si="0"/>
        <v>2005</v>
      </c>
      <c r="E24" s="3">
        <v>49850.957000000002</v>
      </c>
      <c r="F24" s="282">
        <f t="shared" si="14"/>
        <v>49850.957000000002</v>
      </c>
      <c r="G24" s="32">
        <v>0</v>
      </c>
      <c r="H24" s="32">
        <v>11311644.830800001</v>
      </c>
      <c r="I24" s="32">
        <f t="shared" si="15"/>
        <v>11311644.830800001</v>
      </c>
      <c r="J24" s="32">
        <v>0</v>
      </c>
      <c r="K24" s="110">
        <f t="shared" si="16"/>
        <v>226.90928141660351</v>
      </c>
      <c r="M24" s="96" t="s">
        <v>205</v>
      </c>
      <c r="N24" s="247" t="s">
        <v>33</v>
      </c>
      <c r="O24" s="90">
        <v>2011</v>
      </c>
      <c r="P24" s="90" t="s">
        <v>337</v>
      </c>
      <c r="Q24" s="91">
        <v>19756</v>
      </c>
      <c r="R24" s="176">
        <f t="shared" si="1"/>
        <v>6507728.718318521</v>
      </c>
      <c r="S24" s="176">
        <f t="shared" si="2"/>
        <v>5643803.7678993642</v>
      </c>
      <c r="T24" s="176">
        <f t="shared" si="3"/>
        <v>863924.95041915751</v>
      </c>
      <c r="U24" s="176">
        <f t="shared" si="4"/>
        <v>1168208524.2289999</v>
      </c>
      <c r="V24" s="176">
        <f t="shared" si="5"/>
        <v>1010665644.7681272</v>
      </c>
      <c r="W24" s="176">
        <f t="shared" si="6"/>
        <v>157542879.4608728</v>
      </c>
      <c r="X24" s="95">
        <f t="shared" si="7"/>
        <v>179.51094380142567</v>
      </c>
      <c r="Y24" s="95">
        <v>1.1909252483599999</v>
      </c>
      <c r="Z24" s="97">
        <f t="shared" si="12"/>
        <v>6.6342765691065437E-3</v>
      </c>
      <c r="AA24" s="65"/>
    </row>
    <row r="25" spans="1:29" x14ac:dyDescent="0.25">
      <c r="A25" s="107" t="s">
        <v>49</v>
      </c>
      <c r="B25" s="108" t="s">
        <v>6</v>
      </c>
      <c r="C25" s="187" t="s">
        <v>54</v>
      </c>
      <c r="D25" s="285">
        <f t="shared" si="0"/>
        <v>2005</v>
      </c>
      <c r="E25" s="3">
        <v>291188.23300000001</v>
      </c>
      <c r="F25" s="282">
        <f t="shared" si="14"/>
        <v>266383.27221891662</v>
      </c>
      <c r="G25" s="32">
        <v>24804.960781083399</v>
      </c>
      <c r="H25" s="32">
        <v>56764374.141500004</v>
      </c>
      <c r="I25" s="32">
        <f t="shared" si="15"/>
        <v>53497444.294999756</v>
      </c>
      <c r="J25" s="32">
        <v>3266929.84650025</v>
      </c>
      <c r="K25" s="110">
        <f t="shared" si="16"/>
        <v>194.94048079030722</v>
      </c>
      <c r="M25" s="98" t="s">
        <v>327</v>
      </c>
      <c r="N25" s="248" t="s">
        <v>37</v>
      </c>
      <c r="O25" s="90">
        <v>2005</v>
      </c>
      <c r="P25" s="90" t="s">
        <v>319</v>
      </c>
      <c r="Q25" s="92">
        <v>5386</v>
      </c>
      <c r="R25" s="176">
        <f t="shared" si="1"/>
        <v>2637756.8998089889</v>
      </c>
      <c r="S25" s="32" t="e">
        <f t="shared" si="2"/>
        <v>#N/A</v>
      </c>
      <c r="T25" s="32" t="e">
        <f t="shared" si="3"/>
        <v>#N/A</v>
      </c>
      <c r="U25" s="176">
        <f t="shared" si="4"/>
        <v>326387818.26233065</v>
      </c>
      <c r="V25" s="32" t="e">
        <f t="shared" si="5"/>
        <v>#N/A</v>
      </c>
      <c r="W25" s="32" t="e">
        <f t="shared" si="6"/>
        <v>#N/A</v>
      </c>
      <c r="X25" s="95">
        <f>+U25/R25</f>
        <v>123.73688351870703</v>
      </c>
      <c r="Y25" s="95">
        <v>2.1992803797699998</v>
      </c>
      <c r="Z25" s="97">
        <f t="shared" si="12"/>
        <v>1.77738465462281E-2</v>
      </c>
      <c r="AA25" s="65"/>
    </row>
    <row r="26" spans="1:29" x14ac:dyDescent="0.25">
      <c r="A26" s="107" t="s">
        <v>49</v>
      </c>
      <c r="B26" s="108" t="s">
        <v>6</v>
      </c>
      <c r="C26" s="187" t="s">
        <v>55</v>
      </c>
      <c r="D26" s="285">
        <f t="shared" si="0"/>
        <v>2005</v>
      </c>
      <c r="E26" s="3">
        <v>118708.984</v>
      </c>
      <c r="F26" s="282">
        <f t="shared" si="14"/>
        <v>116708.5839370094</v>
      </c>
      <c r="G26" s="32">
        <v>2000.4000629906</v>
      </c>
      <c r="H26" s="32">
        <v>24859753.657000002</v>
      </c>
      <c r="I26" s="32">
        <f t="shared" si="15"/>
        <v>24577267.615459763</v>
      </c>
      <c r="J26" s="32">
        <v>282486.04154023901</v>
      </c>
      <c r="K26" s="110">
        <f t="shared" si="16"/>
        <v>209.41762636095009</v>
      </c>
      <c r="M26" s="96" t="s">
        <v>210</v>
      </c>
      <c r="N26" s="247" t="s">
        <v>34</v>
      </c>
      <c r="O26" s="90">
        <v>2011</v>
      </c>
      <c r="P26" s="90" t="s">
        <v>334</v>
      </c>
      <c r="Q26" s="91">
        <v>34900</v>
      </c>
      <c r="R26" s="176">
        <f t="shared" si="1"/>
        <v>28099642</v>
      </c>
      <c r="S26" s="176">
        <f t="shared" si="2"/>
        <v>22404849.904697746</v>
      </c>
      <c r="T26" s="176">
        <f t="shared" si="3"/>
        <v>5694792.0953022521</v>
      </c>
      <c r="U26" s="176">
        <f t="shared" si="4"/>
        <v>2011735604.0312002</v>
      </c>
      <c r="V26" s="176">
        <f t="shared" si="5"/>
        <v>1763920293.1930223</v>
      </c>
      <c r="W26" s="176">
        <f t="shared" si="6"/>
        <v>247815310.8381775</v>
      </c>
      <c r="X26" s="95">
        <f t="shared" si="7"/>
        <v>71.592926487504727</v>
      </c>
      <c r="Y26" s="95">
        <v>0.52930617457499995</v>
      </c>
      <c r="Z26" s="97">
        <f t="shared" si="12"/>
        <v>7.393274734584023E-3</v>
      </c>
      <c r="AA26" s="65"/>
    </row>
    <row r="27" spans="1:29" x14ac:dyDescent="0.25">
      <c r="A27" s="107" t="s">
        <v>49</v>
      </c>
      <c r="B27" s="108" t="s">
        <v>6</v>
      </c>
      <c r="C27" s="187" t="s">
        <v>56</v>
      </c>
      <c r="D27" s="285">
        <f t="shared" si="0"/>
        <v>2005</v>
      </c>
      <c r="E27" s="3">
        <v>122515.083</v>
      </c>
      <c r="F27" s="282">
        <f t="shared" si="14"/>
        <v>92909.162067739206</v>
      </c>
      <c r="G27" s="32">
        <v>29605.9209322608</v>
      </c>
      <c r="H27" s="32">
        <v>16849559.9166</v>
      </c>
      <c r="I27" s="32">
        <f t="shared" si="15"/>
        <v>13456594.12791465</v>
      </c>
      <c r="J27" s="32">
        <v>3392965.7886853502</v>
      </c>
      <c r="K27" s="110">
        <f t="shared" si="16"/>
        <v>137.53049423800334</v>
      </c>
      <c r="M27" s="98" t="s">
        <v>251</v>
      </c>
      <c r="N27" s="248" t="s">
        <v>35</v>
      </c>
      <c r="O27" s="20">
        <v>2012</v>
      </c>
      <c r="P27" s="90">
        <v>2012</v>
      </c>
      <c r="Q27" s="91">
        <v>760</v>
      </c>
      <c r="R27" s="176">
        <f t="shared" si="1"/>
        <v>1214981.7033653618</v>
      </c>
      <c r="S27" s="176">
        <f t="shared" si="2"/>
        <v>1096680.9147218287</v>
      </c>
      <c r="T27" s="176">
        <f t="shared" si="3"/>
        <v>118300.7886435331</v>
      </c>
      <c r="U27" s="176">
        <f t="shared" si="4"/>
        <v>257085371.37384939</v>
      </c>
      <c r="V27" s="176">
        <f t="shared" si="5"/>
        <v>236535731.78717041</v>
      </c>
      <c r="W27" s="176">
        <f t="shared" si="6"/>
        <v>20549639.586679</v>
      </c>
      <c r="X27" s="95">
        <f t="shared" si="7"/>
        <v>211.59608466675013</v>
      </c>
      <c r="Y27" s="46"/>
      <c r="Z27" s="100"/>
      <c r="AA27" s="65"/>
    </row>
    <row r="28" spans="1:29" x14ac:dyDescent="0.25">
      <c r="A28" s="107" t="s">
        <v>57</v>
      </c>
      <c r="B28" s="108" t="s">
        <v>8</v>
      </c>
      <c r="C28" s="187" t="s">
        <v>58</v>
      </c>
      <c r="D28" s="285">
        <f t="shared" si="0"/>
        <v>2003</v>
      </c>
      <c r="E28" s="3">
        <v>4600</v>
      </c>
      <c r="F28" s="282">
        <f t="shared" si="14"/>
        <v>3999.9632127006671</v>
      </c>
      <c r="G28" s="32">
        <v>600.03678729933301</v>
      </c>
      <c r="H28" s="32">
        <v>1093854.7554800001</v>
      </c>
      <c r="I28" s="32">
        <f t="shared" si="15"/>
        <v>1010745.3252656598</v>
      </c>
      <c r="J28" s="32">
        <v>83109.430214340202</v>
      </c>
      <c r="K28" s="110">
        <f t="shared" si="16"/>
        <v>237.79451206086958</v>
      </c>
      <c r="M28" s="101" t="s">
        <v>250</v>
      </c>
      <c r="N28" s="251" t="s">
        <v>36</v>
      </c>
      <c r="O28" s="102">
        <v>2006</v>
      </c>
      <c r="P28" s="102" t="s">
        <v>326</v>
      </c>
      <c r="Q28" s="103">
        <v>1419</v>
      </c>
      <c r="R28" s="177">
        <f t="shared" si="1"/>
        <v>2173979.5332456068</v>
      </c>
      <c r="S28" s="177">
        <f t="shared" si="2"/>
        <v>1977521.4091413722</v>
      </c>
      <c r="T28" s="177">
        <f t="shared" si="3"/>
        <v>196458.12410423462</v>
      </c>
      <c r="U28" s="177">
        <f t="shared" si="4"/>
        <v>437313636.34999996</v>
      </c>
      <c r="V28" s="177">
        <f t="shared" si="5"/>
        <v>406515677.60491353</v>
      </c>
      <c r="W28" s="177">
        <f t="shared" si="6"/>
        <v>30797958.745086458</v>
      </c>
      <c r="X28" s="104">
        <f t="shared" si="7"/>
        <v>201.15812024095729</v>
      </c>
      <c r="Y28" s="104">
        <v>3.6960146094200002</v>
      </c>
      <c r="Z28" s="105">
        <f>Y28/X28</f>
        <v>1.8373678402804364E-2</v>
      </c>
      <c r="AA28" s="65"/>
    </row>
    <row r="29" spans="1:29" x14ac:dyDescent="0.25">
      <c r="A29" s="107" t="s">
        <v>57</v>
      </c>
      <c r="B29" s="108" t="s">
        <v>8</v>
      </c>
      <c r="C29" s="187" t="s">
        <v>59</v>
      </c>
      <c r="D29" s="285">
        <f t="shared" si="0"/>
        <v>2003</v>
      </c>
      <c r="E29" s="3">
        <v>320200</v>
      </c>
      <c r="F29" s="282">
        <f t="shared" si="14"/>
        <v>311799.48497780936</v>
      </c>
      <c r="G29" s="32">
        <v>8400.5150221906606</v>
      </c>
      <c r="H29" s="32">
        <v>61553318.333400004</v>
      </c>
      <c r="I29" s="32">
        <f t="shared" si="15"/>
        <v>59588932.885050811</v>
      </c>
      <c r="J29" s="32">
        <v>1964385.4483491899</v>
      </c>
      <c r="K29" s="110">
        <f t="shared" si="16"/>
        <v>192.233973558401</v>
      </c>
    </row>
    <row r="30" spans="1:29" x14ac:dyDescent="0.25">
      <c r="A30" s="107" t="s">
        <v>57</v>
      </c>
      <c r="B30" s="108" t="s">
        <v>8</v>
      </c>
      <c r="C30" s="187" t="s">
        <v>60</v>
      </c>
      <c r="D30" s="285">
        <f t="shared" si="0"/>
        <v>2003</v>
      </c>
      <c r="E30" s="3">
        <v>401400</v>
      </c>
      <c r="F30" s="282">
        <f t="shared" si="14"/>
        <v>365997.82954933931</v>
      </c>
      <c r="G30" s="32">
        <v>35402.170450660698</v>
      </c>
      <c r="H30" s="32">
        <v>89354315.887899995</v>
      </c>
      <c r="I30" s="32">
        <f t="shared" si="15"/>
        <v>82272539.168102369</v>
      </c>
      <c r="J30" s="32">
        <v>7081776.7197976196</v>
      </c>
      <c r="K30" s="110">
        <f t="shared" si="16"/>
        <v>222.60666638739411</v>
      </c>
      <c r="M30" s="115" t="s">
        <v>503</v>
      </c>
      <c r="N30" s="40"/>
      <c r="O30" s="40"/>
      <c r="P30" s="40"/>
      <c r="Q30" s="41"/>
      <c r="T30" s="269"/>
      <c r="U30" s="314"/>
      <c r="V30" s="314"/>
      <c r="W30" s="1"/>
      <c r="X30" s="314"/>
      <c r="Y30" s="1"/>
      <c r="Z30" s="1"/>
      <c r="AA30" s="1"/>
      <c r="AB30" s="1"/>
      <c r="AC30" s="1"/>
    </row>
    <row r="31" spans="1:29" x14ac:dyDescent="0.25">
      <c r="A31" s="107" t="s">
        <v>57</v>
      </c>
      <c r="B31" s="108" t="s">
        <v>8</v>
      </c>
      <c r="C31" s="187" t="s">
        <v>61</v>
      </c>
      <c r="D31" s="285">
        <f t="shared" si="0"/>
        <v>2003</v>
      </c>
      <c r="E31" s="3">
        <v>309000</v>
      </c>
      <c r="F31" s="282">
        <f t="shared" si="14"/>
        <v>276398.00122340291</v>
      </c>
      <c r="G31" s="32">
        <v>32601.998776597098</v>
      </c>
      <c r="H31" s="32">
        <v>63382590.413900003</v>
      </c>
      <c r="I31" s="32">
        <f t="shared" si="15"/>
        <v>57520604.978422627</v>
      </c>
      <c r="J31" s="32">
        <v>5861985.4354773797</v>
      </c>
      <c r="K31" s="110">
        <f t="shared" si="16"/>
        <v>205.1216518249191</v>
      </c>
      <c r="M31" s="98" t="s">
        <v>573</v>
      </c>
      <c r="Q31" s="27"/>
      <c r="T31" s="1"/>
      <c r="U31" s="282"/>
      <c r="V31" s="33"/>
      <c r="W31" s="33"/>
      <c r="X31" s="313"/>
      <c r="Y31" s="1"/>
      <c r="Z31" s="315"/>
      <c r="AA31" s="1"/>
      <c r="AB31" s="1"/>
      <c r="AC31" s="1"/>
    </row>
    <row r="32" spans="1:29" x14ac:dyDescent="0.25">
      <c r="A32" s="107" t="s">
        <v>57</v>
      </c>
      <c r="B32" s="108" t="s">
        <v>8</v>
      </c>
      <c r="C32" s="187" t="s">
        <v>62</v>
      </c>
      <c r="D32" s="285">
        <f t="shared" si="0"/>
        <v>2003</v>
      </c>
      <c r="E32" s="3">
        <v>148000</v>
      </c>
      <c r="F32" s="282">
        <f t="shared" si="14"/>
        <v>143599.73022647155</v>
      </c>
      <c r="G32" s="32">
        <v>4400.2697735284401</v>
      </c>
      <c r="H32" s="32">
        <v>27349018.664900001</v>
      </c>
      <c r="I32" s="32">
        <f t="shared" si="15"/>
        <v>26758010.15126694</v>
      </c>
      <c r="J32" s="32">
        <v>591008.51363306004</v>
      </c>
      <c r="K32" s="110">
        <f t="shared" si="16"/>
        <v>184.79066665472973</v>
      </c>
      <c r="M32" s="98" t="s">
        <v>574</v>
      </c>
      <c r="Q32" s="27"/>
      <c r="T32" s="316"/>
      <c r="U32" s="282"/>
      <c r="V32" s="33"/>
      <c r="W32" s="33"/>
      <c r="X32" s="313"/>
      <c r="Y32" s="1"/>
      <c r="Z32" s="315"/>
      <c r="AA32" s="1"/>
      <c r="AB32" s="1"/>
      <c r="AC32" s="1"/>
    </row>
    <row r="33" spans="1:29" x14ac:dyDescent="0.25">
      <c r="A33" s="107" t="s">
        <v>57</v>
      </c>
      <c r="B33" s="108" t="s">
        <v>8</v>
      </c>
      <c r="C33" s="187" t="s">
        <v>63</v>
      </c>
      <c r="D33" s="285">
        <f t="shared" si="0"/>
        <v>2003</v>
      </c>
      <c r="E33" s="3">
        <v>170800</v>
      </c>
      <c r="F33" s="282">
        <f t="shared" si="14"/>
        <v>164999.64438943978</v>
      </c>
      <c r="G33" s="32">
        <v>5800.3556105602202</v>
      </c>
      <c r="H33" s="32">
        <v>26487395.825800002</v>
      </c>
      <c r="I33" s="32">
        <f t="shared" si="15"/>
        <v>25719739.914723072</v>
      </c>
      <c r="J33" s="32">
        <v>767655.91107692802</v>
      </c>
      <c r="K33" s="110">
        <f>+H33/E33</f>
        <v>155.07842989344263</v>
      </c>
      <c r="M33" s="98" t="s">
        <v>575</v>
      </c>
      <c r="Q33" s="27"/>
      <c r="T33" s="1"/>
      <c r="U33" s="282"/>
      <c r="V33" s="33"/>
      <c r="W33" s="33"/>
      <c r="X33" s="313"/>
      <c r="Y33" s="1"/>
      <c r="Z33" s="315"/>
      <c r="AA33" s="1"/>
      <c r="AB33" s="1"/>
      <c r="AC33" s="1"/>
    </row>
    <row r="34" spans="1:29" x14ac:dyDescent="0.25">
      <c r="A34" s="107" t="s">
        <v>57</v>
      </c>
      <c r="B34" s="108" t="s">
        <v>8</v>
      </c>
      <c r="C34" s="187" t="s">
        <v>64</v>
      </c>
      <c r="D34" s="285">
        <f t="shared" si="0"/>
        <v>2003</v>
      </c>
      <c r="E34" s="3">
        <v>144200</v>
      </c>
      <c r="F34" s="282">
        <f t="shared" si="14"/>
        <v>123198.71244452341</v>
      </c>
      <c r="G34" s="32">
        <v>21001.2875554766</v>
      </c>
      <c r="H34" s="32">
        <v>27850430.994399998</v>
      </c>
      <c r="I34" s="32">
        <f t="shared" si="15"/>
        <v>24251942.238423187</v>
      </c>
      <c r="J34" s="32">
        <v>3598488.7559768101</v>
      </c>
      <c r="K34" s="110">
        <f t="shared" si="16"/>
        <v>193.13752423300969</v>
      </c>
      <c r="M34" s="98" t="s">
        <v>495</v>
      </c>
      <c r="Q34" s="27"/>
      <c r="T34" s="1"/>
      <c r="U34" s="282"/>
      <c r="V34" s="33"/>
      <c r="W34" s="33"/>
      <c r="X34" s="313"/>
      <c r="Y34" s="1"/>
      <c r="Z34" s="315"/>
      <c r="AA34" s="1"/>
      <c r="AB34" s="1"/>
      <c r="AC34" s="1"/>
    </row>
    <row r="35" spans="1:29" x14ac:dyDescent="0.25">
      <c r="A35" s="107" t="s">
        <v>57</v>
      </c>
      <c r="B35" s="108" t="s">
        <v>8</v>
      </c>
      <c r="C35" s="187" t="s">
        <v>65</v>
      </c>
      <c r="D35" s="285">
        <f t="shared" ref="D35:D66" si="17">+VLOOKUP(B35, N$3:O$28, 2, FALSE)</f>
        <v>2003</v>
      </c>
      <c r="E35" s="3">
        <v>158000</v>
      </c>
      <c r="F35" s="282">
        <f t="shared" si="14"/>
        <v>126798.0870604347</v>
      </c>
      <c r="G35" s="32">
        <v>31201.9129395653</v>
      </c>
      <c r="H35" s="32">
        <v>33660543.455799997</v>
      </c>
      <c r="I35" s="32">
        <f t="shared" si="15"/>
        <v>28712850.258242689</v>
      </c>
      <c r="J35" s="32">
        <v>4947693.1975573096</v>
      </c>
      <c r="K35" s="110">
        <f t="shared" si="16"/>
        <v>213.04141427721518</v>
      </c>
      <c r="M35" s="98" t="s">
        <v>496</v>
      </c>
      <c r="Q35" s="27"/>
      <c r="T35" s="1"/>
      <c r="U35" s="282"/>
      <c r="V35" s="33"/>
      <c r="W35" s="33"/>
      <c r="X35" s="313"/>
      <c r="Y35" s="1"/>
      <c r="Z35" s="315"/>
      <c r="AA35" s="1"/>
      <c r="AB35" s="1"/>
      <c r="AC35" s="1"/>
    </row>
    <row r="36" spans="1:29" x14ac:dyDescent="0.25">
      <c r="A36" s="107" t="s">
        <v>57</v>
      </c>
      <c r="B36" s="108" t="s">
        <v>8</v>
      </c>
      <c r="C36" s="187" t="s">
        <v>66</v>
      </c>
      <c r="D36" s="285">
        <f t="shared" si="17"/>
        <v>2003</v>
      </c>
      <c r="E36" s="3">
        <v>136800</v>
      </c>
      <c r="F36" s="282">
        <f t="shared" si="14"/>
        <v>134399.85285080268</v>
      </c>
      <c r="G36" s="32">
        <v>2400.1471491973298</v>
      </c>
      <c r="H36" s="32">
        <v>32448104.492899999</v>
      </c>
      <c r="I36" s="32">
        <f t="shared" si="15"/>
        <v>31937170.211381719</v>
      </c>
      <c r="J36" s="32">
        <v>510934.28151827899</v>
      </c>
      <c r="K36" s="110">
        <f t="shared" si="16"/>
        <v>237.19374629312864</v>
      </c>
      <c r="M36" s="98" t="s">
        <v>557</v>
      </c>
      <c r="Q36" s="27"/>
      <c r="T36" s="1"/>
      <c r="U36" s="282"/>
      <c r="V36" s="33"/>
      <c r="W36" s="33"/>
      <c r="X36" s="313"/>
      <c r="Y36" s="1"/>
      <c r="Z36" s="315"/>
      <c r="AA36" s="1"/>
      <c r="AB36" s="1"/>
      <c r="AC36" s="1"/>
    </row>
    <row r="37" spans="1:29" x14ac:dyDescent="0.25">
      <c r="A37" s="107" t="s">
        <v>57</v>
      </c>
      <c r="B37" s="108" t="s">
        <v>8</v>
      </c>
      <c r="C37" s="187" t="s">
        <v>67</v>
      </c>
      <c r="D37" s="285">
        <f t="shared" si="17"/>
        <v>2003</v>
      </c>
      <c r="E37" s="3">
        <v>206600</v>
      </c>
      <c r="F37" s="282">
        <f t="shared" si="14"/>
        <v>204199.85285080268</v>
      </c>
      <c r="G37" s="32">
        <v>2400.1471491973298</v>
      </c>
      <c r="H37" s="32">
        <v>48459435.827</v>
      </c>
      <c r="I37" s="32">
        <f t="shared" si="15"/>
        <v>47835131.961956196</v>
      </c>
      <c r="J37" s="32">
        <v>624303.86504380195</v>
      </c>
      <c r="K37" s="110">
        <f t="shared" si="16"/>
        <v>234.55680458373669</v>
      </c>
      <c r="M37" s="98" t="s">
        <v>497</v>
      </c>
      <c r="Q37" s="27"/>
      <c r="T37" s="1"/>
      <c r="U37" s="282"/>
      <c r="V37" s="33"/>
      <c r="W37" s="33"/>
      <c r="X37" s="313"/>
      <c r="Y37" s="1"/>
      <c r="Z37" s="315"/>
      <c r="AA37" s="1"/>
      <c r="AB37" s="1"/>
      <c r="AC37" s="1"/>
    </row>
    <row r="38" spans="1:29" x14ac:dyDescent="0.25">
      <c r="A38" s="107" t="s">
        <v>57</v>
      </c>
      <c r="B38" s="108" t="s">
        <v>8</v>
      </c>
      <c r="C38" s="187" t="s">
        <v>68</v>
      </c>
      <c r="D38" s="285">
        <f t="shared" si="17"/>
        <v>2003</v>
      </c>
      <c r="E38" s="3">
        <v>204000</v>
      </c>
      <c r="F38" s="282">
        <f t="shared" si="14"/>
        <v>195799.49724024246</v>
      </c>
      <c r="G38" s="32">
        <v>8200.5027597575499</v>
      </c>
      <c r="H38" s="32">
        <v>39290449.513300002</v>
      </c>
      <c r="I38" s="32">
        <f t="shared" si="15"/>
        <v>37751219.909847423</v>
      </c>
      <c r="J38" s="32">
        <v>1539229.60345258</v>
      </c>
      <c r="K38" s="110">
        <f t="shared" si="16"/>
        <v>192.6002427122549</v>
      </c>
      <c r="M38" s="98" t="s">
        <v>498</v>
      </c>
      <c r="Q38" s="27"/>
      <c r="T38" s="316"/>
      <c r="U38" s="282"/>
      <c r="V38" s="33"/>
      <c r="W38" s="33"/>
      <c r="X38" s="313"/>
      <c r="Y38" s="1"/>
      <c r="Z38" s="315"/>
      <c r="AA38" s="1"/>
      <c r="AB38" s="1"/>
      <c r="AC38" s="282"/>
    </row>
    <row r="39" spans="1:29" x14ac:dyDescent="0.25">
      <c r="A39" s="107" t="s">
        <v>57</v>
      </c>
      <c r="B39" s="108" t="s">
        <v>8</v>
      </c>
      <c r="C39" s="187" t="s">
        <v>69</v>
      </c>
      <c r="D39" s="285">
        <f t="shared" si="17"/>
        <v>2003</v>
      </c>
      <c r="E39" s="3">
        <v>182400</v>
      </c>
      <c r="F39" s="282">
        <f t="shared" si="14"/>
        <v>176399.63212700668</v>
      </c>
      <c r="G39" s="32">
        <v>6000.3678729933299</v>
      </c>
      <c r="H39" s="32">
        <v>41684815.7205</v>
      </c>
      <c r="I39" s="32">
        <f t="shared" si="15"/>
        <v>40723817.019825913</v>
      </c>
      <c r="J39" s="32">
        <v>960998.70067408704</v>
      </c>
      <c r="K39" s="110">
        <f t="shared" si="16"/>
        <v>228.53517390625001</v>
      </c>
      <c r="M39" s="101" t="s">
        <v>499</v>
      </c>
      <c r="N39" s="23"/>
      <c r="O39" s="23"/>
      <c r="P39" s="23"/>
      <c r="Q39" s="61"/>
      <c r="T39" s="1"/>
      <c r="U39" s="282"/>
      <c r="V39" s="33"/>
      <c r="W39" s="33"/>
      <c r="X39" s="313"/>
      <c r="Y39" s="1"/>
      <c r="Z39" s="315"/>
      <c r="AA39" s="1"/>
      <c r="AB39" s="1"/>
      <c r="AC39" s="313"/>
    </row>
    <row r="40" spans="1:29" x14ac:dyDescent="0.25">
      <c r="A40" s="107" t="s">
        <v>57</v>
      </c>
      <c r="B40" s="108" t="s">
        <v>8</v>
      </c>
      <c r="C40" s="187" t="s">
        <v>70</v>
      </c>
      <c r="D40" s="285">
        <f t="shared" si="17"/>
        <v>2003</v>
      </c>
      <c r="E40" s="3">
        <v>170800</v>
      </c>
      <c r="F40" s="282">
        <f t="shared" si="14"/>
        <v>168799.8773756689</v>
      </c>
      <c r="G40" s="32">
        <v>2000.12262433111</v>
      </c>
      <c r="H40" s="32">
        <v>43815669.747599997</v>
      </c>
      <c r="I40" s="32">
        <f t="shared" si="15"/>
        <v>43299931.147120379</v>
      </c>
      <c r="J40" s="32">
        <v>515738.600479619</v>
      </c>
      <c r="K40" s="110">
        <f t="shared" si="16"/>
        <v>256.53202428337232</v>
      </c>
      <c r="T40" s="1"/>
      <c r="U40" s="282"/>
      <c r="V40" s="33"/>
      <c r="W40" s="33"/>
      <c r="X40" s="313"/>
      <c r="Y40" s="1"/>
      <c r="Z40" s="315"/>
      <c r="AA40" s="1"/>
      <c r="AB40" s="1"/>
      <c r="AC40" s="1"/>
    </row>
    <row r="41" spans="1:29" x14ac:dyDescent="0.25">
      <c r="A41" s="107" t="s">
        <v>57</v>
      </c>
      <c r="B41" s="108" t="s">
        <v>8</v>
      </c>
      <c r="C41" s="187" t="s">
        <v>71</v>
      </c>
      <c r="D41" s="285">
        <f t="shared" si="17"/>
        <v>2003</v>
      </c>
      <c r="E41" s="3">
        <v>194800</v>
      </c>
      <c r="F41" s="282">
        <f t="shared" si="14"/>
        <v>191799.81606350333</v>
      </c>
      <c r="G41" s="32">
        <v>3000.18393649667</v>
      </c>
      <c r="H41" s="32">
        <v>45191506.809299998</v>
      </c>
      <c r="I41" s="32">
        <f t="shared" si="15"/>
        <v>44448638.825934619</v>
      </c>
      <c r="J41" s="32">
        <v>742867.98336537695</v>
      </c>
      <c r="K41" s="110">
        <f t="shared" si="16"/>
        <v>231.98925466786446</v>
      </c>
      <c r="T41" s="1"/>
      <c r="U41" s="282"/>
      <c r="V41" s="33"/>
      <c r="W41" s="33"/>
      <c r="X41" s="313"/>
      <c r="Y41" s="1"/>
      <c r="Z41" s="315"/>
      <c r="AA41" s="1"/>
      <c r="AB41" s="1"/>
      <c r="AC41" s="313"/>
    </row>
    <row r="42" spans="1:29" x14ac:dyDescent="0.25">
      <c r="A42" s="107" t="s">
        <v>72</v>
      </c>
      <c r="B42" s="108" t="s">
        <v>9</v>
      </c>
      <c r="C42" s="187" t="s">
        <v>73</v>
      </c>
      <c r="D42" s="285">
        <f t="shared" si="17"/>
        <v>2002</v>
      </c>
      <c r="E42" s="3">
        <v>1323226.5385368899</v>
      </c>
      <c r="F42" s="282">
        <f t="shared" si="14"/>
        <v>1307317.80853689</v>
      </c>
      <c r="G42" s="32">
        <v>15908.73</v>
      </c>
      <c r="H42" s="282">
        <f t="shared" ref="H42:H57" si="18">+K42*E42</f>
        <v>266834681.61850467</v>
      </c>
      <c r="I42" s="32">
        <f>+H42-J42</f>
        <v>263222127.21010467</v>
      </c>
      <c r="J42" s="6">
        <f>227.08 * G42</f>
        <v>3612554.4084000001</v>
      </c>
      <c r="K42" s="110">
        <v>201.65457225</v>
      </c>
      <c r="T42" s="316"/>
      <c r="U42" s="282"/>
      <c r="V42" s="33"/>
      <c r="W42" s="33"/>
      <c r="X42" s="313"/>
      <c r="Y42" s="1"/>
      <c r="Z42" s="315"/>
      <c r="AA42" s="1"/>
      <c r="AB42" s="1"/>
      <c r="AC42" s="282"/>
    </row>
    <row r="43" spans="1:29" x14ac:dyDescent="0.25">
      <c r="A43" s="107" t="s">
        <v>72</v>
      </c>
      <c r="B43" s="108" t="s">
        <v>9</v>
      </c>
      <c r="C43" s="187" t="s">
        <v>74</v>
      </c>
      <c r="D43" s="285">
        <f t="shared" si="17"/>
        <v>2002</v>
      </c>
      <c r="E43" s="3">
        <v>2427646.1822019001</v>
      </c>
      <c r="F43" s="282">
        <f t="shared" si="14"/>
        <v>2281967.5522019002</v>
      </c>
      <c r="G43" s="32">
        <v>145678.63</v>
      </c>
      <c r="H43" s="282">
        <f t="shared" si="18"/>
        <v>510135773.47659022</v>
      </c>
      <c r="I43" s="32">
        <f t="shared" ref="I43:I57" si="19">+H43-J43</f>
        <v>484212261.26809025</v>
      </c>
      <c r="J43" s="6">
        <f>177.95 * G43</f>
        <v>25923512.208499998</v>
      </c>
      <c r="K43" s="110">
        <v>210.13596512399999</v>
      </c>
      <c r="T43" s="316"/>
      <c r="U43" s="282"/>
      <c r="V43" s="33"/>
      <c r="W43" s="33"/>
      <c r="X43" s="313"/>
      <c r="Y43" s="1"/>
      <c r="Z43" s="315"/>
      <c r="AA43" s="1"/>
      <c r="AB43" s="1"/>
      <c r="AC43" s="1"/>
    </row>
    <row r="44" spans="1:29" x14ac:dyDescent="0.25">
      <c r="A44" s="107" t="s">
        <v>72</v>
      </c>
      <c r="B44" s="108" t="s">
        <v>9</v>
      </c>
      <c r="C44" s="187" t="s">
        <v>75</v>
      </c>
      <c r="D44" s="285">
        <f t="shared" si="17"/>
        <v>2002</v>
      </c>
      <c r="E44" s="3">
        <v>13933.8782608696</v>
      </c>
      <c r="F44" s="282">
        <f t="shared" si="14"/>
        <v>11224.508260869599</v>
      </c>
      <c r="G44" s="32">
        <v>2709.37</v>
      </c>
      <c r="H44" s="282">
        <f t="shared" si="18"/>
        <v>2342206.2092400058</v>
      </c>
      <c r="I44" s="32">
        <f t="shared" si="19"/>
        <v>1882236.4643400058</v>
      </c>
      <c r="J44" s="6">
        <f>169.77 * G44</f>
        <v>459969.74489999999</v>
      </c>
      <c r="K44" s="110">
        <v>168.09434999999999</v>
      </c>
      <c r="T44" s="316"/>
      <c r="U44" s="282"/>
      <c r="V44" s="33"/>
      <c r="W44" s="33"/>
      <c r="X44" s="313"/>
      <c r="Y44" s="1"/>
      <c r="Z44" s="315"/>
      <c r="AA44" s="1"/>
      <c r="AB44" s="1"/>
      <c r="AC44" s="1"/>
    </row>
    <row r="45" spans="1:29" x14ac:dyDescent="0.25">
      <c r="A45" s="107" t="s">
        <v>72</v>
      </c>
      <c r="B45" s="108" t="s">
        <v>9</v>
      </c>
      <c r="C45" s="187" t="s">
        <v>76</v>
      </c>
      <c r="D45" s="285">
        <f t="shared" si="17"/>
        <v>2002</v>
      </c>
      <c r="E45" s="3">
        <v>973988.05332975998</v>
      </c>
      <c r="F45" s="282">
        <f t="shared" si="14"/>
        <v>925802.10332976002</v>
      </c>
      <c r="G45" s="32">
        <v>48185.95</v>
      </c>
      <c r="H45" s="282">
        <f t="shared" si="18"/>
        <v>123184094.27906421</v>
      </c>
      <c r="I45" s="32">
        <f t="shared" si="19"/>
        <v>115991377.5225642</v>
      </c>
      <c r="J45" s="6">
        <f>149.27 * G45</f>
        <v>7192716.7565000001</v>
      </c>
      <c r="K45" s="110">
        <v>126.473927332</v>
      </c>
      <c r="T45" s="1"/>
      <c r="U45" s="282"/>
      <c r="V45" s="33"/>
      <c r="W45" s="33"/>
      <c r="X45" s="313"/>
      <c r="Y45" s="1"/>
      <c r="Z45" s="315"/>
      <c r="AA45" s="1"/>
      <c r="AB45" s="1"/>
      <c r="AC45" s="313"/>
    </row>
    <row r="46" spans="1:29" x14ac:dyDescent="0.25">
      <c r="A46" s="107" t="s">
        <v>72</v>
      </c>
      <c r="B46" s="108" t="s">
        <v>9</v>
      </c>
      <c r="C46" s="187" t="s">
        <v>77</v>
      </c>
      <c r="D46" s="285">
        <f t="shared" si="17"/>
        <v>2002</v>
      </c>
      <c r="E46" s="3">
        <v>3233.84</v>
      </c>
      <c r="F46" s="282">
        <f t="shared" si="14"/>
        <v>2021.15</v>
      </c>
      <c r="G46" s="32">
        <v>1212.69</v>
      </c>
      <c r="H46" s="282">
        <f t="shared" si="18"/>
        <v>652243.45704200002</v>
      </c>
      <c r="I46" s="32">
        <f t="shared" si="19"/>
        <v>599394.42684199999</v>
      </c>
      <c r="J46" s="6">
        <f>43.58 * G46</f>
        <v>52849.030200000001</v>
      </c>
      <c r="K46" s="110">
        <v>201.693175</v>
      </c>
      <c r="T46" s="316"/>
      <c r="U46" s="282"/>
      <c r="V46" s="33"/>
      <c r="W46" s="33"/>
      <c r="X46" s="313"/>
      <c r="Y46" s="1"/>
      <c r="Z46" s="315"/>
      <c r="AA46" s="1"/>
      <c r="AB46" s="1"/>
      <c r="AC46" s="313"/>
    </row>
    <row r="47" spans="1:29" x14ac:dyDescent="0.25">
      <c r="A47" s="107" t="s">
        <v>72</v>
      </c>
      <c r="B47" s="108" t="s">
        <v>9</v>
      </c>
      <c r="C47" s="187" t="s">
        <v>78</v>
      </c>
      <c r="D47" s="285">
        <f t="shared" si="17"/>
        <v>2002</v>
      </c>
      <c r="E47" s="3">
        <v>1956.8134715025899</v>
      </c>
      <c r="F47" s="282">
        <f t="shared" si="14"/>
        <v>1174.0834715025899</v>
      </c>
      <c r="G47" s="32">
        <v>782.73</v>
      </c>
      <c r="H47" s="282">
        <f t="shared" si="18"/>
        <v>340228.34047875635</v>
      </c>
      <c r="I47" s="32">
        <f t="shared" si="19"/>
        <v>271301.13667875633</v>
      </c>
      <c r="J47" s="6">
        <f>88.06 * G47</f>
        <v>68927.203800000003</v>
      </c>
      <c r="K47" s="110">
        <v>173.86856</v>
      </c>
      <c r="T47" s="1"/>
      <c r="U47" s="282"/>
      <c r="V47" s="33"/>
      <c r="W47" s="33"/>
      <c r="X47" s="313"/>
      <c r="Y47" s="1"/>
      <c r="Z47" s="315"/>
      <c r="AA47" s="1"/>
      <c r="AB47" s="1"/>
      <c r="AC47" s="313"/>
    </row>
    <row r="48" spans="1:29" x14ac:dyDescent="0.25">
      <c r="A48" s="107" t="s">
        <v>72</v>
      </c>
      <c r="B48" s="108" t="s">
        <v>9</v>
      </c>
      <c r="C48" s="187" t="s">
        <v>79</v>
      </c>
      <c r="D48" s="285">
        <f t="shared" si="17"/>
        <v>2002</v>
      </c>
      <c r="E48" s="3">
        <v>831396.03749999998</v>
      </c>
      <c r="F48" s="282">
        <f t="shared" si="14"/>
        <v>792605.5575</v>
      </c>
      <c r="G48" s="32">
        <v>38790.480000000003</v>
      </c>
      <c r="H48" s="282">
        <f t="shared" si="18"/>
        <v>157567008.86284599</v>
      </c>
      <c r="I48" s="32">
        <f t="shared" si="19"/>
        <v>148856994.48364598</v>
      </c>
      <c r="J48" s="6">
        <f>224.54 * G48</f>
        <v>8710014.3792000003</v>
      </c>
      <c r="K48" s="110">
        <v>189.52100052899999</v>
      </c>
      <c r="T48" s="1"/>
      <c r="U48" s="282"/>
      <c r="V48" s="33"/>
      <c r="W48" s="33"/>
      <c r="X48" s="313"/>
      <c r="Y48" s="1"/>
      <c r="Z48" s="315"/>
      <c r="AA48" s="1"/>
      <c r="AB48" s="1"/>
      <c r="AC48" s="1"/>
    </row>
    <row r="49" spans="1:29" x14ac:dyDescent="0.25">
      <c r="A49" s="107" t="s">
        <v>72</v>
      </c>
      <c r="B49" s="108" t="s">
        <v>9</v>
      </c>
      <c r="C49" s="187" t="s">
        <v>80</v>
      </c>
      <c r="D49" s="285">
        <f t="shared" si="17"/>
        <v>2002</v>
      </c>
      <c r="E49" s="3">
        <v>500619.91673091799</v>
      </c>
      <c r="F49" s="282">
        <f t="shared" si="14"/>
        <v>433030.27673091798</v>
      </c>
      <c r="G49" s="32">
        <v>67589.64</v>
      </c>
      <c r="H49" s="282">
        <f t="shared" si="18"/>
        <v>80485257.95831129</v>
      </c>
      <c r="I49" s="32">
        <f t="shared" si="19"/>
        <v>69226175.727111295</v>
      </c>
      <c r="J49" s="6">
        <f>166.58 * G49</f>
        <v>11259082.2312</v>
      </c>
      <c r="K49" s="110">
        <v>160.77118641999999</v>
      </c>
      <c r="T49" s="1"/>
      <c r="U49" s="282"/>
      <c r="V49" s="33"/>
      <c r="W49" s="33"/>
      <c r="X49" s="313"/>
      <c r="Y49" s="1"/>
      <c r="Z49" s="315"/>
      <c r="AA49" s="1"/>
      <c r="AB49" s="1"/>
      <c r="AC49" s="313"/>
    </row>
    <row r="50" spans="1:29" x14ac:dyDescent="0.25">
      <c r="A50" s="107" t="s">
        <v>72</v>
      </c>
      <c r="B50" s="108" t="s">
        <v>9</v>
      </c>
      <c r="C50" s="187" t="s">
        <v>81</v>
      </c>
      <c r="D50" s="285">
        <f t="shared" si="17"/>
        <v>2002</v>
      </c>
      <c r="E50" s="3">
        <v>1101734.1471254299</v>
      </c>
      <c r="F50" s="282">
        <f t="shared" si="14"/>
        <v>1028671.0071254299</v>
      </c>
      <c r="G50" s="32">
        <v>73063.14</v>
      </c>
      <c r="H50" s="282">
        <f t="shared" si="18"/>
        <v>165723936.91768667</v>
      </c>
      <c r="I50" s="32">
        <f t="shared" si="19"/>
        <v>157322406.44908667</v>
      </c>
      <c r="J50" s="6">
        <f>114.99 * G50</f>
        <v>8401530.4685999993</v>
      </c>
      <c r="K50" s="110">
        <v>150.42098617900001</v>
      </c>
      <c r="T50" s="316"/>
      <c r="U50" s="33"/>
      <c r="V50" s="33"/>
      <c r="W50" s="33"/>
      <c r="X50" s="313"/>
      <c r="Y50" s="1"/>
      <c r="Z50" s="315"/>
      <c r="AA50" s="1"/>
      <c r="AB50" s="1"/>
      <c r="AC50" s="1"/>
    </row>
    <row r="51" spans="1:29" x14ac:dyDescent="0.25">
      <c r="A51" s="107" t="s">
        <v>72</v>
      </c>
      <c r="B51" s="108" t="s">
        <v>9</v>
      </c>
      <c r="C51" s="187" t="s">
        <v>82</v>
      </c>
      <c r="D51" s="285">
        <f t="shared" si="17"/>
        <v>2002</v>
      </c>
      <c r="E51" s="3">
        <v>851400.28131560504</v>
      </c>
      <c r="F51" s="282">
        <f t="shared" si="14"/>
        <v>775879.25131560501</v>
      </c>
      <c r="G51" s="32">
        <v>75521.03</v>
      </c>
      <c r="H51" s="282">
        <f t="shared" si="18"/>
        <v>153785277.2666209</v>
      </c>
      <c r="I51" s="32">
        <f t="shared" si="19"/>
        <v>140845503.9864209</v>
      </c>
      <c r="J51" s="6">
        <f>171.34 * G51</f>
        <v>12939773.280200001</v>
      </c>
      <c r="K51" s="110">
        <v>180.62629369699999</v>
      </c>
      <c r="T51" s="1"/>
      <c r="U51" s="282"/>
      <c r="V51" s="33"/>
      <c r="W51" s="33"/>
      <c r="X51" s="313"/>
      <c r="Y51" s="1"/>
      <c r="Z51" s="315"/>
      <c r="AA51" s="1"/>
      <c r="AB51" s="1"/>
      <c r="AC51" s="1"/>
    </row>
    <row r="52" spans="1:29" x14ac:dyDescent="0.25">
      <c r="A52" s="107" t="s">
        <v>72</v>
      </c>
      <c r="B52" s="108" t="s">
        <v>9</v>
      </c>
      <c r="C52" s="187" t="s">
        <v>83</v>
      </c>
      <c r="D52" s="285">
        <f t="shared" si="17"/>
        <v>2002</v>
      </c>
      <c r="E52" s="3">
        <v>806452.83513838798</v>
      </c>
      <c r="F52" s="282">
        <f t="shared" si="14"/>
        <v>764657.40513838793</v>
      </c>
      <c r="G52" s="32">
        <v>41795.43</v>
      </c>
      <c r="H52" s="282">
        <f t="shared" si="18"/>
        <v>137301650.54823151</v>
      </c>
      <c r="I52" s="32">
        <f t="shared" si="19"/>
        <v>131385507.43173151</v>
      </c>
      <c r="J52" s="6">
        <f>141.55 * G52</f>
        <v>5916143.1165000005</v>
      </c>
      <c r="K52" s="110">
        <v>170.25378864800001</v>
      </c>
      <c r="P52" s="280"/>
      <c r="Q52" s="280"/>
      <c r="R52" s="280"/>
      <c r="S52" s="280"/>
      <c r="T52" s="280"/>
      <c r="U52" s="280"/>
      <c r="V52" s="280"/>
      <c r="X52" s="281"/>
      <c r="Y52" s="280"/>
    </row>
    <row r="53" spans="1:29" x14ac:dyDescent="0.25">
      <c r="A53" s="107" t="s">
        <v>72</v>
      </c>
      <c r="B53" s="108" t="s">
        <v>9</v>
      </c>
      <c r="C53" s="187" t="s">
        <v>84</v>
      </c>
      <c r="D53" s="285">
        <f t="shared" si="17"/>
        <v>2002</v>
      </c>
      <c r="E53" s="3">
        <v>95206.733231707301</v>
      </c>
      <c r="F53" s="282">
        <f t="shared" si="14"/>
        <v>90896.963231707297</v>
      </c>
      <c r="G53" s="32">
        <v>4309.7700000000004</v>
      </c>
      <c r="H53" s="282">
        <f t="shared" si="18"/>
        <v>14723257.406330748</v>
      </c>
      <c r="I53" s="32">
        <f t="shared" si="19"/>
        <v>14270903.947130747</v>
      </c>
      <c r="J53" s="6">
        <f>104.96 * G53</f>
        <v>452353.45920000004</v>
      </c>
      <c r="K53" s="110">
        <v>154.64512757200001</v>
      </c>
      <c r="P53" s="108"/>
      <c r="Q53" s="3"/>
      <c r="R53" s="32"/>
      <c r="S53" s="32"/>
      <c r="T53" s="32"/>
      <c r="U53" s="282"/>
      <c r="V53" s="32"/>
      <c r="W53" s="14"/>
      <c r="Y53" s="65"/>
    </row>
    <row r="54" spans="1:29" x14ac:dyDescent="0.25">
      <c r="A54" s="107" t="s">
        <v>72</v>
      </c>
      <c r="B54" s="108" t="s">
        <v>9</v>
      </c>
      <c r="C54" s="187" t="s">
        <v>85</v>
      </c>
      <c r="D54" s="285">
        <f t="shared" si="17"/>
        <v>2002</v>
      </c>
      <c r="E54" s="3">
        <v>480793.579266313</v>
      </c>
      <c r="F54" s="282">
        <f t="shared" si="14"/>
        <v>413446.60926631303</v>
      </c>
      <c r="G54" s="32">
        <v>67346.97</v>
      </c>
      <c r="H54" s="282">
        <f t="shared" si="18"/>
        <v>66220620.811305583</v>
      </c>
      <c r="I54" s="32">
        <f t="shared" si="19"/>
        <v>54694186.895805582</v>
      </c>
      <c r="J54" s="6">
        <f>171.15 * G54</f>
        <v>11526433.9155</v>
      </c>
      <c r="K54" s="110">
        <v>137.731915872</v>
      </c>
      <c r="P54" s="108"/>
      <c r="Q54" s="3"/>
      <c r="R54" s="32"/>
      <c r="S54" s="32"/>
      <c r="T54" s="32"/>
      <c r="U54" s="282"/>
      <c r="V54" s="32"/>
      <c r="W54" s="14"/>
      <c r="Y54" s="65"/>
    </row>
    <row r="55" spans="1:29" x14ac:dyDescent="0.25">
      <c r="A55" s="107" t="s">
        <v>72</v>
      </c>
      <c r="B55" s="108" t="s">
        <v>9</v>
      </c>
      <c r="C55" s="187" t="s">
        <v>86</v>
      </c>
      <c r="D55" s="285">
        <f t="shared" si="17"/>
        <v>2002</v>
      </c>
      <c r="E55" s="3">
        <v>474273.91474834201</v>
      </c>
      <c r="F55" s="282">
        <f t="shared" si="14"/>
        <v>439206.26474834199</v>
      </c>
      <c r="G55" s="32">
        <v>35067.65</v>
      </c>
      <c r="H55" s="282">
        <f t="shared" si="18"/>
        <v>62456198.961555369</v>
      </c>
      <c r="I55" s="32">
        <f t="shared" si="19"/>
        <v>57765900.774055369</v>
      </c>
      <c r="J55" s="6">
        <f>133.75 * G55</f>
        <v>4690298.1875</v>
      </c>
      <c r="K55" s="110">
        <v>131.688033053</v>
      </c>
      <c r="P55" s="108"/>
      <c r="Q55" s="3"/>
      <c r="R55" s="32"/>
      <c r="S55" s="32"/>
      <c r="T55" s="32"/>
      <c r="U55" s="282"/>
      <c r="V55" s="32"/>
      <c r="W55" s="14"/>
      <c r="Y55" s="65"/>
    </row>
    <row r="56" spans="1:29" x14ac:dyDescent="0.25">
      <c r="A56" s="107" t="s">
        <v>72</v>
      </c>
      <c r="B56" s="108" t="s">
        <v>9</v>
      </c>
      <c r="C56" s="187" t="s">
        <v>87</v>
      </c>
      <c r="D56" s="285">
        <f t="shared" si="17"/>
        <v>2002</v>
      </c>
      <c r="E56" s="3">
        <v>157051.037616763</v>
      </c>
      <c r="F56" s="282">
        <f t="shared" si="14"/>
        <v>142918.437616763</v>
      </c>
      <c r="G56" s="32">
        <v>14132.6</v>
      </c>
      <c r="H56" s="282">
        <f t="shared" si="18"/>
        <v>26390768.400603909</v>
      </c>
      <c r="I56" s="32">
        <f t="shared" si="19"/>
        <v>23658230.190603908</v>
      </c>
      <c r="J56" s="6">
        <f>193.35 * G56</f>
        <v>2732538.21</v>
      </c>
      <c r="K56" s="110">
        <v>168.03943992399999</v>
      </c>
      <c r="P56" s="108"/>
      <c r="Q56" s="3"/>
      <c r="R56" s="32"/>
      <c r="S56" s="32"/>
      <c r="T56" s="32"/>
      <c r="U56" s="282"/>
      <c r="V56" s="32"/>
      <c r="W56" s="14"/>
      <c r="Y56" s="65"/>
    </row>
    <row r="57" spans="1:29" x14ac:dyDescent="0.25">
      <c r="A57" s="107" t="s">
        <v>72</v>
      </c>
      <c r="B57" s="108" t="s">
        <v>9</v>
      </c>
      <c r="C57" s="187" t="s">
        <v>88</v>
      </c>
      <c r="D57" s="285">
        <f t="shared" si="17"/>
        <v>2002</v>
      </c>
      <c r="E57" s="3">
        <v>502582.534755859</v>
      </c>
      <c r="F57" s="282">
        <f t="shared" si="14"/>
        <v>480669.92475585901</v>
      </c>
      <c r="G57" s="32">
        <v>21912.61</v>
      </c>
      <c r="H57" s="282">
        <f t="shared" si="18"/>
        <v>86823680.060338557</v>
      </c>
      <c r="I57" s="32">
        <f t="shared" si="19"/>
        <v>82138983.168438554</v>
      </c>
      <c r="J57" s="6">
        <f>213.79 * G57</f>
        <v>4684696.8919000002</v>
      </c>
      <c r="K57" s="110">
        <v>172.755068185</v>
      </c>
      <c r="P57" s="108"/>
      <c r="Q57" s="3"/>
      <c r="R57" s="32"/>
      <c r="S57" s="32"/>
      <c r="T57" s="32"/>
      <c r="U57" s="282"/>
      <c r="V57" s="32"/>
      <c r="W57" s="14"/>
      <c r="Y57" s="65"/>
    </row>
    <row r="58" spans="1:29" x14ac:dyDescent="0.25">
      <c r="A58" s="107" t="s">
        <v>324</v>
      </c>
      <c r="B58" s="108" t="s">
        <v>10</v>
      </c>
      <c r="C58" s="187" t="s">
        <v>470</v>
      </c>
      <c r="D58" s="285">
        <f t="shared" si="17"/>
        <v>2014</v>
      </c>
      <c r="E58" s="3">
        <v>825.40618877770532</v>
      </c>
      <c r="F58" s="32" t="e">
        <v>#N/A</v>
      </c>
      <c r="G58" s="32" t="e">
        <v>#N/A</v>
      </c>
      <c r="H58" s="282">
        <v>66778.557629766641</v>
      </c>
      <c r="I58" s="33" t="e">
        <v>#N/A</v>
      </c>
      <c r="J58" s="33" t="e">
        <v>#N/A</v>
      </c>
      <c r="K58" s="110">
        <f t="shared" ref="K58:K121" si="20">+H58/E58</f>
        <v>80.903873193215347</v>
      </c>
      <c r="P58" s="108"/>
      <c r="Q58" s="3"/>
      <c r="R58" s="32"/>
      <c r="S58" s="32"/>
      <c r="T58" s="32"/>
      <c r="U58" s="282"/>
      <c r="V58" s="32"/>
      <c r="W58" s="14"/>
      <c r="Y58" s="65"/>
    </row>
    <row r="59" spans="1:29" x14ac:dyDescent="0.25">
      <c r="A59" s="107" t="s">
        <v>324</v>
      </c>
      <c r="B59" s="108" t="s">
        <v>10</v>
      </c>
      <c r="C59" s="187" t="s">
        <v>471</v>
      </c>
      <c r="D59" s="285">
        <f t="shared" si="17"/>
        <v>2014</v>
      </c>
      <c r="E59" s="3">
        <v>4874.6598257347914</v>
      </c>
      <c r="F59" s="32" t="e">
        <v>#N/A</v>
      </c>
      <c r="G59" s="32" t="e">
        <v>#N/A</v>
      </c>
      <c r="H59" s="282">
        <v>713881.95478024869</v>
      </c>
      <c r="I59" s="33" t="e">
        <v>#N/A</v>
      </c>
      <c r="J59" s="33" t="e">
        <v>#N/A</v>
      </c>
      <c r="K59" s="110">
        <f t="shared" si="20"/>
        <v>146.44754306986749</v>
      </c>
      <c r="P59" s="108"/>
      <c r="Q59" s="3"/>
      <c r="R59" s="32"/>
      <c r="S59" s="32"/>
      <c r="T59" s="32"/>
      <c r="U59" s="282"/>
      <c r="V59" s="32"/>
      <c r="W59" s="14"/>
      <c r="Y59" s="65"/>
    </row>
    <row r="60" spans="1:29" x14ac:dyDescent="0.25">
      <c r="A60" s="107" t="s">
        <v>324</v>
      </c>
      <c r="B60" s="108" t="s">
        <v>10</v>
      </c>
      <c r="C60" s="187" t="s">
        <v>472</v>
      </c>
      <c r="D60" s="285">
        <f t="shared" si="17"/>
        <v>2014</v>
      </c>
      <c r="E60" s="3">
        <v>27364.448825297339</v>
      </c>
      <c r="F60" s="32" t="e">
        <v>#N/A</v>
      </c>
      <c r="G60" s="32" t="e">
        <v>#N/A</v>
      </c>
      <c r="H60" s="282">
        <v>4468172.0547041623</v>
      </c>
      <c r="I60" s="33" t="e">
        <v>#N/A</v>
      </c>
      <c r="J60" s="33" t="e">
        <v>#N/A</v>
      </c>
      <c r="K60" s="110">
        <f t="shared" si="20"/>
        <v>163.28383163243237</v>
      </c>
      <c r="P60" s="108"/>
      <c r="Q60" s="3"/>
      <c r="R60" s="32"/>
      <c r="S60" s="32"/>
      <c r="T60" s="32"/>
      <c r="U60" s="282"/>
      <c r="V60" s="32"/>
      <c r="W60" s="14"/>
      <c r="Y60" s="65"/>
    </row>
    <row r="61" spans="1:29" x14ac:dyDescent="0.25">
      <c r="A61" s="107" t="s">
        <v>324</v>
      </c>
      <c r="B61" s="108" t="s">
        <v>10</v>
      </c>
      <c r="C61" s="187" t="s">
        <v>473</v>
      </c>
      <c r="D61" s="285">
        <f t="shared" si="17"/>
        <v>2014</v>
      </c>
      <c r="E61" s="3">
        <v>14511.950817629786</v>
      </c>
      <c r="F61" s="32" t="e">
        <v>#N/A</v>
      </c>
      <c r="G61" s="32" t="e">
        <v>#N/A</v>
      </c>
      <c r="H61" s="282">
        <v>1991201.5442413359</v>
      </c>
      <c r="I61" s="33" t="e">
        <v>#N/A</v>
      </c>
      <c r="J61" s="33" t="e">
        <v>#N/A</v>
      </c>
      <c r="K61" s="110">
        <f t="shared" si="20"/>
        <v>137.21115577530298</v>
      </c>
      <c r="P61" s="108"/>
      <c r="Q61" s="3"/>
      <c r="R61" s="32"/>
      <c r="S61" s="32"/>
      <c r="T61" s="32"/>
      <c r="U61" s="6"/>
      <c r="V61" s="32"/>
      <c r="Y61" s="65"/>
    </row>
    <row r="62" spans="1:29" x14ac:dyDescent="0.25">
      <c r="A62" s="107" t="s">
        <v>324</v>
      </c>
      <c r="B62" s="108" t="s">
        <v>10</v>
      </c>
      <c r="C62" s="187" t="s">
        <v>474</v>
      </c>
      <c r="D62" s="285">
        <f t="shared" si="17"/>
        <v>2014</v>
      </c>
      <c r="E62" s="3">
        <v>9817.7120948929187</v>
      </c>
      <c r="F62" s="32" t="e">
        <v>#N/A</v>
      </c>
      <c r="G62" s="32" t="e">
        <v>#N/A</v>
      </c>
      <c r="H62" s="282">
        <v>1412535.1495665801</v>
      </c>
      <c r="I62" s="33" t="e">
        <v>#N/A</v>
      </c>
      <c r="J62" s="33" t="e">
        <v>#N/A</v>
      </c>
      <c r="K62" s="110">
        <f t="shared" si="20"/>
        <v>143.87620414142796</v>
      </c>
    </row>
    <row r="63" spans="1:29" x14ac:dyDescent="0.25">
      <c r="A63" s="107" t="s">
        <v>324</v>
      </c>
      <c r="B63" s="108" t="s">
        <v>10</v>
      </c>
      <c r="C63" s="187" t="s">
        <v>475</v>
      </c>
      <c r="D63" s="285">
        <f t="shared" si="17"/>
        <v>2014</v>
      </c>
      <c r="E63" s="3">
        <v>89017.416774172496</v>
      </c>
      <c r="F63" s="32" t="e">
        <v>#N/A</v>
      </c>
      <c r="G63" s="32" t="e">
        <v>#N/A</v>
      </c>
      <c r="H63" s="282">
        <v>15278540.866356529</v>
      </c>
      <c r="I63" s="33" t="e">
        <v>#N/A</v>
      </c>
      <c r="J63" s="33" t="e">
        <v>#N/A</v>
      </c>
      <c r="K63" s="110">
        <f t="shared" si="20"/>
        <v>171.63541046261233</v>
      </c>
    </row>
    <row r="64" spans="1:29" x14ac:dyDescent="0.25">
      <c r="A64" s="107" t="s">
        <v>324</v>
      </c>
      <c r="B64" s="108" t="s">
        <v>10</v>
      </c>
      <c r="C64" s="187" t="s">
        <v>476</v>
      </c>
      <c r="D64" s="285">
        <f t="shared" si="17"/>
        <v>2014</v>
      </c>
      <c r="E64" s="3">
        <v>34668.162509778005</v>
      </c>
      <c r="F64" s="32" t="e">
        <v>#N/A</v>
      </c>
      <c r="G64" s="32" t="e">
        <v>#N/A</v>
      </c>
      <c r="H64" s="282">
        <v>4886271.3250466604</v>
      </c>
      <c r="I64" s="33" t="e">
        <v>#N/A</v>
      </c>
      <c r="J64" s="33" t="e">
        <v>#N/A</v>
      </c>
      <c r="K64" s="110">
        <f t="shared" si="20"/>
        <v>140.94405273623914</v>
      </c>
    </row>
    <row r="65" spans="1:22" x14ac:dyDescent="0.25">
      <c r="A65" s="107" t="s">
        <v>324</v>
      </c>
      <c r="B65" s="108" t="s">
        <v>10</v>
      </c>
      <c r="C65" s="187" t="s">
        <v>477</v>
      </c>
      <c r="D65" s="285">
        <f t="shared" si="17"/>
        <v>2014</v>
      </c>
      <c r="E65" s="3">
        <v>107289.14019516802</v>
      </c>
      <c r="F65" s="32" t="e">
        <v>#N/A</v>
      </c>
      <c r="G65" s="32" t="e">
        <v>#N/A</v>
      </c>
      <c r="H65" s="282">
        <v>9038822.8251171</v>
      </c>
      <c r="I65" s="33" t="e">
        <v>#N/A</v>
      </c>
      <c r="J65" s="33" t="e">
        <v>#N/A</v>
      </c>
      <c r="K65" s="110">
        <f t="shared" si="20"/>
        <v>84.247322782853118</v>
      </c>
    </row>
    <row r="66" spans="1:22" x14ac:dyDescent="0.25">
      <c r="A66" s="107" t="s">
        <v>324</v>
      </c>
      <c r="B66" s="108" t="s">
        <v>10</v>
      </c>
      <c r="C66" s="187" t="s">
        <v>478</v>
      </c>
      <c r="D66" s="285">
        <f t="shared" si="17"/>
        <v>2014</v>
      </c>
      <c r="E66" s="3">
        <v>110798.57594458124</v>
      </c>
      <c r="F66" s="32" t="e">
        <v>#N/A</v>
      </c>
      <c r="G66" s="32" t="e">
        <v>#N/A</v>
      </c>
      <c r="H66" s="282">
        <v>8773497.4515637383</v>
      </c>
      <c r="I66" s="33" t="e">
        <v>#N/A</v>
      </c>
      <c r="J66" s="33" t="e">
        <v>#N/A</v>
      </c>
      <c r="K66" s="110">
        <f t="shared" si="20"/>
        <v>79.184207709962166</v>
      </c>
    </row>
    <row r="67" spans="1:22" x14ac:dyDescent="0.25">
      <c r="A67" s="107" t="s">
        <v>324</v>
      </c>
      <c r="B67" s="108" t="s">
        <v>10</v>
      </c>
      <c r="C67" s="187" t="s">
        <v>479</v>
      </c>
      <c r="D67" s="285">
        <f t="shared" ref="D67:D68" si="21">+VLOOKUP(B67, N$3:O$28, 2, FALSE)</f>
        <v>2014</v>
      </c>
      <c r="E67" s="3">
        <v>105831.58269498961</v>
      </c>
      <c r="F67" s="32" t="e">
        <v>#N/A</v>
      </c>
      <c r="G67" s="32" t="e">
        <v>#N/A</v>
      </c>
      <c r="H67" s="282">
        <v>13711121.1888304</v>
      </c>
      <c r="I67" s="33" t="e">
        <v>#N/A</v>
      </c>
      <c r="J67" s="33" t="e">
        <v>#N/A</v>
      </c>
      <c r="K67" s="110">
        <f t="shared" si="20"/>
        <v>129.55604404354736</v>
      </c>
    </row>
    <row r="68" spans="1:22" x14ac:dyDescent="0.25">
      <c r="A68" s="107" t="s">
        <v>324</v>
      </c>
      <c r="B68" s="108" t="s">
        <v>10</v>
      </c>
      <c r="C68" s="187" t="s">
        <v>480</v>
      </c>
      <c r="D68" s="285">
        <f t="shared" si="21"/>
        <v>2014</v>
      </c>
      <c r="E68" s="3">
        <v>115501.1913923867</v>
      </c>
      <c r="F68" s="32" t="e">
        <v>#N/A</v>
      </c>
      <c r="G68" s="32" t="e">
        <v>#N/A</v>
      </c>
      <c r="H68" s="282">
        <v>10713895.382137125</v>
      </c>
      <c r="I68" s="33" t="e">
        <v>#N/A</v>
      </c>
      <c r="J68" s="33" t="e">
        <v>#N/A</v>
      </c>
      <c r="K68" s="110">
        <f t="shared" si="20"/>
        <v>92.760042151767237</v>
      </c>
      <c r="S68" s="280"/>
      <c r="T68" s="280"/>
      <c r="U68" s="280"/>
      <c r="V68" s="281"/>
    </row>
    <row r="69" spans="1:22" x14ac:dyDescent="0.25">
      <c r="A69" s="107" t="s">
        <v>89</v>
      </c>
      <c r="B69" s="108" t="s">
        <v>12</v>
      </c>
      <c r="C69" s="187" t="s">
        <v>90</v>
      </c>
      <c r="D69" s="285">
        <v>1997</v>
      </c>
      <c r="E69" s="3">
        <v>396348.33348375134</v>
      </c>
      <c r="F69" s="282">
        <v>375699.16775872011</v>
      </c>
      <c r="G69" s="32">
        <v>20649.165725032399</v>
      </c>
      <c r="H69" s="32">
        <v>34643713.452200301</v>
      </c>
      <c r="I69" s="32">
        <v>33583504.712468036</v>
      </c>
      <c r="J69" s="32">
        <v>1060208.7397322725</v>
      </c>
      <c r="K69" s="110">
        <v>87.407238848956965</v>
      </c>
      <c r="P69" s="4"/>
      <c r="Q69" s="4"/>
      <c r="R69" s="3"/>
      <c r="S69" s="3"/>
      <c r="T69" s="3"/>
      <c r="U69" s="3"/>
    </row>
    <row r="70" spans="1:22" x14ac:dyDescent="0.25">
      <c r="A70" s="107" t="s">
        <v>89</v>
      </c>
      <c r="B70" s="108" t="s">
        <v>12</v>
      </c>
      <c r="C70" s="187" t="s">
        <v>91</v>
      </c>
      <c r="D70" s="285">
        <v>1998</v>
      </c>
      <c r="E70" s="3">
        <v>460154.02247280272</v>
      </c>
      <c r="F70" s="282">
        <v>437406.74209508538</v>
      </c>
      <c r="G70" s="32">
        <v>22747.280377717776</v>
      </c>
      <c r="H70" s="32">
        <v>42345121.47110343</v>
      </c>
      <c r="I70" s="32">
        <v>40637751.877269655</v>
      </c>
      <c r="J70" s="32">
        <v>1707369.5938337774</v>
      </c>
      <c r="K70" s="110">
        <v>92.023799430344496</v>
      </c>
      <c r="P70" s="4"/>
      <c r="Q70" s="4"/>
      <c r="R70" s="3"/>
      <c r="S70" s="3"/>
      <c r="T70" s="3"/>
      <c r="U70" s="3"/>
    </row>
    <row r="71" spans="1:22" x14ac:dyDescent="0.25">
      <c r="A71" s="107" t="s">
        <v>89</v>
      </c>
      <c r="B71" s="108" t="s">
        <v>12</v>
      </c>
      <c r="C71" s="187" t="s">
        <v>92</v>
      </c>
      <c r="D71" s="285">
        <v>1998</v>
      </c>
      <c r="E71" s="3">
        <v>318309.6942537151</v>
      </c>
      <c r="F71" s="282">
        <v>296467.61680613278</v>
      </c>
      <c r="G71" s="32">
        <v>21842.077447582273</v>
      </c>
      <c r="H71" s="32">
        <v>20357732.699399978</v>
      </c>
      <c r="I71" s="32">
        <v>19510958.621852342</v>
      </c>
      <c r="J71" s="32">
        <v>846774.07754763938</v>
      </c>
      <c r="K71" s="110">
        <v>63.955742055325025</v>
      </c>
      <c r="P71" s="4"/>
      <c r="Q71" s="4"/>
      <c r="R71" s="3"/>
      <c r="S71" s="3"/>
      <c r="T71" s="3"/>
      <c r="U71" s="3"/>
    </row>
    <row r="72" spans="1:22" x14ac:dyDescent="0.25">
      <c r="A72" s="107" t="s">
        <v>89</v>
      </c>
      <c r="B72" s="108" t="s">
        <v>12</v>
      </c>
      <c r="C72" s="187" t="s">
        <v>93</v>
      </c>
      <c r="D72" s="285">
        <v>1998</v>
      </c>
      <c r="E72" s="3">
        <v>221433.70030328384</v>
      </c>
      <c r="F72" s="282">
        <v>209369.42416547114</v>
      </c>
      <c r="G72" s="32">
        <v>12064.276137812703</v>
      </c>
      <c r="H72" s="32">
        <v>19165481.333793681</v>
      </c>
      <c r="I72" s="32">
        <v>18681592.572930936</v>
      </c>
      <c r="J72" s="32">
        <v>483888.76086274657</v>
      </c>
      <c r="K72" s="110">
        <v>86.55178189924986</v>
      </c>
      <c r="P72" s="4"/>
      <c r="Q72" s="4"/>
      <c r="R72" s="3"/>
      <c r="S72" s="3"/>
      <c r="T72" s="3"/>
      <c r="U72" s="3"/>
    </row>
    <row r="73" spans="1:22" x14ac:dyDescent="0.25">
      <c r="A73" s="107" t="s">
        <v>89</v>
      </c>
      <c r="B73" s="108" t="s">
        <v>12</v>
      </c>
      <c r="C73" s="187" t="s">
        <v>94</v>
      </c>
      <c r="D73" s="285">
        <v>1998</v>
      </c>
      <c r="E73" s="3">
        <v>444645.83552664053</v>
      </c>
      <c r="F73" s="282">
        <v>407253.42421450757</v>
      </c>
      <c r="G73" s="32">
        <v>37392.411312132208</v>
      </c>
      <c r="H73" s="32">
        <v>43158395.406373233</v>
      </c>
      <c r="I73" s="32">
        <v>40136090.292269185</v>
      </c>
      <c r="J73" s="32">
        <v>3022305.1141040404</v>
      </c>
      <c r="K73" s="110">
        <v>97.062407781816361</v>
      </c>
      <c r="P73" s="4"/>
      <c r="Q73" s="4"/>
      <c r="R73" s="4"/>
      <c r="S73" s="4"/>
      <c r="T73" s="4"/>
      <c r="U73" s="4"/>
    </row>
    <row r="74" spans="1:22" x14ac:dyDescent="0.25">
      <c r="A74" s="107" t="s">
        <v>89</v>
      </c>
      <c r="B74" s="108" t="s">
        <v>12</v>
      </c>
      <c r="C74" s="187" t="s">
        <v>95</v>
      </c>
      <c r="D74" s="285">
        <v>2000</v>
      </c>
      <c r="E74" s="3">
        <v>214075.08528012293</v>
      </c>
      <c r="F74" s="282">
        <v>195993.52186104617</v>
      </c>
      <c r="G74" s="32">
        <v>18081.563419076294</v>
      </c>
      <c r="H74" s="32">
        <v>23672915.014220551</v>
      </c>
      <c r="I74" s="32">
        <v>21741526.764805697</v>
      </c>
      <c r="J74" s="32">
        <v>1931388.2494148538</v>
      </c>
      <c r="K74" s="110">
        <v>110.58229865116677</v>
      </c>
      <c r="P74" s="4"/>
      <c r="Q74" s="4"/>
      <c r="R74" s="4"/>
      <c r="S74" s="4"/>
      <c r="T74" s="4"/>
      <c r="U74" s="4"/>
    </row>
    <row r="75" spans="1:22" x14ac:dyDescent="0.25">
      <c r="A75" s="107" t="s">
        <v>89</v>
      </c>
      <c r="B75" s="108" t="s">
        <v>12</v>
      </c>
      <c r="C75" s="187" t="s">
        <v>96</v>
      </c>
      <c r="D75" s="285">
        <v>2005</v>
      </c>
      <c r="E75" s="3">
        <v>140995.23592684692</v>
      </c>
      <c r="F75" s="282">
        <v>139596.45500864851</v>
      </c>
      <c r="G75" s="32">
        <v>1398.7809181983664</v>
      </c>
      <c r="H75" s="32">
        <v>18361651.808304802</v>
      </c>
      <c r="I75" s="32">
        <v>18143150.697857432</v>
      </c>
      <c r="J75" s="32">
        <v>218501.11044736803</v>
      </c>
      <c r="K75" s="110">
        <v>130.22888105121118</v>
      </c>
      <c r="P75" s="4"/>
      <c r="Q75" s="4"/>
      <c r="R75" s="4"/>
      <c r="S75" s="4"/>
      <c r="T75" s="4"/>
      <c r="U75" s="4"/>
    </row>
    <row r="76" spans="1:22" x14ac:dyDescent="0.25">
      <c r="A76" s="107" t="s">
        <v>89</v>
      </c>
      <c r="B76" s="108" t="s">
        <v>12</v>
      </c>
      <c r="C76" s="187" t="s">
        <v>97</v>
      </c>
      <c r="D76" s="285">
        <v>2005</v>
      </c>
      <c r="E76" s="3">
        <v>122594.78845890162</v>
      </c>
      <c r="F76" s="282">
        <v>122112.35758933391</v>
      </c>
      <c r="G76" s="32">
        <v>482.43086956770071</v>
      </c>
      <c r="H76" s="32">
        <v>17255492.558576465</v>
      </c>
      <c r="I76" s="32">
        <v>17235162.250847965</v>
      </c>
      <c r="J76" s="32">
        <v>20330.307728500389</v>
      </c>
      <c r="K76" s="110">
        <v>140.75225199610466</v>
      </c>
      <c r="P76" s="4"/>
      <c r="Q76" s="4"/>
      <c r="R76" s="4"/>
      <c r="S76" s="4"/>
      <c r="T76" s="4"/>
      <c r="U76" s="4"/>
    </row>
    <row r="77" spans="1:22" x14ac:dyDescent="0.25">
      <c r="A77" s="107" t="s">
        <v>89</v>
      </c>
      <c r="B77" s="108" t="s">
        <v>12</v>
      </c>
      <c r="C77" s="187" t="s">
        <v>98</v>
      </c>
      <c r="D77" s="285">
        <v>2005</v>
      </c>
      <c r="E77" s="3">
        <v>126630.07704621997</v>
      </c>
      <c r="F77" s="282">
        <v>125559.91230781947</v>
      </c>
      <c r="G77" s="32">
        <v>1070.1647384005082</v>
      </c>
      <c r="H77" s="32">
        <v>14398937.159539271</v>
      </c>
      <c r="I77" s="32">
        <v>14320377.568218289</v>
      </c>
      <c r="J77" s="32">
        <v>78559.591320982596</v>
      </c>
      <c r="K77" s="110">
        <v>113.7086661827084</v>
      </c>
      <c r="P77" s="4"/>
      <c r="Q77" s="4"/>
      <c r="R77" s="4"/>
      <c r="S77" s="4"/>
      <c r="T77" s="4"/>
      <c r="U77" s="4"/>
    </row>
    <row r="78" spans="1:22" x14ac:dyDescent="0.25">
      <c r="A78" s="107" t="s">
        <v>89</v>
      </c>
      <c r="B78" s="108" t="s">
        <v>12</v>
      </c>
      <c r="C78" s="187" t="s">
        <v>99</v>
      </c>
      <c r="D78" s="285">
        <v>1999</v>
      </c>
      <c r="E78" s="3">
        <v>454772.9888725052</v>
      </c>
      <c r="F78" s="282">
        <v>412453.9182114703</v>
      </c>
      <c r="G78" s="32">
        <v>42319.070661032092</v>
      </c>
      <c r="H78" s="32">
        <v>56386880.616473645</v>
      </c>
      <c r="I78" s="32">
        <v>52401463.333664052</v>
      </c>
      <c r="J78" s="32">
        <v>3985417.282809583</v>
      </c>
      <c r="K78" s="110">
        <v>123.98907146238099</v>
      </c>
      <c r="P78" s="4"/>
      <c r="Q78" s="4"/>
      <c r="R78" s="4"/>
      <c r="S78" s="4"/>
      <c r="T78" s="4"/>
      <c r="U78" s="4"/>
    </row>
    <row r="79" spans="1:22" x14ac:dyDescent="0.25">
      <c r="A79" s="107" t="s">
        <v>89</v>
      </c>
      <c r="B79" s="108" t="s">
        <v>12</v>
      </c>
      <c r="C79" s="187" t="s">
        <v>100</v>
      </c>
      <c r="D79" s="285">
        <v>1999</v>
      </c>
      <c r="E79" s="3">
        <v>165418.54325388776</v>
      </c>
      <c r="F79" s="282">
        <v>148244.89830281993</v>
      </c>
      <c r="G79" s="32">
        <v>17173.644951067123</v>
      </c>
      <c r="H79" s="32">
        <v>14561020.552017031</v>
      </c>
      <c r="I79" s="32">
        <v>13248930.80925505</v>
      </c>
      <c r="J79" s="32">
        <v>1312089.7427619791</v>
      </c>
      <c r="K79" s="110">
        <v>88.025322104720019</v>
      </c>
      <c r="P79" s="4"/>
      <c r="Q79" s="4"/>
      <c r="R79" s="4"/>
      <c r="S79" s="4"/>
      <c r="T79" s="4"/>
      <c r="U79" s="4"/>
    </row>
    <row r="80" spans="1:22" x14ac:dyDescent="0.25">
      <c r="A80" s="107" t="s">
        <v>89</v>
      </c>
      <c r="B80" s="108" t="s">
        <v>12</v>
      </c>
      <c r="C80" s="187" t="s">
        <v>101</v>
      </c>
      <c r="D80" s="285">
        <v>2004</v>
      </c>
      <c r="E80" s="3">
        <v>604169.74079363095</v>
      </c>
      <c r="F80" s="282">
        <v>543917.91318294604</v>
      </c>
      <c r="G80" s="32">
        <v>60251.827610683606</v>
      </c>
      <c r="H80" s="32">
        <v>45253380.740977794</v>
      </c>
      <c r="I80" s="32">
        <v>39507030.390009575</v>
      </c>
      <c r="J80" s="32">
        <v>5746350.3509682156</v>
      </c>
      <c r="K80" s="110">
        <v>74.901766317415095</v>
      </c>
      <c r="P80" s="4"/>
      <c r="Q80" s="4"/>
      <c r="R80" s="4"/>
      <c r="S80" s="4"/>
      <c r="T80" s="4"/>
      <c r="U80" s="4"/>
    </row>
    <row r="81" spans="1:21" x14ac:dyDescent="0.25">
      <c r="A81" s="107" t="s">
        <v>89</v>
      </c>
      <c r="B81" s="108" t="s">
        <v>12</v>
      </c>
      <c r="C81" s="187" t="s">
        <v>102</v>
      </c>
      <c r="D81" s="285">
        <v>2004</v>
      </c>
      <c r="E81" s="3">
        <v>586353.6172985998</v>
      </c>
      <c r="F81" s="282">
        <v>546881.48476793733</v>
      </c>
      <c r="G81" s="32">
        <v>39472.132530664967</v>
      </c>
      <c r="H81" s="32">
        <v>28198967.072243374</v>
      </c>
      <c r="I81" s="32">
        <v>26956966.4965946</v>
      </c>
      <c r="J81" s="32">
        <v>1242000.575648773</v>
      </c>
      <c r="K81" s="110">
        <v>48.092083412326062</v>
      </c>
      <c r="P81" s="4"/>
      <c r="Q81" s="4"/>
      <c r="R81" s="4"/>
      <c r="S81" s="4"/>
      <c r="T81" s="4"/>
      <c r="U81" s="4"/>
    </row>
    <row r="82" spans="1:21" x14ac:dyDescent="0.25">
      <c r="A82" s="107" t="s">
        <v>89</v>
      </c>
      <c r="B82" s="108" t="s">
        <v>12</v>
      </c>
      <c r="C82" s="187" t="s">
        <v>103</v>
      </c>
      <c r="D82" s="285">
        <v>2004</v>
      </c>
      <c r="E82" s="3">
        <v>371695.67948937602</v>
      </c>
      <c r="F82" s="282">
        <v>349360.14434411511</v>
      </c>
      <c r="G82" s="32">
        <v>22335.535145261307</v>
      </c>
      <c r="H82" s="32">
        <v>15021648.290220536</v>
      </c>
      <c r="I82" s="32">
        <v>14406960.315788334</v>
      </c>
      <c r="J82" s="32">
        <v>614687.97443219856</v>
      </c>
      <c r="K82" s="110">
        <v>40.413836154503628</v>
      </c>
      <c r="P82" s="4"/>
      <c r="Q82" s="4"/>
      <c r="R82" s="4"/>
      <c r="S82" s="4"/>
      <c r="T82" s="4"/>
      <c r="U82" s="4"/>
    </row>
    <row r="83" spans="1:21" x14ac:dyDescent="0.25">
      <c r="A83" s="107" t="s">
        <v>89</v>
      </c>
      <c r="B83" s="108" t="s">
        <v>12</v>
      </c>
      <c r="C83" s="187" t="s">
        <v>104</v>
      </c>
      <c r="D83" s="285">
        <v>2000</v>
      </c>
      <c r="E83" s="3">
        <v>270069.57645086199</v>
      </c>
      <c r="F83" s="282">
        <v>231524.33963095711</v>
      </c>
      <c r="G83" s="32">
        <v>38545.236819904247</v>
      </c>
      <c r="H83" s="32">
        <v>11570065.156218797</v>
      </c>
      <c r="I83" s="32">
        <v>9750447.0110550951</v>
      </c>
      <c r="J83" s="32">
        <v>1819618.1451637009</v>
      </c>
      <c r="K83" s="110">
        <v>42.841053436183401</v>
      </c>
      <c r="P83" s="4"/>
      <c r="Q83" s="4"/>
      <c r="R83" s="4"/>
      <c r="S83" s="4"/>
      <c r="T83" s="4"/>
      <c r="U83" s="4"/>
    </row>
    <row r="84" spans="1:21" x14ac:dyDescent="0.25">
      <c r="A84" s="107" t="s">
        <v>89</v>
      </c>
      <c r="B84" s="108" t="s">
        <v>12</v>
      </c>
      <c r="C84" s="187" t="s">
        <v>105</v>
      </c>
      <c r="D84" s="285">
        <v>2002</v>
      </c>
      <c r="E84" s="3">
        <v>235306.4815189644</v>
      </c>
      <c r="F84" s="282">
        <v>218618.88963210027</v>
      </c>
      <c r="G84" s="32">
        <v>16687.591886865062</v>
      </c>
      <c r="H84" s="32">
        <v>15166953.511877153</v>
      </c>
      <c r="I84" s="32">
        <v>14079828.147528227</v>
      </c>
      <c r="J84" s="32">
        <v>1087125.3643489233</v>
      </c>
      <c r="K84" s="110">
        <v>64.456165482440312</v>
      </c>
      <c r="P84" s="4"/>
      <c r="Q84" s="4"/>
      <c r="R84" s="4"/>
      <c r="S84" s="4"/>
      <c r="T84" s="4"/>
      <c r="U84" s="4"/>
    </row>
    <row r="85" spans="1:21" x14ac:dyDescent="0.25">
      <c r="A85" s="107" t="s">
        <v>89</v>
      </c>
      <c r="B85" s="108" t="s">
        <v>12</v>
      </c>
      <c r="C85" s="187" t="s">
        <v>106</v>
      </c>
      <c r="D85" s="285">
        <v>2003</v>
      </c>
      <c r="E85" s="3">
        <v>475328.71409455233</v>
      </c>
      <c r="F85" s="282">
        <v>453423.85710840585</v>
      </c>
      <c r="G85" s="32">
        <v>21904.856986147875</v>
      </c>
      <c r="H85" s="32">
        <v>36234424.06832885</v>
      </c>
      <c r="I85" s="32">
        <v>35196979.352898017</v>
      </c>
      <c r="J85" s="32">
        <v>1037444.7154308356</v>
      </c>
      <c r="K85" s="110">
        <v>76.230244447469047</v>
      </c>
      <c r="P85" s="4"/>
      <c r="Q85" s="4"/>
      <c r="R85" s="4"/>
      <c r="S85" s="4"/>
      <c r="T85" s="4"/>
      <c r="U85" s="4"/>
    </row>
    <row r="86" spans="1:21" x14ac:dyDescent="0.25">
      <c r="A86" s="107" t="s">
        <v>89</v>
      </c>
      <c r="B86" s="108" t="s">
        <v>12</v>
      </c>
      <c r="C86" s="187" t="s">
        <v>107</v>
      </c>
      <c r="D86" s="285">
        <v>2003</v>
      </c>
      <c r="E86" s="3">
        <v>526183.06869530631</v>
      </c>
      <c r="F86" s="282">
        <v>486801.60780274862</v>
      </c>
      <c r="G86" s="32">
        <v>39381.460892556541</v>
      </c>
      <c r="H86" s="32">
        <v>28977688.173808191</v>
      </c>
      <c r="I86" s="32">
        <v>25959884.198327832</v>
      </c>
      <c r="J86" s="32">
        <v>3017803.97548036</v>
      </c>
      <c r="K86" s="110">
        <v>55.071494880402788</v>
      </c>
      <c r="P86" s="4"/>
      <c r="Q86" s="4"/>
      <c r="R86" s="4"/>
      <c r="S86" s="4"/>
      <c r="T86" s="4"/>
      <c r="U86" s="4"/>
    </row>
    <row r="87" spans="1:21" x14ac:dyDescent="0.25">
      <c r="A87" s="107" t="s">
        <v>89</v>
      </c>
      <c r="B87" s="108" t="s">
        <v>12</v>
      </c>
      <c r="C87" s="187" t="s">
        <v>108</v>
      </c>
      <c r="D87" s="285">
        <v>2003</v>
      </c>
      <c r="E87" s="3">
        <v>173941.86656348762</v>
      </c>
      <c r="F87" s="282">
        <v>170870.82892248241</v>
      </c>
      <c r="G87" s="32">
        <v>3071.0376410052795</v>
      </c>
      <c r="H87" s="32">
        <v>10317070.137302689</v>
      </c>
      <c r="I87" s="32">
        <v>10288630.024366586</v>
      </c>
      <c r="J87" s="32">
        <v>28440.112936101512</v>
      </c>
      <c r="K87" s="110">
        <v>59.313323129926438</v>
      </c>
      <c r="P87" s="4"/>
      <c r="Q87" s="4"/>
      <c r="R87" s="4"/>
      <c r="S87" s="4"/>
      <c r="T87" s="4"/>
      <c r="U87" s="4"/>
    </row>
    <row r="88" spans="1:21" x14ac:dyDescent="0.25">
      <c r="A88" s="107" t="s">
        <v>89</v>
      </c>
      <c r="B88" s="108" t="s">
        <v>12</v>
      </c>
      <c r="C88" s="187" t="s">
        <v>109</v>
      </c>
      <c r="D88" s="285">
        <v>2002</v>
      </c>
      <c r="E88" s="3">
        <v>533341.31444373797</v>
      </c>
      <c r="F88" s="282">
        <v>509767.85553784372</v>
      </c>
      <c r="G88" s="32">
        <v>23573.458905895252</v>
      </c>
      <c r="H88" s="32">
        <v>23396472.923798181</v>
      </c>
      <c r="I88" s="32">
        <v>22801436.528233986</v>
      </c>
      <c r="J88" s="32">
        <v>595036.39556419442</v>
      </c>
      <c r="K88" s="110">
        <v>43.867730269874428</v>
      </c>
      <c r="P88" s="4"/>
      <c r="Q88" s="4"/>
      <c r="R88" s="4"/>
      <c r="S88" s="4"/>
      <c r="T88" s="4"/>
      <c r="U88" s="4"/>
    </row>
    <row r="89" spans="1:21" x14ac:dyDescent="0.25">
      <c r="A89" s="107" t="s">
        <v>89</v>
      </c>
      <c r="B89" s="108" t="s">
        <v>12</v>
      </c>
      <c r="C89" s="187" t="s">
        <v>110</v>
      </c>
      <c r="D89" s="285">
        <v>2004</v>
      </c>
      <c r="E89" s="3">
        <v>244420.81085853247</v>
      </c>
      <c r="F89" s="282">
        <v>228123.34349257135</v>
      </c>
      <c r="G89" s="32">
        <v>16297.46736596084</v>
      </c>
      <c r="H89" s="32">
        <v>19402850.958654828</v>
      </c>
      <c r="I89" s="32">
        <v>18160160.762250483</v>
      </c>
      <c r="J89" s="32">
        <v>1242690.1964043477</v>
      </c>
      <c r="K89" s="110">
        <v>79.382974348632459</v>
      </c>
      <c r="P89" s="4"/>
      <c r="Q89" s="4"/>
      <c r="R89" s="4"/>
      <c r="S89" s="4"/>
      <c r="T89" s="4"/>
      <c r="U89" s="4"/>
    </row>
    <row r="90" spans="1:21" x14ac:dyDescent="0.25">
      <c r="A90" s="107" t="s">
        <v>89</v>
      </c>
      <c r="B90" s="108" t="s">
        <v>12</v>
      </c>
      <c r="C90" s="187" t="s">
        <v>111</v>
      </c>
      <c r="D90" s="285">
        <v>2004</v>
      </c>
      <c r="E90" s="3">
        <v>418818.67900933471</v>
      </c>
      <c r="F90" s="282">
        <v>408593.10989948362</v>
      </c>
      <c r="G90" s="32">
        <v>10225.569109851187</v>
      </c>
      <c r="H90" s="32">
        <v>30796548.621391509</v>
      </c>
      <c r="I90" s="32">
        <v>30765861.65706918</v>
      </c>
      <c r="J90" s="32">
        <v>30686.964322333031</v>
      </c>
      <c r="K90" s="110">
        <v>73.531936766137193</v>
      </c>
      <c r="P90" s="4"/>
      <c r="Q90" s="4"/>
      <c r="R90" s="4"/>
      <c r="S90" s="4"/>
      <c r="T90" s="4"/>
      <c r="U90" s="4"/>
    </row>
    <row r="91" spans="1:21" x14ac:dyDescent="0.25">
      <c r="A91" s="107" t="s">
        <v>89</v>
      </c>
      <c r="B91" s="108" t="s">
        <v>12</v>
      </c>
      <c r="C91" s="187" t="s">
        <v>112</v>
      </c>
      <c r="D91" s="285">
        <v>2002</v>
      </c>
      <c r="E91" s="3">
        <v>125880.44728322052</v>
      </c>
      <c r="F91" s="282">
        <v>119023.18132812952</v>
      </c>
      <c r="G91" s="32">
        <v>6857.2659550912285</v>
      </c>
      <c r="H91" s="32">
        <v>6938012.2406423464</v>
      </c>
      <c r="I91" s="32">
        <v>6674162.2981451685</v>
      </c>
      <c r="J91" s="32">
        <v>263849.94249717804</v>
      </c>
      <c r="K91" s="110">
        <v>55.115884876325524</v>
      </c>
      <c r="P91" s="4"/>
      <c r="Q91" s="4"/>
      <c r="R91" s="4"/>
      <c r="S91" s="4"/>
      <c r="T91" s="4"/>
      <c r="U91" s="4"/>
    </row>
    <row r="92" spans="1:21" x14ac:dyDescent="0.25">
      <c r="A92" s="107" t="s">
        <v>89</v>
      </c>
      <c r="B92" s="108" t="s">
        <v>12</v>
      </c>
      <c r="C92" s="187" t="s">
        <v>113</v>
      </c>
      <c r="D92" s="285">
        <v>2002</v>
      </c>
      <c r="E92" s="3">
        <v>245516.41132528009</v>
      </c>
      <c r="F92" s="282">
        <v>229877.14984341129</v>
      </c>
      <c r="G92" s="32">
        <v>15639.261481868549</v>
      </c>
      <c r="H92" s="32">
        <v>10103840.801518219</v>
      </c>
      <c r="I92" s="32">
        <v>9736200.7742612921</v>
      </c>
      <c r="J92" s="32">
        <v>367640.02725692821</v>
      </c>
      <c r="K92" s="110">
        <v>41.153423296546272</v>
      </c>
      <c r="P92" s="4"/>
      <c r="Q92" s="4"/>
      <c r="R92" s="4"/>
      <c r="S92" s="4"/>
      <c r="T92" s="4"/>
      <c r="U92" s="4"/>
    </row>
    <row r="93" spans="1:21" x14ac:dyDescent="0.25">
      <c r="A93" s="107" t="s">
        <v>89</v>
      </c>
      <c r="B93" s="108" t="s">
        <v>12</v>
      </c>
      <c r="C93" s="187" t="s">
        <v>114</v>
      </c>
      <c r="D93" s="285">
        <v>2004</v>
      </c>
      <c r="E93" s="3">
        <v>473893.9559877296</v>
      </c>
      <c r="F93" s="282">
        <v>426357.12767195393</v>
      </c>
      <c r="G93" s="32">
        <v>47536.828315778497</v>
      </c>
      <c r="H93" s="32">
        <v>15453092.323591933</v>
      </c>
      <c r="I93" s="32">
        <v>13963595.801133512</v>
      </c>
      <c r="J93" s="32">
        <v>1489496.5224584239</v>
      </c>
      <c r="K93" s="110">
        <v>32.608755879537014</v>
      </c>
      <c r="P93" s="4"/>
      <c r="Q93" s="4"/>
      <c r="R93" s="4"/>
      <c r="S93" s="4"/>
      <c r="T93" s="4"/>
      <c r="U93" s="4"/>
    </row>
    <row r="94" spans="1:21" x14ac:dyDescent="0.25">
      <c r="A94" s="107" t="s">
        <v>89</v>
      </c>
      <c r="B94" s="108" t="s">
        <v>12</v>
      </c>
      <c r="C94" s="187" t="s">
        <v>115</v>
      </c>
      <c r="D94" s="285">
        <v>2004</v>
      </c>
      <c r="E94" s="3">
        <v>648808.34326861543</v>
      </c>
      <c r="F94" s="282">
        <v>597453.78913624643</v>
      </c>
      <c r="G94" s="32">
        <v>51354.554132367928</v>
      </c>
      <c r="H94" s="32">
        <v>19800439.623326994</v>
      </c>
      <c r="I94" s="32">
        <v>18461051.403631233</v>
      </c>
      <c r="J94" s="32">
        <v>1339388.2196957618</v>
      </c>
      <c r="K94" s="110">
        <v>30.518164306542133</v>
      </c>
      <c r="P94" s="4"/>
      <c r="Q94" s="4"/>
      <c r="R94" s="4"/>
      <c r="S94" s="4"/>
      <c r="T94" s="4"/>
      <c r="U94" s="4"/>
    </row>
    <row r="95" spans="1:21" x14ac:dyDescent="0.25">
      <c r="A95" s="107" t="s">
        <v>89</v>
      </c>
      <c r="B95" s="108" t="s">
        <v>12</v>
      </c>
      <c r="C95" s="187" t="s">
        <v>116</v>
      </c>
      <c r="D95" s="285">
        <v>2003</v>
      </c>
      <c r="E95" s="3">
        <v>700620.59585151984</v>
      </c>
      <c r="F95" s="282">
        <v>672422.94700302812</v>
      </c>
      <c r="G95" s="32">
        <v>28197.648848492838</v>
      </c>
      <c r="H95" s="32">
        <v>34552999.076598555</v>
      </c>
      <c r="I95" s="32">
        <v>33546091.65207909</v>
      </c>
      <c r="J95" s="32">
        <v>1006907.4245194681</v>
      </c>
      <c r="K95" s="110">
        <v>49.317703877379671</v>
      </c>
      <c r="P95" s="4"/>
      <c r="Q95" s="4"/>
      <c r="R95" s="4"/>
      <c r="S95" s="4"/>
      <c r="T95" s="4"/>
      <c r="U95" s="4"/>
    </row>
    <row r="96" spans="1:21" x14ac:dyDescent="0.25">
      <c r="A96" s="107" t="s">
        <v>89</v>
      </c>
      <c r="B96" s="108" t="s">
        <v>12</v>
      </c>
      <c r="C96" s="187" t="s">
        <v>117</v>
      </c>
      <c r="D96" s="285">
        <v>2003</v>
      </c>
      <c r="E96" s="3">
        <v>553387.0883745997</v>
      </c>
      <c r="F96" s="282">
        <v>531072.97563174367</v>
      </c>
      <c r="G96" s="32">
        <v>22314.112742854661</v>
      </c>
      <c r="H96" s="32">
        <v>26313664.165250003</v>
      </c>
      <c r="I96" s="32">
        <v>25828367.516327314</v>
      </c>
      <c r="J96" s="32">
        <v>485296.64892269031</v>
      </c>
      <c r="K96" s="110">
        <v>47.550195366028696</v>
      </c>
      <c r="P96" s="4"/>
      <c r="Q96" s="4"/>
      <c r="R96" s="4"/>
      <c r="S96" s="4"/>
      <c r="T96" s="4"/>
      <c r="U96" s="4"/>
    </row>
    <row r="97" spans="1:21" x14ac:dyDescent="0.25">
      <c r="A97" s="107" t="s">
        <v>89</v>
      </c>
      <c r="B97" s="108" t="s">
        <v>12</v>
      </c>
      <c r="C97" s="187" t="s">
        <v>118</v>
      </c>
      <c r="D97" s="285">
        <v>2004</v>
      </c>
      <c r="E97" s="3">
        <v>381142.91034539492</v>
      </c>
      <c r="F97" s="282">
        <v>364234.75906945951</v>
      </c>
      <c r="G97" s="32">
        <v>16908.151275934793</v>
      </c>
      <c r="H97" s="32">
        <v>14909478.754348885</v>
      </c>
      <c r="I97" s="32">
        <v>14483606.267961364</v>
      </c>
      <c r="J97" s="32">
        <v>425872.4863875219</v>
      </c>
      <c r="K97" s="110">
        <v>39.117817358422826</v>
      </c>
      <c r="P97" s="4"/>
      <c r="Q97" s="4"/>
      <c r="R97" s="4"/>
      <c r="S97" s="4"/>
      <c r="T97" s="4"/>
      <c r="U97" s="4"/>
    </row>
    <row r="98" spans="1:21" x14ac:dyDescent="0.25">
      <c r="A98" s="107" t="s">
        <v>89</v>
      </c>
      <c r="B98" s="108" t="s">
        <v>12</v>
      </c>
      <c r="C98" s="187" t="s">
        <v>119</v>
      </c>
      <c r="D98" s="285">
        <v>2001</v>
      </c>
      <c r="E98" s="3">
        <v>891931.77360587497</v>
      </c>
      <c r="F98" s="282">
        <v>863584.02717314742</v>
      </c>
      <c r="G98" s="32">
        <v>28347.74643272713</v>
      </c>
      <c r="H98" s="32">
        <v>37561952.006449029</v>
      </c>
      <c r="I98" s="32">
        <v>37199778.913447015</v>
      </c>
      <c r="J98" s="32">
        <v>362173.09300201788</v>
      </c>
      <c r="K98" s="110">
        <v>42.1130327654936</v>
      </c>
      <c r="P98" s="4"/>
      <c r="Q98" s="4"/>
      <c r="R98" s="4"/>
      <c r="S98" s="4"/>
      <c r="T98" s="4"/>
      <c r="U98" s="4"/>
    </row>
    <row r="99" spans="1:21" x14ac:dyDescent="0.25">
      <c r="A99" s="107" t="s">
        <v>89</v>
      </c>
      <c r="B99" s="108" t="s">
        <v>12</v>
      </c>
      <c r="C99" s="187" t="s">
        <v>120</v>
      </c>
      <c r="D99" s="285">
        <v>2001</v>
      </c>
      <c r="E99" s="3">
        <v>1029147.2445335456</v>
      </c>
      <c r="F99" s="282">
        <v>965718.53009095904</v>
      </c>
      <c r="G99" s="32">
        <v>63428.714442583027</v>
      </c>
      <c r="H99" s="32">
        <v>36578589.812287137</v>
      </c>
      <c r="I99" s="32">
        <v>35116704.74191577</v>
      </c>
      <c r="J99" s="32">
        <v>1461885.0703713603</v>
      </c>
      <c r="K99" s="110">
        <v>35.542620365141381</v>
      </c>
      <c r="P99" s="4"/>
      <c r="Q99" s="4"/>
      <c r="R99" s="4"/>
      <c r="S99" s="4"/>
      <c r="T99" s="4"/>
      <c r="U99" s="4"/>
    </row>
    <row r="100" spans="1:21" x14ac:dyDescent="0.25">
      <c r="A100" s="107" t="s">
        <v>89</v>
      </c>
      <c r="B100" s="108" t="s">
        <v>12</v>
      </c>
      <c r="C100" s="187" t="s">
        <v>121</v>
      </c>
      <c r="D100" s="285">
        <v>2001</v>
      </c>
      <c r="E100" s="3">
        <v>469335.1536519528</v>
      </c>
      <c r="F100" s="282">
        <v>414732.556115404</v>
      </c>
      <c r="G100" s="32">
        <v>54602.597536546142</v>
      </c>
      <c r="H100" s="32">
        <v>30365994.823051907</v>
      </c>
      <c r="I100" s="32">
        <v>27156230.02527317</v>
      </c>
      <c r="J100" s="32">
        <v>3209764.7977787377</v>
      </c>
      <c r="K100" s="110">
        <v>64.700022120163979</v>
      </c>
      <c r="P100" s="4"/>
      <c r="Q100" s="4"/>
      <c r="R100" s="4"/>
      <c r="S100" s="4"/>
      <c r="T100" s="4"/>
      <c r="U100" s="4"/>
    </row>
    <row r="101" spans="1:21" x14ac:dyDescent="0.25">
      <c r="A101" s="107" t="s">
        <v>89</v>
      </c>
      <c r="B101" s="108" t="s">
        <v>12</v>
      </c>
      <c r="C101" s="187" t="s">
        <v>122</v>
      </c>
      <c r="D101" s="285">
        <v>2001</v>
      </c>
      <c r="E101" s="3">
        <v>365563.88954475074</v>
      </c>
      <c r="F101" s="282">
        <v>327741.36720159056</v>
      </c>
      <c r="G101" s="32">
        <v>37822.522343161203</v>
      </c>
      <c r="H101" s="32">
        <v>35984800.155035906</v>
      </c>
      <c r="I101" s="32">
        <v>32031331.215467248</v>
      </c>
      <c r="J101" s="32">
        <v>3953468.9395686602</v>
      </c>
      <c r="K101" s="110">
        <v>98.436418870170712</v>
      </c>
      <c r="P101" s="4"/>
      <c r="Q101" s="4"/>
      <c r="R101" s="4"/>
      <c r="S101" s="4"/>
      <c r="T101" s="4"/>
      <c r="U101" s="4"/>
    </row>
    <row r="102" spans="1:21" x14ac:dyDescent="0.25">
      <c r="A102" s="107" t="s">
        <v>89</v>
      </c>
      <c r="B102" s="108" t="s">
        <v>12</v>
      </c>
      <c r="C102" s="187" t="s">
        <v>123</v>
      </c>
      <c r="D102" s="285">
        <v>2001</v>
      </c>
      <c r="E102" s="3">
        <v>532912.44693413912</v>
      </c>
      <c r="F102" s="282">
        <v>441415.18458386726</v>
      </c>
      <c r="G102" s="32">
        <v>91497.262350269259</v>
      </c>
      <c r="H102" s="32">
        <v>38809140.702844054</v>
      </c>
      <c r="I102" s="32">
        <v>32097299.096784379</v>
      </c>
      <c r="J102" s="32">
        <v>6711841.6060596742</v>
      </c>
      <c r="K102" s="110">
        <v>72.824609231993307</v>
      </c>
      <c r="P102" s="4"/>
      <c r="Q102" s="4"/>
      <c r="R102" s="4"/>
      <c r="S102" s="4"/>
      <c r="T102" s="4"/>
      <c r="U102" s="4"/>
    </row>
    <row r="103" spans="1:21" x14ac:dyDescent="0.25">
      <c r="A103" s="107" t="s">
        <v>89</v>
      </c>
      <c r="B103" s="108" t="s">
        <v>12</v>
      </c>
      <c r="C103" s="187" t="s">
        <v>124</v>
      </c>
      <c r="D103" s="285">
        <v>2000</v>
      </c>
      <c r="E103" s="3">
        <v>252851.47049872653</v>
      </c>
      <c r="F103" s="282">
        <v>227715.61184128668</v>
      </c>
      <c r="G103" s="32">
        <v>25135.858657439119</v>
      </c>
      <c r="H103" s="32">
        <v>10626986.329886623</v>
      </c>
      <c r="I103" s="32">
        <v>9691581.491209181</v>
      </c>
      <c r="J103" s="32">
        <v>935404.83867744182</v>
      </c>
      <c r="K103" s="110">
        <v>42.028572382536908</v>
      </c>
      <c r="P103" s="4"/>
      <c r="Q103" s="4"/>
      <c r="R103" s="4"/>
      <c r="S103" s="4"/>
      <c r="T103" s="4"/>
      <c r="U103" s="4"/>
    </row>
    <row r="104" spans="1:21" x14ac:dyDescent="0.25">
      <c r="A104" s="107" t="s">
        <v>89</v>
      </c>
      <c r="B104" s="108" t="s">
        <v>12</v>
      </c>
      <c r="C104" s="187" t="s">
        <v>125</v>
      </c>
      <c r="D104" s="285">
        <v>2006</v>
      </c>
      <c r="E104" s="3">
        <v>132574.17022820201</v>
      </c>
      <c r="F104" s="282">
        <v>105672.89935032683</v>
      </c>
      <c r="G104" s="32">
        <v>26901.270877875249</v>
      </c>
      <c r="H104" s="32">
        <v>2838345.8861854379</v>
      </c>
      <c r="I104" s="32">
        <v>2272817.1646247492</v>
      </c>
      <c r="J104" s="32">
        <v>565528.72156068822</v>
      </c>
      <c r="K104" s="110">
        <v>21.409493880291677</v>
      </c>
      <c r="P104" s="4"/>
      <c r="Q104" s="4"/>
      <c r="R104" s="4"/>
      <c r="S104" s="4"/>
      <c r="T104" s="4"/>
      <c r="U104" s="4"/>
    </row>
    <row r="105" spans="1:21" x14ac:dyDescent="0.25">
      <c r="A105" s="107" t="s">
        <v>89</v>
      </c>
      <c r="B105" s="108" t="s">
        <v>12</v>
      </c>
      <c r="C105" s="187" t="s">
        <v>126</v>
      </c>
      <c r="D105" s="285">
        <v>2006</v>
      </c>
      <c r="E105" s="3">
        <v>270870.87174128316</v>
      </c>
      <c r="F105" s="282">
        <v>247191.44680309488</v>
      </c>
      <c r="G105" s="32">
        <v>23679.42493818852</v>
      </c>
      <c r="H105" s="32">
        <v>11860033.529318318</v>
      </c>
      <c r="I105" s="32">
        <v>11022708.045530178</v>
      </c>
      <c r="J105" s="32">
        <v>837325.48378813965</v>
      </c>
      <c r="K105" s="110">
        <v>43.784824307894532</v>
      </c>
      <c r="P105" s="4"/>
      <c r="Q105" s="4"/>
      <c r="R105" s="4"/>
      <c r="S105" s="4"/>
      <c r="T105" s="4"/>
      <c r="U105" s="4"/>
    </row>
    <row r="106" spans="1:21" x14ac:dyDescent="0.25">
      <c r="A106" s="107" t="s">
        <v>89</v>
      </c>
      <c r="B106" s="108" t="s">
        <v>12</v>
      </c>
      <c r="C106" s="187" t="s">
        <v>127</v>
      </c>
      <c r="D106" s="285">
        <v>2006</v>
      </c>
      <c r="E106" s="3">
        <v>350500.95904393506</v>
      </c>
      <c r="F106" s="282">
        <v>326590.49808493064</v>
      </c>
      <c r="G106" s="32">
        <v>23910.460959003907</v>
      </c>
      <c r="H106" s="32">
        <v>9405109.194593342</v>
      </c>
      <c r="I106" s="32">
        <v>8844361.9565870147</v>
      </c>
      <c r="J106" s="32">
        <v>560747.2380063273</v>
      </c>
      <c r="K106" s="110">
        <v>26.833333695427687</v>
      </c>
      <c r="P106" s="4"/>
      <c r="Q106" s="4"/>
      <c r="R106" s="4"/>
      <c r="S106" s="4"/>
      <c r="T106" s="4"/>
      <c r="U106" s="4"/>
    </row>
    <row r="107" spans="1:21" x14ac:dyDescent="0.25">
      <c r="A107" s="107" t="s">
        <v>89</v>
      </c>
      <c r="B107" s="108" t="s">
        <v>12</v>
      </c>
      <c r="C107" s="187" t="s">
        <v>300</v>
      </c>
      <c r="D107" s="285">
        <v>1999</v>
      </c>
      <c r="E107" s="3">
        <v>176284.18369796581</v>
      </c>
      <c r="F107" s="282">
        <v>153961.80922784359</v>
      </c>
      <c r="G107" s="32">
        <v>22322.374470122231</v>
      </c>
      <c r="H107" s="32">
        <v>8004054.6531402394</v>
      </c>
      <c r="I107" s="32">
        <v>7109072.257257482</v>
      </c>
      <c r="J107" s="32">
        <v>894982.39588275645</v>
      </c>
      <c r="K107" s="110">
        <v>45.404269885345364</v>
      </c>
      <c r="P107" s="4"/>
      <c r="Q107" s="4"/>
      <c r="R107" s="4"/>
      <c r="S107" s="4"/>
      <c r="T107" s="4"/>
      <c r="U107" s="4"/>
    </row>
    <row r="108" spans="1:21" x14ac:dyDescent="0.25">
      <c r="A108" s="107" t="s">
        <v>89</v>
      </c>
      <c r="B108" s="108" t="s">
        <v>12</v>
      </c>
      <c r="C108" s="187" t="s">
        <v>128</v>
      </c>
      <c r="D108" s="285">
        <v>2007</v>
      </c>
      <c r="E108" s="3">
        <v>170650.83290570506</v>
      </c>
      <c r="F108" s="282">
        <v>141784.73288220773</v>
      </c>
      <c r="G108" s="32">
        <v>28866.100023498344</v>
      </c>
      <c r="H108" s="32">
        <v>5046423.1145251244</v>
      </c>
      <c r="I108" s="32">
        <v>4247201.2585222116</v>
      </c>
      <c r="J108" s="32">
        <v>799221.85600291239</v>
      </c>
      <c r="K108" s="110">
        <v>29.571628972438589</v>
      </c>
      <c r="P108" s="4"/>
      <c r="Q108" s="4"/>
      <c r="R108" s="4"/>
      <c r="S108" s="4"/>
      <c r="T108" s="4"/>
      <c r="U108" s="4"/>
    </row>
    <row r="109" spans="1:21" x14ac:dyDescent="0.25">
      <c r="A109" s="107" t="s">
        <v>89</v>
      </c>
      <c r="B109" s="108" t="s">
        <v>12</v>
      </c>
      <c r="C109" s="187" t="s">
        <v>129</v>
      </c>
      <c r="D109" s="285">
        <v>2007</v>
      </c>
      <c r="E109" s="3">
        <v>239212.63766485287</v>
      </c>
      <c r="F109" s="282">
        <v>215055.73764176259</v>
      </c>
      <c r="G109" s="32">
        <v>24156.900023089296</v>
      </c>
      <c r="H109" s="32">
        <v>11774462.859452007</v>
      </c>
      <c r="I109" s="32">
        <v>10122036.11474379</v>
      </c>
      <c r="J109" s="32">
        <v>1652426.7447082174</v>
      </c>
      <c r="K109" s="110">
        <v>49.221742523271423</v>
      </c>
      <c r="P109" s="4"/>
      <c r="Q109" s="4"/>
      <c r="R109" s="4"/>
      <c r="S109" s="4"/>
      <c r="T109" s="4"/>
      <c r="U109" s="4"/>
    </row>
    <row r="110" spans="1:21" x14ac:dyDescent="0.25">
      <c r="A110" s="107" t="s">
        <v>89</v>
      </c>
      <c r="B110" s="108" t="s">
        <v>12</v>
      </c>
      <c r="C110" s="187" t="s">
        <v>130</v>
      </c>
      <c r="D110" s="285">
        <v>2006</v>
      </c>
      <c r="E110" s="3">
        <v>594209.71812956932</v>
      </c>
      <c r="F110" s="282">
        <v>566660.10873660166</v>
      </c>
      <c r="G110" s="32">
        <v>27549.609392968265</v>
      </c>
      <c r="H110" s="32">
        <v>22818260.616143435</v>
      </c>
      <c r="I110" s="32">
        <v>22132809.591232423</v>
      </c>
      <c r="J110" s="32">
        <v>685451.02491100586</v>
      </c>
      <c r="K110" s="110">
        <v>38.401022265286883</v>
      </c>
      <c r="P110" s="4"/>
      <c r="Q110" s="4"/>
      <c r="R110" s="4"/>
      <c r="S110" s="4"/>
      <c r="T110" s="4"/>
      <c r="U110" s="4"/>
    </row>
    <row r="111" spans="1:21" x14ac:dyDescent="0.25">
      <c r="A111" s="107" t="s">
        <v>89</v>
      </c>
      <c r="B111" s="108" t="s">
        <v>12</v>
      </c>
      <c r="C111" s="187" t="s">
        <v>131</v>
      </c>
      <c r="D111" s="285">
        <v>2007</v>
      </c>
      <c r="E111" s="3">
        <v>335926.8712773564</v>
      </c>
      <c r="F111" s="282">
        <v>290529.07331936317</v>
      </c>
      <c r="G111" s="32">
        <v>45397.797957991766</v>
      </c>
      <c r="H111" s="32">
        <v>12464365.882506324</v>
      </c>
      <c r="I111" s="32">
        <v>10093858.07821635</v>
      </c>
      <c r="J111" s="32">
        <v>2370507.8042899752</v>
      </c>
      <c r="K111" s="110">
        <v>37.104402619268825</v>
      </c>
      <c r="P111" s="4"/>
      <c r="Q111" s="4"/>
      <c r="R111" s="4"/>
      <c r="S111" s="4"/>
      <c r="T111" s="4"/>
      <c r="U111" s="4"/>
    </row>
    <row r="112" spans="1:21" x14ac:dyDescent="0.25">
      <c r="A112" s="107" t="s">
        <v>89</v>
      </c>
      <c r="B112" s="108" t="s">
        <v>12</v>
      </c>
      <c r="C112" s="187" t="s">
        <v>132</v>
      </c>
      <c r="D112" s="285">
        <v>2008</v>
      </c>
      <c r="E112" s="3">
        <v>608264.14535730728</v>
      </c>
      <c r="F112" s="282">
        <v>569618.31862607249</v>
      </c>
      <c r="G112" s="32">
        <v>38645.826731230787</v>
      </c>
      <c r="H112" s="32">
        <v>19862285.980702322</v>
      </c>
      <c r="I112" s="32">
        <v>19083632.579324152</v>
      </c>
      <c r="J112" s="32">
        <v>778653.40137817047</v>
      </c>
      <c r="K112" s="110">
        <v>32.654046983214492</v>
      </c>
      <c r="P112" s="4"/>
      <c r="Q112" s="4"/>
      <c r="R112" s="4"/>
      <c r="S112" s="4"/>
      <c r="T112" s="4"/>
      <c r="U112" s="4"/>
    </row>
    <row r="113" spans="1:21" x14ac:dyDescent="0.25">
      <c r="A113" s="107" t="s">
        <v>89</v>
      </c>
      <c r="B113" s="108" t="s">
        <v>12</v>
      </c>
      <c r="C113" s="187" t="s">
        <v>133</v>
      </c>
      <c r="D113" s="285">
        <v>2006</v>
      </c>
      <c r="E113" s="3">
        <v>480845.83426576946</v>
      </c>
      <c r="F113" s="282">
        <v>438319.47563788324</v>
      </c>
      <c r="G113" s="32">
        <v>42526.358627886242</v>
      </c>
      <c r="H113" s="32">
        <v>24005076.770845111</v>
      </c>
      <c r="I113" s="32">
        <v>22852749.924642347</v>
      </c>
      <c r="J113" s="32">
        <v>1152326.8462027675</v>
      </c>
      <c r="K113" s="110">
        <v>49.922605251431186</v>
      </c>
      <c r="P113" s="4"/>
      <c r="Q113" s="4"/>
      <c r="R113" s="4"/>
      <c r="S113" s="4"/>
      <c r="T113" s="4"/>
      <c r="U113" s="4"/>
    </row>
    <row r="114" spans="1:21" x14ac:dyDescent="0.25">
      <c r="A114" s="107" t="s">
        <v>89</v>
      </c>
      <c r="B114" s="108" t="s">
        <v>12</v>
      </c>
      <c r="C114" s="187" t="s">
        <v>134</v>
      </c>
      <c r="D114" s="285">
        <v>2007</v>
      </c>
      <c r="E114" s="3">
        <v>209990.3247941322</v>
      </c>
      <c r="F114" s="282">
        <v>168412.26094024992</v>
      </c>
      <c r="G114" s="32">
        <v>41578.063853881802</v>
      </c>
      <c r="H114" s="32">
        <v>8610593.4474500064</v>
      </c>
      <c r="I114" s="32">
        <v>7299214.7709739702</v>
      </c>
      <c r="J114" s="32">
        <v>1311378.6764760364</v>
      </c>
      <c r="K114" s="110">
        <v>41.004715126240015</v>
      </c>
      <c r="P114" s="4"/>
      <c r="Q114" s="4"/>
      <c r="R114" s="4"/>
      <c r="S114" s="4"/>
      <c r="T114" s="4"/>
      <c r="U114" s="4"/>
    </row>
    <row r="115" spans="1:21" x14ac:dyDescent="0.25">
      <c r="A115" s="107" t="s">
        <v>89</v>
      </c>
      <c r="B115" s="108" t="s">
        <v>12</v>
      </c>
      <c r="C115" s="187" t="s">
        <v>135</v>
      </c>
      <c r="D115" s="285">
        <v>2007</v>
      </c>
      <c r="E115" s="3">
        <v>343473.68502991879</v>
      </c>
      <c r="F115" s="282">
        <v>328261.65073479828</v>
      </c>
      <c r="G115" s="32">
        <v>15212.0342951205</v>
      </c>
      <c r="H115" s="32">
        <v>10873317.244794015</v>
      </c>
      <c r="I115" s="32">
        <v>10635150.615763897</v>
      </c>
      <c r="J115" s="32">
        <v>238166.6290301166</v>
      </c>
      <c r="K115" s="110">
        <v>31.656914979809525</v>
      </c>
      <c r="P115" s="4"/>
      <c r="Q115" s="4"/>
      <c r="R115" s="4"/>
      <c r="S115" s="4"/>
      <c r="T115" s="4"/>
      <c r="U115" s="4"/>
    </row>
    <row r="116" spans="1:21" x14ac:dyDescent="0.25">
      <c r="A116" s="107" t="s">
        <v>89</v>
      </c>
      <c r="B116" s="108" t="s">
        <v>12</v>
      </c>
      <c r="C116" s="187" t="s">
        <v>136</v>
      </c>
      <c r="D116" s="285">
        <v>1999</v>
      </c>
      <c r="E116" s="3">
        <v>314186.56701835687</v>
      </c>
      <c r="F116" s="282">
        <v>272881.72884165245</v>
      </c>
      <c r="G116" s="32">
        <v>41304.838176708552</v>
      </c>
      <c r="H116" s="32">
        <v>6344684.0101763699</v>
      </c>
      <c r="I116" s="32">
        <v>5800086.0489087524</v>
      </c>
      <c r="J116" s="32">
        <v>544597.96126761672</v>
      </c>
      <c r="K116" s="110">
        <v>20.194001514411248</v>
      </c>
      <c r="P116" s="4"/>
      <c r="Q116" s="4"/>
      <c r="R116" s="4"/>
      <c r="S116" s="4"/>
      <c r="T116" s="4"/>
      <c r="U116" s="4"/>
    </row>
    <row r="117" spans="1:21" x14ac:dyDescent="0.25">
      <c r="A117" s="107" t="s">
        <v>89</v>
      </c>
      <c r="B117" s="108" t="s">
        <v>12</v>
      </c>
      <c r="C117" s="187" t="s">
        <v>137</v>
      </c>
      <c r="D117" s="285">
        <v>2002</v>
      </c>
      <c r="E117" s="3">
        <v>112029.5931180129</v>
      </c>
      <c r="F117" s="282">
        <v>27117.411086313248</v>
      </c>
      <c r="G117" s="32">
        <v>84912.182031697579</v>
      </c>
      <c r="H117" s="32">
        <v>8735451.4209517017</v>
      </c>
      <c r="I117" s="32">
        <v>1492740.0413731581</v>
      </c>
      <c r="J117" s="32">
        <v>7242711.3795785438</v>
      </c>
      <c r="K117" s="110">
        <v>77.974499217806724</v>
      </c>
      <c r="P117" s="4"/>
      <c r="Q117" s="4"/>
      <c r="R117" s="4"/>
      <c r="S117" s="4"/>
      <c r="T117" s="4"/>
      <c r="U117" s="4"/>
    </row>
    <row r="118" spans="1:21" x14ac:dyDescent="0.25">
      <c r="A118" s="107" t="s">
        <v>89</v>
      </c>
      <c r="B118" s="108" t="s">
        <v>12</v>
      </c>
      <c r="C118" s="187" t="s">
        <v>138</v>
      </c>
      <c r="D118" s="285">
        <v>2002</v>
      </c>
      <c r="E118" s="3">
        <v>20474.691755247073</v>
      </c>
      <c r="F118" s="282">
        <v>4599.5828073557286</v>
      </c>
      <c r="G118" s="32">
        <v>15875.108947891336</v>
      </c>
      <c r="H118" s="32">
        <v>822759.62192694191</v>
      </c>
      <c r="I118" s="32">
        <v>126602.4486903699</v>
      </c>
      <c r="J118" s="32">
        <v>696157.17323657218</v>
      </c>
      <c r="K118" s="110">
        <v>40.184225079534706</v>
      </c>
      <c r="P118" s="4"/>
      <c r="Q118" s="4"/>
      <c r="R118" s="4"/>
      <c r="S118" s="4"/>
      <c r="T118" s="4"/>
      <c r="U118" s="4"/>
    </row>
    <row r="119" spans="1:21" x14ac:dyDescent="0.25">
      <c r="A119" s="188" t="s">
        <v>330</v>
      </c>
      <c r="B119" s="108" t="s">
        <v>13</v>
      </c>
      <c r="C119" s="189" t="s">
        <v>314</v>
      </c>
      <c r="D119" s="285">
        <f t="shared" ref="D119:D130" si="22">+VLOOKUP(B119, N$3:O$28, 2, FALSE)</f>
        <v>2006</v>
      </c>
      <c r="E119" s="32">
        <v>4317761.17</v>
      </c>
      <c r="F119" s="32" t="e">
        <v>#N/A</v>
      </c>
      <c r="G119" s="32" t="e">
        <v>#N/A</v>
      </c>
      <c r="H119" s="32">
        <v>309287165.44108421</v>
      </c>
      <c r="I119" s="32" t="e">
        <v>#N/A</v>
      </c>
      <c r="J119" s="32" t="e">
        <v>#N/A</v>
      </c>
      <c r="K119" s="110">
        <f t="shared" si="20"/>
        <v>71.631374053299993</v>
      </c>
    </row>
    <row r="120" spans="1:21" x14ac:dyDescent="0.25">
      <c r="A120" s="188" t="s">
        <v>330</v>
      </c>
      <c r="B120" s="108" t="s">
        <v>13</v>
      </c>
      <c r="C120" s="189" t="s">
        <v>315</v>
      </c>
      <c r="D120" s="285">
        <f t="shared" si="22"/>
        <v>2006</v>
      </c>
      <c r="E120" s="32">
        <v>531993.64</v>
      </c>
      <c r="F120" s="32" t="e">
        <v>#N/A</v>
      </c>
      <c r="G120" s="32" t="e">
        <v>#N/A</v>
      </c>
      <c r="H120" s="32">
        <v>49375446.161315411</v>
      </c>
      <c r="I120" s="32" t="e">
        <v>#N/A</v>
      </c>
      <c r="J120" s="32" t="e">
        <v>#N/A</v>
      </c>
      <c r="K120" s="110">
        <f t="shared" si="20"/>
        <v>92.812098583199997</v>
      </c>
    </row>
    <row r="121" spans="1:21" x14ac:dyDescent="0.25">
      <c r="A121" s="188" t="s">
        <v>330</v>
      </c>
      <c r="B121" s="108" t="s">
        <v>13</v>
      </c>
      <c r="C121" s="189" t="s">
        <v>316</v>
      </c>
      <c r="D121" s="285">
        <f t="shared" si="22"/>
        <v>2006</v>
      </c>
      <c r="E121" s="32">
        <v>2056686.15</v>
      </c>
      <c r="F121" s="32" t="e">
        <v>#N/A</v>
      </c>
      <c r="G121" s="32" t="e">
        <v>#N/A</v>
      </c>
      <c r="H121" s="32">
        <v>174814351.01242006</v>
      </c>
      <c r="I121" s="32" t="e">
        <v>#N/A</v>
      </c>
      <c r="J121" s="32" t="e">
        <v>#N/A</v>
      </c>
      <c r="K121" s="110">
        <f t="shared" si="20"/>
        <v>84.998068865500002</v>
      </c>
    </row>
    <row r="122" spans="1:21" x14ac:dyDescent="0.25">
      <c r="A122" s="188" t="s">
        <v>330</v>
      </c>
      <c r="B122" s="108" t="s">
        <v>13</v>
      </c>
      <c r="C122" s="189" t="s">
        <v>317</v>
      </c>
      <c r="D122" s="285">
        <f t="shared" si="22"/>
        <v>2006</v>
      </c>
      <c r="E122" s="32">
        <v>14962925.49</v>
      </c>
      <c r="F122" s="32" t="e">
        <v>#N/A</v>
      </c>
      <c r="G122" s="32" t="e">
        <v>#N/A</v>
      </c>
      <c r="H122" s="32">
        <v>761797297.47958636</v>
      </c>
      <c r="I122" s="32" t="e">
        <v>#N/A</v>
      </c>
      <c r="J122" s="32" t="e">
        <v>#N/A</v>
      </c>
      <c r="K122" s="110">
        <f t="shared" ref="K122:K123" si="23">+H122/E122</f>
        <v>50.912323127500002</v>
      </c>
    </row>
    <row r="123" spans="1:21" x14ac:dyDescent="0.25">
      <c r="A123" s="188" t="s">
        <v>330</v>
      </c>
      <c r="B123" s="108" t="s">
        <v>13</v>
      </c>
      <c r="C123" s="189" t="s">
        <v>318</v>
      </c>
      <c r="D123" s="285">
        <f t="shared" si="22"/>
        <v>2006</v>
      </c>
      <c r="E123" s="32">
        <v>88944.61</v>
      </c>
      <c r="F123" s="32" t="e">
        <v>#N/A</v>
      </c>
      <c r="G123" s="32" t="e">
        <v>#N/A</v>
      </c>
      <c r="H123" s="32">
        <v>7251425.7356614526</v>
      </c>
      <c r="I123" s="32" t="e">
        <v>#N/A</v>
      </c>
      <c r="J123" s="32" t="e">
        <v>#N/A</v>
      </c>
      <c r="K123" s="110">
        <f t="shared" si="23"/>
        <v>81.5274330357</v>
      </c>
    </row>
    <row r="124" spans="1:21" x14ac:dyDescent="0.25">
      <c r="A124" s="107" t="s">
        <v>252</v>
      </c>
      <c r="B124" s="108" t="s">
        <v>14</v>
      </c>
      <c r="C124" s="187" t="s">
        <v>223</v>
      </c>
      <c r="D124" s="285">
        <f t="shared" si="22"/>
        <v>2010</v>
      </c>
      <c r="E124" s="3">
        <v>256000</v>
      </c>
      <c r="F124" s="282">
        <f t="shared" ref="F124:F145" si="24">+E124-G124</f>
        <v>250000</v>
      </c>
      <c r="G124" s="32">
        <v>6000</v>
      </c>
      <c r="H124" s="32">
        <v>40933053.535744004</v>
      </c>
      <c r="I124" s="32">
        <f>+F124*K124</f>
        <v>39973685.093500003</v>
      </c>
      <c r="J124" s="32">
        <f>+H124-I124</f>
        <v>959368.44224400073</v>
      </c>
      <c r="K124" s="110">
        <f t="shared" ref="K124:K145" si="25">+H124/E124</f>
        <v>159.89474037400001</v>
      </c>
    </row>
    <row r="125" spans="1:21" x14ac:dyDescent="0.25">
      <c r="A125" s="107" t="s">
        <v>252</v>
      </c>
      <c r="B125" s="108" t="s">
        <v>14</v>
      </c>
      <c r="C125" s="187" t="s">
        <v>263</v>
      </c>
      <c r="D125" s="285">
        <f t="shared" si="22"/>
        <v>2010</v>
      </c>
      <c r="E125" s="3">
        <v>957000</v>
      </c>
      <c r="F125" s="282">
        <f t="shared" si="24"/>
        <v>949000</v>
      </c>
      <c r="G125" s="32">
        <v>8000</v>
      </c>
      <c r="H125" s="32">
        <v>141310655.75351998</v>
      </c>
      <c r="I125" s="32">
        <f>+F125*K125</f>
        <v>140129375.45464</v>
      </c>
      <c r="J125" s="32">
        <f t="shared" ref="J125:J145" si="26">+H125-I125</f>
        <v>1181280.298879981</v>
      </c>
      <c r="K125" s="110">
        <f t="shared" si="25"/>
        <v>147.66003735999999</v>
      </c>
    </row>
    <row r="126" spans="1:21" x14ac:dyDescent="0.25">
      <c r="A126" s="107" t="s">
        <v>252</v>
      </c>
      <c r="B126" s="108" t="s">
        <v>14</v>
      </c>
      <c r="C126" s="187" t="s">
        <v>266</v>
      </c>
      <c r="D126" s="285">
        <f t="shared" si="22"/>
        <v>2010</v>
      </c>
      <c r="E126" s="3">
        <v>1014000</v>
      </c>
      <c r="F126" s="282">
        <f t="shared" si="24"/>
        <v>1005000</v>
      </c>
      <c r="G126" s="32">
        <v>9000</v>
      </c>
      <c r="H126" s="32">
        <v>170519169.945306</v>
      </c>
      <c r="I126" s="32">
        <f t="shared" ref="I126:I145" si="27">+F126*K126</f>
        <v>169005686.18839499</v>
      </c>
      <c r="J126" s="32">
        <f t="shared" si="26"/>
        <v>1513483.7569110096</v>
      </c>
      <c r="K126" s="110">
        <f t="shared" si="25"/>
        <v>168.164861879</v>
      </c>
    </row>
    <row r="127" spans="1:21" x14ac:dyDescent="0.25">
      <c r="A127" s="107" t="s">
        <v>252</v>
      </c>
      <c r="B127" s="108" t="s">
        <v>14</v>
      </c>
      <c r="C127" s="187" t="s">
        <v>269</v>
      </c>
      <c r="D127" s="285">
        <f t="shared" si="22"/>
        <v>2010</v>
      </c>
      <c r="E127" s="3">
        <v>729000</v>
      </c>
      <c r="F127" s="282">
        <f t="shared" si="24"/>
        <v>713000</v>
      </c>
      <c r="G127" s="32">
        <v>16000</v>
      </c>
      <c r="H127" s="32">
        <v>137893050.06291002</v>
      </c>
      <c r="I127" s="32">
        <f t="shared" si="27"/>
        <v>134866590.80227003</v>
      </c>
      <c r="J127" s="32">
        <f t="shared" si="26"/>
        <v>3026459.2606399953</v>
      </c>
      <c r="K127" s="110">
        <f t="shared" si="25"/>
        <v>189.15370379000004</v>
      </c>
    </row>
    <row r="128" spans="1:21" x14ac:dyDescent="0.25">
      <c r="A128" s="107" t="s">
        <v>252</v>
      </c>
      <c r="B128" s="108" t="s">
        <v>14</v>
      </c>
      <c r="C128" s="187" t="s">
        <v>259</v>
      </c>
      <c r="D128" s="285">
        <f t="shared" si="22"/>
        <v>2010</v>
      </c>
      <c r="E128" s="3">
        <v>179000</v>
      </c>
      <c r="F128" s="282">
        <f t="shared" si="24"/>
        <v>177000</v>
      </c>
      <c r="G128" s="32">
        <v>2000</v>
      </c>
      <c r="H128" s="32">
        <v>27480157.046611998</v>
      </c>
      <c r="I128" s="32">
        <f t="shared" si="27"/>
        <v>27173116.185755998</v>
      </c>
      <c r="J128" s="32">
        <f t="shared" si="26"/>
        <v>307040.86085600033</v>
      </c>
      <c r="K128" s="110">
        <f t="shared" si="25"/>
        <v>153.520430428</v>
      </c>
    </row>
    <row r="129" spans="1:11" x14ac:dyDescent="0.25">
      <c r="A129" s="107" t="s">
        <v>252</v>
      </c>
      <c r="B129" s="108" t="s">
        <v>14</v>
      </c>
      <c r="C129" s="187" t="s">
        <v>260</v>
      </c>
      <c r="D129" s="285">
        <f t="shared" si="22"/>
        <v>2010</v>
      </c>
      <c r="E129" s="3">
        <v>231000</v>
      </c>
      <c r="F129" s="282">
        <f t="shared" si="24"/>
        <v>229000</v>
      </c>
      <c r="G129" s="32">
        <v>2000</v>
      </c>
      <c r="H129" s="32">
        <v>38504451.096111</v>
      </c>
      <c r="I129" s="32">
        <f t="shared" si="27"/>
        <v>38171079.225148998</v>
      </c>
      <c r="J129" s="32">
        <f t="shared" si="26"/>
        <v>333371.87096200138</v>
      </c>
      <c r="K129" s="110">
        <f t="shared" si="25"/>
        <v>166.685935481</v>
      </c>
    </row>
    <row r="130" spans="1:11" x14ac:dyDescent="0.25">
      <c r="A130" s="107" t="s">
        <v>252</v>
      </c>
      <c r="B130" s="108" t="s">
        <v>14</v>
      </c>
      <c r="C130" s="187" t="s">
        <v>262</v>
      </c>
      <c r="D130" s="285">
        <f t="shared" si="22"/>
        <v>2010</v>
      </c>
      <c r="E130" s="3">
        <v>106000</v>
      </c>
      <c r="F130" s="282">
        <f t="shared" si="24"/>
        <v>104000</v>
      </c>
      <c r="G130" s="32">
        <v>2000</v>
      </c>
      <c r="H130" s="32">
        <v>18340527.114306003</v>
      </c>
      <c r="I130" s="32">
        <f t="shared" si="27"/>
        <v>17994479.432904005</v>
      </c>
      <c r="J130" s="32">
        <f t="shared" si="26"/>
        <v>346047.6814019978</v>
      </c>
      <c r="K130" s="110">
        <f t="shared" si="25"/>
        <v>173.02384070100004</v>
      </c>
    </row>
    <row r="131" spans="1:11" x14ac:dyDescent="0.25">
      <c r="A131" s="107" t="s">
        <v>252</v>
      </c>
      <c r="B131" s="108" t="s">
        <v>14</v>
      </c>
      <c r="C131" s="187" t="s">
        <v>261</v>
      </c>
      <c r="D131" s="285">
        <f t="shared" ref="D131:D145" si="28">+VLOOKUP(B131, N$3:O$28, 2, FALSE)</f>
        <v>2010</v>
      </c>
      <c r="E131" s="3">
        <v>324000</v>
      </c>
      <c r="F131" s="282">
        <f t="shared" si="24"/>
        <v>317000</v>
      </c>
      <c r="G131" s="32">
        <v>7000</v>
      </c>
      <c r="H131" s="32">
        <v>58501944.713916004</v>
      </c>
      <c r="I131" s="32">
        <f t="shared" si="27"/>
        <v>57238013.809603006</v>
      </c>
      <c r="J131" s="32">
        <f t="shared" si="26"/>
        <v>1263930.9043129981</v>
      </c>
      <c r="K131" s="110">
        <f t="shared" si="25"/>
        <v>180.56155775900001</v>
      </c>
    </row>
    <row r="132" spans="1:11" x14ac:dyDescent="0.25">
      <c r="A132" s="107" t="s">
        <v>252</v>
      </c>
      <c r="B132" s="108" t="s">
        <v>14</v>
      </c>
      <c r="C132" s="187" t="s">
        <v>267</v>
      </c>
      <c r="D132" s="285">
        <f t="shared" si="28"/>
        <v>2010</v>
      </c>
      <c r="E132" s="3">
        <v>317000</v>
      </c>
      <c r="F132" s="282">
        <f t="shared" si="24"/>
        <v>311000</v>
      </c>
      <c r="G132" s="32">
        <v>6000</v>
      </c>
      <c r="H132" s="32">
        <v>61945408.956556998</v>
      </c>
      <c r="I132" s="32">
        <f t="shared" si="27"/>
        <v>60772940.648231</v>
      </c>
      <c r="J132" s="32">
        <f t="shared" si="26"/>
        <v>1172468.3083259985</v>
      </c>
      <c r="K132" s="110">
        <f t="shared" si="25"/>
        <v>195.41138472099999</v>
      </c>
    </row>
    <row r="133" spans="1:11" x14ac:dyDescent="0.25">
      <c r="A133" s="107" t="s">
        <v>252</v>
      </c>
      <c r="B133" s="108" t="s">
        <v>14</v>
      </c>
      <c r="C133" s="187" t="s">
        <v>265</v>
      </c>
      <c r="D133" s="285">
        <f t="shared" si="28"/>
        <v>2010</v>
      </c>
      <c r="E133" s="3">
        <v>719000</v>
      </c>
      <c r="F133" s="282">
        <f t="shared" si="24"/>
        <v>689000</v>
      </c>
      <c r="G133" s="32">
        <v>30000</v>
      </c>
      <c r="H133" s="32">
        <v>115375950.65339601</v>
      </c>
      <c r="I133" s="32">
        <f t="shared" si="27"/>
        <v>110561933.240876</v>
      </c>
      <c r="J133" s="32">
        <f t="shared" si="26"/>
        <v>4814017.4125200063</v>
      </c>
      <c r="K133" s="110">
        <f t="shared" si="25"/>
        <v>160.46724708400001</v>
      </c>
    </row>
    <row r="134" spans="1:11" x14ac:dyDescent="0.25">
      <c r="A134" s="107" t="s">
        <v>252</v>
      </c>
      <c r="B134" s="108" t="s">
        <v>14</v>
      </c>
      <c r="C134" s="187" t="s">
        <v>268</v>
      </c>
      <c r="D134" s="285">
        <f t="shared" si="28"/>
        <v>2010</v>
      </c>
      <c r="E134" s="3">
        <v>880000</v>
      </c>
      <c r="F134" s="282">
        <f t="shared" si="24"/>
        <v>873000</v>
      </c>
      <c r="G134" s="32">
        <v>7000</v>
      </c>
      <c r="H134" s="32">
        <v>144119356.10864002</v>
      </c>
      <c r="I134" s="32">
        <f t="shared" si="27"/>
        <v>142972952.13959402</v>
      </c>
      <c r="J134" s="32">
        <f t="shared" si="26"/>
        <v>1146403.9690459967</v>
      </c>
      <c r="K134" s="110">
        <f t="shared" si="25"/>
        <v>163.77199557800003</v>
      </c>
    </row>
    <row r="135" spans="1:11" x14ac:dyDescent="0.25">
      <c r="A135" s="107" t="s">
        <v>252</v>
      </c>
      <c r="B135" s="108" t="s">
        <v>14</v>
      </c>
      <c r="C135" s="187" t="s">
        <v>258</v>
      </c>
      <c r="D135" s="285">
        <f t="shared" si="28"/>
        <v>2010</v>
      </c>
      <c r="E135" s="3">
        <v>351000</v>
      </c>
      <c r="F135" s="282">
        <f t="shared" si="24"/>
        <v>346000</v>
      </c>
      <c r="G135" s="32">
        <v>5000</v>
      </c>
      <c r="H135" s="32">
        <v>49604605.913420998</v>
      </c>
      <c r="I135" s="32">
        <f t="shared" si="27"/>
        <v>48897987.595565997</v>
      </c>
      <c r="J135" s="32">
        <f t="shared" si="26"/>
        <v>706618.3178550005</v>
      </c>
      <c r="K135" s="110">
        <f t="shared" si="25"/>
        <v>141.323663571</v>
      </c>
    </row>
    <row r="136" spans="1:11" x14ac:dyDescent="0.25">
      <c r="A136" s="107" t="s">
        <v>252</v>
      </c>
      <c r="B136" s="108" t="s">
        <v>14</v>
      </c>
      <c r="C136" s="187" t="s">
        <v>257</v>
      </c>
      <c r="D136" s="285">
        <f t="shared" si="28"/>
        <v>2010</v>
      </c>
      <c r="E136" s="3">
        <v>386000</v>
      </c>
      <c r="F136" s="282">
        <f t="shared" si="24"/>
        <v>382000</v>
      </c>
      <c r="G136" s="32">
        <v>4000</v>
      </c>
      <c r="H136" s="32">
        <v>55451836.542477995</v>
      </c>
      <c r="I136" s="32">
        <f t="shared" si="27"/>
        <v>54877206.111985996</v>
      </c>
      <c r="J136" s="32">
        <f t="shared" si="26"/>
        <v>574630.43049199879</v>
      </c>
      <c r="K136" s="110">
        <f t="shared" si="25"/>
        <v>143.65760762299999</v>
      </c>
    </row>
    <row r="137" spans="1:11" x14ac:dyDescent="0.25">
      <c r="A137" s="107" t="s">
        <v>252</v>
      </c>
      <c r="B137" s="108" t="s">
        <v>14</v>
      </c>
      <c r="C137" s="187" t="s">
        <v>273</v>
      </c>
      <c r="D137" s="285">
        <f t="shared" si="28"/>
        <v>2010</v>
      </c>
      <c r="E137" s="3">
        <v>1837000</v>
      </c>
      <c r="F137" s="282">
        <f t="shared" si="24"/>
        <v>1817000</v>
      </c>
      <c r="G137" s="32">
        <v>20000</v>
      </c>
      <c r="H137" s="32">
        <v>194485667.51046398</v>
      </c>
      <c r="I137" s="32">
        <f t="shared" si="27"/>
        <v>192368240.53702399</v>
      </c>
      <c r="J137" s="32">
        <f t="shared" si="26"/>
        <v>2117426.9734399915</v>
      </c>
      <c r="K137" s="110">
        <f t="shared" si="25"/>
        <v>105.871348672</v>
      </c>
    </row>
    <row r="138" spans="1:11" x14ac:dyDescent="0.25">
      <c r="A138" s="107" t="s">
        <v>252</v>
      </c>
      <c r="B138" s="108" t="s">
        <v>14</v>
      </c>
      <c r="C138" s="187" t="s">
        <v>271</v>
      </c>
      <c r="D138" s="285">
        <f t="shared" si="28"/>
        <v>2010</v>
      </c>
      <c r="E138" s="3">
        <v>572000</v>
      </c>
      <c r="F138" s="282">
        <f t="shared" si="24"/>
        <v>564000</v>
      </c>
      <c r="G138" s="32">
        <v>8000</v>
      </c>
      <c r="H138" s="32">
        <v>90685246.720067993</v>
      </c>
      <c r="I138" s="32">
        <f t="shared" si="27"/>
        <v>89416921.591115996</v>
      </c>
      <c r="J138" s="32">
        <f t="shared" si="26"/>
        <v>1268325.1289519966</v>
      </c>
      <c r="K138" s="110">
        <f t="shared" si="25"/>
        <v>158.54064111899999</v>
      </c>
    </row>
    <row r="139" spans="1:11" x14ac:dyDescent="0.25">
      <c r="A139" s="107" t="s">
        <v>252</v>
      </c>
      <c r="B139" s="108" t="s">
        <v>14</v>
      </c>
      <c r="C139" s="187" t="s">
        <v>264</v>
      </c>
      <c r="D139" s="285">
        <f t="shared" si="28"/>
        <v>2010</v>
      </c>
      <c r="E139" s="3">
        <v>419000</v>
      </c>
      <c r="F139" s="282">
        <f t="shared" si="24"/>
        <v>411000</v>
      </c>
      <c r="G139" s="32">
        <v>8000</v>
      </c>
      <c r="H139" s="32">
        <v>49268395.867013</v>
      </c>
      <c r="I139" s="32">
        <f t="shared" si="27"/>
        <v>48327710.504396997</v>
      </c>
      <c r="J139" s="32">
        <f t="shared" si="26"/>
        <v>940685.36261600256</v>
      </c>
      <c r="K139" s="110">
        <f t="shared" si="25"/>
        <v>117.585670327</v>
      </c>
    </row>
    <row r="140" spans="1:11" x14ac:dyDescent="0.25">
      <c r="A140" s="107" t="s">
        <v>252</v>
      </c>
      <c r="B140" s="108" t="s">
        <v>14</v>
      </c>
      <c r="C140" s="187" t="s">
        <v>275</v>
      </c>
      <c r="D140" s="285">
        <f t="shared" si="28"/>
        <v>2010</v>
      </c>
      <c r="E140" s="3">
        <v>1251000</v>
      </c>
      <c r="F140" s="282">
        <f t="shared" si="24"/>
        <v>1158000</v>
      </c>
      <c r="G140" s="32">
        <v>93000</v>
      </c>
      <c r="H140" s="32">
        <v>126413244.310644</v>
      </c>
      <c r="I140" s="32">
        <f t="shared" si="27"/>
        <v>117015617.035752</v>
      </c>
      <c r="J140" s="32">
        <f t="shared" si="26"/>
        <v>9397627.2748920023</v>
      </c>
      <c r="K140" s="110">
        <f t="shared" si="25"/>
        <v>101.049755644</v>
      </c>
    </row>
    <row r="141" spans="1:11" x14ac:dyDescent="0.25">
      <c r="A141" s="107" t="s">
        <v>252</v>
      </c>
      <c r="B141" s="108" t="s">
        <v>14</v>
      </c>
      <c r="C141" s="187" t="s">
        <v>274</v>
      </c>
      <c r="D141" s="285">
        <f t="shared" si="28"/>
        <v>2010</v>
      </c>
      <c r="E141" s="3">
        <v>1382000</v>
      </c>
      <c r="F141" s="282">
        <f t="shared" si="24"/>
        <v>1298000</v>
      </c>
      <c r="G141" s="32">
        <v>84000</v>
      </c>
      <c r="H141" s="32">
        <v>185269565.63447198</v>
      </c>
      <c r="I141" s="32">
        <f t="shared" si="27"/>
        <v>174008607.954808</v>
      </c>
      <c r="J141" s="32">
        <f t="shared" si="26"/>
        <v>11260957.679663986</v>
      </c>
      <c r="K141" s="110">
        <f t="shared" si="25"/>
        <v>134.05901999599999</v>
      </c>
    </row>
    <row r="142" spans="1:11" x14ac:dyDescent="0.25">
      <c r="A142" s="107" t="s">
        <v>252</v>
      </c>
      <c r="B142" s="108" t="s">
        <v>14</v>
      </c>
      <c r="C142" s="187" t="s">
        <v>270</v>
      </c>
      <c r="D142" s="285">
        <f t="shared" si="28"/>
        <v>2010</v>
      </c>
      <c r="E142" s="3">
        <v>751000</v>
      </c>
      <c r="F142" s="282">
        <f t="shared" si="24"/>
        <v>716000</v>
      </c>
      <c r="G142" s="32">
        <v>35000</v>
      </c>
      <c r="H142" s="32">
        <v>131721317.25233498</v>
      </c>
      <c r="I142" s="32">
        <f t="shared" si="27"/>
        <v>125582507.52685998</v>
      </c>
      <c r="J142" s="32">
        <f t="shared" si="26"/>
        <v>6138809.7254749984</v>
      </c>
      <c r="K142" s="110">
        <f t="shared" si="25"/>
        <v>175.39456358499999</v>
      </c>
    </row>
    <row r="143" spans="1:11" x14ac:dyDescent="0.25">
      <c r="A143" s="107" t="s">
        <v>252</v>
      </c>
      <c r="B143" s="108" t="s">
        <v>14</v>
      </c>
      <c r="C143" s="187" t="s">
        <v>272</v>
      </c>
      <c r="D143" s="285">
        <f t="shared" si="28"/>
        <v>2010</v>
      </c>
      <c r="E143" s="3">
        <v>1745000</v>
      </c>
      <c r="F143" s="282">
        <f t="shared" si="24"/>
        <v>1581000</v>
      </c>
      <c r="G143" s="32">
        <v>164000</v>
      </c>
      <c r="H143" s="32">
        <v>254487453.10744998</v>
      </c>
      <c r="I143" s="32">
        <f t="shared" si="27"/>
        <v>230570007.65781</v>
      </c>
      <c r="J143" s="32">
        <f t="shared" si="26"/>
        <v>23917445.449639976</v>
      </c>
      <c r="K143" s="110">
        <f t="shared" si="25"/>
        <v>145.83808200999999</v>
      </c>
    </row>
    <row r="144" spans="1:11" x14ac:dyDescent="0.25">
      <c r="A144" s="107" t="s">
        <v>252</v>
      </c>
      <c r="B144" s="108" t="s">
        <v>14</v>
      </c>
      <c r="C144" s="187" t="s">
        <v>276</v>
      </c>
      <c r="D144" s="285">
        <f t="shared" si="28"/>
        <v>2010</v>
      </c>
      <c r="E144" s="3">
        <v>1524000</v>
      </c>
      <c r="F144" s="282">
        <f t="shared" si="24"/>
        <v>1315000</v>
      </c>
      <c r="G144" s="32">
        <v>209000</v>
      </c>
      <c r="H144" s="32">
        <v>129277615.76652721</v>
      </c>
      <c r="I144" s="32">
        <f t="shared" si="27"/>
        <v>111548598.906157</v>
      </c>
      <c r="J144" s="32">
        <f t="shared" si="26"/>
        <v>17729016.860370204</v>
      </c>
      <c r="K144" s="110">
        <f t="shared" si="25"/>
        <v>84.827831867800001</v>
      </c>
    </row>
    <row r="145" spans="1:11" x14ac:dyDescent="0.25">
      <c r="A145" s="107" t="s">
        <v>252</v>
      </c>
      <c r="B145" s="108" t="s">
        <v>14</v>
      </c>
      <c r="C145" s="187" t="s">
        <v>277</v>
      </c>
      <c r="D145" s="285">
        <f t="shared" si="28"/>
        <v>2010</v>
      </c>
      <c r="E145" s="3">
        <v>494000</v>
      </c>
      <c r="F145" s="282">
        <f t="shared" si="24"/>
        <v>401000</v>
      </c>
      <c r="G145" s="32">
        <v>93000</v>
      </c>
      <c r="H145" s="32">
        <v>68590848.107027993</v>
      </c>
      <c r="I145" s="32">
        <f t="shared" si="27"/>
        <v>55677996.135461994</v>
      </c>
      <c r="J145" s="32">
        <f t="shared" si="26"/>
        <v>12912851.971565999</v>
      </c>
      <c r="K145" s="110">
        <f t="shared" si="25"/>
        <v>138.84787066199999</v>
      </c>
    </row>
    <row r="146" spans="1:11" x14ac:dyDescent="0.25">
      <c r="A146" s="190" t="s">
        <v>454</v>
      </c>
      <c r="B146" s="245" t="s">
        <v>16</v>
      </c>
      <c r="C146" s="191" t="s">
        <v>486</v>
      </c>
      <c r="D146" s="286">
        <v>2020</v>
      </c>
      <c r="E146" s="33">
        <v>2158000</v>
      </c>
      <c r="F146" s="32" t="e">
        <v>#N/A</v>
      </c>
      <c r="G146" s="32" t="e">
        <v>#N/A</v>
      </c>
      <c r="H146" s="33">
        <f>+E146*K146</f>
        <v>68560594.414552912</v>
      </c>
      <c r="I146" s="32" t="e">
        <v>#N/A</v>
      </c>
      <c r="J146" s="32" t="e">
        <v>#N/A</v>
      </c>
      <c r="K146" s="110">
        <f>+'INPUT SoEF'!N20/'INPUT SoEF'!P20/'INPUT SoEF'!D20</f>
        <v>31.770433000256212</v>
      </c>
    </row>
    <row r="147" spans="1:11" x14ac:dyDescent="0.25">
      <c r="A147" s="190" t="s">
        <v>454</v>
      </c>
      <c r="B147" s="245" t="s">
        <v>16</v>
      </c>
      <c r="C147" s="191" t="s">
        <v>435</v>
      </c>
      <c r="D147" s="286">
        <v>2020</v>
      </c>
      <c r="E147" s="33">
        <v>1745000</v>
      </c>
      <c r="F147" s="32" t="e">
        <v>#N/A</v>
      </c>
      <c r="G147" s="32" t="e">
        <v>#N/A</v>
      </c>
      <c r="H147" s="33">
        <f>+E147*K147</f>
        <v>133590878.86245054</v>
      </c>
      <c r="I147" s="32" t="e">
        <v>#N/A</v>
      </c>
      <c r="J147" s="32" t="e">
        <v>#N/A</v>
      </c>
      <c r="K147" s="110">
        <f>+AVERAGE(K146, 'NATIONAL 2020'!M4, 'NATIONAL 2020'!M8, 'NATIONAL 2020'!M30, 47.17)</f>
        <v>76.556377571604898</v>
      </c>
    </row>
    <row r="148" spans="1:11" x14ac:dyDescent="0.25">
      <c r="A148" s="190" t="s">
        <v>323</v>
      </c>
      <c r="B148" s="108" t="s">
        <v>17</v>
      </c>
      <c r="C148" s="191" t="s">
        <v>487</v>
      </c>
      <c r="D148" s="285">
        <f t="shared" ref="D148:D179" si="29">+VLOOKUP(B148, N$3:O$28, 2, FALSE)</f>
        <v>2008</v>
      </c>
      <c r="E148" s="282">
        <v>1152127.0048069609</v>
      </c>
      <c r="F148" s="32" t="e">
        <v>#N/A</v>
      </c>
      <c r="G148" s="32" t="e">
        <v>#N/A</v>
      </c>
      <c r="H148" s="33">
        <v>136265907.84400001</v>
      </c>
      <c r="I148" s="32" t="e">
        <v>#N/A</v>
      </c>
      <c r="J148" s="32" t="e">
        <v>#N/A</v>
      </c>
      <c r="K148" s="110">
        <f t="shared" ref="K148:K149" si="30">+H148/E148</f>
        <v>118.27333902900001</v>
      </c>
    </row>
    <row r="149" spans="1:11" x14ac:dyDescent="0.25">
      <c r="A149" s="190" t="s">
        <v>323</v>
      </c>
      <c r="B149" s="108" t="s">
        <v>17</v>
      </c>
      <c r="C149" s="191" t="s">
        <v>488</v>
      </c>
      <c r="D149" s="285">
        <f t="shared" si="29"/>
        <v>2008</v>
      </c>
      <c r="E149" s="282">
        <v>1302935.1534112606</v>
      </c>
      <c r="F149" s="32" t="e">
        <v>#N/A</v>
      </c>
      <c r="G149" s="32" t="e">
        <v>#N/A</v>
      </c>
      <c r="H149" s="33">
        <v>282186537.611</v>
      </c>
      <c r="I149" s="32" t="e">
        <v>#N/A</v>
      </c>
      <c r="J149" s="32" t="e">
        <v>#N/A</v>
      </c>
      <c r="K149" s="110">
        <f t="shared" si="30"/>
        <v>216.57757630699996</v>
      </c>
    </row>
    <row r="150" spans="1:11" x14ac:dyDescent="0.25">
      <c r="A150" s="190" t="s">
        <v>246</v>
      </c>
      <c r="B150" s="108" t="s">
        <v>18</v>
      </c>
      <c r="C150" s="192" t="s">
        <v>301</v>
      </c>
      <c r="D150" s="285">
        <f t="shared" si="29"/>
        <v>2012</v>
      </c>
      <c r="E150" s="3">
        <v>6000</v>
      </c>
      <c r="F150" s="282">
        <f t="shared" ref="F150:F172" si="31">+E150-G150</f>
        <v>3600</v>
      </c>
      <c r="G150" s="32">
        <v>2400</v>
      </c>
      <c r="H150" s="32">
        <f>+I150+J150</f>
        <v>514953.23076839995</v>
      </c>
      <c r="I150" s="32">
        <f>113.249230769 * F150</f>
        <v>407697.23076839995</v>
      </c>
      <c r="J150" s="32">
        <v>107256</v>
      </c>
      <c r="K150" s="287">
        <f>+H150/E150</f>
        <v>85.825538461399987</v>
      </c>
    </row>
    <row r="151" spans="1:11" x14ac:dyDescent="0.25">
      <c r="A151" s="190" t="s">
        <v>246</v>
      </c>
      <c r="B151" s="108" t="s">
        <v>18</v>
      </c>
      <c r="C151" s="192" t="s">
        <v>302</v>
      </c>
      <c r="D151" s="285">
        <f t="shared" si="29"/>
        <v>2012</v>
      </c>
      <c r="E151" s="3">
        <v>171600</v>
      </c>
      <c r="F151" s="282">
        <f t="shared" si="31"/>
        <v>149200</v>
      </c>
      <c r="G151" s="32">
        <v>22400</v>
      </c>
      <c r="H151" s="32">
        <f t="shared" ref="H151:H169" si="32">+I151+J151</f>
        <v>20154398.226998799</v>
      </c>
      <c r="I151" s="32">
        <f>127.905189189 * F151</f>
        <v>19083454.226998799</v>
      </c>
      <c r="J151" s="32">
        <v>1070944</v>
      </c>
      <c r="K151" s="287">
        <f t="shared" ref="K151:K169" si="33">+H151/E151</f>
        <v>117.44987311770862</v>
      </c>
    </row>
    <row r="152" spans="1:11" x14ac:dyDescent="0.25">
      <c r="A152" s="190" t="s">
        <v>246</v>
      </c>
      <c r="B152" s="108" t="s">
        <v>18</v>
      </c>
      <c r="C152" s="192" t="s">
        <v>280</v>
      </c>
      <c r="D152" s="285">
        <f t="shared" si="29"/>
        <v>2012</v>
      </c>
      <c r="E152" s="3">
        <v>60400</v>
      </c>
      <c r="F152" s="282">
        <f t="shared" si="31"/>
        <v>50800</v>
      </c>
      <c r="G152" s="32">
        <v>9600</v>
      </c>
      <c r="H152" s="32">
        <f t="shared" si="32"/>
        <v>7430443.3333163997</v>
      </c>
      <c r="I152" s="32">
        <f>138.318333333 * F152</f>
        <v>7026571.3333163997</v>
      </c>
      <c r="J152" s="32">
        <v>403872</v>
      </c>
      <c r="K152" s="287">
        <f t="shared" si="33"/>
        <v>123.02058498868212</v>
      </c>
    </row>
    <row r="153" spans="1:11" x14ac:dyDescent="0.25">
      <c r="A153" s="190" t="s">
        <v>246</v>
      </c>
      <c r="B153" s="108" t="s">
        <v>18</v>
      </c>
      <c r="C153" s="192" t="s">
        <v>281</v>
      </c>
      <c r="D153" s="285">
        <f t="shared" si="29"/>
        <v>2012</v>
      </c>
      <c r="E153" s="3">
        <v>78400</v>
      </c>
      <c r="F153" s="282">
        <f t="shared" si="31"/>
        <v>64400</v>
      </c>
      <c r="G153" s="32">
        <v>14000</v>
      </c>
      <c r="H153" s="32">
        <f t="shared" si="32"/>
        <v>11820056.2988676</v>
      </c>
      <c r="I153" s="32">
        <f>169.849942529 * F153</f>
        <v>10938336.2988676</v>
      </c>
      <c r="J153" s="32">
        <v>881720</v>
      </c>
      <c r="K153" s="287">
        <f t="shared" si="33"/>
        <v>150.76602422024999</v>
      </c>
    </row>
    <row r="154" spans="1:11" x14ac:dyDescent="0.25">
      <c r="A154" s="190" t="s">
        <v>246</v>
      </c>
      <c r="B154" s="108" t="s">
        <v>18</v>
      </c>
      <c r="C154" s="192" t="s">
        <v>282</v>
      </c>
      <c r="D154" s="285">
        <f t="shared" si="29"/>
        <v>2012</v>
      </c>
      <c r="E154" s="3">
        <v>149200</v>
      </c>
      <c r="F154" s="282">
        <f t="shared" si="31"/>
        <v>138000</v>
      </c>
      <c r="G154" s="32">
        <v>11200</v>
      </c>
      <c r="H154" s="32">
        <f t="shared" si="32"/>
        <v>24606284.716352001</v>
      </c>
      <c r="I154" s="32">
        <f>173.306179104 * F154</f>
        <v>23916252.716352001</v>
      </c>
      <c r="J154" s="32">
        <v>690032</v>
      </c>
      <c r="K154" s="287">
        <f t="shared" si="33"/>
        <v>164.92147933211797</v>
      </c>
    </row>
    <row r="155" spans="1:11" x14ac:dyDescent="0.25">
      <c r="A155" s="190" t="s">
        <v>246</v>
      </c>
      <c r="B155" s="108" t="s">
        <v>18</v>
      </c>
      <c r="C155" s="192" t="s">
        <v>283</v>
      </c>
      <c r="D155" s="285">
        <f t="shared" si="29"/>
        <v>2012</v>
      </c>
      <c r="E155" s="3">
        <v>82400</v>
      </c>
      <c r="F155" s="282">
        <f t="shared" si="31"/>
        <v>77200</v>
      </c>
      <c r="G155" s="32">
        <v>5200</v>
      </c>
      <c r="H155" s="32">
        <f t="shared" si="32"/>
        <v>11243093.1216776</v>
      </c>
      <c r="I155" s="32">
        <f>141.438201058 * F155</f>
        <v>10919029.1216776</v>
      </c>
      <c r="J155" s="32">
        <v>324064</v>
      </c>
      <c r="K155" s="287">
        <f t="shared" si="33"/>
        <v>136.44530487472815</v>
      </c>
    </row>
    <row r="156" spans="1:11" x14ac:dyDescent="0.25">
      <c r="A156" s="190" t="s">
        <v>246</v>
      </c>
      <c r="B156" s="108" t="s">
        <v>18</v>
      </c>
      <c r="C156" s="192" t="s">
        <v>284</v>
      </c>
      <c r="D156" s="285">
        <f t="shared" si="29"/>
        <v>2012</v>
      </c>
      <c r="E156" s="3">
        <v>112000</v>
      </c>
      <c r="F156" s="282">
        <f t="shared" si="31"/>
        <v>107600</v>
      </c>
      <c r="G156" s="32">
        <v>4400</v>
      </c>
      <c r="H156" s="32">
        <f t="shared" si="32"/>
        <v>20418610.303999998</v>
      </c>
      <c r="I156" s="32">
        <f>182.49504 * F156</f>
        <v>19636466.303999998</v>
      </c>
      <c r="J156" s="32">
        <v>782144</v>
      </c>
      <c r="K156" s="287">
        <f t="shared" si="33"/>
        <v>182.30902057142856</v>
      </c>
    </row>
    <row r="157" spans="1:11" x14ac:dyDescent="0.25">
      <c r="A157" s="190" t="s">
        <v>246</v>
      </c>
      <c r="B157" s="108" t="s">
        <v>18</v>
      </c>
      <c r="C157" s="192" t="s">
        <v>285</v>
      </c>
      <c r="D157" s="285">
        <f t="shared" si="29"/>
        <v>2012</v>
      </c>
      <c r="E157" s="3">
        <v>142800</v>
      </c>
      <c r="F157" s="282">
        <f t="shared" si="31"/>
        <v>138800</v>
      </c>
      <c r="G157" s="32">
        <v>4000</v>
      </c>
      <c r="H157" s="32">
        <f t="shared" si="32"/>
        <v>27811665.096832398</v>
      </c>
      <c r="I157" s="32">
        <f>198.546290323 * F157</f>
        <v>27558225.096832398</v>
      </c>
      <c r="J157" s="32">
        <v>253440</v>
      </c>
      <c r="K157" s="287">
        <f t="shared" si="33"/>
        <v>194.75955950162745</v>
      </c>
    </row>
    <row r="158" spans="1:11" x14ac:dyDescent="0.25">
      <c r="A158" s="190" t="s">
        <v>246</v>
      </c>
      <c r="B158" s="108" t="s">
        <v>18</v>
      </c>
      <c r="C158" s="192" t="s">
        <v>286</v>
      </c>
      <c r="D158" s="285">
        <f t="shared" si="29"/>
        <v>2012</v>
      </c>
      <c r="E158" s="3">
        <v>135200</v>
      </c>
      <c r="F158" s="282">
        <f t="shared" si="31"/>
        <v>120800</v>
      </c>
      <c r="G158" s="32">
        <v>14400</v>
      </c>
      <c r="H158" s="32">
        <f t="shared" si="32"/>
        <v>19617166.4813416</v>
      </c>
      <c r="I158" s="32">
        <f>158.419457627 * F158</f>
        <v>19137070.4813416</v>
      </c>
      <c r="J158" s="32">
        <v>480096.00000000006</v>
      </c>
      <c r="K158" s="287">
        <f t="shared" si="33"/>
        <v>145.09738521702369</v>
      </c>
    </row>
    <row r="159" spans="1:11" x14ac:dyDescent="0.25">
      <c r="A159" s="190" t="s">
        <v>246</v>
      </c>
      <c r="B159" s="108" t="s">
        <v>18</v>
      </c>
      <c r="C159" s="192" t="s">
        <v>287</v>
      </c>
      <c r="D159" s="285">
        <f t="shared" si="29"/>
        <v>2012</v>
      </c>
      <c r="E159" s="3">
        <v>196400</v>
      </c>
      <c r="F159" s="282">
        <f t="shared" si="31"/>
        <v>184800</v>
      </c>
      <c r="G159" s="32">
        <v>11600</v>
      </c>
      <c r="H159" s="32">
        <f t="shared" si="32"/>
        <v>31238551.747639202</v>
      </c>
      <c r="I159" s="32">
        <f>163.919587379 * F159</f>
        <v>30292339.747639202</v>
      </c>
      <c r="J159" s="32">
        <v>946211.99999999988</v>
      </c>
      <c r="K159" s="287">
        <f t="shared" si="33"/>
        <v>159.05576246252139</v>
      </c>
    </row>
    <row r="160" spans="1:11" x14ac:dyDescent="0.25">
      <c r="A160" s="190" t="s">
        <v>246</v>
      </c>
      <c r="B160" s="108" t="s">
        <v>18</v>
      </c>
      <c r="C160" s="192" t="s">
        <v>288</v>
      </c>
      <c r="D160" s="285">
        <f t="shared" si="29"/>
        <v>2012</v>
      </c>
      <c r="E160" s="3">
        <v>80000</v>
      </c>
      <c r="F160" s="282">
        <f t="shared" si="31"/>
        <v>77600</v>
      </c>
      <c r="G160" s="32">
        <v>2400</v>
      </c>
      <c r="H160" s="32">
        <f t="shared" si="32"/>
        <v>9762860.0228904001</v>
      </c>
      <c r="I160" s="32">
        <f>123.727371429 * F160</f>
        <v>9601244.0228904001</v>
      </c>
      <c r="J160" s="32">
        <v>161616</v>
      </c>
      <c r="K160" s="287">
        <f t="shared" si="33"/>
        <v>122.03575028613</v>
      </c>
    </row>
    <row r="161" spans="1:11" x14ac:dyDescent="0.25">
      <c r="A161" s="190" t="s">
        <v>246</v>
      </c>
      <c r="B161" s="108" t="s">
        <v>18</v>
      </c>
      <c r="C161" s="192" t="s">
        <v>289</v>
      </c>
      <c r="D161" s="285">
        <f t="shared" si="29"/>
        <v>2012</v>
      </c>
      <c r="E161" s="3">
        <v>240000</v>
      </c>
      <c r="F161" s="282">
        <f t="shared" si="31"/>
        <v>207200</v>
      </c>
      <c r="G161" s="32">
        <v>32800</v>
      </c>
      <c r="H161" s="32">
        <f t="shared" si="32"/>
        <v>38723921.464174397</v>
      </c>
      <c r="I161" s="32">
        <f>175.335528302 * F161</f>
        <v>36329521.464174397</v>
      </c>
      <c r="J161" s="32">
        <v>2394400</v>
      </c>
      <c r="K161" s="287">
        <f t="shared" si="33"/>
        <v>161.34967276739332</v>
      </c>
    </row>
    <row r="162" spans="1:11" x14ac:dyDescent="0.25">
      <c r="A162" s="190" t="s">
        <v>246</v>
      </c>
      <c r="B162" s="108" t="s">
        <v>18</v>
      </c>
      <c r="C162" s="192" t="s">
        <v>290</v>
      </c>
      <c r="D162" s="285">
        <f t="shared" si="29"/>
        <v>2012</v>
      </c>
      <c r="E162" s="3">
        <v>93200</v>
      </c>
      <c r="F162" s="282">
        <f t="shared" si="31"/>
        <v>79600</v>
      </c>
      <c r="G162" s="32">
        <v>13600</v>
      </c>
      <c r="H162" s="32">
        <f t="shared" si="32"/>
        <v>15423228.681988401</v>
      </c>
      <c r="I162" s="32">
        <f>171.100460829 * F162</f>
        <v>13619596.681988401</v>
      </c>
      <c r="J162" s="32">
        <v>1803632</v>
      </c>
      <c r="K162" s="287">
        <f t="shared" si="33"/>
        <v>165.4852862874292</v>
      </c>
    </row>
    <row r="163" spans="1:11" x14ac:dyDescent="0.25">
      <c r="A163" s="190" t="s">
        <v>246</v>
      </c>
      <c r="B163" s="108" t="s">
        <v>18</v>
      </c>
      <c r="C163" s="192" t="s">
        <v>291</v>
      </c>
      <c r="D163" s="285">
        <f t="shared" si="29"/>
        <v>2012</v>
      </c>
      <c r="E163" s="3">
        <v>113600</v>
      </c>
      <c r="F163" s="282">
        <f t="shared" si="31"/>
        <v>103200</v>
      </c>
      <c r="G163" s="32">
        <v>10400</v>
      </c>
      <c r="H163" s="32">
        <f t="shared" si="32"/>
        <v>14586777.268295201</v>
      </c>
      <c r="I163" s="32">
        <f>134.371097561 * F163</f>
        <v>13867097.268295201</v>
      </c>
      <c r="J163" s="32">
        <v>719680</v>
      </c>
      <c r="K163" s="287">
        <f t="shared" si="33"/>
        <v>128.40472947442959</v>
      </c>
    </row>
    <row r="164" spans="1:11" x14ac:dyDescent="0.25">
      <c r="A164" s="190" t="s">
        <v>246</v>
      </c>
      <c r="B164" s="108" t="s">
        <v>18</v>
      </c>
      <c r="C164" s="192" t="s">
        <v>292</v>
      </c>
      <c r="D164" s="285">
        <f t="shared" si="29"/>
        <v>2012</v>
      </c>
      <c r="E164" s="3">
        <v>78800</v>
      </c>
      <c r="F164" s="282">
        <f t="shared" si="31"/>
        <v>77200</v>
      </c>
      <c r="G164" s="32">
        <v>1600</v>
      </c>
      <c r="H164" s="32">
        <f t="shared" si="32"/>
        <v>8868691.1377264</v>
      </c>
      <c r="I164" s="32">
        <f>111.712994012 * F164</f>
        <v>8624243.1377264</v>
      </c>
      <c r="J164" s="32">
        <v>244448</v>
      </c>
      <c r="K164" s="287">
        <f t="shared" si="33"/>
        <v>112.5468418493198</v>
      </c>
    </row>
    <row r="165" spans="1:11" x14ac:dyDescent="0.25">
      <c r="A165" s="190" t="s">
        <v>246</v>
      </c>
      <c r="B165" s="108" t="s">
        <v>18</v>
      </c>
      <c r="C165" s="192" t="s">
        <v>293</v>
      </c>
      <c r="D165" s="285">
        <f t="shared" si="29"/>
        <v>2012</v>
      </c>
      <c r="E165" s="3">
        <v>36800</v>
      </c>
      <c r="F165" s="282">
        <f t="shared" si="31"/>
        <v>36800</v>
      </c>
      <c r="G165" s="32">
        <v>0</v>
      </c>
      <c r="H165" s="32">
        <f t="shared" si="32"/>
        <v>4095937.4117711997</v>
      </c>
      <c r="I165" s="32">
        <f>111.302647059 * F165</f>
        <v>4095937.4117711997</v>
      </c>
      <c r="J165" s="32">
        <v>0</v>
      </c>
      <c r="K165" s="287">
        <f t="shared" si="33"/>
        <v>111.30264705899999</v>
      </c>
    </row>
    <row r="166" spans="1:11" x14ac:dyDescent="0.25">
      <c r="A166" s="190" t="s">
        <v>246</v>
      </c>
      <c r="B166" s="108" t="s">
        <v>18</v>
      </c>
      <c r="C166" s="192" t="s">
        <v>294</v>
      </c>
      <c r="D166" s="285">
        <f t="shared" si="29"/>
        <v>2012</v>
      </c>
      <c r="E166" s="3">
        <v>133600</v>
      </c>
      <c r="F166" s="282">
        <f t="shared" si="31"/>
        <v>133600</v>
      </c>
      <c r="G166" s="32">
        <v>0</v>
      </c>
      <c r="H166" s="32">
        <f t="shared" si="32"/>
        <v>14268291.451656001</v>
      </c>
      <c r="I166" s="32">
        <f>106.79858871 * F166</f>
        <v>14268291.451656001</v>
      </c>
      <c r="J166" s="32">
        <v>0</v>
      </c>
      <c r="K166" s="287">
        <f t="shared" si="33"/>
        <v>106.79858871</v>
      </c>
    </row>
    <row r="167" spans="1:11" x14ac:dyDescent="0.25">
      <c r="A167" s="190" t="s">
        <v>246</v>
      </c>
      <c r="B167" s="108" t="s">
        <v>18</v>
      </c>
      <c r="C167" s="192" t="s">
        <v>295</v>
      </c>
      <c r="D167" s="285">
        <f t="shared" si="29"/>
        <v>2012</v>
      </c>
      <c r="E167" s="3">
        <v>176800</v>
      </c>
      <c r="F167" s="282">
        <f t="shared" si="31"/>
        <v>162400</v>
      </c>
      <c r="G167" s="32">
        <v>14400</v>
      </c>
      <c r="H167" s="32">
        <f t="shared" si="32"/>
        <v>14363912.488370961</v>
      </c>
      <c r="I167" s="32">
        <f>84.7927616279 * F167</f>
        <v>13770344.488370961</v>
      </c>
      <c r="J167" s="32">
        <v>593568</v>
      </c>
      <c r="K167" s="287">
        <f t="shared" si="33"/>
        <v>81.243848916125344</v>
      </c>
    </row>
    <row r="168" spans="1:11" x14ac:dyDescent="0.25">
      <c r="A168" s="190" t="s">
        <v>246</v>
      </c>
      <c r="B168" s="108" t="s">
        <v>18</v>
      </c>
      <c r="C168" s="192" t="s">
        <v>296</v>
      </c>
      <c r="D168" s="285">
        <f t="shared" si="29"/>
        <v>2012</v>
      </c>
      <c r="E168" s="3">
        <v>23200</v>
      </c>
      <c r="F168" s="282">
        <f t="shared" si="31"/>
        <v>22800</v>
      </c>
      <c r="G168" s="32">
        <v>400</v>
      </c>
      <c r="H168" s="32">
        <f t="shared" si="32"/>
        <v>2237858.6046516397</v>
      </c>
      <c r="I168" s="32">
        <f>98.0304651163 * F168</f>
        <v>2235094.6046516397</v>
      </c>
      <c r="J168" s="32">
        <v>2764</v>
      </c>
      <c r="K168" s="287">
        <f t="shared" si="33"/>
        <v>96.459422614294809</v>
      </c>
    </row>
    <row r="169" spans="1:11" x14ac:dyDescent="0.25">
      <c r="A169" s="190" t="s">
        <v>246</v>
      </c>
      <c r="B169" s="108" t="s">
        <v>18</v>
      </c>
      <c r="C169" s="192" t="s">
        <v>297</v>
      </c>
      <c r="D169" s="285">
        <f t="shared" si="29"/>
        <v>2012</v>
      </c>
      <c r="E169" s="3">
        <v>31600</v>
      </c>
      <c r="F169" s="282">
        <f t="shared" si="31"/>
        <v>31600</v>
      </c>
      <c r="G169" s="32">
        <v>0</v>
      </c>
      <c r="H169" s="32">
        <f t="shared" si="32"/>
        <v>2539272.3125</v>
      </c>
      <c r="I169" s="32">
        <f>80.35671875 * F169</f>
        <v>2539272.3125</v>
      </c>
      <c r="J169" s="32">
        <v>0</v>
      </c>
      <c r="K169" s="287">
        <f t="shared" si="33"/>
        <v>80.356718749999999</v>
      </c>
    </row>
    <row r="170" spans="1:11" x14ac:dyDescent="0.25">
      <c r="A170" s="107" t="s">
        <v>139</v>
      </c>
      <c r="B170" s="108" t="s">
        <v>19</v>
      </c>
      <c r="C170" s="187" t="s">
        <v>278</v>
      </c>
      <c r="D170" s="285">
        <f t="shared" si="29"/>
        <v>2006</v>
      </c>
      <c r="E170" s="3">
        <v>322650</v>
      </c>
      <c r="F170" s="282">
        <f t="shared" si="31"/>
        <v>279006.75784882053</v>
      </c>
      <c r="G170" s="32">
        <v>43643.242151179496</v>
      </c>
      <c r="H170" s="32">
        <v>28842324.038899999</v>
      </c>
      <c r="I170" s="32">
        <f t="shared" ref="I170:I171" si="34">+H170-J170</f>
        <v>24236678.472500138</v>
      </c>
      <c r="J170" s="32">
        <v>4605645.5663998602</v>
      </c>
      <c r="K170" s="110">
        <f t="shared" ref="K170:K233" si="35">+H170/E170</f>
        <v>89.391985243762591</v>
      </c>
    </row>
    <row r="171" spans="1:11" x14ac:dyDescent="0.25">
      <c r="A171" s="107" t="s">
        <v>139</v>
      </c>
      <c r="B171" s="108" t="s">
        <v>19</v>
      </c>
      <c r="C171" s="187" t="s">
        <v>279</v>
      </c>
      <c r="D171" s="285">
        <f t="shared" si="29"/>
        <v>2006</v>
      </c>
      <c r="E171" s="3">
        <v>375190</v>
      </c>
      <c r="F171" s="282">
        <f t="shared" si="31"/>
        <v>319534.85633932159</v>
      </c>
      <c r="G171" s="32">
        <v>55655.143660678397</v>
      </c>
      <c r="H171" s="32">
        <v>34796414.428400002</v>
      </c>
      <c r="I171" s="32">
        <f t="shared" si="34"/>
        <v>28859790.839609422</v>
      </c>
      <c r="J171" s="32">
        <v>5936623.5887905797</v>
      </c>
      <c r="K171" s="110">
        <f t="shared" si="35"/>
        <v>92.743448461846</v>
      </c>
    </row>
    <row r="172" spans="1:11" x14ac:dyDescent="0.25">
      <c r="A172" s="107" t="s">
        <v>140</v>
      </c>
      <c r="B172" s="108" t="s">
        <v>20</v>
      </c>
      <c r="C172" s="187" t="s">
        <v>482</v>
      </c>
      <c r="D172" s="285">
        <f t="shared" si="29"/>
        <v>2010</v>
      </c>
      <c r="E172" s="3">
        <v>35692.838070166501</v>
      </c>
      <c r="F172" s="282">
        <f t="shared" si="31"/>
        <v>23130.064170038699</v>
      </c>
      <c r="G172" s="32">
        <v>12562.773900127801</v>
      </c>
      <c r="H172" s="32">
        <v>538455.75694600004</v>
      </c>
      <c r="I172" s="32">
        <f>H172-J172</f>
        <v>338308.00560720504</v>
      </c>
      <c r="J172" s="32">
        <v>200147.751338795</v>
      </c>
      <c r="K172" s="110">
        <f t="shared" si="35"/>
        <v>15.085820743295358</v>
      </c>
    </row>
    <row r="173" spans="1:11" x14ac:dyDescent="0.25">
      <c r="A173" s="107" t="s">
        <v>141</v>
      </c>
      <c r="B173" s="108" t="s">
        <v>21</v>
      </c>
      <c r="C173" s="187" t="s">
        <v>224</v>
      </c>
      <c r="D173" s="285">
        <f t="shared" si="29"/>
        <v>2005</v>
      </c>
      <c r="E173" s="3">
        <v>870594</v>
      </c>
      <c r="F173" s="32" t="e">
        <v>#N/A</v>
      </c>
      <c r="G173" s="32" t="e">
        <v>#N/A</v>
      </c>
      <c r="H173" s="32">
        <v>88038276.3803</v>
      </c>
      <c r="I173" s="32" t="e">
        <v>#N/A</v>
      </c>
      <c r="J173" s="32" t="e">
        <v>#N/A</v>
      </c>
      <c r="K173" s="110">
        <f t="shared" si="35"/>
        <v>101.12437758622274</v>
      </c>
    </row>
    <row r="174" spans="1:11" x14ac:dyDescent="0.25">
      <c r="A174" s="107" t="s">
        <v>141</v>
      </c>
      <c r="B174" s="108" t="s">
        <v>21</v>
      </c>
      <c r="C174" s="187" t="s">
        <v>225</v>
      </c>
      <c r="D174" s="285">
        <f t="shared" si="29"/>
        <v>2005</v>
      </c>
      <c r="E174" s="3">
        <v>98439.1</v>
      </c>
      <c r="F174" s="32" t="e">
        <v>#N/A</v>
      </c>
      <c r="G174" s="32" t="e">
        <v>#N/A</v>
      </c>
      <c r="H174" s="32">
        <v>8681069.0111200009</v>
      </c>
      <c r="I174" s="32" t="e">
        <v>#N/A</v>
      </c>
      <c r="J174" s="32" t="e">
        <v>#N/A</v>
      </c>
      <c r="K174" s="110">
        <f t="shared" si="35"/>
        <v>88.187204181265372</v>
      </c>
    </row>
    <row r="175" spans="1:11" x14ac:dyDescent="0.25">
      <c r="A175" s="107" t="s">
        <v>141</v>
      </c>
      <c r="B175" s="108" t="s">
        <v>21</v>
      </c>
      <c r="C175" s="187" t="s">
        <v>226</v>
      </c>
      <c r="D175" s="285">
        <f t="shared" si="29"/>
        <v>2005</v>
      </c>
      <c r="E175" s="3">
        <v>339106.6</v>
      </c>
      <c r="F175" s="32" t="e">
        <v>#N/A</v>
      </c>
      <c r="G175" s="32" t="e">
        <v>#N/A</v>
      </c>
      <c r="H175" s="32">
        <v>35221142.668899998</v>
      </c>
      <c r="I175" s="32" t="e">
        <v>#N/A</v>
      </c>
      <c r="J175" s="32" t="e">
        <v>#N/A</v>
      </c>
      <c r="K175" s="110">
        <f t="shared" si="35"/>
        <v>103.86451537333689</v>
      </c>
    </row>
    <row r="176" spans="1:11" x14ac:dyDescent="0.25">
      <c r="A176" s="107" t="s">
        <v>141</v>
      </c>
      <c r="B176" s="108" t="s">
        <v>21</v>
      </c>
      <c r="C176" s="187" t="s">
        <v>227</v>
      </c>
      <c r="D176" s="285">
        <f t="shared" si="29"/>
        <v>2005</v>
      </c>
      <c r="E176" s="3">
        <v>606045.19999999995</v>
      </c>
      <c r="F176" s="32" t="e">
        <v>#N/A</v>
      </c>
      <c r="G176" s="32" t="e">
        <v>#N/A</v>
      </c>
      <c r="H176" s="32">
        <v>68964140.673199996</v>
      </c>
      <c r="I176" s="32" t="e">
        <v>#N/A</v>
      </c>
      <c r="J176" s="32" t="e">
        <v>#N/A</v>
      </c>
      <c r="K176" s="110">
        <f t="shared" si="35"/>
        <v>113.79372474726308</v>
      </c>
    </row>
    <row r="177" spans="1:11" x14ac:dyDescent="0.25">
      <c r="A177" s="107" t="s">
        <v>141</v>
      </c>
      <c r="B177" s="108" t="s">
        <v>21</v>
      </c>
      <c r="C177" s="187" t="s">
        <v>228</v>
      </c>
      <c r="D177" s="285">
        <f t="shared" si="29"/>
        <v>2005</v>
      </c>
      <c r="E177" s="3">
        <v>391491.5</v>
      </c>
      <c r="F177" s="32" t="e">
        <v>#N/A</v>
      </c>
      <c r="G177" s="32" t="e">
        <v>#N/A</v>
      </c>
      <c r="H177" s="32">
        <v>41244843.303400002</v>
      </c>
      <c r="I177" s="32" t="e">
        <v>#N/A</v>
      </c>
      <c r="J177" s="32" t="e">
        <v>#N/A</v>
      </c>
      <c r="K177" s="110">
        <f t="shared" si="35"/>
        <v>105.35310039528318</v>
      </c>
    </row>
    <row r="178" spans="1:11" x14ac:dyDescent="0.25">
      <c r="A178" s="107" t="s">
        <v>141</v>
      </c>
      <c r="B178" s="108" t="s">
        <v>21</v>
      </c>
      <c r="C178" s="187" t="s">
        <v>229</v>
      </c>
      <c r="D178" s="285">
        <f t="shared" si="29"/>
        <v>2005</v>
      </c>
      <c r="E178" s="3">
        <v>132562.1</v>
      </c>
      <c r="F178" s="32" t="e">
        <v>#N/A</v>
      </c>
      <c r="G178" s="32" t="e">
        <v>#N/A</v>
      </c>
      <c r="H178" s="32">
        <v>12514492.467399999</v>
      </c>
      <c r="I178" s="32" t="e">
        <v>#N/A</v>
      </c>
      <c r="J178" s="32" t="e">
        <v>#N/A</v>
      </c>
      <c r="K178" s="110">
        <f t="shared" si="35"/>
        <v>94.40475420501032</v>
      </c>
    </row>
    <row r="179" spans="1:11" x14ac:dyDescent="0.25">
      <c r="A179" s="107" t="s">
        <v>141</v>
      </c>
      <c r="B179" s="108" t="s">
        <v>21</v>
      </c>
      <c r="C179" s="187" t="s">
        <v>230</v>
      </c>
      <c r="D179" s="285">
        <f t="shared" si="29"/>
        <v>2005</v>
      </c>
      <c r="E179" s="3">
        <v>384394.9</v>
      </c>
      <c r="F179" s="32" t="e">
        <v>#N/A</v>
      </c>
      <c r="G179" s="32" t="e">
        <v>#N/A</v>
      </c>
      <c r="H179" s="32">
        <v>35250816.028499998</v>
      </c>
      <c r="I179" s="32" t="e">
        <v>#N/A</v>
      </c>
      <c r="J179" s="32" t="e">
        <v>#N/A</v>
      </c>
      <c r="K179" s="110">
        <f t="shared" si="35"/>
        <v>91.704692306011339</v>
      </c>
    </row>
    <row r="180" spans="1:11" x14ac:dyDescent="0.25">
      <c r="A180" s="107" t="s">
        <v>141</v>
      </c>
      <c r="B180" s="108" t="s">
        <v>21</v>
      </c>
      <c r="C180" s="187" t="s">
        <v>231</v>
      </c>
      <c r="D180" s="285">
        <f t="shared" ref="D180:D211" si="36">+VLOOKUP(B180, N$3:O$28, 2, FALSE)</f>
        <v>2005</v>
      </c>
      <c r="E180" s="3">
        <v>145889.4</v>
      </c>
      <c r="F180" s="32" t="e">
        <v>#N/A</v>
      </c>
      <c r="G180" s="32" t="e">
        <v>#N/A</v>
      </c>
      <c r="H180" s="32">
        <v>9575520.9511799999</v>
      </c>
      <c r="I180" s="32" t="e">
        <v>#N/A</v>
      </c>
      <c r="J180" s="32" t="e">
        <v>#N/A</v>
      </c>
      <c r="K180" s="110">
        <f t="shared" si="35"/>
        <v>65.635481064285685</v>
      </c>
    </row>
    <row r="181" spans="1:11" x14ac:dyDescent="0.25">
      <c r="A181" s="107" t="s">
        <v>141</v>
      </c>
      <c r="B181" s="108" t="s">
        <v>21</v>
      </c>
      <c r="C181" s="187" t="s">
        <v>232</v>
      </c>
      <c r="D181" s="285">
        <f t="shared" si="36"/>
        <v>2005</v>
      </c>
      <c r="E181" s="3">
        <v>263097.7</v>
      </c>
      <c r="F181" s="32" t="e">
        <v>#N/A</v>
      </c>
      <c r="G181" s="32" t="e">
        <v>#N/A</v>
      </c>
      <c r="H181" s="32">
        <v>23225545.2874</v>
      </c>
      <c r="I181" s="32" t="e">
        <v>#N/A</v>
      </c>
      <c r="J181" s="32" t="e">
        <v>#N/A</v>
      </c>
      <c r="K181" s="110">
        <f t="shared" si="35"/>
        <v>88.277264633632299</v>
      </c>
    </row>
    <row r="182" spans="1:11" x14ac:dyDescent="0.25">
      <c r="A182" s="107" t="s">
        <v>141</v>
      </c>
      <c r="B182" s="108" t="s">
        <v>21</v>
      </c>
      <c r="C182" s="187" t="s">
        <v>233</v>
      </c>
      <c r="D182" s="285">
        <f t="shared" si="36"/>
        <v>2005</v>
      </c>
      <c r="E182" s="3">
        <v>468150.6</v>
      </c>
      <c r="F182" s="32" t="e">
        <v>#N/A</v>
      </c>
      <c r="G182" s="32" t="e">
        <v>#N/A</v>
      </c>
      <c r="H182" s="32">
        <v>59593852.378799997</v>
      </c>
      <c r="I182" s="32" t="e">
        <v>#N/A</v>
      </c>
      <c r="J182" s="32" t="e">
        <v>#N/A</v>
      </c>
      <c r="K182" s="110">
        <f t="shared" si="35"/>
        <v>127.29632810211073</v>
      </c>
    </row>
    <row r="183" spans="1:11" x14ac:dyDescent="0.25">
      <c r="A183" s="107" t="s">
        <v>141</v>
      </c>
      <c r="B183" s="108" t="s">
        <v>21</v>
      </c>
      <c r="C183" s="187" t="s">
        <v>234</v>
      </c>
      <c r="D183" s="285">
        <f t="shared" si="36"/>
        <v>2005</v>
      </c>
      <c r="E183" s="3">
        <v>256303.3</v>
      </c>
      <c r="F183" s="32" t="e">
        <v>#N/A</v>
      </c>
      <c r="G183" s="32" t="e">
        <v>#N/A</v>
      </c>
      <c r="H183" s="32">
        <v>16906669.9454</v>
      </c>
      <c r="I183" s="32" t="e">
        <v>#N/A</v>
      </c>
      <c r="J183" s="32" t="e">
        <v>#N/A</v>
      </c>
      <c r="K183" s="110">
        <f t="shared" si="35"/>
        <v>65.963528153558698</v>
      </c>
    </row>
    <row r="184" spans="1:11" x14ac:dyDescent="0.25">
      <c r="A184" s="107" t="s">
        <v>141</v>
      </c>
      <c r="B184" s="108" t="s">
        <v>21</v>
      </c>
      <c r="C184" s="187" t="s">
        <v>235</v>
      </c>
      <c r="D184" s="285">
        <f t="shared" si="36"/>
        <v>2005</v>
      </c>
      <c r="E184" s="3">
        <v>583472.1</v>
      </c>
      <c r="F184" s="32" t="e">
        <v>#N/A</v>
      </c>
      <c r="G184" s="32" t="e">
        <v>#N/A</v>
      </c>
      <c r="H184" s="32">
        <v>29667974.734299999</v>
      </c>
      <c r="I184" s="32" t="e">
        <v>#N/A</v>
      </c>
      <c r="J184" s="32" t="e">
        <v>#N/A</v>
      </c>
      <c r="K184" s="110">
        <f t="shared" si="35"/>
        <v>50.847289415038013</v>
      </c>
    </row>
    <row r="185" spans="1:11" x14ac:dyDescent="0.25">
      <c r="A185" s="107" t="s">
        <v>141</v>
      </c>
      <c r="B185" s="108" t="s">
        <v>21</v>
      </c>
      <c r="C185" s="187" t="s">
        <v>253</v>
      </c>
      <c r="D185" s="285">
        <f t="shared" si="36"/>
        <v>2005</v>
      </c>
      <c r="E185" s="3">
        <v>336688.5</v>
      </c>
      <c r="F185" s="32" t="e">
        <v>#N/A</v>
      </c>
      <c r="G185" s="32" t="e">
        <v>#N/A</v>
      </c>
      <c r="H185" s="32">
        <v>55690002.480499998</v>
      </c>
      <c r="I185" s="32" t="e">
        <v>#N/A</v>
      </c>
      <c r="J185" s="32" t="e">
        <v>#N/A</v>
      </c>
      <c r="K185" s="110">
        <f t="shared" si="35"/>
        <v>165.40512218415537</v>
      </c>
    </row>
    <row r="186" spans="1:11" x14ac:dyDescent="0.25">
      <c r="A186" s="107" t="s">
        <v>141</v>
      </c>
      <c r="B186" s="108" t="s">
        <v>21</v>
      </c>
      <c r="C186" s="187" t="s">
        <v>254</v>
      </c>
      <c r="D186" s="285">
        <f t="shared" si="36"/>
        <v>2005</v>
      </c>
      <c r="E186" s="3">
        <v>375401.6</v>
      </c>
      <c r="F186" s="32" t="e">
        <v>#N/A</v>
      </c>
      <c r="G186" s="32" t="e">
        <v>#N/A</v>
      </c>
      <c r="H186" s="32">
        <v>59116926.636500001</v>
      </c>
      <c r="I186" s="32" t="e">
        <v>#N/A</v>
      </c>
      <c r="J186" s="32" t="e">
        <v>#N/A</v>
      </c>
      <c r="K186" s="110">
        <f t="shared" si="35"/>
        <v>157.47649087403997</v>
      </c>
    </row>
    <row r="187" spans="1:11" x14ac:dyDescent="0.25">
      <c r="A187" s="107" t="s">
        <v>141</v>
      </c>
      <c r="B187" s="108" t="s">
        <v>21</v>
      </c>
      <c r="C187" s="187" t="s">
        <v>236</v>
      </c>
      <c r="D187" s="285">
        <f t="shared" si="36"/>
        <v>2005</v>
      </c>
      <c r="E187" s="3">
        <v>397888.6</v>
      </c>
      <c r="F187" s="32" t="e">
        <v>#N/A</v>
      </c>
      <c r="G187" s="32" t="e">
        <v>#N/A</v>
      </c>
      <c r="H187" s="32">
        <v>51803508.760899998</v>
      </c>
      <c r="I187" s="32" t="e">
        <v>#N/A</v>
      </c>
      <c r="J187" s="32" t="e">
        <v>#N/A</v>
      </c>
      <c r="K187" s="110">
        <f t="shared" si="35"/>
        <v>130.19601154921253</v>
      </c>
    </row>
    <row r="188" spans="1:11" x14ac:dyDescent="0.25">
      <c r="A188" s="107" t="s">
        <v>141</v>
      </c>
      <c r="B188" s="108" t="s">
        <v>21</v>
      </c>
      <c r="C188" s="187" t="s">
        <v>237</v>
      </c>
      <c r="D188" s="285">
        <f t="shared" si="36"/>
        <v>2005</v>
      </c>
      <c r="E188" s="3">
        <v>323831.59999999998</v>
      </c>
      <c r="F188" s="32" t="e">
        <v>#N/A</v>
      </c>
      <c r="G188" s="32" t="e">
        <v>#N/A</v>
      </c>
      <c r="H188" s="32">
        <v>46078825.577500001</v>
      </c>
      <c r="I188" s="32" t="e">
        <v>#N/A</v>
      </c>
      <c r="J188" s="32" t="e">
        <v>#N/A</v>
      </c>
      <c r="K188" s="110">
        <f t="shared" si="35"/>
        <v>142.29255445577272</v>
      </c>
    </row>
    <row r="189" spans="1:11" x14ac:dyDescent="0.25">
      <c r="A189" s="107" t="s">
        <v>141</v>
      </c>
      <c r="B189" s="108" t="s">
        <v>21</v>
      </c>
      <c r="C189" s="187" t="s">
        <v>238</v>
      </c>
      <c r="D189" s="285">
        <f t="shared" si="36"/>
        <v>2005</v>
      </c>
      <c r="E189" s="3">
        <v>563262.69999999995</v>
      </c>
      <c r="F189" s="32" t="e">
        <v>#N/A</v>
      </c>
      <c r="G189" s="32" t="e">
        <v>#N/A</v>
      </c>
      <c r="H189" s="32">
        <v>57444738.156599998</v>
      </c>
      <c r="I189" s="32" t="e">
        <v>#N/A</v>
      </c>
      <c r="J189" s="32" t="e">
        <v>#N/A</v>
      </c>
      <c r="K189" s="110">
        <f t="shared" si="35"/>
        <v>101.98569540748926</v>
      </c>
    </row>
    <row r="190" spans="1:11" x14ac:dyDescent="0.25">
      <c r="A190" s="107" t="s">
        <v>141</v>
      </c>
      <c r="B190" s="108" t="s">
        <v>21</v>
      </c>
      <c r="C190" s="187" t="s">
        <v>239</v>
      </c>
      <c r="D190" s="285">
        <f t="shared" si="36"/>
        <v>2005</v>
      </c>
      <c r="E190" s="3">
        <v>1015728.2</v>
      </c>
      <c r="F190" s="32" t="e">
        <v>#N/A</v>
      </c>
      <c r="G190" s="32" t="e">
        <v>#N/A</v>
      </c>
      <c r="H190" s="32">
        <v>101338669.176</v>
      </c>
      <c r="I190" s="32" t="e">
        <v>#N/A</v>
      </c>
      <c r="J190" s="32" t="e">
        <v>#N/A</v>
      </c>
      <c r="K190" s="110">
        <f t="shared" si="35"/>
        <v>99.769474920554543</v>
      </c>
    </row>
    <row r="191" spans="1:11" x14ac:dyDescent="0.25">
      <c r="A191" s="107" t="s">
        <v>141</v>
      </c>
      <c r="B191" s="108" t="s">
        <v>21</v>
      </c>
      <c r="C191" s="187" t="s">
        <v>240</v>
      </c>
      <c r="D191" s="285">
        <f t="shared" si="36"/>
        <v>2005</v>
      </c>
      <c r="E191" s="3">
        <v>371574.3</v>
      </c>
      <c r="F191" s="32" t="e">
        <v>#N/A</v>
      </c>
      <c r="G191" s="32" t="e">
        <v>#N/A</v>
      </c>
      <c r="H191" s="32">
        <v>28042391.355700001</v>
      </c>
      <c r="I191" s="32" t="e">
        <v>#N/A</v>
      </c>
      <c r="J191" s="32" t="e">
        <v>#N/A</v>
      </c>
      <c r="K191" s="110">
        <f t="shared" si="35"/>
        <v>75.469135932436672</v>
      </c>
    </row>
    <row r="192" spans="1:11" x14ac:dyDescent="0.25">
      <c r="A192" s="107" t="s">
        <v>141</v>
      </c>
      <c r="B192" s="108" t="s">
        <v>21</v>
      </c>
      <c r="C192" s="187" t="s">
        <v>241</v>
      </c>
      <c r="D192" s="285">
        <f t="shared" si="36"/>
        <v>2005</v>
      </c>
      <c r="E192" s="3">
        <v>291394.3</v>
      </c>
      <c r="F192" s="32" t="e">
        <v>#N/A</v>
      </c>
      <c r="G192" s="32" t="e">
        <v>#N/A</v>
      </c>
      <c r="H192" s="32">
        <v>21764685.585200001</v>
      </c>
      <c r="I192" s="32" t="e">
        <v>#N/A</v>
      </c>
      <c r="J192" s="32" t="e">
        <v>#N/A</v>
      </c>
      <c r="K192" s="110">
        <f t="shared" si="35"/>
        <v>74.691528232364192</v>
      </c>
    </row>
    <row r="193" spans="1:11" x14ac:dyDescent="0.25">
      <c r="A193" s="107" t="s">
        <v>141</v>
      </c>
      <c r="B193" s="108" t="s">
        <v>21</v>
      </c>
      <c r="C193" s="187" t="s">
        <v>242</v>
      </c>
      <c r="D193" s="285">
        <f t="shared" si="36"/>
        <v>2005</v>
      </c>
      <c r="E193" s="3">
        <v>543884.1</v>
      </c>
      <c r="F193" s="32" t="e">
        <v>#N/A</v>
      </c>
      <c r="G193" s="32" t="e">
        <v>#N/A</v>
      </c>
      <c r="H193" s="32">
        <v>48422290.340099998</v>
      </c>
      <c r="I193" s="32" t="e">
        <v>#N/A</v>
      </c>
      <c r="J193" s="32" t="e">
        <v>#N/A</v>
      </c>
      <c r="K193" s="110">
        <f t="shared" si="35"/>
        <v>89.03053121078554</v>
      </c>
    </row>
    <row r="194" spans="1:11" x14ac:dyDescent="0.25">
      <c r="A194" s="107" t="s">
        <v>248</v>
      </c>
      <c r="B194" s="108" t="s">
        <v>23</v>
      </c>
      <c r="C194" s="187" t="s">
        <v>142</v>
      </c>
      <c r="D194" s="285">
        <f t="shared" si="36"/>
        <v>2010</v>
      </c>
      <c r="E194" s="3">
        <v>268000</v>
      </c>
      <c r="F194" s="282">
        <f t="shared" ref="F194:F257" si="37">+E194-G194</f>
        <v>201711.20142</v>
      </c>
      <c r="G194" s="32">
        <v>66288.798580000002</v>
      </c>
      <c r="H194" s="32">
        <v>36284016.674800001</v>
      </c>
      <c r="I194" s="32">
        <f t="shared" ref="I194:I257" si="38">+H194-J194</f>
        <v>26443633.330800001</v>
      </c>
      <c r="J194" s="32">
        <v>9840383.3440000005</v>
      </c>
      <c r="K194" s="110">
        <f t="shared" si="35"/>
        <v>135.38812192089551</v>
      </c>
    </row>
    <row r="195" spans="1:11" x14ac:dyDescent="0.25">
      <c r="A195" s="107" t="s">
        <v>248</v>
      </c>
      <c r="B195" s="108" t="s">
        <v>23</v>
      </c>
      <c r="C195" s="187" t="s">
        <v>143</v>
      </c>
      <c r="D195" s="285">
        <f t="shared" si="36"/>
        <v>2010</v>
      </c>
      <c r="E195" s="3">
        <v>228800</v>
      </c>
      <c r="F195" s="282">
        <f t="shared" si="37"/>
        <v>196054.93082000001</v>
      </c>
      <c r="G195" s="32">
        <v>32745.069179999999</v>
      </c>
      <c r="H195" s="32">
        <v>29328256.969999999</v>
      </c>
      <c r="I195" s="32">
        <f t="shared" si="38"/>
        <v>24153844.987</v>
      </c>
      <c r="J195" s="32">
        <v>5174411.983</v>
      </c>
      <c r="K195" s="110">
        <f t="shared" si="35"/>
        <v>128.18294130244755</v>
      </c>
    </row>
    <row r="196" spans="1:11" x14ac:dyDescent="0.25">
      <c r="A196" s="107" t="s">
        <v>248</v>
      </c>
      <c r="B196" s="108" t="s">
        <v>23</v>
      </c>
      <c r="C196" s="187" t="s">
        <v>144</v>
      </c>
      <c r="D196" s="285">
        <f t="shared" si="36"/>
        <v>2010</v>
      </c>
      <c r="E196" s="3">
        <v>137200</v>
      </c>
      <c r="F196" s="282">
        <f t="shared" si="37"/>
        <v>107250.24160000001</v>
      </c>
      <c r="G196" s="32">
        <v>29949.758399999999</v>
      </c>
      <c r="H196" s="32">
        <v>18157189.605999999</v>
      </c>
      <c r="I196" s="32">
        <f t="shared" si="38"/>
        <v>13351926.909999998</v>
      </c>
      <c r="J196" s="32">
        <v>4805262.6960000005</v>
      </c>
      <c r="K196" s="110">
        <f t="shared" si="35"/>
        <v>132.34103211370262</v>
      </c>
    </row>
    <row r="197" spans="1:11" x14ac:dyDescent="0.25">
      <c r="A197" s="107" t="s">
        <v>248</v>
      </c>
      <c r="B197" s="108" t="s">
        <v>23</v>
      </c>
      <c r="C197" s="187" t="s">
        <v>145</v>
      </c>
      <c r="D197" s="285">
        <f t="shared" si="36"/>
        <v>2010</v>
      </c>
      <c r="E197" s="3">
        <v>98400</v>
      </c>
      <c r="F197" s="282">
        <f t="shared" si="37"/>
        <v>85621.436419999998</v>
      </c>
      <c r="G197" s="32">
        <v>12778.56358</v>
      </c>
      <c r="H197" s="32">
        <v>14897552.612400001</v>
      </c>
      <c r="I197" s="32">
        <f t="shared" si="38"/>
        <v>12609920.558400001</v>
      </c>
      <c r="J197" s="32">
        <v>2287632.054</v>
      </c>
      <c r="K197" s="110">
        <f t="shared" si="35"/>
        <v>151.39789240243903</v>
      </c>
    </row>
    <row r="198" spans="1:11" x14ac:dyDescent="0.25">
      <c r="A198" s="107" t="s">
        <v>248</v>
      </c>
      <c r="B198" s="108" t="s">
        <v>23</v>
      </c>
      <c r="C198" s="187" t="s">
        <v>146</v>
      </c>
      <c r="D198" s="285">
        <f t="shared" si="36"/>
        <v>2010</v>
      </c>
      <c r="E198" s="3">
        <v>221600</v>
      </c>
      <c r="F198" s="282">
        <f t="shared" si="37"/>
        <v>199636.84383999999</v>
      </c>
      <c r="G198" s="32">
        <v>21963.156159999999</v>
      </c>
      <c r="H198" s="32">
        <v>26961728.3248</v>
      </c>
      <c r="I198" s="32">
        <f t="shared" si="38"/>
        <v>23892079.187799998</v>
      </c>
      <c r="J198" s="32">
        <v>3069649.1370000001</v>
      </c>
      <c r="K198" s="110">
        <f t="shared" si="35"/>
        <v>121.66844911913357</v>
      </c>
    </row>
    <row r="199" spans="1:11" x14ac:dyDescent="0.25">
      <c r="A199" s="107" t="s">
        <v>248</v>
      </c>
      <c r="B199" s="108" t="s">
        <v>23</v>
      </c>
      <c r="C199" s="187" t="s">
        <v>147</v>
      </c>
      <c r="D199" s="285">
        <f t="shared" si="36"/>
        <v>2010</v>
      </c>
      <c r="E199" s="3">
        <v>228800</v>
      </c>
      <c r="F199" s="282">
        <f t="shared" si="37"/>
        <v>189266.31891999999</v>
      </c>
      <c r="G199" s="32">
        <v>39533.681080000002</v>
      </c>
      <c r="H199" s="32">
        <v>24486219.609999999</v>
      </c>
      <c r="I199" s="32">
        <f t="shared" si="38"/>
        <v>19505458.044</v>
      </c>
      <c r="J199" s="32">
        <v>4980761.5659999996</v>
      </c>
      <c r="K199" s="110">
        <f t="shared" si="35"/>
        <v>107.02019060314684</v>
      </c>
    </row>
    <row r="200" spans="1:11" x14ac:dyDescent="0.25">
      <c r="A200" s="107" t="s">
        <v>248</v>
      </c>
      <c r="B200" s="108" t="s">
        <v>23</v>
      </c>
      <c r="C200" s="187" t="s">
        <v>148</v>
      </c>
      <c r="D200" s="285">
        <f t="shared" si="36"/>
        <v>2010</v>
      </c>
      <c r="E200" s="3">
        <v>155200</v>
      </c>
      <c r="F200" s="282">
        <f t="shared" si="37"/>
        <v>134834.16428999999</v>
      </c>
      <c r="G200" s="32">
        <v>20365.835709999999</v>
      </c>
      <c r="H200" s="32">
        <v>19021249.110399999</v>
      </c>
      <c r="I200" s="32">
        <f t="shared" si="38"/>
        <v>16026354.735399999</v>
      </c>
      <c r="J200" s="32">
        <v>2994894.375</v>
      </c>
      <c r="K200" s="110">
        <f t="shared" si="35"/>
        <v>122.55959478350515</v>
      </c>
    </row>
    <row r="201" spans="1:11" x14ac:dyDescent="0.25">
      <c r="A201" s="107" t="s">
        <v>248</v>
      </c>
      <c r="B201" s="108" t="s">
        <v>23</v>
      </c>
      <c r="C201" s="187" t="s">
        <v>149</v>
      </c>
      <c r="D201" s="285">
        <f t="shared" si="36"/>
        <v>2010</v>
      </c>
      <c r="E201" s="3">
        <v>153600</v>
      </c>
      <c r="F201" s="282">
        <f t="shared" si="37"/>
        <v>127643.54272</v>
      </c>
      <c r="G201" s="32">
        <v>25956.457279999999</v>
      </c>
      <c r="H201" s="32">
        <v>18062769.3924</v>
      </c>
      <c r="I201" s="32">
        <f t="shared" si="38"/>
        <v>14288668.7554</v>
      </c>
      <c r="J201" s="32">
        <v>3774100.6370000001</v>
      </c>
      <c r="K201" s="110">
        <f t="shared" si="35"/>
        <v>117.5961548984375</v>
      </c>
    </row>
    <row r="202" spans="1:11" x14ac:dyDescent="0.25">
      <c r="A202" s="107" t="s">
        <v>248</v>
      </c>
      <c r="B202" s="108" t="s">
        <v>23</v>
      </c>
      <c r="C202" s="187" t="s">
        <v>150</v>
      </c>
      <c r="D202" s="285">
        <f t="shared" si="36"/>
        <v>2010</v>
      </c>
      <c r="E202" s="3">
        <v>267600</v>
      </c>
      <c r="F202" s="282">
        <f t="shared" si="37"/>
        <v>215287.75534</v>
      </c>
      <c r="G202" s="32">
        <v>52312.244659999997</v>
      </c>
      <c r="H202" s="32">
        <v>37165460.395599999</v>
      </c>
      <c r="I202" s="32">
        <f t="shared" si="38"/>
        <v>28187340.412599999</v>
      </c>
      <c r="J202" s="32">
        <v>8978119.9829999991</v>
      </c>
      <c r="K202" s="110">
        <f t="shared" si="35"/>
        <v>138.88438114947684</v>
      </c>
    </row>
    <row r="203" spans="1:11" x14ac:dyDescent="0.25">
      <c r="A203" s="107" t="s">
        <v>248</v>
      </c>
      <c r="B203" s="108" t="s">
        <v>23</v>
      </c>
      <c r="C203" s="187" t="s">
        <v>151</v>
      </c>
      <c r="D203" s="285">
        <f t="shared" si="36"/>
        <v>2010</v>
      </c>
      <c r="E203" s="3">
        <v>404000</v>
      </c>
      <c r="F203" s="282">
        <f t="shared" si="37"/>
        <v>312154.07426000002</v>
      </c>
      <c r="G203" s="32">
        <v>91845.925740000006</v>
      </c>
      <c r="H203" s="32">
        <v>55333236.879199997</v>
      </c>
      <c r="I203" s="32">
        <f t="shared" si="38"/>
        <v>40744263.809199996</v>
      </c>
      <c r="J203" s="32">
        <v>14588973.07</v>
      </c>
      <c r="K203" s="110">
        <f t="shared" si="35"/>
        <v>136.96345762178217</v>
      </c>
    </row>
    <row r="204" spans="1:11" x14ac:dyDescent="0.25">
      <c r="A204" s="107" t="s">
        <v>247</v>
      </c>
      <c r="B204" s="108" t="s">
        <v>25</v>
      </c>
      <c r="C204" s="187" t="s">
        <v>25</v>
      </c>
      <c r="D204" s="285">
        <f t="shared" si="36"/>
        <v>2011</v>
      </c>
      <c r="E204" s="111">
        <v>3329596.2340000002</v>
      </c>
      <c r="F204" s="282">
        <f t="shared" si="37"/>
        <v>2939364.2315000002</v>
      </c>
      <c r="G204" s="32">
        <v>390232.0025</v>
      </c>
      <c r="H204" s="32">
        <v>415625952.13099998</v>
      </c>
      <c r="I204" s="32">
        <f>+H204-J204</f>
        <v>346108175.921</v>
      </c>
      <c r="J204" s="32">
        <v>69517776.209999993</v>
      </c>
      <c r="K204" s="110">
        <f t="shared" si="35"/>
        <v>124.82773373145278</v>
      </c>
    </row>
    <row r="205" spans="1:11" x14ac:dyDescent="0.25">
      <c r="A205" s="107" t="s">
        <v>152</v>
      </c>
      <c r="B205" s="108" t="s">
        <v>29</v>
      </c>
      <c r="C205" s="187" t="s">
        <v>153</v>
      </c>
      <c r="D205" s="285">
        <f t="shared" si="36"/>
        <v>2012</v>
      </c>
      <c r="E205" s="3">
        <v>8622</v>
      </c>
      <c r="F205" s="282">
        <f t="shared" si="37"/>
        <v>5510.5109069999999</v>
      </c>
      <c r="G205" s="32">
        <v>3111.4890930000001</v>
      </c>
      <c r="H205" s="32">
        <v>1523743.5370100001</v>
      </c>
      <c r="I205" s="32">
        <f t="shared" si="38"/>
        <v>791640.08441000013</v>
      </c>
      <c r="J205" s="32">
        <v>732103.45259999996</v>
      </c>
      <c r="K205" s="110">
        <f t="shared" si="35"/>
        <v>176.72738773022502</v>
      </c>
    </row>
    <row r="206" spans="1:11" x14ac:dyDescent="0.25">
      <c r="A206" s="107" t="s">
        <v>152</v>
      </c>
      <c r="B206" s="108" t="s">
        <v>29</v>
      </c>
      <c r="C206" s="187" t="s">
        <v>154</v>
      </c>
      <c r="D206" s="285">
        <f t="shared" si="36"/>
        <v>2012</v>
      </c>
      <c r="E206" s="3">
        <v>12646</v>
      </c>
      <c r="F206" s="282">
        <f t="shared" si="37"/>
        <v>9649.7512430000006</v>
      </c>
      <c r="G206" s="32">
        <v>2996.2487569999998</v>
      </c>
      <c r="H206" s="32">
        <v>2459933.9645500001</v>
      </c>
      <c r="I206" s="32">
        <f t="shared" si="38"/>
        <v>1895552.3140500002</v>
      </c>
      <c r="J206" s="32">
        <v>564381.65049999999</v>
      </c>
      <c r="K206" s="110">
        <f t="shared" si="35"/>
        <v>194.52269212003796</v>
      </c>
    </row>
    <row r="207" spans="1:11" x14ac:dyDescent="0.25">
      <c r="A207" s="107" t="s">
        <v>152</v>
      </c>
      <c r="B207" s="108" t="s">
        <v>29</v>
      </c>
      <c r="C207" s="187" t="s">
        <v>155</v>
      </c>
      <c r="D207" s="285">
        <f t="shared" si="36"/>
        <v>2012</v>
      </c>
      <c r="E207" s="3">
        <v>35350</v>
      </c>
      <c r="F207" s="282">
        <f t="shared" si="37"/>
        <v>29703.223496999999</v>
      </c>
      <c r="G207" s="32">
        <v>5646.776503</v>
      </c>
      <c r="H207" s="32">
        <v>7790595.8421</v>
      </c>
      <c r="I207" s="32">
        <f t="shared" si="38"/>
        <v>6316562.1111000003</v>
      </c>
      <c r="J207" s="32">
        <v>1474033.7309999999</v>
      </c>
      <c r="K207" s="110">
        <f t="shared" si="35"/>
        <v>220.38460656577087</v>
      </c>
    </row>
    <row r="208" spans="1:11" x14ac:dyDescent="0.25">
      <c r="A208" s="107" t="s">
        <v>152</v>
      </c>
      <c r="B208" s="108" t="s">
        <v>29</v>
      </c>
      <c r="C208" s="187" t="s">
        <v>156</v>
      </c>
      <c r="D208" s="285">
        <f t="shared" si="36"/>
        <v>2012</v>
      </c>
      <c r="E208" s="3">
        <v>38620</v>
      </c>
      <c r="F208" s="282">
        <f t="shared" si="37"/>
        <v>33664.665518000002</v>
      </c>
      <c r="G208" s="32">
        <v>4955.3344820000002</v>
      </c>
      <c r="H208" s="32">
        <v>8700959.4518100005</v>
      </c>
      <c r="I208" s="32">
        <f t="shared" si="38"/>
        <v>7176258.7778099999</v>
      </c>
      <c r="J208" s="32">
        <v>1524700.6740000001</v>
      </c>
      <c r="K208" s="110">
        <f t="shared" si="35"/>
        <v>225.29672324728122</v>
      </c>
    </row>
    <row r="209" spans="1:11" x14ac:dyDescent="0.25">
      <c r="A209" s="107" t="s">
        <v>152</v>
      </c>
      <c r="B209" s="108" t="s">
        <v>29</v>
      </c>
      <c r="C209" s="187" t="s">
        <v>157</v>
      </c>
      <c r="D209" s="285">
        <f t="shared" si="36"/>
        <v>2012</v>
      </c>
      <c r="E209" s="3">
        <v>98853</v>
      </c>
      <c r="F209" s="282">
        <f t="shared" si="37"/>
        <v>87789.927670000005</v>
      </c>
      <c r="G209" s="32">
        <v>11063.072330000001</v>
      </c>
      <c r="H209" s="32">
        <v>21535369.044199999</v>
      </c>
      <c r="I209" s="32">
        <f t="shared" si="38"/>
        <v>17962878.726199999</v>
      </c>
      <c r="J209" s="32">
        <v>3572490.318</v>
      </c>
      <c r="K209" s="110">
        <f t="shared" si="35"/>
        <v>217.85245813682943</v>
      </c>
    </row>
    <row r="210" spans="1:11" x14ac:dyDescent="0.25">
      <c r="A210" s="107" t="s">
        <v>152</v>
      </c>
      <c r="B210" s="108" t="s">
        <v>29</v>
      </c>
      <c r="C210" s="187" t="s">
        <v>158</v>
      </c>
      <c r="D210" s="285">
        <f t="shared" si="36"/>
        <v>2012</v>
      </c>
      <c r="E210" s="3">
        <v>16437</v>
      </c>
      <c r="F210" s="282">
        <f t="shared" si="37"/>
        <v>13210.270570000001</v>
      </c>
      <c r="G210" s="32">
        <v>3226.7294299999999</v>
      </c>
      <c r="H210" s="32">
        <v>3120826.4486099998</v>
      </c>
      <c r="I210" s="32">
        <f t="shared" si="38"/>
        <v>2272524.7244099998</v>
      </c>
      <c r="J210" s="32">
        <v>848301.72420000006</v>
      </c>
      <c r="K210" s="110">
        <f t="shared" si="35"/>
        <v>189.865939563789</v>
      </c>
    </row>
    <row r="211" spans="1:11" x14ac:dyDescent="0.25">
      <c r="A211" s="107" t="s">
        <v>152</v>
      </c>
      <c r="B211" s="108" t="s">
        <v>29</v>
      </c>
      <c r="C211" s="187" t="s">
        <v>159</v>
      </c>
      <c r="D211" s="285">
        <f t="shared" si="36"/>
        <v>2012</v>
      </c>
      <c r="E211" s="3">
        <v>20182</v>
      </c>
      <c r="F211" s="282">
        <f t="shared" si="37"/>
        <v>16494.309223</v>
      </c>
      <c r="G211" s="32">
        <v>3687.6907769999998</v>
      </c>
      <c r="H211" s="32">
        <v>3976705.55161</v>
      </c>
      <c r="I211" s="32">
        <f t="shared" si="38"/>
        <v>3004179.1326099997</v>
      </c>
      <c r="J211" s="32">
        <v>972526.41899999999</v>
      </c>
      <c r="K211" s="110">
        <f t="shared" si="35"/>
        <v>197.04219361857099</v>
      </c>
    </row>
    <row r="212" spans="1:11" x14ac:dyDescent="0.25">
      <c r="A212" s="107" t="s">
        <v>152</v>
      </c>
      <c r="B212" s="108" t="s">
        <v>29</v>
      </c>
      <c r="C212" s="187" t="s">
        <v>160</v>
      </c>
      <c r="D212" s="285">
        <f t="shared" ref="D212:D243" si="39">+VLOOKUP(B212, N$3:O$28, 2, FALSE)</f>
        <v>2012</v>
      </c>
      <c r="E212" s="3">
        <v>15843</v>
      </c>
      <c r="F212" s="282">
        <f t="shared" si="37"/>
        <v>10772.425180999999</v>
      </c>
      <c r="G212" s="32">
        <v>5070.5748190000004</v>
      </c>
      <c r="H212" s="32">
        <v>3470918.5402199998</v>
      </c>
      <c r="I212" s="32">
        <f t="shared" si="38"/>
        <v>1964613.6792199998</v>
      </c>
      <c r="J212" s="32">
        <v>1506304.861</v>
      </c>
      <c r="K212" s="110">
        <f t="shared" si="35"/>
        <v>219.08215238401817</v>
      </c>
    </row>
    <row r="213" spans="1:11" x14ac:dyDescent="0.25">
      <c r="A213" s="107" t="s">
        <v>152</v>
      </c>
      <c r="B213" s="108" t="s">
        <v>29</v>
      </c>
      <c r="C213" s="187" t="s">
        <v>161</v>
      </c>
      <c r="D213" s="285">
        <f t="shared" si="39"/>
        <v>2012</v>
      </c>
      <c r="E213" s="3">
        <v>10875</v>
      </c>
      <c r="F213" s="282">
        <f t="shared" si="37"/>
        <v>6726.3478750000004</v>
      </c>
      <c r="G213" s="32">
        <v>4148.6521249999996</v>
      </c>
      <c r="H213" s="32">
        <v>2004855.7710800001</v>
      </c>
      <c r="I213" s="32">
        <f t="shared" si="38"/>
        <v>847486.56608000002</v>
      </c>
      <c r="J213" s="32">
        <v>1157369.2050000001</v>
      </c>
      <c r="K213" s="110">
        <f t="shared" si="35"/>
        <v>184.35455366252876</v>
      </c>
    </row>
    <row r="214" spans="1:11" x14ac:dyDescent="0.25">
      <c r="A214" s="107" t="s">
        <v>152</v>
      </c>
      <c r="B214" s="108" t="s">
        <v>29</v>
      </c>
      <c r="C214" s="187" t="s">
        <v>162</v>
      </c>
      <c r="D214" s="285">
        <f t="shared" si="39"/>
        <v>2012</v>
      </c>
      <c r="E214" s="3">
        <v>4710</v>
      </c>
      <c r="F214" s="282">
        <f t="shared" si="37"/>
        <v>3327.1159580000003</v>
      </c>
      <c r="G214" s="32">
        <v>1382.8840419999999</v>
      </c>
      <c r="H214" s="32">
        <v>551398.11442</v>
      </c>
      <c r="I214" s="32">
        <f t="shared" si="38"/>
        <v>290006.93631999998</v>
      </c>
      <c r="J214" s="32">
        <v>261391.17810000002</v>
      </c>
      <c r="K214" s="110">
        <f t="shared" si="35"/>
        <v>117.06966335881104</v>
      </c>
    </row>
    <row r="215" spans="1:11" x14ac:dyDescent="0.25">
      <c r="A215" s="107" t="s">
        <v>152</v>
      </c>
      <c r="B215" s="108" t="s">
        <v>29</v>
      </c>
      <c r="C215" s="187" t="s">
        <v>163</v>
      </c>
      <c r="D215" s="285">
        <f t="shared" si="39"/>
        <v>2012</v>
      </c>
      <c r="E215" s="3">
        <v>76744</v>
      </c>
      <c r="F215" s="282">
        <f t="shared" si="37"/>
        <v>67409.532720000003</v>
      </c>
      <c r="G215" s="32">
        <v>9334.4672800000008</v>
      </c>
      <c r="H215" s="32">
        <v>12618053.046</v>
      </c>
      <c r="I215" s="32">
        <f t="shared" si="38"/>
        <v>10026655.024</v>
      </c>
      <c r="J215" s="32">
        <v>2591398.0219999999</v>
      </c>
      <c r="K215" s="110">
        <f t="shared" si="35"/>
        <v>164.41745342958407</v>
      </c>
    </row>
    <row r="216" spans="1:11" x14ac:dyDescent="0.25">
      <c r="A216" s="107" t="s">
        <v>152</v>
      </c>
      <c r="B216" s="108" t="s">
        <v>29</v>
      </c>
      <c r="C216" s="187" t="s">
        <v>164</v>
      </c>
      <c r="D216" s="285">
        <f t="shared" si="39"/>
        <v>2012</v>
      </c>
      <c r="E216" s="3">
        <v>34599</v>
      </c>
      <c r="F216" s="282">
        <f t="shared" si="37"/>
        <v>29067.463834000002</v>
      </c>
      <c r="G216" s="32">
        <v>5531.5361659999999</v>
      </c>
      <c r="H216" s="32">
        <v>6466341.6805400001</v>
      </c>
      <c r="I216" s="32">
        <f t="shared" si="38"/>
        <v>4981286.8955399999</v>
      </c>
      <c r="J216" s="32">
        <v>1485054.7849999999</v>
      </c>
      <c r="K216" s="110">
        <f t="shared" si="35"/>
        <v>186.89388943437672</v>
      </c>
    </row>
    <row r="217" spans="1:11" x14ac:dyDescent="0.25">
      <c r="A217" s="107" t="s">
        <v>165</v>
      </c>
      <c r="B217" s="108" t="s">
        <v>30</v>
      </c>
      <c r="C217" s="187" t="s">
        <v>166</v>
      </c>
      <c r="D217" s="285">
        <f t="shared" si="39"/>
        <v>2010</v>
      </c>
      <c r="E217" s="3">
        <v>29921.101600000002</v>
      </c>
      <c r="F217" s="282">
        <f t="shared" si="37"/>
        <v>24513.723970538111</v>
      </c>
      <c r="G217" s="32">
        <v>5407.3776294618901</v>
      </c>
      <c r="H217" s="282">
        <v>3894057.7724899999</v>
      </c>
      <c r="I217" s="32">
        <f t="shared" si="38"/>
        <v>3385986.508777502</v>
      </c>
      <c r="J217" s="32">
        <v>508071.26371249801</v>
      </c>
      <c r="K217" s="110">
        <f t="shared" si="35"/>
        <v>130.14419804951297</v>
      </c>
    </row>
    <row r="218" spans="1:11" x14ac:dyDescent="0.25">
      <c r="A218" s="107" t="s">
        <v>165</v>
      </c>
      <c r="B218" s="108" t="s">
        <v>30</v>
      </c>
      <c r="C218" s="187" t="s">
        <v>167</v>
      </c>
      <c r="D218" s="285">
        <f t="shared" si="39"/>
        <v>2010</v>
      </c>
      <c r="E218" s="3">
        <v>317686.39500000002</v>
      </c>
      <c r="F218" s="282">
        <f t="shared" si="37"/>
        <v>288847.04764286993</v>
      </c>
      <c r="G218" s="32">
        <v>28839.3473571301</v>
      </c>
      <c r="H218" s="282">
        <v>34241654.506499998</v>
      </c>
      <c r="I218" s="32">
        <f t="shared" si="38"/>
        <v>31763298.631680679</v>
      </c>
      <c r="J218" s="32">
        <v>2478355.8748193202</v>
      </c>
      <c r="K218" s="110">
        <f t="shared" si="35"/>
        <v>107.78445361659254</v>
      </c>
    </row>
    <row r="219" spans="1:11" x14ac:dyDescent="0.25">
      <c r="A219" s="107" t="s">
        <v>165</v>
      </c>
      <c r="B219" s="108" t="s">
        <v>30</v>
      </c>
      <c r="C219" s="187" t="s">
        <v>168</v>
      </c>
      <c r="D219" s="285">
        <f t="shared" si="39"/>
        <v>2010</v>
      </c>
      <c r="E219" s="3">
        <v>1722040.898</v>
      </c>
      <c r="F219" s="282">
        <f t="shared" si="37"/>
        <v>1282693.140736925</v>
      </c>
      <c r="G219" s="32">
        <v>439347.75726307498</v>
      </c>
      <c r="H219" s="282">
        <v>111367419.75300001</v>
      </c>
      <c r="I219" s="32">
        <f t="shared" si="38"/>
        <v>96095525.343621314</v>
      </c>
      <c r="J219" s="32">
        <v>15271894.4093787</v>
      </c>
      <c r="K219" s="110">
        <f t="shared" si="35"/>
        <v>64.671762373555424</v>
      </c>
    </row>
    <row r="220" spans="1:11" x14ac:dyDescent="0.25">
      <c r="A220" s="107" t="s">
        <v>165</v>
      </c>
      <c r="B220" s="108" t="s">
        <v>30</v>
      </c>
      <c r="C220" s="187" t="s">
        <v>169</v>
      </c>
      <c r="D220" s="285">
        <f t="shared" si="39"/>
        <v>2010</v>
      </c>
      <c r="E220" s="3">
        <v>998152.54240000003</v>
      </c>
      <c r="F220" s="282">
        <f t="shared" si="37"/>
        <v>751507.10638927505</v>
      </c>
      <c r="G220" s="32">
        <v>246645.43601072501</v>
      </c>
      <c r="H220" s="282">
        <v>72011449.942300007</v>
      </c>
      <c r="I220" s="32">
        <f t="shared" si="38"/>
        <v>61463592.452983908</v>
      </c>
      <c r="J220" s="32">
        <v>10547857.4893161</v>
      </c>
      <c r="K220" s="110">
        <f t="shared" si="35"/>
        <v>72.144734279945467</v>
      </c>
    </row>
    <row r="221" spans="1:11" x14ac:dyDescent="0.25">
      <c r="A221" s="107" t="s">
        <v>165</v>
      </c>
      <c r="B221" s="108" t="s">
        <v>30</v>
      </c>
      <c r="C221" s="187" t="s">
        <v>170</v>
      </c>
      <c r="D221" s="285">
        <f t="shared" si="39"/>
        <v>2010</v>
      </c>
      <c r="E221" s="3">
        <v>273165.2378</v>
      </c>
      <c r="F221" s="282">
        <f t="shared" si="37"/>
        <v>238918.51281340799</v>
      </c>
      <c r="G221" s="32">
        <v>34246.724986592002</v>
      </c>
      <c r="H221" s="282">
        <v>27401176.973900001</v>
      </c>
      <c r="I221" s="32">
        <f t="shared" si="38"/>
        <v>25260194.579753093</v>
      </c>
      <c r="J221" s="32">
        <v>2140982.3941469099</v>
      </c>
      <c r="K221" s="110">
        <f t="shared" si="35"/>
        <v>100.30989738878115</v>
      </c>
    </row>
    <row r="222" spans="1:11" x14ac:dyDescent="0.25">
      <c r="A222" s="107" t="s">
        <v>165</v>
      </c>
      <c r="B222" s="108" t="s">
        <v>30</v>
      </c>
      <c r="C222" s="187" t="s">
        <v>171</v>
      </c>
      <c r="D222" s="285">
        <f t="shared" si="39"/>
        <v>2010</v>
      </c>
      <c r="E222" s="3">
        <v>767339.55779999995</v>
      </c>
      <c r="F222" s="282">
        <f t="shared" si="37"/>
        <v>537757.17895814998</v>
      </c>
      <c r="G222" s="32">
        <v>229582.37884185</v>
      </c>
      <c r="H222" s="282">
        <v>56251992.897600003</v>
      </c>
      <c r="I222" s="32">
        <f t="shared" si="38"/>
        <v>46060294.874515504</v>
      </c>
      <c r="J222" s="32">
        <v>10191698.023084501</v>
      </c>
      <c r="K222" s="110">
        <f t="shared" si="35"/>
        <v>73.307823538874004</v>
      </c>
    </row>
    <row r="223" spans="1:11" x14ac:dyDescent="0.25">
      <c r="A223" s="107" t="s">
        <v>165</v>
      </c>
      <c r="B223" s="108" t="s">
        <v>30</v>
      </c>
      <c r="C223" s="187" t="s">
        <v>172</v>
      </c>
      <c r="D223" s="285">
        <f t="shared" si="39"/>
        <v>2010</v>
      </c>
      <c r="E223" s="3">
        <v>141584.48980000001</v>
      </c>
      <c r="F223" s="282">
        <f t="shared" si="37"/>
        <v>124461.127306704</v>
      </c>
      <c r="G223" s="32">
        <v>17123.362493296001</v>
      </c>
      <c r="H223" s="282">
        <v>14125729.1448</v>
      </c>
      <c r="I223" s="32">
        <f t="shared" si="38"/>
        <v>12440925.809319301</v>
      </c>
      <c r="J223" s="32">
        <v>1684803.3354807</v>
      </c>
      <c r="K223" s="110">
        <f t="shared" si="35"/>
        <v>99.76890240416715</v>
      </c>
    </row>
    <row r="224" spans="1:11" x14ac:dyDescent="0.25">
      <c r="A224" s="107" t="s">
        <v>165</v>
      </c>
      <c r="B224" s="108" t="s">
        <v>30</v>
      </c>
      <c r="C224" s="187" t="s">
        <v>173</v>
      </c>
      <c r="D224" s="285">
        <f t="shared" si="39"/>
        <v>2010</v>
      </c>
      <c r="E224" s="3">
        <v>815731.00040000002</v>
      </c>
      <c r="F224" s="282">
        <f t="shared" si="37"/>
        <v>501422.98780917801</v>
      </c>
      <c r="G224" s="32">
        <v>314308.01259082201</v>
      </c>
      <c r="H224" s="282">
        <v>57718948.898100004</v>
      </c>
      <c r="I224" s="32">
        <f t="shared" si="38"/>
        <v>43324563.6300807</v>
      </c>
      <c r="J224" s="32">
        <v>14394385.2680193</v>
      </c>
      <c r="K224" s="110">
        <f t="shared" si="35"/>
        <v>70.757331607842616</v>
      </c>
    </row>
    <row r="225" spans="1:11" x14ac:dyDescent="0.25">
      <c r="A225" s="107" t="s">
        <v>165</v>
      </c>
      <c r="B225" s="108" t="s">
        <v>30</v>
      </c>
      <c r="C225" s="187" t="s">
        <v>174</v>
      </c>
      <c r="D225" s="285">
        <f t="shared" si="39"/>
        <v>2010</v>
      </c>
      <c r="E225" s="3">
        <v>484314.66499999998</v>
      </c>
      <c r="F225" s="282">
        <f t="shared" si="37"/>
        <v>290640.75793091394</v>
      </c>
      <c r="G225" s="32">
        <v>193673.90706908601</v>
      </c>
      <c r="H225" s="282">
        <v>34351878.8398</v>
      </c>
      <c r="I225" s="32">
        <f t="shared" si="38"/>
        <v>26751196.8439022</v>
      </c>
      <c r="J225" s="32">
        <v>7600681.9958977997</v>
      </c>
      <c r="K225" s="110">
        <f t="shared" si="35"/>
        <v>70.928843007056173</v>
      </c>
    </row>
    <row r="226" spans="1:11" x14ac:dyDescent="0.25">
      <c r="A226" s="107" t="s">
        <v>165</v>
      </c>
      <c r="B226" s="108" t="s">
        <v>30</v>
      </c>
      <c r="C226" s="187" t="s">
        <v>175</v>
      </c>
      <c r="D226" s="285">
        <f t="shared" si="39"/>
        <v>2010</v>
      </c>
      <c r="E226" s="3">
        <v>403668.4178</v>
      </c>
      <c r="F226" s="282">
        <f t="shared" si="37"/>
        <v>249708.918671388</v>
      </c>
      <c r="G226" s="32">
        <v>153959.49912861199</v>
      </c>
      <c r="H226" s="282">
        <v>30168654.2425</v>
      </c>
      <c r="I226" s="32">
        <f t="shared" si="38"/>
        <v>24210959.49026176</v>
      </c>
      <c r="J226" s="32">
        <v>5957694.7522382401</v>
      </c>
      <c r="K226" s="110">
        <f t="shared" si="35"/>
        <v>74.736226348644507</v>
      </c>
    </row>
    <row r="227" spans="1:11" x14ac:dyDescent="0.25">
      <c r="A227" s="107" t="s">
        <v>165</v>
      </c>
      <c r="B227" s="108" t="s">
        <v>30</v>
      </c>
      <c r="C227" s="187" t="s">
        <v>176</v>
      </c>
      <c r="D227" s="285">
        <f t="shared" si="39"/>
        <v>2010</v>
      </c>
      <c r="E227" s="3">
        <v>257821.9118</v>
      </c>
      <c r="F227" s="282">
        <f t="shared" si="37"/>
        <v>136326.78022296701</v>
      </c>
      <c r="G227" s="32">
        <v>121495.131577033</v>
      </c>
      <c r="H227" s="282">
        <v>17912319.1877</v>
      </c>
      <c r="I227" s="32">
        <f t="shared" si="38"/>
        <v>12688279.798956491</v>
      </c>
      <c r="J227" s="32">
        <v>5224039.3887435095</v>
      </c>
      <c r="K227" s="110">
        <f t="shared" si="35"/>
        <v>69.475550245687074</v>
      </c>
    </row>
    <row r="228" spans="1:11" x14ac:dyDescent="0.25">
      <c r="A228" s="107" t="s">
        <v>165</v>
      </c>
      <c r="B228" s="108" t="s">
        <v>30</v>
      </c>
      <c r="C228" s="187" t="s">
        <v>177</v>
      </c>
      <c r="D228" s="285">
        <f t="shared" si="39"/>
        <v>2010</v>
      </c>
      <c r="E228" s="3">
        <v>450588.21179999999</v>
      </c>
      <c r="F228" s="282">
        <f t="shared" si="37"/>
        <v>227193.829543681</v>
      </c>
      <c r="G228" s="32">
        <v>223394.38225631899</v>
      </c>
      <c r="H228" s="282">
        <v>31227796.896899998</v>
      </c>
      <c r="I228" s="32">
        <f t="shared" si="38"/>
        <v>22460811.418993328</v>
      </c>
      <c r="J228" s="32">
        <v>8766985.4779066704</v>
      </c>
      <c r="K228" s="110">
        <f t="shared" si="35"/>
        <v>69.304513698110014</v>
      </c>
    </row>
    <row r="229" spans="1:11" x14ac:dyDescent="0.25">
      <c r="A229" s="107" t="s">
        <v>165</v>
      </c>
      <c r="B229" s="108" t="s">
        <v>30</v>
      </c>
      <c r="C229" s="187" t="s">
        <v>178</v>
      </c>
      <c r="D229" s="285">
        <f t="shared" si="39"/>
        <v>2010</v>
      </c>
      <c r="E229" s="3">
        <v>431772.93699999998</v>
      </c>
      <c r="F229" s="282">
        <f t="shared" si="37"/>
        <v>239951.74357775197</v>
      </c>
      <c r="G229" s="32">
        <v>191821.193422248</v>
      </c>
      <c r="H229" s="282">
        <v>27750664.7689</v>
      </c>
      <c r="I229" s="32">
        <f t="shared" si="38"/>
        <v>19601259.130297881</v>
      </c>
      <c r="J229" s="32">
        <v>8149405.6386021199</v>
      </c>
      <c r="K229" s="110">
        <f t="shared" si="35"/>
        <v>64.271431557786585</v>
      </c>
    </row>
    <row r="230" spans="1:11" x14ac:dyDescent="0.25">
      <c r="A230" s="107" t="s">
        <v>165</v>
      </c>
      <c r="B230" s="108" t="s">
        <v>30</v>
      </c>
      <c r="C230" s="187" t="s">
        <v>179</v>
      </c>
      <c r="D230" s="285">
        <f t="shared" si="39"/>
        <v>2010</v>
      </c>
      <c r="E230" s="3">
        <v>449221.68819999998</v>
      </c>
      <c r="F230" s="282">
        <f t="shared" si="37"/>
        <v>303363.20462817798</v>
      </c>
      <c r="G230" s="32">
        <v>145858.483571822</v>
      </c>
      <c r="H230" s="282">
        <v>29059689.330899999</v>
      </c>
      <c r="I230" s="32">
        <f t="shared" si="38"/>
        <v>24034612.3707156</v>
      </c>
      <c r="J230" s="32">
        <v>5025076.9601844</v>
      </c>
      <c r="K230" s="110">
        <f t="shared" si="35"/>
        <v>64.688972269660781</v>
      </c>
    </row>
    <row r="231" spans="1:11" x14ac:dyDescent="0.25">
      <c r="A231" s="107" t="s">
        <v>165</v>
      </c>
      <c r="B231" s="108" t="s">
        <v>30</v>
      </c>
      <c r="C231" s="187" t="s">
        <v>256</v>
      </c>
      <c r="D231" s="285">
        <f t="shared" si="39"/>
        <v>2010</v>
      </c>
      <c r="E231" s="3">
        <v>1647712.3848000001</v>
      </c>
      <c r="F231" s="282">
        <f t="shared" si="37"/>
        <v>914634.13254798809</v>
      </c>
      <c r="G231" s="32">
        <v>733078.25225201203</v>
      </c>
      <c r="H231" s="32">
        <v>92100940.53580001</v>
      </c>
      <c r="I231" s="32">
        <f t="shared" si="38"/>
        <v>65285401.743086711</v>
      </c>
      <c r="J231" s="32">
        <v>26815538.792713299</v>
      </c>
      <c r="K231" s="110">
        <f t="shared" si="35"/>
        <v>55.896248268461761</v>
      </c>
    </row>
    <row r="232" spans="1:11" x14ac:dyDescent="0.25">
      <c r="A232" s="107" t="s">
        <v>165</v>
      </c>
      <c r="B232" s="108" t="s">
        <v>30</v>
      </c>
      <c r="C232" s="187" t="s">
        <v>180</v>
      </c>
      <c r="D232" s="285">
        <f t="shared" si="39"/>
        <v>2010</v>
      </c>
      <c r="E232" s="3">
        <v>1159277.997</v>
      </c>
      <c r="F232" s="282">
        <f t="shared" si="37"/>
        <v>538153.23350493796</v>
      </c>
      <c r="G232" s="32">
        <v>621124.76349506201</v>
      </c>
      <c r="H232" s="282">
        <v>42902242.044699997</v>
      </c>
      <c r="I232" s="32">
        <f t="shared" si="38"/>
        <v>28729436.879279599</v>
      </c>
      <c r="J232" s="32">
        <v>14172805.1654204</v>
      </c>
      <c r="K232" s="110">
        <f t="shared" si="35"/>
        <v>37.007725632439481</v>
      </c>
    </row>
    <row r="233" spans="1:11" x14ac:dyDescent="0.25">
      <c r="A233" s="107" t="s">
        <v>165</v>
      </c>
      <c r="B233" s="108" t="s">
        <v>30</v>
      </c>
      <c r="C233" s="187" t="s">
        <v>181</v>
      </c>
      <c r="D233" s="285">
        <f t="shared" si="39"/>
        <v>2010</v>
      </c>
      <c r="E233" s="3">
        <v>749886.66339999996</v>
      </c>
      <c r="F233" s="282">
        <f t="shared" si="37"/>
        <v>352715.78159444698</v>
      </c>
      <c r="G233" s="32">
        <v>397170.88180555298</v>
      </c>
      <c r="H233" s="282">
        <v>22017320.016399998</v>
      </c>
      <c r="I233" s="32">
        <f t="shared" si="38"/>
        <v>14745243.891924148</v>
      </c>
      <c r="J233" s="32">
        <v>7272076.1244758498</v>
      </c>
      <c r="K233" s="110">
        <f t="shared" si="35"/>
        <v>29.360863569133318</v>
      </c>
    </row>
    <row r="234" spans="1:11" x14ac:dyDescent="0.25">
      <c r="A234" s="107" t="s">
        <v>165</v>
      </c>
      <c r="B234" s="108" t="s">
        <v>30</v>
      </c>
      <c r="C234" s="187" t="s">
        <v>182</v>
      </c>
      <c r="D234" s="285">
        <f t="shared" si="39"/>
        <v>2010</v>
      </c>
      <c r="E234" s="3">
        <v>1051836.8859999999</v>
      </c>
      <c r="F234" s="282">
        <f t="shared" si="37"/>
        <v>210193.29626144096</v>
      </c>
      <c r="G234" s="32">
        <v>841643.58973855898</v>
      </c>
      <c r="H234" s="282">
        <v>14809632.0361</v>
      </c>
      <c r="I234" s="32">
        <f t="shared" si="38"/>
        <v>4911661.692684181</v>
      </c>
      <c r="J234" s="32">
        <v>9897970.3434158191</v>
      </c>
      <c r="K234" s="110">
        <f t="shared" ref="K234:K259" si="40">+H234/E234</f>
        <v>14.079780081129424</v>
      </c>
    </row>
    <row r="235" spans="1:11" x14ac:dyDescent="0.25">
      <c r="A235" s="107" t="s">
        <v>249</v>
      </c>
      <c r="B235" s="108" t="s">
        <v>31</v>
      </c>
      <c r="C235" s="187" t="s">
        <v>183</v>
      </c>
      <c r="D235" s="285">
        <f t="shared" si="39"/>
        <v>2012</v>
      </c>
      <c r="E235" s="3">
        <v>387501</v>
      </c>
      <c r="F235" s="282">
        <f t="shared" si="37"/>
        <v>379589.20752811845</v>
      </c>
      <c r="G235" s="32">
        <v>7911.7924718815702</v>
      </c>
      <c r="H235" s="32">
        <v>64538281.720899999</v>
      </c>
      <c r="I235" s="32">
        <f t="shared" si="38"/>
        <v>62669166.543548435</v>
      </c>
      <c r="J235" s="32">
        <v>1869115.1773515607</v>
      </c>
      <c r="K235" s="110">
        <f t="shared" si="40"/>
        <v>166.54997463464611</v>
      </c>
    </row>
    <row r="236" spans="1:11" x14ac:dyDescent="0.25">
      <c r="A236" s="107" t="s">
        <v>249</v>
      </c>
      <c r="B236" s="108" t="s">
        <v>31</v>
      </c>
      <c r="C236" s="187" t="s">
        <v>184</v>
      </c>
      <c r="D236" s="285">
        <f t="shared" si="39"/>
        <v>2012</v>
      </c>
      <c r="E236" s="3">
        <v>817389</v>
      </c>
      <c r="F236" s="282">
        <f t="shared" si="37"/>
        <v>779446.81928046502</v>
      </c>
      <c r="G236" s="32">
        <v>37942.180719534976</v>
      </c>
      <c r="H236" s="32">
        <v>136588969.428</v>
      </c>
      <c r="I236" s="32">
        <f t="shared" si="38"/>
        <v>129460794.59094758</v>
      </c>
      <c r="J236" s="32">
        <v>7128174.837052417</v>
      </c>
      <c r="K236" s="110">
        <f t="shared" si="40"/>
        <v>167.10399751892919</v>
      </c>
    </row>
    <row r="237" spans="1:11" x14ac:dyDescent="0.25">
      <c r="A237" s="107" t="s">
        <v>249</v>
      </c>
      <c r="B237" s="108" t="s">
        <v>31</v>
      </c>
      <c r="C237" s="187" t="s">
        <v>185</v>
      </c>
      <c r="D237" s="285">
        <f t="shared" si="39"/>
        <v>2012</v>
      </c>
      <c r="E237" s="3">
        <v>434873</v>
      </c>
      <c r="F237" s="282">
        <f t="shared" si="37"/>
        <v>405386.37807204045</v>
      </c>
      <c r="G237" s="32">
        <v>29486.621927959564</v>
      </c>
      <c r="H237" s="32">
        <v>83003555.649900004</v>
      </c>
      <c r="I237" s="32">
        <f t="shared" si="38"/>
        <v>76213525.329496711</v>
      </c>
      <c r="J237" s="32">
        <v>6790030.320403289</v>
      </c>
      <c r="K237" s="110">
        <f t="shared" si="40"/>
        <v>190.8684964343613</v>
      </c>
    </row>
    <row r="238" spans="1:11" x14ac:dyDescent="0.25">
      <c r="A238" s="107" t="s">
        <v>249</v>
      </c>
      <c r="B238" s="108" t="s">
        <v>31</v>
      </c>
      <c r="C238" s="187" t="s">
        <v>186</v>
      </c>
      <c r="D238" s="285">
        <f t="shared" si="39"/>
        <v>2012</v>
      </c>
      <c r="E238" s="3">
        <v>392960</v>
      </c>
      <c r="F238" s="282">
        <f t="shared" si="37"/>
        <v>386295.51569100021</v>
      </c>
      <c r="G238" s="32">
        <v>6664.4843089998112</v>
      </c>
      <c r="H238" s="32">
        <v>67726651.333499998</v>
      </c>
      <c r="I238" s="32">
        <f t="shared" si="38"/>
        <v>66281479.707640775</v>
      </c>
      <c r="J238" s="32">
        <v>1445171.62585922</v>
      </c>
      <c r="K238" s="110">
        <f t="shared" si="40"/>
        <v>172.34998812474552</v>
      </c>
    </row>
    <row r="239" spans="1:11" x14ac:dyDescent="0.25">
      <c r="A239" s="107" t="s">
        <v>249</v>
      </c>
      <c r="B239" s="108" t="s">
        <v>31</v>
      </c>
      <c r="C239" s="187" t="s">
        <v>187</v>
      </c>
      <c r="D239" s="285">
        <f t="shared" si="39"/>
        <v>2012</v>
      </c>
      <c r="E239" s="3">
        <v>579370</v>
      </c>
      <c r="F239" s="282">
        <f t="shared" si="37"/>
        <v>549026.27907041111</v>
      </c>
      <c r="G239" s="32">
        <v>30343.720929588919</v>
      </c>
      <c r="H239" s="32">
        <v>97521150.681600004</v>
      </c>
      <c r="I239" s="32">
        <f t="shared" si="38"/>
        <v>91386111.365108922</v>
      </c>
      <c r="J239" s="32">
        <v>6135039.3164910758</v>
      </c>
      <c r="K239" s="110">
        <f t="shared" si="40"/>
        <v>168.32274829832406</v>
      </c>
    </row>
    <row r="240" spans="1:11" x14ac:dyDescent="0.25">
      <c r="A240" s="107" t="s">
        <v>249</v>
      </c>
      <c r="B240" s="108" t="s">
        <v>31</v>
      </c>
      <c r="C240" s="187" t="s">
        <v>188</v>
      </c>
      <c r="D240" s="285">
        <f t="shared" si="39"/>
        <v>2012</v>
      </c>
      <c r="E240" s="3">
        <v>675633</v>
      </c>
      <c r="F240" s="282">
        <f t="shared" si="37"/>
        <v>610704.95133858873</v>
      </c>
      <c r="G240" s="32">
        <v>64928.048661411231</v>
      </c>
      <c r="H240" s="32">
        <v>133532720.61</v>
      </c>
      <c r="I240" s="32">
        <f t="shared" si="38"/>
        <v>117395547.0744589</v>
      </c>
      <c r="J240" s="32">
        <v>16137173.535541099</v>
      </c>
      <c r="K240" s="110">
        <f t="shared" si="40"/>
        <v>197.64090950264418</v>
      </c>
    </row>
    <row r="241" spans="1:11" x14ac:dyDescent="0.25">
      <c r="A241" s="107" t="s">
        <v>249</v>
      </c>
      <c r="B241" s="108" t="s">
        <v>31</v>
      </c>
      <c r="C241" s="187" t="s">
        <v>189</v>
      </c>
      <c r="D241" s="285">
        <f t="shared" si="39"/>
        <v>2012</v>
      </c>
      <c r="E241" s="3">
        <v>329453</v>
      </c>
      <c r="F241" s="282">
        <f t="shared" si="37"/>
        <v>318872.21426946524</v>
      </c>
      <c r="G241" s="32">
        <v>10580.785730534784</v>
      </c>
      <c r="H241" s="32">
        <v>52984690.103100002</v>
      </c>
      <c r="I241" s="32">
        <f t="shared" si="38"/>
        <v>50279882.214579277</v>
      </c>
      <c r="J241" s="32">
        <v>2704807.8885207269</v>
      </c>
      <c r="K241" s="110">
        <f t="shared" si="40"/>
        <v>160.82624867006828</v>
      </c>
    </row>
    <row r="242" spans="1:11" x14ac:dyDescent="0.25">
      <c r="A242" s="107" t="s">
        <v>249</v>
      </c>
      <c r="B242" s="108" t="s">
        <v>31</v>
      </c>
      <c r="C242" s="187" t="s">
        <v>190</v>
      </c>
      <c r="D242" s="285">
        <f t="shared" si="39"/>
        <v>2012</v>
      </c>
      <c r="E242" s="3">
        <v>619107</v>
      </c>
      <c r="F242" s="282">
        <f t="shared" si="37"/>
        <v>547978.54833780066</v>
      </c>
      <c r="G242" s="32">
        <v>71128.451662199339</v>
      </c>
      <c r="H242" s="32">
        <v>105875965.527</v>
      </c>
      <c r="I242" s="32">
        <f t="shared" si="38"/>
        <v>93579783.746588558</v>
      </c>
      <c r="J242" s="32">
        <v>12296181.780411432</v>
      </c>
      <c r="K242" s="110">
        <f t="shared" si="40"/>
        <v>171.01400166207134</v>
      </c>
    </row>
    <row r="243" spans="1:11" x14ac:dyDescent="0.25">
      <c r="A243" s="107" t="s">
        <v>249</v>
      </c>
      <c r="B243" s="108" t="s">
        <v>31</v>
      </c>
      <c r="C243" s="187" t="s">
        <v>191</v>
      </c>
      <c r="D243" s="285">
        <f t="shared" si="39"/>
        <v>2012</v>
      </c>
      <c r="E243" s="3">
        <v>766579</v>
      </c>
      <c r="F243" s="282">
        <f t="shared" si="37"/>
        <v>743231.59305804432</v>
      </c>
      <c r="G243" s="32">
        <v>23347.406941955709</v>
      </c>
      <c r="H243" s="32">
        <v>124401005.789</v>
      </c>
      <c r="I243" s="32">
        <f t="shared" si="38"/>
        <v>120187516.47375667</v>
      </c>
      <c r="J243" s="32">
        <v>4213489.3152433271</v>
      </c>
      <c r="K243" s="110">
        <f t="shared" si="40"/>
        <v>162.28073791350926</v>
      </c>
    </row>
    <row r="244" spans="1:11" x14ac:dyDescent="0.25">
      <c r="A244" s="107" t="s">
        <v>249</v>
      </c>
      <c r="B244" s="108" t="s">
        <v>31</v>
      </c>
      <c r="C244" s="187" t="s">
        <v>192</v>
      </c>
      <c r="D244" s="285">
        <f t="shared" ref="D244:D263" si="41">+VLOOKUP(B244, N$3:O$28, 2, FALSE)</f>
        <v>2012</v>
      </c>
      <c r="E244" s="3">
        <v>810088</v>
      </c>
      <c r="F244" s="282">
        <f t="shared" si="37"/>
        <v>761118.63514189061</v>
      </c>
      <c r="G244" s="32">
        <v>48969.364858109351</v>
      </c>
      <c r="H244" s="32">
        <v>144440703.22099999</v>
      </c>
      <c r="I244" s="32">
        <f t="shared" si="38"/>
        <v>133716161.72967725</v>
      </c>
      <c r="J244" s="32">
        <v>10724541.491322735</v>
      </c>
      <c r="K244" s="110">
        <f t="shared" si="40"/>
        <v>178.30248469425541</v>
      </c>
    </row>
    <row r="245" spans="1:11" x14ac:dyDescent="0.25">
      <c r="A245" s="107" t="s">
        <v>249</v>
      </c>
      <c r="B245" s="108" t="s">
        <v>31</v>
      </c>
      <c r="C245" s="187" t="s">
        <v>193</v>
      </c>
      <c r="D245" s="285">
        <f t="shared" si="41"/>
        <v>2012</v>
      </c>
      <c r="E245" s="3">
        <v>687663</v>
      </c>
      <c r="F245" s="282">
        <f t="shared" si="37"/>
        <v>664465.37478622433</v>
      </c>
      <c r="G245" s="32">
        <v>23197.625213775646</v>
      </c>
      <c r="H245" s="32">
        <v>115656714.727</v>
      </c>
      <c r="I245" s="32">
        <f t="shared" si="38"/>
        <v>110329732.45513515</v>
      </c>
      <c r="J245" s="32">
        <v>5326982.2718648482</v>
      </c>
      <c r="K245" s="110">
        <f t="shared" si="40"/>
        <v>168.18807283073249</v>
      </c>
    </row>
    <row r="246" spans="1:11" x14ac:dyDescent="0.25">
      <c r="A246" s="107" t="s">
        <v>249</v>
      </c>
      <c r="B246" s="108" t="s">
        <v>31</v>
      </c>
      <c r="C246" s="187" t="s">
        <v>194</v>
      </c>
      <c r="D246" s="285">
        <f t="shared" si="41"/>
        <v>2012</v>
      </c>
      <c r="E246" s="3">
        <v>591849</v>
      </c>
      <c r="F246" s="282">
        <f t="shared" si="37"/>
        <v>556858.66626177565</v>
      </c>
      <c r="G246" s="32">
        <v>34990.333738224406</v>
      </c>
      <c r="H246" s="32">
        <v>101043483.935</v>
      </c>
      <c r="I246" s="32">
        <f t="shared" si="38"/>
        <v>94707076.552576855</v>
      </c>
      <c r="J246" s="32">
        <v>6336407.3824231448</v>
      </c>
      <c r="K246" s="110">
        <f t="shared" si="40"/>
        <v>170.72510713881414</v>
      </c>
    </row>
    <row r="247" spans="1:11" x14ac:dyDescent="0.25">
      <c r="A247" s="107" t="s">
        <v>249</v>
      </c>
      <c r="B247" s="108" t="s">
        <v>31</v>
      </c>
      <c r="C247" s="187" t="s">
        <v>195</v>
      </c>
      <c r="D247" s="285">
        <f t="shared" si="41"/>
        <v>2012</v>
      </c>
      <c r="E247" s="3">
        <v>249987</v>
      </c>
      <c r="F247" s="282">
        <f t="shared" si="37"/>
        <v>238871.7503854903</v>
      </c>
      <c r="G247" s="32">
        <v>11115.249614509701</v>
      </c>
      <c r="H247" s="32">
        <v>44366947.791299999</v>
      </c>
      <c r="I247" s="32">
        <f t="shared" si="38"/>
        <v>42421094.802778035</v>
      </c>
      <c r="J247" s="32">
        <v>1945852.9885219666</v>
      </c>
      <c r="K247" s="110">
        <f t="shared" si="40"/>
        <v>177.47701997023844</v>
      </c>
    </row>
    <row r="248" spans="1:11" x14ac:dyDescent="0.25">
      <c r="A248" s="107" t="s">
        <v>249</v>
      </c>
      <c r="B248" s="108" t="s">
        <v>31</v>
      </c>
      <c r="C248" s="187" t="s">
        <v>196</v>
      </c>
      <c r="D248" s="285">
        <f t="shared" si="41"/>
        <v>2012</v>
      </c>
      <c r="E248" s="3">
        <v>421116</v>
      </c>
      <c r="F248" s="282">
        <f t="shared" si="37"/>
        <v>412591.74420784053</v>
      </c>
      <c r="G248" s="32">
        <v>8524.2557921594598</v>
      </c>
      <c r="H248" s="32">
        <v>71015999.587899998</v>
      </c>
      <c r="I248" s="32">
        <f t="shared" si="38"/>
        <v>69466068.948990285</v>
      </c>
      <c r="J248" s="32">
        <v>1549930.6389097082</v>
      </c>
      <c r="K248" s="110">
        <f t="shared" si="40"/>
        <v>168.63761905959402</v>
      </c>
    </row>
    <row r="249" spans="1:11" x14ac:dyDescent="0.25">
      <c r="A249" s="107" t="s">
        <v>249</v>
      </c>
      <c r="B249" s="108" t="s">
        <v>31</v>
      </c>
      <c r="C249" s="187" t="s">
        <v>197</v>
      </c>
      <c r="D249" s="285">
        <f t="shared" si="41"/>
        <v>2012</v>
      </c>
      <c r="E249" s="3">
        <v>748387</v>
      </c>
      <c r="F249" s="282">
        <f t="shared" si="37"/>
        <v>703739.54498829134</v>
      </c>
      <c r="G249" s="32">
        <v>44647.455011708662</v>
      </c>
      <c r="H249" s="32">
        <v>133042066.714</v>
      </c>
      <c r="I249" s="32">
        <f t="shared" si="38"/>
        <v>125171147.95655535</v>
      </c>
      <c r="J249" s="32">
        <v>7870918.7574446434</v>
      </c>
      <c r="K249" s="110">
        <f t="shared" si="40"/>
        <v>177.77175006246767</v>
      </c>
    </row>
    <row r="250" spans="1:11" x14ac:dyDescent="0.25">
      <c r="A250" s="107" t="s">
        <v>249</v>
      </c>
      <c r="B250" s="108" t="s">
        <v>31</v>
      </c>
      <c r="C250" s="187" t="s">
        <v>198</v>
      </c>
      <c r="D250" s="285">
        <f t="shared" si="41"/>
        <v>2012</v>
      </c>
      <c r="E250" s="3">
        <v>665238</v>
      </c>
      <c r="F250" s="282">
        <f t="shared" si="37"/>
        <v>629005.0949750354</v>
      </c>
      <c r="G250" s="32">
        <v>36232.905024964573</v>
      </c>
      <c r="H250" s="32">
        <v>113789083.772</v>
      </c>
      <c r="I250" s="32">
        <f t="shared" si="38"/>
        <v>107741736.71424577</v>
      </c>
      <c r="J250" s="32">
        <v>6047347.057754226</v>
      </c>
      <c r="K250" s="110">
        <f t="shared" si="40"/>
        <v>171.05018620704169</v>
      </c>
    </row>
    <row r="251" spans="1:11" x14ac:dyDescent="0.25">
      <c r="A251" s="107" t="s">
        <v>199</v>
      </c>
      <c r="B251" s="108" t="s">
        <v>32</v>
      </c>
      <c r="C251" s="187" t="s">
        <v>200</v>
      </c>
      <c r="D251" s="285">
        <v>2015</v>
      </c>
      <c r="E251" s="3">
        <v>584900</v>
      </c>
      <c r="F251" s="282">
        <v>566100</v>
      </c>
      <c r="G251" s="32">
        <v>18800</v>
      </c>
      <c r="H251" s="288">
        <v>29509600</v>
      </c>
      <c r="I251" s="32">
        <v>27987600</v>
      </c>
      <c r="J251" s="32">
        <v>1522000</v>
      </c>
      <c r="K251" s="110">
        <f t="shared" si="40"/>
        <v>50.452385023080872</v>
      </c>
    </row>
    <row r="252" spans="1:11" x14ac:dyDescent="0.25">
      <c r="A252" s="107" t="s">
        <v>199</v>
      </c>
      <c r="B252" s="108" t="s">
        <v>32</v>
      </c>
      <c r="C252" s="187" t="s">
        <v>201</v>
      </c>
      <c r="D252" s="285">
        <v>2015</v>
      </c>
      <c r="E252" s="3">
        <v>145300</v>
      </c>
      <c r="F252" s="282">
        <v>101500</v>
      </c>
      <c r="G252" s="32">
        <v>43800</v>
      </c>
      <c r="H252" s="288">
        <v>2628300</v>
      </c>
      <c r="I252" s="32">
        <v>1584700</v>
      </c>
      <c r="J252" s="32">
        <v>1043600</v>
      </c>
      <c r="K252" s="110">
        <f t="shared" si="40"/>
        <v>18.088781830695112</v>
      </c>
    </row>
    <row r="253" spans="1:11" x14ac:dyDescent="0.25">
      <c r="A253" s="107" t="s">
        <v>199</v>
      </c>
      <c r="B253" s="108" t="s">
        <v>32</v>
      </c>
      <c r="C253" s="187" t="s">
        <v>202</v>
      </c>
      <c r="D253" s="285">
        <v>2015</v>
      </c>
      <c r="E253" s="3">
        <v>1093100</v>
      </c>
      <c r="F253" s="282">
        <v>1032500</v>
      </c>
      <c r="G253" s="32">
        <v>60600</v>
      </c>
      <c r="H253" s="288">
        <v>49976700</v>
      </c>
      <c r="I253" s="32">
        <v>47182000</v>
      </c>
      <c r="J253" s="32">
        <v>2794700</v>
      </c>
      <c r="K253" s="110">
        <f t="shared" si="40"/>
        <v>45.720153691336563</v>
      </c>
    </row>
    <row r="254" spans="1:11" x14ac:dyDescent="0.25">
      <c r="A254" s="107" t="s">
        <v>199</v>
      </c>
      <c r="B254" s="108" t="s">
        <v>32</v>
      </c>
      <c r="C254" s="187" t="s">
        <v>203</v>
      </c>
      <c r="D254" s="285">
        <v>2015</v>
      </c>
      <c r="E254" s="3">
        <v>66200</v>
      </c>
      <c r="F254" s="282">
        <v>46900</v>
      </c>
      <c r="G254" s="32">
        <v>19300</v>
      </c>
      <c r="H254" s="288">
        <v>3497100</v>
      </c>
      <c r="I254" s="32">
        <v>2525500</v>
      </c>
      <c r="J254" s="32">
        <v>971600</v>
      </c>
      <c r="K254" s="110">
        <f t="shared" si="40"/>
        <v>52.82628398791541</v>
      </c>
    </row>
    <row r="255" spans="1:11" x14ac:dyDescent="0.25">
      <c r="A255" s="107" t="s">
        <v>199</v>
      </c>
      <c r="B255" s="108" t="s">
        <v>32</v>
      </c>
      <c r="C255" s="187" t="s">
        <v>204</v>
      </c>
      <c r="D255" s="285">
        <v>2015</v>
      </c>
      <c r="E255" s="3">
        <v>1334600</v>
      </c>
      <c r="F255" s="282">
        <v>407700</v>
      </c>
      <c r="G255" s="32">
        <v>926900</v>
      </c>
      <c r="H255" s="32">
        <v>42461500</v>
      </c>
      <c r="I255" s="32">
        <v>13346600</v>
      </c>
      <c r="J255" s="32">
        <v>29114900</v>
      </c>
      <c r="K255" s="110">
        <f t="shared" si="40"/>
        <v>31.815899895099655</v>
      </c>
    </row>
    <row r="256" spans="1:11" x14ac:dyDescent="0.25">
      <c r="A256" s="107" t="s">
        <v>205</v>
      </c>
      <c r="B256" s="108" t="s">
        <v>33</v>
      </c>
      <c r="C256" s="187" t="s">
        <v>206</v>
      </c>
      <c r="D256" s="285">
        <f t="shared" si="41"/>
        <v>2011</v>
      </c>
      <c r="E256" s="3">
        <v>2330650.6782285539</v>
      </c>
      <c r="F256" s="282">
        <f t="shared" si="37"/>
        <v>2074057.2850731069</v>
      </c>
      <c r="G256" s="32">
        <v>256593.393155447</v>
      </c>
      <c r="H256" s="32">
        <v>398980362.83600003</v>
      </c>
      <c r="I256" s="32">
        <f t="shared" si="38"/>
        <v>358945342.84564072</v>
      </c>
      <c r="J256" s="32">
        <v>40035019.990359299</v>
      </c>
      <c r="K256" s="110">
        <f t="shared" si="40"/>
        <v>171.18840097446565</v>
      </c>
    </row>
    <row r="257" spans="1:22" x14ac:dyDescent="0.25">
      <c r="A257" s="107" t="s">
        <v>205</v>
      </c>
      <c r="B257" s="108" t="s">
        <v>33</v>
      </c>
      <c r="C257" s="187" t="s">
        <v>207</v>
      </c>
      <c r="D257" s="285">
        <f t="shared" si="41"/>
        <v>2011</v>
      </c>
      <c r="E257" s="3">
        <v>1645238.4592217803</v>
      </c>
      <c r="F257" s="282">
        <f t="shared" si="37"/>
        <v>1405973.1823516814</v>
      </c>
      <c r="G257" s="32">
        <v>239265.27687009901</v>
      </c>
      <c r="H257" s="32">
        <v>294243745.28399998</v>
      </c>
      <c r="I257" s="32">
        <f t="shared" si="38"/>
        <v>250445130.53427598</v>
      </c>
      <c r="J257" s="32">
        <v>43798614.749724001</v>
      </c>
      <c r="K257" s="110">
        <f t="shared" si="40"/>
        <v>178.84565221213052</v>
      </c>
    </row>
    <row r="258" spans="1:22" x14ac:dyDescent="0.25">
      <c r="A258" s="107" t="s">
        <v>205</v>
      </c>
      <c r="B258" s="108" t="s">
        <v>33</v>
      </c>
      <c r="C258" s="187" t="s">
        <v>208</v>
      </c>
      <c r="D258" s="285">
        <f t="shared" si="41"/>
        <v>2011</v>
      </c>
      <c r="E258" s="3">
        <v>625054.58114392706</v>
      </c>
      <c r="F258" s="282">
        <f t="shared" ref="F258:F259" si="42">+E258-G258</f>
        <v>564351.80473940249</v>
      </c>
      <c r="G258" s="32">
        <v>60702.7764045246</v>
      </c>
      <c r="H258" s="32">
        <v>113748543.792</v>
      </c>
      <c r="I258" s="32">
        <f t="shared" ref="I258:I259" si="43">+H258-J258</f>
        <v>102763452.73357099</v>
      </c>
      <c r="J258" s="32">
        <v>10985091.058429001</v>
      </c>
      <c r="K258" s="110">
        <f t="shared" si="40"/>
        <v>181.98177762944496</v>
      </c>
    </row>
    <row r="259" spans="1:22" x14ac:dyDescent="0.25">
      <c r="A259" s="107" t="s">
        <v>205</v>
      </c>
      <c r="B259" s="108" t="s">
        <v>33</v>
      </c>
      <c r="C259" s="187" t="s">
        <v>209</v>
      </c>
      <c r="D259" s="285">
        <f t="shared" si="41"/>
        <v>2011</v>
      </c>
      <c r="E259" s="3">
        <v>1906784.9997242596</v>
      </c>
      <c r="F259" s="282">
        <f t="shared" si="42"/>
        <v>1599421.4957351726</v>
      </c>
      <c r="G259" s="32">
        <v>307363.50398908701</v>
      </c>
      <c r="H259" s="32">
        <v>361235872.31699997</v>
      </c>
      <c r="I259" s="32">
        <f t="shared" si="43"/>
        <v>298511718.65463948</v>
      </c>
      <c r="J259" s="32">
        <v>62724153.662360497</v>
      </c>
      <c r="K259" s="110">
        <f t="shared" si="40"/>
        <v>189.44761594476481</v>
      </c>
    </row>
    <row r="260" spans="1:22" x14ac:dyDescent="0.25">
      <c r="A260" s="190" t="s">
        <v>327</v>
      </c>
      <c r="B260" s="108" t="s">
        <v>37</v>
      </c>
      <c r="C260" s="192" t="s">
        <v>425</v>
      </c>
      <c r="D260" s="285">
        <f t="shared" si="41"/>
        <v>2005</v>
      </c>
      <c r="E260" s="15">
        <v>46450.761302978703</v>
      </c>
      <c r="F260" s="32" t="e">
        <v>#N/A</v>
      </c>
      <c r="G260" s="32" t="e">
        <v>#N/A</v>
      </c>
      <c r="H260" s="33">
        <f>+K260*E260</f>
        <v>5060695.2380819675</v>
      </c>
      <c r="I260" s="32" t="e">
        <v>#N/A</v>
      </c>
      <c r="J260" s="32" t="e">
        <v>#N/A</v>
      </c>
      <c r="K260" s="289">
        <v>108.947519828</v>
      </c>
    </row>
    <row r="261" spans="1:22" x14ac:dyDescent="0.25">
      <c r="A261" s="190" t="s">
        <v>327</v>
      </c>
      <c r="B261" s="108" t="s">
        <v>37</v>
      </c>
      <c r="C261" s="192" t="s">
        <v>424</v>
      </c>
      <c r="D261" s="285">
        <f t="shared" si="41"/>
        <v>2005</v>
      </c>
      <c r="E261" s="15">
        <v>138951.84631149599</v>
      </c>
      <c r="F261" s="32" t="e">
        <v>#N/A</v>
      </c>
      <c r="G261" s="32" t="e">
        <v>#N/A</v>
      </c>
      <c r="H261" s="33">
        <f>+K261*E261</f>
        <v>20069422.025926262</v>
      </c>
      <c r="I261" s="32" t="e">
        <v>#N/A</v>
      </c>
      <c r="J261" s="32" t="e">
        <v>#N/A</v>
      </c>
      <c r="K261" s="289">
        <v>144.43436743500001</v>
      </c>
    </row>
    <row r="262" spans="1:22" x14ac:dyDescent="0.25">
      <c r="A262" s="190" t="s">
        <v>327</v>
      </c>
      <c r="B262" s="108" t="s">
        <v>37</v>
      </c>
      <c r="C262" s="192" t="s">
        <v>426</v>
      </c>
      <c r="D262" s="285">
        <f t="shared" si="41"/>
        <v>2005</v>
      </c>
      <c r="E262" s="15">
        <v>959048.04586753401</v>
      </c>
      <c r="F262" s="32" t="e">
        <v>#N/A</v>
      </c>
      <c r="G262" s="32" t="e">
        <v>#N/A</v>
      </c>
      <c r="H262" s="33">
        <f>+K262*E262</f>
        <v>129308058.11854132</v>
      </c>
      <c r="I262" s="32" t="e">
        <v>#N/A</v>
      </c>
      <c r="J262" s="32" t="e">
        <v>#N/A</v>
      </c>
      <c r="K262" s="289">
        <v>134.829593445</v>
      </c>
    </row>
    <row r="263" spans="1:22" x14ac:dyDescent="0.25">
      <c r="A263" s="190" t="s">
        <v>327</v>
      </c>
      <c r="B263" s="108" t="s">
        <v>37</v>
      </c>
      <c r="C263" s="192" t="s">
        <v>427</v>
      </c>
      <c r="D263" s="285">
        <f t="shared" si="41"/>
        <v>2005</v>
      </c>
      <c r="E263" s="15">
        <v>1012306.2463269799</v>
      </c>
      <c r="F263" s="32" t="e">
        <v>#N/A</v>
      </c>
      <c r="G263" s="32" t="e">
        <v>#N/A</v>
      </c>
      <c r="H263" s="33">
        <f>+K263*E263</f>
        <v>136203642.8797811</v>
      </c>
      <c r="I263" s="32" t="e">
        <v>#N/A</v>
      </c>
      <c r="J263" s="32" t="e">
        <v>#N/A</v>
      </c>
      <c r="K263" s="289">
        <v>134.547863726</v>
      </c>
    </row>
    <row r="264" spans="1:22" x14ac:dyDescent="0.25">
      <c r="A264" s="190" t="s">
        <v>327</v>
      </c>
      <c r="B264" s="108" t="s">
        <v>37</v>
      </c>
      <c r="C264" s="192" t="s">
        <v>428</v>
      </c>
      <c r="D264" s="285">
        <v>2012</v>
      </c>
      <c r="E264" s="32">
        <v>481000</v>
      </c>
      <c r="F264" s="32" t="e">
        <v>#N/A</v>
      </c>
      <c r="G264" s="32" t="e">
        <v>#N/A</v>
      </c>
      <c r="H264" s="282">
        <f>+K264*E264</f>
        <v>35746000</v>
      </c>
      <c r="I264" s="32" t="e">
        <v>#N/A</v>
      </c>
      <c r="J264" s="32" t="e">
        <v>#N/A</v>
      </c>
      <c r="K264" s="289">
        <v>74.316008316008322</v>
      </c>
      <c r="N264" s="14"/>
    </row>
    <row r="265" spans="1:22" x14ac:dyDescent="0.25">
      <c r="A265" s="107" t="s">
        <v>210</v>
      </c>
      <c r="B265" s="108" t="s">
        <v>34</v>
      </c>
      <c r="C265" s="187" t="s">
        <v>211</v>
      </c>
      <c r="D265" s="285">
        <f t="shared" ref="D265:D282" si="44">+VLOOKUP(B265, N$3:O$28, 2, FALSE)</f>
        <v>2011</v>
      </c>
      <c r="E265" s="3">
        <v>350627</v>
      </c>
      <c r="F265" s="282">
        <f t="shared" ref="F265:F282" si="45">+E265-G265</f>
        <v>270659.3341132428</v>
      </c>
      <c r="G265" s="32">
        <v>79967.665886757197</v>
      </c>
      <c r="H265" s="32">
        <v>33718612.678999998</v>
      </c>
      <c r="I265" s="32">
        <f t="shared" ref="I265:I282" si="46">+H265-J265</f>
        <v>28471902.910692617</v>
      </c>
      <c r="J265" s="32">
        <v>5246709.7683073804</v>
      </c>
      <c r="K265" s="110">
        <f t="shared" ref="K265:K272" si="47">+H265/E265</f>
        <v>96.166617741930878</v>
      </c>
    </row>
    <row r="266" spans="1:22" x14ac:dyDescent="0.25">
      <c r="A266" s="107" t="s">
        <v>210</v>
      </c>
      <c r="B266" s="108" t="s">
        <v>34</v>
      </c>
      <c r="C266" s="187" t="s">
        <v>212</v>
      </c>
      <c r="D266" s="285">
        <f t="shared" si="44"/>
        <v>2011</v>
      </c>
      <c r="E266" s="3">
        <v>2623213</v>
      </c>
      <c r="F266" s="282">
        <f t="shared" si="45"/>
        <v>2345034.8802058958</v>
      </c>
      <c r="G266" s="32">
        <v>278178.11979410402</v>
      </c>
      <c r="H266" s="32">
        <v>245328681.98800001</v>
      </c>
      <c r="I266" s="32">
        <f t="shared" si="46"/>
        <v>227678708.02274629</v>
      </c>
      <c r="J266" s="32">
        <v>17649973.9652537</v>
      </c>
      <c r="K266" s="110">
        <f t="shared" si="47"/>
        <v>93.522211878333934</v>
      </c>
    </row>
    <row r="267" spans="1:22" x14ac:dyDescent="0.25">
      <c r="A267" s="107" t="s">
        <v>210</v>
      </c>
      <c r="B267" s="108" t="s">
        <v>34</v>
      </c>
      <c r="C267" s="187" t="s">
        <v>213</v>
      </c>
      <c r="D267" s="285">
        <f t="shared" si="44"/>
        <v>2011</v>
      </c>
      <c r="E267" s="3">
        <v>2412243</v>
      </c>
      <c r="F267" s="282">
        <f t="shared" si="45"/>
        <v>2221437.2449746262</v>
      </c>
      <c r="G267" s="32">
        <v>190805.755025374</v>
      </c>
      <c r="H267" s="32">
        <v>208916173.70300001</v>
      </c>
      <c r="I267" s="32">
        <f t="shared" si="46"/>
        <v>198538436.62616041</v>
      </c>
      <c r="J267" s="32">
        <v>10377737.0768396</v>
      </c>
      <c r="K267" s="110">
        <f t="shared" si="47"/>
        <v>86.606603772090963</v>
      </c>
    </row>
    <row r="268" spans="1:22" x14ac:dyDescent="0.25">
      <c r="A268" s="107" t="s">
        <v>210</v>
      </c>
      <c r="B268" s="108" t="s">
        <v>34</v>
      </c>
      <c r="C268" s="187" t="s">
        <v>214</v>
      </c>
      <c r="D268" s="285">
        <f t="shared" si="44"/>
        <v>2011</v>
      </c>
      <c r="E268" s="3">
        <v>601514</v>
      </c>
      <c r="F268" s="282">
        <f t="shared" si="45"/>
        <v>550689.68184027215</v>
      </c>
      <c r="G268" s="32">
        <v>50824.318159727904</v>
      </c>
      <c r="H268" s="32">
        <v>64256326.776199996</v>
      </c>
      <c r="I268" s="32">
        <f t="shared" si="46"/>
        <v>59736133.48593086</v>
      </c>
      <c r="J268" s="32">
        <v>4520193.2902691402</v>
      </c>
      <c r="K268" s="110">
        <f t="shared" si="47"/>
        <v>106.8243245813065</v>
      </c>
    </row>
    <row r="269" spans="1:22" x14ac:dyDescent="0.25">
      <c r="A269" s="107" t="s">
        <v>210</v>
      </c>
      <c r="B269" s="108" t="s">
        <v>34</v>
      </c>
      <c r="C269" s="187" t="s">
        <v>215</v>
      </c>
      <c r="D269" s="285">
        <f t="shared" si="44"/>
        <v>2011</v>
      </c>
      <c r="E269" s="3">
        <v>1830235</v>
      </c>
      <c r="F269" s="282">
        <f t="shared" si="45"/>
        <v>1606745.1875172451</v>
      </c>
      <c r="G269" s="32">
        <v>223489.81248275499</v>
      </c>
      <c r="H269" s="32">
        <v>181230316.67899999</v>
      </c>
      <c r="I269" s="32">
        <f t="shared" si="46"/>
        <v>169020336.3797043</v>
      </c>
      <c r="J269" s="32">
        <v>12209980.299295699</v>
      </c>
      <c r="K269" s="110">
        <f t="shared" si="47"/>
        <v>99.020244219458149</v>
      </c>
      <c r="N269" s="343"/>
      <c r="O269" s="343"/>
      <c r="Q269" s="343"/>
    </row>
    <row r="270" spans="1:22" x14ac:dyDescent="0.25">
      <c r="A270" s="107" t="s">
        <v>210</v>
      </c>
      <c r="B270" s="108" t="s">
        <v>34</v>
      </c>
      <c r="C270" s="187" t="s">
        <v>216</v>
      </c>
      <c r="D270" s="285">
        <f t="shared" si="44"/>
        <v>2011</v>
      </c>
      <c r="E270" s="3">
        <f>5409546 + 4718</f>
        <v>5414264</v>
      </c>
      <c r="F270" s="282">
        <f t="shared" si="45"/>
        <v>4719926.0638152435</v>
      </c>
      <c r="G270" s="32">
        <f>689619.936184756 + 4718</f>
        <v>694337.93618475599</v>
      </c>
      <c r="H270" s="32">
        <f>400224155.653 + 78581</f>
        <v>400302736.653</v>
      </c>
      <c r="I270" s="32">
        <f t="shared" si="46"/>
        <v>369622732.19829798</v>
      </c>
      <c r="J270" s="32">
        <f>30601423.454702 + 78581</f>
        <v>30680004.454702001</v>
      </c>
      <c r="K270" s="110">
        <f t="shared" si="47"/>
        <v>73.934838909406707</v>
      </c>
      <c r="M270" s="344"/>
      <c r="N270" s="4"/>
      <c r="O270" s="4"/>
      <c r="P270" s="4"/>
      <c r="Q270" s="345"/>
      <c r="R270" s="345"/>
      <c r="S270" s="346"/>
      <c r="T270" s="346"/>
      <c r="U270" s="4"/>
      <c r="V270" s="343"/>
    </row>
    <row r="271" spans="1:22" x14ac:dyDescent="0.25">
      <c r="A271" s="107" t="s">
        <v>210</v>
      </c>
      <c r="B271" s="108" t="s">
        <v>34</v>
      </c>
      <c r="C271" s="187" t="s">
        <v>217</v>
      </c>
      <c r="D271" s="285">
        <f t="shared" si="44"/>
        <v>2011</v>
      </c>
      <c r="E271" s="3">
        <f>5185635 + 100822</f>
        <v>5286457</v>
      </c>
      <c r="F271" s="282">
        <f t="shared" si="45"/>
        <v>4235349.2387299817</v>
      </c>
      <c r="G271" s="32">
        <f>950285.761270018 + 100822</f>
        <v>1051107.7612700178</v>
      </c>
      <c r="H271" s="32">
        <f>377934437.998 + 2772954</f>
        <v>380707391.99800003</v>
      </c>
      <c r="I271" s="32">
        <f t="shared" si="46"/>
        <v>332404655.545187</v>
      </c>
      <c r="J271" s="32">
        <f>45529782.452813 + 2772954</f>
        <v>48302736.452812999</v>
      </c>
      <c r="K271" s="110">
        <f t="shared" si="47"/>
        <v>72.01560364493649</v>
      </c>
      <c r="M271" s="344"/>
      <c r="N271" s="4"/>
      <c r="O271" s="4"/>
      <c r="P271" s="4"/>
      <c r="Q271" s="345"/>
      <c r="R271" s="345"/>
      <c r="S271" s="346"/>
      <c r="T271" s="346"/>
      <c r="U271" s="4"/>
      <c r="V271" s="343"/>
    </row>
    <row r="272" spans="1:22" x14ac:dyDescent="0.25">
      <c r="A272" s="107" t="s">
        <v>210</v>
      </c>
      <c r="B272" s="108" t="s">
        <v>34</v>
      </c>
      <c r="C272" s="187" t="s">
        <v>218</v>
      </c>
      <c r="D272" s="285">
        <f t="shared" si="44"/>
        <v>2011</v>
      </c>
      <c r="E272" s="3">
        <f>8884341 + 696748</f>
        <v>9581089</v>
      </c>
      <c r="F272" s="282">
        <f t="shared" si="45"/>
        <v>6455008.2735012397</v>
      </c>
      <c r="G272" s="32">
        <f>2429332.72649876 + 696748</f>
        <v>3126080.7264987598</v>
      </c>
      <c r="H272" s="32">
        <f>478529913.555 + 18745450</f>
        <v>497275363.55500001</v>
      </c>
      <c r="I272" s="32">
        <f t="shared" si="46"/>
        <v>378447388.02430302</v>
      </c>
      <c r="J272" s="32">
        <f>100082435.530697 + 18745540</f>
        <v>118827975.530697</v>
      </c>
      <c r="K272" s="110">
        <f t="shared" si="47"/>
        <v>51.901758093991198</v>
      </c>
      <c r="M272" s="344"/>
      <c r="N272" s="4"/>
      <c r="O272" s="347"/>
      <c r="P272" s="4"/>
      <c r="Q272" s="345"/>
      <c r="R272" s="345"/>
      <c r="S272" s="346"/>
      <c r="T272" s="346"/>
      <c r="U272" s="4"/>
      <c r="V272" s="343"/>
    </row>
    <row r="273" spans="1:22" x14ac:dyDescent="0.25">
      <c r="A273" s="188" t="s">
        <v>251</v>
      </c>
      <c r="B273" s="108" t="s">
        <v>35</v>
      </c>
      <c r="C273" s="189" t="s">
        <v>299</v>
      </c>
      <c r="D273" s="285">
        <f t="shared" si="44"/>
        <v>2012</v>
      </c>
      <c r="E273" s="32">
        <v>724201.7013931697</v>
      </c>
      <c r="F273" s="282">
        <f t="shared" si="45"/>
        <v>684235.21874332742</v>
      </c>
      <c r="G273" s="32">
        <v>39966.482649842299</v>
      </c>
      <c r="H273" s="32">
        <f>+K273*E273</f>
        <v>164813823.20305756</v>
      </c>
      <c r="I273" s="32">
        <f t="shared" si="46"/>
        <v>156988305.69548106</v>
      </c>
      <c r="J273" s="32">
        <v>7825517.5075765001</v>
      </c>
      <c r="K273" s="287">
        <v>227.58</v>
      </c>
      <c r="M273" s="344"/>
      <c r="N273" s="6"/>
      <c r="P273" s="6"/>
      <c r="Q273" s="345"/>
      <c r="R273" s="345"/>
      <c r="S273" s="346"/>
      <c r="T273" s="346"/>
      <c r="U273" s="4"/>
      <c r="V273" s="343"/>
    </row>
    <row r="274" spans="1:22" x14ac:dyDescent="0.25">
      <c r="A274" s="188" t="s">
        <v>251</v>
      </c>
      <c r="B274" s="108" t="s">
        <v>35</v>
      </c>
      <c r="C274" s="189" t="s">
        <v>298</v>
      </c>
      <c r="D274" s="285">
        <f t="shared" si="44"/>
        <v>2012</v>
      </c>
      <c r="E274" s="32">
        <v>490780.00197219208</v>
      </c>
      <c r="F274" s="282">
        <f t="shared" si="45"/>
        <v>412445.69597850129</v>
      </c>
      <c r="G274" s="32">
        <v>78334.305993690796</v>
      </c>
      <c r="H274" s="32">
        <f>+K274*E274</f>
        <v>92271548.170791835</v>
      </c>
      <c r="I274" s="32">
        <f t="shared" si="46"/>
        <v>79547426.091689333</v>
      </c>
      <c r="J274" s="32">
        <v>12724122.079102499</v>
      </c>
      <c r="K274" s="287">
        <v>188.01</v>
      </c>
      <c r="N274" s="343"/>
      <c r="O274" s="343"/>
      <c r="Q274" s="343"/>
    </row>
    <row r="275" spans="1:22" x14ac:dyDescent="0.25">
      <c r="A275" s="107" t="s">
        <v>219</v>
      </c>
      <c r="B275" s="108" t="s">
        <v>36</v>
      </c>
      <c r="C275" s="187" t="s">
        <v>303</v>
      </c>
      <c r="D275" s="285">
        <f t="shared" si="44"/>
        <v>2006</v>
      </c>
      <c r="E275" s="3">
        <v>77357.523989188805</v>
      </c>
      <c r="F275" s="282">
        <f t="shared" si="45"/>
        <v>72565.862425670886</v>
      </c>
      <c r="G275" s="32">
        <v>4791.6615635179196</v>
      </c>
      <c r="H275" s="32">
        <v>16693753.68</v>
      </c>
      <c r="I275" s="32">
        <f t="shared" si="46"/>
        <v>15069849.54057481</v>
      </c>
      <c r="J275" s="32">
        <v>1623904.1394251899</v>
      </c>
      <c r="K275" s="110">
        <f t="shared" ref="K275:K282" si="48">+H275/E275</f>
        <v>215.80000004050098</v>
      </c>
      <c r="M275" s="344"/>
      <c r="N275" s="6"/>
    </row>
    <row r="276" spans="1:22" x14ac:dyDescent="0.25">
      <c r="A276" s="107" t="s">
        <v>219</v>
      </c>
      <c r="B276" s="108" t="s">
        <v>36</v>
      </c>
      <c r="C276" s="187" t="s">
        <v>304</v>
      </c>
      <c r="D276" s="285">
        <f t="shared" si="44"/>
        <v>2006</v>
      </c>
      <c r="E276" s="3">
        <v>64754.052760197097</v>
      </c>
      <c r="F276" s="282">
        <f t="shared" si="45"/>
        <v>56767.950154333907</v>
      </c>
      <c r="G276" s="32">
        <v>7986.1026058631896</v>
      </c>
      <c r="H276" s="32">
        <v>14783350.25</v>
      </c>
      <c r="I276" s="32">
        <f t="shared" si="46"/>
        <v>13482885.67485339</v>
      </c>
      <c r="J276" s="32">
        <v>1300464.5751466099</v>
      </c>
      <c r="K276" s="110">
        <f t="shared" si="48"/>
        <v>228.30000007485251</v>
      </c>
      <c r="M276" s="344"/>
    </row>
    <row r="277" spans="1:22" x14ac:dyDescent="0.25">
      <c r="A277" s="107" t="s">
        <v>219</v>
      </c>
      <c r="B277" s="108" t="s">
        <v>36</v>
      </c>
      <c r="C277" s="187" t="s">
        <v>305</v>
      </c>
      <c r="D277" s="285">
        <f t="shared" si="44"/>
        <v>2006</v>
      </c>
      <c r="E277" s="3">
        <v>244618.976355035</v>
      </c>
      <c r="F277" s="282">
        <f t="shared" si="45"/>
        <v>223855.1095797907</v>
      </c>
      <c r="G277" s="32">
        <v>20763.8667752443</v>
      </c>
      <c r="H277" s="32">
        <v>57974697.399999999</v>
      </c>
      <c r="I277" s="32">
        <f t="shared" si="46"/>
        <v>54264430.021635547</v>
      </c>
      <c r="J277" s="32">
        <v>3710267.3783644498</v>
      </c>
      <c r="K277" s="110">
        <f t="shared" si="48"/>
        <v>237.00000001576618</v>
      </c>
      <c r="M277" s="344"/>
    </row>
    <row r="278" spans="1:22" x14ac:dyDescent="0.25">
      <c r="A278" s="107" t="s">
        <v>219</v>
      </c>
      <c r="B278" s="108" t="s">
        <v>36</v>
      </c>
      <c r="C278" s="187" t="s">
        <v>306</v>
      </c>
      <c r="D278" s="285">
        <f t="shared" si="44"/>
        <v>2006</v>
      </c>
      <c r="E278" s="3">
        <v>90030.516376273998</v>
      </c>
      <c r="F278" s="282">
        <f t="shared" si="45"/>
        <v>88433.295855101358</v>
      </c>
      <c r="G278" s="32">
        <v>1597.22052117264</v>
      </c>
      <c r="H278" s="32">
        <v>18861393.18</v>
      </c>
      <c r="I278" s="32">
        <f t="shared" si="46"/>
        <v>18656275.901957609</v>
      </c>
      <c r="J278" s="32">
        <v>205117.278042391</v>
      </c>
      <c r="K278" s="110">
        <f t="shared" si="48"/>
        <v>209.49999999078753</v>
      </c>
    </row>
    <row r="279" spans="1:22" x14ac:dyDescent="0.25">
      <c r="A279" s="107" t="s">
        <v>219</v>
      </c>
      <c r="B279" s="108" t="s">
        <v>36</v>
      </c>
      <c r="C279" s="187" t="s">
        <v>307</v>
      </c>
      <c r="D279" s="285">
        <f t="shared" si="44"/>
        <v>2006</v>
      </c>
      <c r="E279" s="3">
        <v>404838.74279590399</v>
      </c>
      <c r="F279" s="282">
        <f t="shared" si="45"/>
        <v>340949.92194899841</v>
      </c>
      <c r="G279" s="32">
        <v>63888.820846905597</v>
      </c>
      <c r="H279" s="32">
        <v>74571296.420000002</v>
      </c>
      <c r="I279" s="32">
        <f t="shared" si="46"/>
        <v>63727368.121900901</v>
      </c>
      <c r="J279" s="32">
        <v>10843928.298099101</v>
      </c>
      <c r="K279" s="110">
        <f t="shared" si="48"/>
        <v>184.19999999257601</v>
      </c>
    </row>
    <row r="280" spans="1:22" x14ac:dyDescent="0.25">
      <c r="A280" s="107" t="s">
        <v>219</v>
      </c>
      <c r="B280" s="108" t="s">
        <v>36</v>
      </c>
      <c r="C280" s="187" t="s">
        <v>308</v>
      </c>
      <c r="D280" s="285">
        <f t="shared" si="44"/>
        <v>2006</v>
      </c>
      <c r="E280" s="3">
        <v>507364.089014219</v>
      </c>
      <c r="F280" s="282">
        <f t="shared" si="45"/>
        <v>473822.45806959359</v>
      </c>
      <c r="G280" s="32">
        <v>33541.630944625402</v>
      </c>
      <c r="H280" s="32">
        <v>107510450.5</v>
      </c>
      <c r="I280" s="32">
        <f t="shared" si="46"/>
        <v>101066477.61458772</v>
      </c>
      <c r="J280" s="32">
        <v>6443972.8854122702</v>
      </c>
      <c r="K280" s="110">
        <f t="shared" si="48"/>
        <v>211.90000007467418</v>
      </c>
    </row>
    <row r="281" spans="1:22" x14ac:dyDescent="0.25">
      <c r="A281" s="107" t="s">
        <v>219</v>
      </c>
      <c r="B281" s="108" t="s">
        <v>36</v>
      </c>
      <c r="C281" s="187" t="s">
        <v>309</v>
      </c>
      <c r="D281" s="285">
        <f t="shared" si="44"/>
        <v>2006</v>
      </c>
      <c r="E281" s="3">
        <v>486307.10503837501</v>
      </c>
      <c r="F281" s="282">
        <f t="shared" si="45"/>
        <v>435196.04836085049</v>
      </c>
      <c r="G281" s="32">
        <v>51111.056677524502</v>
      </c>
      <c r="H281" s="32">
        <v>89626399.459999993</v>
      </c>
      <c r="I281" s="32">
        <f t="shared" si="46"/>
        <v>84632834.934607387</v>
      </c>
      <c r="J281" s="32">
        <v>4993564.5253926003</v>
      </c>
      <c r="K281" s="110">
        <f t="shared" si="48"/>
        <v>184.30000000293535</v>
      </c>
    </row>
    <row r="282" spans="1:22" x14ac:dyDescent="0.25">
      <c r="A282" s="112" t="s">
        <v>219</v>
      </c>
      <c r="B282" s="113" t="s">
        <v>36</v>
      </c>
      <c r="C282" s="193" t="s">
        <v>310</v>
      </c>
      <c r="D282" s="290">
        <f t="shared" si="44"/>
        <v>2006</v>
      </c>
      <c r="E282" s="24">
        <v>298708.52691641398</v>
      </c>
      <c r="F282" s="226">
        <f t="shared" si="45"/>
        <v>285930.76274703286</v>
      </c>
      <c r="G282" s="227">
        <v>12777.7641693811</v>
      </c>
      <c r="H282" s="227">
        <v>57292295.460000001</v>
      </c>
      <c r="I282" s="227">
        <f t="shared" si="46"/>
        <v>55615555.794796154</v>
      </c>
      <c r="J282" s="227">
        <v>1676739.66520385</v>
      </c>
      <c r="K282" s="291">
        <f t="shared" si="48"/>
        <v>191.79999999140233</v>
      </c>
    </row>
    <row r="283" spans="1:22" x14ac:dyDescent="0.25">
      <c r="D283" s="94"/>
    </row>
    <row r="284" spans="1:22" x14ac:dyDescent="0.25">
      <c r="F284" s="4"/>
      <c r="G284" s="4"/>
    </row>
    <row r="285" spans="1:22" x14ac:dyDescent="0.25">
      <c r="F285" s="4"/>
      <c r="G285" s="4"/>
    </row>
    <row r="286" spans="1:22" x14ac:dyDescent="0.25">
      <c r="F286" s="4"/>
      <c r="G286" s="4"/>
    </row>
  </sheetData>
  <sortState xmlns:xlrd2="http://schemas.microsoft.com/office/spreadsheetml/2017/richdata2" ref="N69:U118">
    <sortCondition ref="N69:N118"/>
  </sortState>
  <mergeCells count="4">
    <mergeCell ref="D1:K1"/>
    <mergeCell ref="A1:C1"/>
    <mergeCell ref="O1:Z1"/>
    <mergeCell ref="M1:N1"/>
  </mergeCells>
  <pageMargins left="0.7" right="0.7" top="0.75" bottom="0.75" header="0.3" footer="0.3"/>
  <pageSetup orientation="portrait" horizontalDpi="0" verticalDpi="0" r:id="rId1"/>
  <ignoredErrors>
    <ignoredError sqref="S4 T4:W4 S9:W9 S11:W25" evalError="1"/>
    <ignoredError sqref="F9" formula="1"/>
  </ignoredError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R282"/>
  <sheetViews>
    <sheetView zoomScaleNormal="100" workbookViewId="0">
      <selection activeCell="A2" sqref="A2"/>
    </sheetView>
  </sheetViews>
  <sheetFormatPr defaultRowHeight="15" x14ac:dyDescent="0.25"/>
  <cols>
    <col min="1" max="1" width="14.42578125" bestFit="1" customWidth="1"/>
    <col min="2" max="2" width="9" customWidth="1"/>
    <col min="3" max="3" width="12.28515625" customWidth="1"/>
    <col min="4" max="4" width="14.42578125" bestFit="1" customWidth="1"/>
    <col min="5" max="5" width="14.42578125" customWidth="1"/>
    <col min="6" max="6" width="18" bestFit="1" customWidth="1"/>
    <col min="7" max="8" width="13.7109375" customWidth="1"/>
    <col min="9" max="9" width="16.28515625" bestFit="1" customWidth="1"/>
    <col min="10" max="10" width="13.7109375" customWidth="1"/>
    <col min="11" max="11" width="15.5703125" customWidth="1"/>
    <col min="12" max="12" width="10" customWidth="1"/>
    <col min="14" max="14" width="11.7109375" customWidth="1"/>
    <col min="15" max="15" width="12.85546875" customWidth="1"/>
    <col min="16" max="16" width="11.7109375" customWidth="1"/>
  </cols>
  <sheetData>
    <row r="1" spans="1:18" ht="15.75" customHeight="1" x14ac:dyDescent="0.25">
      <c r="A1" s="25"/>
      <c r="B1" s="40"/>
      <c r="C1" s="40"/>
      <c r="D1" s="353" t="s">
        <v>485</v>
      </c>
      <c r="E1" s="354"/>
      <c r="F1" s="354"/>
      <c r="G1" s="355"/>
      <c r="H1" s="353">
        <v>2020</v>
      </c>
      <c r="I1" s="354"/>
      <c r="J1" s="354"/>
      <c r="K1" s="329" t="s">
        <v>648</v>
      </c>
      <c r="L1" s="42"/>
      <c r="M1" s="353" t="s">
        <v>555</v>
      </c>
      <c r="N1" s="357"/>
      <c r="O1" s="357"/>
      <c r="P1" s="358"/>
    </row>
    <row r="2" spans="1:18" ht="15.75" customHeight="1" x14ac:dyDescent="0.25">
      <c r="A2" s="278" t="s">
        <v>243</v>
      </c>
      <c r="B2" s="169" t="s">
        <v>244</v>
      </c>
      <c r="C2" s="239" t="s">
        <v>459</v>
      </c>
      <c r="D2" s="170" t="s">
        <v>541</v>
      </c>
      <c r="E2" s="311" t="s">
        <v>220</v>
      </c>
      <c r="F2" s="311" t="s">
        <v>437</v>
      </c>
      <c r="G2" s="310" t="s">
        <v>438</v>
      </c>
      <c r="H2" s="9" t="s">
        <v>220</v>
      </c>
      <c r="I2" s="9" t="s">
        <v>437</v>
      </c>
      <c r="J2" s="9" t="s">
        <v>438</v>
      </c>
      <c r="K2" s="328" t="s">
        <v>649</v>
      </c>
      <c r="M2" s="88" t="s">
        <v>627</v>
      </c>
      <c r="N2" s="71" t="s">
        <v>244</v>
      </c>
      <c r="O2" s="311" t="s">
        <v>445</v>
      </c>
      <c r="P2" s="330" t="s">
        <v>436</v>
      </c>
    </row>
    <row r="3" spans="1:18" x14ac:dyDescent="0.25">
      <c r="A3" s="69" t="s">
        <v>39</v>
      </c>
      <c r="B3" s="82" t="s">
        <v>2</v>
      </c>
      <c r="C3" s="82" t="s">
        <v>483</v>
      </c>
      <c r="D3" s="166">
        <v>2008</v>
      </c>
      <c r="E3" s="273">
        <v>3387786.6012090002</v>
      </c>
      <c r="F3" s="77">
        <v>622617248.98812318</v>
      </c>
      <c r="G3" s="332">
        <f>+F3/E3</f>
        <v>183.78290083735783</v>
      </c>
      <c r="H3" s="273">
        <v>3387786.5916402782</v>
      </c>
      <c r="I3" s="77">
        <v>668412628.76642191</v>
      </c>
      <c r="J3" s="332">
        <f>+I3/H3</f>
        <v>197.30068901500491</v>
      </c>
      <c r="K3" s="336">
        <f>+(J3 - G3)/G3</f>
        <v>7.3553024335000022E-2</v>
      </c>
      <c r="L3" s="334"/>
      <c r="M3" s="26" t="s">
        <v>483</v>
      </c>
      <c r="N3" s="25" t="s">
        <v>40</v>
      </c>
      <c r="O3" s="40" t="s">
        <v>40</v>
      </c>
      <c r="P3" s="168">
        <v>41.735770548579659</v>
      </c>
    </row>
    <row r="4" spans="1:18" x14ac:dyDescent="0.25">
      <c r="A4" s="43" t="s">
        <v>313</v>
      </c>
      <c r="B4" s="44" t="s">
        <v>4</v>
      </c>
      <c r="C4" s="44" t="s">
        <v>483</v>
      </c>
      <c r="D4" s="163">
        <v>2012</v>
      </c>
      <c r="E4" s="274">
        <v>687635.69619299995</v>
      </c>
      <c r="F4" s="3">
        <v>87009071.696870402</v>
      </c>
      <c r="G4" s="331">
        <f t="shared" ref="G4:G24" si="0">+F4/E4</f>
        <v>126.5336749947452</v>
      </c>
      <c r="H4" s="274">
        <v>687635.69168299995</v>
      </c>
      <c r="I4" s="3">
        <v>96381320.633687198</v>
      </c>
      <c r="J4" s="331">
        <f t="shared" ref="J4:J24" si="1">+I4/H4</f>
        <v>140.16334783000033</v>
      </c>
      <c r="K4" s="337">
        <f t="shared" ref="K4:K28" si="2">+(J4 - G4)/G4</f>
        <v>0.10771577475973222</v>
      </c>
      <c r="L4" s="334"/>
      <c r="M4" s="26" t="s">
        <v>483</v>
      </c>
      <c r="N4" s="26" t="s">
        <v>41</v>
      </c>
      <c r="O4" t="s">
        <v>41</v>
      </c>
      <c r="P4" s="68">
        <v>36.75615409209675</v>
      </c>
    </row>
    <row r="5" spans="1:18" x14ac:dyDescent="0.25">
      <c r="A5" s="43" t="s">
        <v>245</v>
      </c>
      <c r="B5" s="44" t="s">
        <v>5</v>
      </c>
      <c r="C5" s="44" t="s">
        <v>483</v>
      </c>
      <c r="D5" s="164">
        <v>2007</v>
      </c>
      <c r="E5" s="274">
        <v>3844806.6315187998</v>
      </c>
      <c r="F5" s="3">
        <v>600611358.98309863</v>
      </c>
      <c r="G5" s="331">
        <f t="shared" si="0"/>
        <v>156.2136712050565</v>
      </c>
      <c r="H5" s="274">
        <v>3844806.6381532219</v>
      </c>
      <c r="I5" s="3">
        <v>652518752.3326112</v>
      </c>
      <c r="J5" s="331">
        <f t="shared" si="1"/>
        <v>169.71432213455498</v>
      </c>
      <c r="K5" s="337">
        <f t="shared" si="2"/>
        <v>8.6424259959786878E-2</v>
      </c>
      <c r="L5" s="68"/>
      <c r="M5" s="26" t="s">
        <v>483</v>
      </c>
      <c r="N5" s="26" t="s">
        <v>42</v>
      </c>
      <c r="O5" t="s">
        <v>41</v>
      </c>
      <c r="P5" s="68">
        <v>36.75615409209675</v>
      </c>
    </row>
    <row r="6" spans="1:18" x14ac:dyDescent="0.25">
      <c r="A6" s="45" t="s">
        <v>57</v>
      </c>
      <c r="B6" s="44" t="s">
        <v>8</v>
      </c>
      <c r="C6" s="44" t="s">
        <v>483</v>
      </c>
      <c r="D6" s="165">
        <v>2003</v>
      </c>
      <c r="E6" s="274">
        <v>2530266.2000000002</v>
      </c>
      <c r="F6" s="3">
        <v>397019339.60977262</v>
      </c>
      <c r="G6" s="331">
        <f t="shared" si="0"/>
        <v>156.908130697779</v>
      </c>
      <c r="H6" s="274">
        <v>2530266.2322080499</v>
      </c>
      <c r="I6" s="3">
        <v>398196321.07820052</v>
      </c>
      <c r="J6" s="331">
        <f t="shared" si="1"/>
        <v>157.37328981808861</v>
      </c>
      <c r="K6" s="337">
        <f t="shared" si="2"/>
        <v>2.9645316545485537E-3</v>
      </c>
      <c r="L6" s="68"/>
      <c r="M6" s="26" t="s">
        <v>483</v>
      </c>
      <c r="N6" s="26" t="s">
        <v>43</v>
      </c>
      <c r="O6" t="s">
        <v>43</v>
      </c>
      <c r="P6" s="68">
        <v>37.756289888209217</v>
      </c>
    </row>
    <row r="7" spans="1:18" x14ac:dyDescent="0.25">
      <c r="A7" s="43" t="s">
        <v>72</v>
      </c>
      <c r="B7" s="44" t="s">
        <v>9</v>
      </c>
      <c r="C7" s="44" t="s">
        <v>483</v>
      </c>
      <c r="D7" s="163">
        <v>2002</v>
      </c>
      <c r="E7" s="274">
        <v>10769678.310126949</v>
      </c>
      <c r="F7" s="3">
        <v>2103734388.8513484</v>
      </c>
      <c r="G7" s="331">
        <f t="shared" si="0"/>
        <v>195.3386469188373</v>
      </c>
      <c r="H7" s="274">
        <v>10769678.14322013</v>
      </c>
      <c r="I7" s="3">
        <v>2453051119.139215</v>
      </c>
      <c r="J7" s="331">
        <f t="shared" si="1"/>
        <v>227.77385605376628</v>
      </c>
      <c r="K7" s="337">
        <f t="shared" si="2"/>
        <v>0.16604604181785762</v>
      </c>
      <c r="L7" s="68"/>
      <c r="M7" s="26" t="s">
        <v>483</v>
      </c>
      <c r="N7" s="26" t="s">
        <v>44</v>
      </c>
      <c r="O7" t="s">
        <v>44</v>
      </c>
      <c r="P7" s="68">
        <v>31.025380290225659</v>
      </c>
    </row>
    <row r="8" spans="1:18" x14ac:dyDescent="0.25">
      <c r="A8" s="43" t="s">
        <v>324</v>
      </c>
      <c r="B8" s="44" t="s">
        <v>10</v>
      </c>
      <c r="C8" s="44" t="s">
        <v>483</v>
      </c>
      <c r="D8" s="163">
        <v>2014</v>
      </c>
      <c r="E8" s="274">
        <v>628377.7550143</v>
      </c>
      <c r="F8" s="3">
        <v>81814590.365679875</v>
      </c>
      <c r="G8" s="331">
        <f t="shared" si="0"/>
        <v>130.19969232331914</v>
      </c>
      <c r="H8" s="274">
        <v>628377.76471605001</v>
      </c>
      <c r="I8" s="3">
        <v>86760645.495849743</v>
      </c>
      <c r="J8" s="331">
        <f t="shared" si="1"/>
        <v>138.070839497408</v>
      </c>
      <c r="K8" s="337">
        <f t="shared" si="2"/>
        <v>6.045442223121994E-2</v>
      </c>
      <c r="L8" s="68"/>
      <c r="M8" s="26" t="s">
        <v>483</v>
      </c>
      <c r="N8" s="26" t="s">
        <v>45</v>
      </c>
      <c r="O8" t="s">
        <v>45</v>
      </c>
      <c r="P8" s="68">
        <v>32.193520884293633</v>
      </c>
    </row>
    <row r="9" spans="1:18" x14ac:dyDescent="0.25">
      <c r="A9" s="45" t="s">
        <v>89</v>
      </c>
      <c r="B9" s="44" t="s">
        <v>12</v>
      </c>
      <c r="C9" s="44" t="s">
        <v>483</v>
      </c>
      <c r="D9" s="163">
        <v>2002</v>
      </c>
      <c r="E9" s="274">
        <v>18582398.700240999</v>
      </c>
      <c r="F9" s="3">
        <v>906698203.36924684</v>
      </c>
      <c r="G9" s="331">
        <f t="shared" si="0"/>
        <v>48.793388732827459</v>
      </c>
      <c r="H9" s="274">
        <v>18582399.23459756</v>
      </c>
      <c r="I9" s="3">
        <v>993963718.55668473</v>
      </c>
      <c r="J9" s="331">
        <f t="shared" si="1"/>
        <v>53.489525545553754</v>
      </c>
      <c r="K9" s="337">
        <f t="shared" si="2"/>
        <v>9.6245350747012251E-2</v>
      </c>
      <c r="L9" s="334"/>
      <c r="M9" s="26" t="s">
        <v>483</v>
      </c>
      <c r="N9" s="26" t="s">
        <v>46</v>
      </c>
      <c r="O9" t="s">
        <v>46</v>
      </c>
      <c r="P9" s="68">
        <v>35.985043853980912</v>
      </c>
      <c r="R9" s="326"/>
    </row>
    <row r="10" spans="1:18" x14ac:dyDescent="0.25">
      <c r="A10" s="43" t="s">
        <v>330</v>
      </c>
      <c r="B10" s="44" t="s">
        <v>13</v>
      </c>
      <c r="C10" s="44" t="s">
        <v>483</v>
      </c>
      <c r="D10" s="163">
        <v>2006</v>
      </c>
      <c r="E10" s="274">
        <v>22408575.160066999</v>
      </c>
      <c r="F10" s="3">
        <v>1413619202.1534948</v>
      </c>
      <c r="G10" s="331">
        <f t="shared" si="0"/>
        <v>63.08385035888503</v>
      </c>
      <c r="H10" s="274">
        <v>22408575.132307</v>
      </c>
      <c r="I10" s="3">
        <v>1612286022.265332</v>
      </c>
      <c r="J10" s="331">
        <f t="shared" si="1"/>
        <v>71.94951096827478</v>
      </c>
      <c r="K10" s="337">
        <f t="shared" si="2"/>
        <v>0.14053772176163734</v>
      </c>
      <c r="L10" s="68"/>
      <c r="M10" s="26" t="s">
        <v>483</v>
      </c>
      <c r="N10" s="26" t="s">
        <v>47</v>
      </c>
      <c r="O10" t="s">
        <v>47</v>
      </c>
      <c r="P10" s="68">
        <v>24.65096011003061</v>
      </c>
    </row>
    <row r="11" spans="1:18" x14ac:dyDescent="0.25">
      <c r="A11" s="43" t="s">
        <v>252</v>
      </c>
      <c r="B11" s="44" t="s">
        <v>14</v>
      </c>
      <c r="C11" s="44" t="s">
        <v>483</v>
      </c>
      <c r="D11" s="163">
        <v>2010</v>
      </c>
      <c r="E11" s="274">
        <v>15477738.2809228</v>
      </c>
      <c r="F11" s="3">
        <v>1738311042.9468551</v>
      </c>
      <c r="G11" s="331">
        <f t="shared" si="0"/>
        <v>112.31040423324789</v>
      </c>
      <c r="H11" s="274">
        <v>15477738.17070202</v>
      </c>
      <c r="I11" s="3">
        <v>1907839378.9548421</v>
      </c>
      <c r="J11" s="331">
        <f t="shared" si="1"/>
        <v>123.26344830966401</v>
      </c>
      <c r="K11" s="337">
        <f t="shared" si="2"/>
        <v>9.7524749832336791E-2</v>
      </c>
      <c r="L11" s="334"/>
      <c r="M11" s="26" t="s">
        <v>483</v>
      </c>
      <c r="N11" s="26" t="s">
        <v>48</v>
      </c>
      <c r="O11" t="s">
        <v>48</v>
      </c>
      <c r="P11" s="68">
        <v>32.666872132885437</v>
      </c>
    </row>
    <row r="12" spans="1:18" x14ac:dyDescent="0.25">
      <c r="A12" s="43" t="s">
        <v>323</v>
      </c>
      <c r="B12" s="44" t="s">
        <v>17</v>
      </c>
      <c r="C12" s="44" t="s">
        <v>483</v>
      </c>
      <c r="D12" s="163">
        <v>2008</v>
      </c>
      <c r="E12" s="274">
        <v>1909586.8791975901</v>
      </c>
      <c r="F12" s="3">
        <v>279266670.06684291</v>
      </c>
      <c r="G12" s="331">
        <f t="shared" si="0"/>
        <v>146.24454802715809</v>
      </c>
      <c r="H12" s="274">
        <v>1909586.8709076641</v>
      </c>
      <c r="I12" s="3">
        <v>313729209.98443592</v>
      </c>
      <c r="J12" s="331">
        <f t="shared" si="1"/>
        <v>164.29166683331576</v>
      </c>
      <c r="K12" s="337">
        <f t="shared" si="2"/>
        <v>0.12340370324647085</v>
      </c>
      <c r="L12" s="68"/>
      <c r="M12" s="26" t="s">
        <v>483</v>
      </c>
      <c r="N12" s="26" t="s">
        <v>423</v>
      </c>
      <c r="O12" t="s">
        <v>339</v>
      </c>
      <c r="P12" s="68">
        <v>19.468101265439572</v>
      </c>
    </row>
    <row r="13" spans="1:18" x14ac:dyDescent="0.25">
      <c r="A13" s="43" t="s">
        <v>246</v>
      </c>
      <c r="B13" s="44" t="s">
        <v>18</v>
      </c>
      <c r="C13" s="44" t="s">
        <v>483</v>
      </c>
      <c r="D13" s="163">
        <v>2012</v>
      </c>
      <c r="E13" s="274">
        <v>1983966.2912656211</v>
      </c>
      <c r="F13" s="3">
        <v>250389071.4377462</v>
      </c>
      <c r="G13" s="331">
        <f t="shared" si="0"/>
        <v>126.20631335324595</v>
      </c>
      <c r="H13" s="274">
        <v>1983966.2492139011</v>
      </c>
      <c r="I13" s="3">
        <v>266308737.99853569</v>
      </c>
      <c r="J13" s="331">
        <f t="shared" si="1"/>
        <v>134.2304780154673</v>
      </c>
      <c r="K13" s="337">
        <f t="shared" si="2"/>
        <v>6.3579740577335994E-2</v>
      </c>
      <c r="L13" s="68"/>
      <c r="M13" s="26" t="s">
        <v>483</v>
      </c>
      <c r="N13" s="26" t="s">
        <v>338</v>
      </c>
      <c r="O13" t="s">
        <v>339</v>
      </c>
      <c r="P13" s="68">
        <v>19.468101265439572</v>
      </c>
    </row>
    <row r="14" spans="1:18" x14ac:dyDescent="0.25">
      <c r="A14" s="43" t="s">
        <v>139</v>
      </c>
      <c r="B14" s="44" t="s">
        <v>19</v>
      </c>
      <c r="C14" s="44" t="s">
        <v>255</v>
      </c>
      <c r="D14" s="163">
        <v>2006</v>
      </c>
      <c r="E14" s="309">
        <v>697842</v>
      </c>
      <c r="F14" s="50">
        <v>62897520</v>
      </c>
      <c r="G14" s="331">
        <f t="shared" si="0"/>
        <v>90.131462422726059</v>
      </c>
      <c r="H14" s="275">
        <v>793316.8</v>
      </c>
      <c r="I14" s="50">
        <v>99927525.599999994</v>
      </c>
      <c r="J14" s="331">
        <f t="shared" si="1"/>
        <v>125.96169096633272</v>
      </c>
      <c r="K14" s="337">
        <f>+(J14 - G14)/G14</f>
        <v>0.39753297661541448</v>
      </c>
      <c r="L14" s="334"/>
      <c r="M14" s="26" t="s">
        <v>483</v>
      </c>
      <c r="N14" s="26" t="s">
        <v>340</v>
      </c>
      <c r="O14" t="s">
        <v>341</v>
      </c>
      <c r="P14" s="68">
        <v>23.377265187171339</v>
      </c>
    </row>
    <row r="15" spans="1:18" x14ac:dyDescent="0.25">
      <c r="A15" s="43" t="s">
        <v>141</v>
      </c>
      <c r="B15" s="44" t="s">
        <v>21</v>
      </c>
      <c r="C15" s="44" t="s">
        <v>483</v>
      </c>
      <c r="D15" s="163">
        <v>2005</v>
      </c>
      <c r="E15" s="274">
        <v>8670253.5012373794</v>
      </c>
      <c r="F15" s="3">
        <v>1011437026.768912</v>
      </c>
      <c r="G15" s="331">
        <f t="shared" si="0"/>
        <v>116.6559924256614</v>
      </c>
      <c r="H15" s="274">
        <v>8670253.5307252407</v>
      </c>
      <c r="I15" s="3">
        <v>1136772769.05604</v>
      </c>
      <c r="J15" s="331">
        <f t="shared" si="1"/>
        <v>131.11182562627468</v>
      </c>
      <c r="K15" s="337">
        <f t="shared" si="2"/>
        <v>0.12391847945423988</v>
      </c>
      <c r="L15" s="68"/>
      <c r="M15" s="26" t="s">
        <v>483</v>
      </c>
      <c r="N15" s="76" t="s">
        <v>429</v>
      </c>
      <c r="O15" t="s">
        <v>429</v>
      </c>
      <c r="P15" s="68">
        <v>27.317760910297309</v>
      </c>
    </row>
    <row r="16" spans="1:18" x14ac:dyDescent="0.25">
      <c r="A16" s="43" t="s">
        <v>248</v>
      </c>
      <c r="B16" s="44" t="s">
        <v>23</v>
      </c>
      <c r="C16" s="44" t="s">
        <v>483</v>
      </c>
      <c r="D16" s="163">
        <v>2010</v>
      </c>
      <c r="E16" s="274">
        <v>2200999.804517</v>
      </c>
      <c r="F16" s="3">
        <v>296395688.59521878</v>
      </c>
      <c r="G16" s="331">
        <f t="shared" si="0"/>
        <v>134.6641140026187</v>
      </c>
      <c r="H16" s="274">
        <v>2200999.8045359999</v>
      </c>
      <c r="I16" s="3">
        <v>336393129.80942422</v>
      </c>
      <c r="J16" s="331">
        <f t="shared" si="1"/>
        <v>152.83651053314853</v>
      </c>
      <c r="K16" s="337">
        <f t="shared" si="2"/>
        <v>0.1349460965538038</v>
      </c>
      <c r="L16" s="68"/>
      <c r="M16" s="26" t="s">
        <v>483</v>
      </c>
      <c r="N16" s="76" t="s">
        <v>430</v>
      </c>
      <c r="O16" t="s">
        <v>430</v>
      </c>
      <c r="P16" s="68">
        <v>28.131345476232539</v>
      </c>
    </row>
    <row r="17" spans="1:16" x14ac:dyDescent="0.25">
      <c r="A17" s="43" t="s">
        <v>247</v>
      </c>
      <c r="B17" s="44" t="s">
        <v>25</v>
      </c>
      <c r="C17" s="44" t="s">
        <v>483</v>
      </c>
      <c r="D17" s="163">
        <v>2011</v>
      </c>
      <c r="E17" s="274">
        <v>3410789.566143</v>
      </c>
      <c r="F17" s="3">
        <v>369283580.16492212</v>
      </c>
      <c r="G17" s="331">
        <f t="shared" si="0"/>
        <v>108.2692359067219</v>
      </c>
      <c r="H17" s="274">
        <v>3410789.590479</v>
      </c>
      <c r="I17" s="3">
        <v>397728525.33291101</v>
      </c>
      <c r="J17" s="331">
        <f t="shared" si="1"/>
        <v>116.60893021461794</v>
      </c>
      <c r="K17" s="337">
        <f t="shared" si="2"/>
        <v>7.7027368282907308E-2</v>
      </c>
      <c r="L17" s="68"/>
      <c r="M17" s="26" t="s">
        <v>483</v>
      </c>
      <c r="N17" s="76" t="s">
        <v>431</v>
      </c>
      <c r="O17" t="s">
        <v>431</v>
      </c>
      <c r="P17" s="68">
        <v>27.902570081183249</v>
      </c>
    </row>
    <row r="18" spans="1:16" x14ac:dyDescent="0.25">
      <c r="A18" s="43" t="s">
        <v>152</v>
      </c>
      <c r="B18" s="44" t="s">
        <v>29</v>
      </c>
      <c r="C18" s="44" t="s">
        <v>483</v>
      </c>
      <c r="D18" s="163">
        <v>2013</v>
      </c>
      <c r="E18" s="274">
        <v>368041.32946392999</v>
      </c>
      <c r="F18" s="3">
        <v>46428490.482437797</v>
      </c>
      <c r="G18" s="331">
        <f t="shared" si="0"/>
        <v>126.15020859223377</v>
      </c>
      <c r="H18" s="274">
        <v>368041.288773596</v>
      </c>
      <c r="I18" s="3">
        <v>45063403.950291418</v>
      </c>
      <c r="J18" s="331">
        <f t="shared" si="1"/>
        <v>122.44116441514959</v>
      </c>
      <c r="K18" s="337">
        <f t="shared" si="2"/>
        <v>-2.9401807721723593E-2</v>
      </c>
      <c r="L18" s="68"/>
      <c r="M18" s="26" t="s">
        <v>483</v>
      </c>
      <c r="N18" s="76" t="s">
        <v>432</v>
      </c>
      <c r="O18" t="s">
        <v>432</v>
      </c>
      <c r="P18" s="68">
        <v>28.944273086433579</v>
      </c>
    </row>
    <row r="19" spans="1:16" x14ac:dyDescent="0.25">
      <c r="A19" s="43" t="s">
        <v>249</v>
      </c>
      <c r="B19" s="44" t="s">
        <v>31</v>
      </c>
      <c r="C19" s="44" t="s">
        <v>483</v>
      </c>
      <c r="D19" s="163">
        <v>2012</v>
      </c>
      <c r="E19" s="274">
        <v>9300396.0001720004</v>
      </c>
      <c r="F19" s="3">
        <v>1369735272.4755771</v>
      </c>
      <c r="G19" s="331">
        <f t="shared" si="0"/>
        <v>147.27709147548615</v>
      </c>
      <c r="H19" s="274">
        <v>9300395.9311600998</v>
      </c>
      <c r="I19" s="3">
        <v>1476612440.5757821</v>
      </c>
      <c r="J19" s="331">
        <f t="shared" si="1"/>
        <v>158.76877194319559</v>
      </c>
      <c r="K19" s="337">
        <f t="shared" si="2"/>
        <v>7.8027616872256067E-2</v>
      </c>
      <c r="L19" s="68"/>
      <c r="M19" s="26" t="s">
        <v>483</v>
      </c>
      <c r="N19" s="76" t="s">
        <v>433</v>
      </c>
      <c r="O19" t="s">
        <v>433</v>
      </c>
      <c r="P19" s="68">
        <v>40.662280386583276</v>
      </c>
    </row>
    <row r="20" spans="1:16" x14ac:dyDescent="0.25">
      <c r="A20" s="43" t="s">
        <v>199</v>
      </c>
      <c r="B20" s="44" t="s">
        <v>32</v>
      </c>
      <c r="C20" s="44" t="s">
        <v>483</v>
      </c>
      <c r="D20" s="163">
        <v>2015</v>
      </c>
      <c r="E20" s="274">
        <v>4369258.1067803996</v>
      </c>
      <c r="F20" s="3">
        <v>292614428.72932804</v>
      </c>
      <c r="G20" s="331">
        <f t="shared" si="0"/>
        <v>66.971193181569333</v>
      </c>
      <c r="H20" s="274">
        <v>4369258.1809785198</v>
      </c>
      <c r="I20" s="3">
        <v>316435302.90233862</v>
      </c>
      <c r="J20" s="331">
        <f t="shared" si="1"/>
        <v>72.423118478082515</v>
      </c>
      <c r="K20" s="337">
        <f t="shared" si="2"/>
        <v>8.1407020504057057E-2</v>
      </c>
      <c r="L20" s="334"/>
      <c r="M20" s="26" t="s">
        <v>483</v>
      </c>
      <c r="N20" s="76" t="s">
        <v>434</v>
      </c>
      <c r="O20" t="s">
        <v>434</v>
      </c>
      <c r="P20" s="68">
        <v>39.02791267067829</v>
      </c>
    </row>
    <row r="21" spans="1:16" x14ac:dyDescent="0.25">
      <c r="A21" s="43" t="s">
        <v>205</v>
      </c>
      <c r="B21" s="44" t="s">
        <v>33</v>
      </c>
      <c r="C21" s="44" t="s">
        <v>483</v>
      </c>
      <c r="D21" s="163">
        <v>2011</v>
      </c>
      <c r="E21" s="274">
        <v>6939290.6066191001</v>
      </c>
      <c r="F21" s="3">
        <v>977509936.02164555</v>
      </c>
      <c r="G21" s="331">
        <f t="shared" si="0"/>
        <v>140.86597484319788</v>
      </c>
      <c r="H21" s="274">
        <v>6939290.5425866703</v>
      </c>
      <c r="I21" s="3">
        <v>1135422290.59534</v>
      </c>
      <c r="J21" s="331">
        <f t="shared" si="1"/>
        <v>163.62224403593041</v>
      </c>
      <c r="K21" s="337">
        <f t="shared" si="2"/>
        <v>0.16154553445616102</v>
      </c>
      <c r="L21" s="68"/>
      <c r="M21" s="26" t="s">
        <v>602</v>
      </c>
      <c r="N21" s="26" t="s">
        <v>50</v>
      </c>
      <c r="O21" t="s">
        <v>635</v>
      </c>
      <c r="P21" s="68">
        <v>27.764757255901589</v>
      </c>
    </row>
    <row r="22" spans="1:16" ht="14.25" customHeight="1" x14ac:dyDescent="0.25">
      <c r="A22" s="43" t="s">
        <v>210</v>
      </c>
      <c r="B22" s="44" t="s">
        <v>34</v>
      </c>
      <c r="C22" s="44" t="s">
        <v>483</v>
      </c>
      <c r="D22" s="163">
        <v>2011</v>
      </c>
      <c r="E22" s="274">
        <v>27861270.567098498</v>
      </c>
      <c r="F22" s="3">
        <v>2123427780.5126929</v>
      </c>
      <c r="G22" s="331">
        <f t="shared" si="0"/>
        <v>76.214319637678642</v>
      </c>
      <c r="H22" s="274">
        <v>27861270.610079899</v>
      </c>
      <c r="I22" s="3">
        <v>2216731555.2313728</v>
      </c>
      <c r="J22" s="331">
        <f t="shared" si="1"/>
        <v>79.56318957073637</v>
      </c>
      <c r="K22" s="337">
        <f t="shared" si="2"/>
        <v>4.3940167005074485E-2</v>
      </c>
      <c r="L22" s="68"/>
      <c r="M22" s="26" t="s">
        <v>602</v>
      </c>
      <c r="N22" s="26" t="s">
        <v>51</v>
      </c>
      <c r="O22" t="s">
        <v>636</v>
      </c>
      <c r="P22" s="68">
        <v>56.832106798058341</v>
      </c>
    </row>
    <row r="23" spans="1:16" x14ac:dyDescent="0.25">
      <c r="A23" s="43" t="s">
        <v>250</v>
      </c>
      <c r="B23" s="44" t="s">
        <v>36</v>
      </c>
      <c r="C23" s="44" t="s">
        <v>483</v>
      </c>
      <c r="D23" s="163">
        <v>2006</v>
      </c>
      <c r="E23" s="274">
        <v>1908074.9679821001</v>
      </c>
      <c r="F23" s="3">
        <v>319813742.36340809</v>
      </c>
      <c r="G23" s="331">
        <f t="shared" si="0"/>
        <v>167.61067973216464</v>
      </c>
      <c r="H23" s="274">
        <v>1908075.0078318</v>
      </c>
      <c r="I23" s="3">
        <v>344520654.97261602</v>
      </c>
      <c r="J23" s="331">
        <f t="shared" si="1"/>
        <v>180.5592828156712</v>
      </c>
      <c r="K23" s="337">
        <f t="shared" si="2"/>
        <v>7.7254045530976423E-2</v>
      </c>
      <c r="L23" s="68"/>
      <c r="M23" s="26" t="s">
        <v>602</v>
      </c>
      <c r="N23" s="26" t="s">
        <v>52</v>
      </c>
      <c r="O23" t="s">
        <v>637</v>
      </c>
      <c r="P23" s="68">
        <v>56.600644879779907</v>
      </c>
    </row>
    <row r="24" spans="1:16" x14ac:dyDescent="0.25">
      <c r="A24" s="43" t="s">
        <v>251</v>
      </c>
      <c r="B24" t="s">
        <v>35</v>
      </c>
      <c r="C24" s="44" t="s">
        <v>483</v>
      </c>
      <c r="D24" s="163">
        <v>2012</v>
      </c>
      <c r="E24" s="308">
        <v>1209549.5791499</v>
      </c>
      <c r="F24" s="24">
        <v>235816776.42771021</v>
      </c>
      <c r="G24" s="333">
        <f t="shared" si="0"/>
        <v>194.96247238864552</v>
      </c>
      <c r="H24" s="308">
        <v>1209549.5851316999</v>
      </c>
      <c r="I24" s="24">
        <v>242326072.3573679</v>
      </c>
      <c r="J24" s="333">
        <f t="shared" si="1"/>
        <v>200.34405809910027</v>
      </c>
      <c r="K24" s="338">
        <f t="shared" si="2"/>
        <v>2.7603187652067152E-2</v>
      </c>
      <c r="L24" s="68"/>
      <c r="M24" s="26" t="s">
        <v>602</v>
      </c>
      <c r="N24" s="26" t="s">
        <v>53</v>
      </c>
      <c r="O24" t="s">
        <v>350</v>
      </c>
      <c r="P24" s="68">
        <v>50.924921106055898</v>
      </c>
    </row>
    <row r="25" spans="1:16" x14ac:dyDescent="0.25">
      <c r="A25" s="69" t="s">
        <v>49</v>
      </c>
      <c r="B25" s="40" t="s">
        <v>6</v>
      </c>
      <c r="C25" s="271" t="s">
        <v>484</v>
      </c>
      <c r="D25" s="162">
        <v>2005</v>
      </c>
      <c r="E25" s="274">
        <v>1217520</v>
      </c>
      <c r="F25" s="31">
        <f>114121600 / 0.47</f>
        <v>242811914.89361703</v>
      </c>
      <c r="G25" s="331">
        <f>+F25/E25</f>
        <v>199.43156161181503</v>
      </c>
      <c r="H25" s="273">
        <v>1269110</v>
      </c>
      <c r="I25" s="342">
        <f>122507000 / 0.47</f>
        <v>260653191.4893617</v>
      </c>
      <c r="J25" s="332">
        <f>+I25/H25</f>
        <v>205.38266303894989</v>
      </c>
      <c r="K25" s="339">
        <f>+(J25 - G25)/G25</f>
        <v>2.9840319049992809E-2</v>
      </c>
      <c r="L25" s="89"/>
      <c r="M25" s="26" t="s">
        <v>602</v>
      </c>
      <c r="N25" s="26" t="s">
        <v>54</v>
      </c>
      <c r="O25" t="s">
        <v>638</v>
      </c>
      <c r="P25" s="68">
        <v>33.726495985547118</v>
      </c>
    </row>
    <row r="26" spans="1:16" x14ac:dyDescent="0.25">
      <c r="A26" s="43" t="s">
        <v>140</v>
      </c>
      <c r="B26" t="s">
        <v>20</v>
      </c>
      <c r="C26" s="272" t="s">
        <v>484</v>
      </c>
      <c r="D26" s="20">
        <v>2010</v>
      </c>
      <c r="E26" s="274">
        <v>44666.0600702343</v>
      </c>
      <c r="F26" s="31">
        <f>349094.780122276/0.47</f>
        <v>742754.85132399155</v>
      </c>
      <c r="G26" s="331">
        <f>+F26/E26</f>
        <v>16.629065786327711</v>
      </c>
      <c r="H26" s="274">
        <v>51350.565914557003</v>
      </c>
      <c r="I26" s="31">
        <f>607365.625629157/0.47</f>
        <v>1292267.2885726744</v>
      </c>
      <c r="J26" s="331">
        <f>+I26/H26</f>
        <v>25.165590009716695</v>
      </c>
      <c r="K26" s="340">
        <f t="shared" si="2"/>
        <v>0.51334959720994355</v>
      </c>
      <c r="L26" s="89"/>
      <c r="M26" s="26" t="s">
        <v>602</v>
      </c>
      <c r="N26" s="26" t="s">
        <v>55</v>
      </c>
      <c r="O26" t="s">
        <v>639</v>
      </c>
      <c r="P26" s="68">
        <v>43.809373190713991</v>
      </c>
    </row>
    <row r="27" spans="1:16" x14ac:dyDescent="0.25">
      <c r="A27" s="43" t="s">
        <v>327</v>
      </c>
      <c r="B27" t="s">
        <v>37</v>
      </c>
      <c r="C27" s="272" t="s">
        <v>484</v>
      </c>
      <c r="D27" s="20">
        <v>2010</v>
      </c>
      <c r="E27" s="274">
        <v>2713000</v>
      </c>
      <c r="F27" s="31">
        <f>182900000 / 0.47</f>
        <v>389148936.17021281</v>
      </c>
      <c r="G27" s="331">
        <f>+F27/E27</f>
        <v>143.43860529679793</v>
      </c>
      <c r="H27" s="274">
        <v>2720000</v>
      </c>
      <c r="I27" s="31">
        <f>185300000/0.47</f>
        <v>394255319.14893621</v>
      </c>
      <c r="J27" s="331">
        <f>+I27/H27</f>
        <v>144.94680851063831</v>
      </c>
      <c r="K27" s="340">
        <f>+(J27 - G27)/G27</f>
        <v>1.0514625478403499E-2</v>
      </c>
      <c r="L27" s="89"/>
      <c r="M27" s="26" t="s">
        <v>602</v>
      </c>
      <c r="N27" s="26" t="s">
        <v>56</v>
      </c>
      <c r="O27" t="s">
        <v>640</v>
      </c>
      <c r="P27" s="68">
        <v>37.007313118941099</v>
      </c>
    </row>
    <row r="28" spans="1:16" x14ac:dyDescent="0.25">
      <c r="A28" s="306" t="s">
        <v>165</v>
      </c>
      <c r="B28" t="s">
        <v>30</v>
      </c>
      <c r="C28" s="272" t="s">
        <v>484</v>
      </c>
      <c r="D28" s="20">
        <v>2010</v>
      </c>
      <c r="E28" s="309">
        <v>12102000</v>
      </c>
      <c r="F28" s="270">
        <f>345900000/0.47</f>
        <v>735957446.80851066</v>
      </c>
      <c r="G28" s="331">
        <f>+F28/E28</f>
        <v>60.812877772972293</v>
      </c>
      <c r="H28" s="275">
        <v>12180000</v>
      </c>
      <c r="I28" s="270">
        <f>390700000/0.47</f>
        <v>831276595.74468088</v>
      </c>
      <c r="J28" s="331">
        <f>+I28/H28</f>
        <v>68.249309995458205</v>
      </c>
      <c r="K28" s="340">
        <f t="shared" si="2"/>
        <v>0.12228384011438716</v>
      </c>
      <c r="L28" s="89"/>
      <c r="M28" s="26" t="s">
        <v>483</v>
      </c>
      <c r="N28" s="26" t="s">
        <v>58</v>
      </c>
      <c r="O28" t="s">
        <v>342</v>
      </c>
      <c r="P28" s="68">
        <v>27.270377125271281</v>
      </c>
    </row>
    <row r="29" spans="1:16" x14ac:dyDescent="0.25">
      <c r="A29" s="59" t="s">
        <v>454</v>
      </c>
      <c r="B29" s="23" t="s">
        <v>16</v>
      </c>
      <c r="C29" s="61" t="s">
        <v>484</v>
      </c>
      <c r="D29" s="67">
        <v>2020</v>
      </c>
      <c r="E29" s="312"/>
      <c r="F29" s="51"/>
      <c r="G29" s="49"/>
      <c r="H29" s="276"/>
      <c r="I29" s="53"/>
      <c r="J29" s="277"/>
      <c r="K29" s="341">
        <v>0</v>
      </c>
      <c r="M29" s="26" t="s">
        <v>483</v>
      </c>
      <c r="N29" s="26" t="s">
        <v>59</v>
      </c>
      <c r="O29" t="s">
        <v>343</v>
      </c>
      <c r="P29" s="68">
        <v>38.579384707653617</v>
      </c>
    </row>
    <row r="30" spans="1:16" x14ac:dyDescent="0.25">
      <c r="G30" s="46"/>
      <c r="H30" s="46"/>
      <c r="I30" s="46"/>
      <c r="J30" s="46"/>
      <c r="M30" s="26" t="s">
        <v>483</v>
      </c>
      <c r="N30" s="26" t="s">
        <v>60</v>
      </c>
      <c r="O30" t="s">
        <v>344</v>
      </c>
      <c r="P30" s="68">
        <v>39.655922898267193</v>
      </c>
    </row>
    <row r="31" spans="1:16" x14ac:dyDescent="0.25">
      <c r="F31" s="335"/>
      <c r="G31" s="14"/>
      <c r="J31" s="14"/>
      <c r="K31" s="326"/>
      <c r="M31" s="26" t="s">
        <v>483</v>
      </c>
      <c r="N31" s="26" t="s">
        <v>61</v>
      </c>
      <c r="O31" t="s">
        <v>344</v>
      </c>
      <c r="P31" s="68">
        <v>39.655922898267193</v>
      </c>
    </row>
    <row r="32" spans="1:16" x14ac:dyDescent="0.25">
      <c r="H32" s="52"/>
      <c r="J32" s="17"/>
      <c r="K32" s="17"/>
      <c r="M32" s="26" t="s">
        <v>483</v>
      </c>
      <c r="N32" s="26" t="s">
        <v>62</v>
      </c>
      <c r="O32" t="s">
        <v>345</v>
      </c>
      <c r="P32" s="68">
        <v>39.38005362857443</v>
      </c>
    </row>
    <row r="33" spans="2:16" x14ac:dyDescent="0.25">
      <c r="E33" s="50"/>
      <c r="K33" s="3"/>
      <c r="M33" s="26" t="s">
        <v>483</v>
      </c>
      <c r="N33" s="26" t="s">
        <v>63</v>
      </c>
      <c r="O33" t="s">
        <v>345</v>
      </c>
      <c r="P33" s="68">
        <v>39.38005362857443</v>
      </c>
    </row>
    <row r="34" spans="2:16" x14ac:dyDescent="0.25">
      <c r="B34" s="72"/>
      <c r="C34" s="72"/>
      <c r="D34" s="20"/>
      <c r="J34" s="12"/>
      <c r="K34" s="54"/>
      <c r="M34" s="26" t="s">
        <v>483</v>
      </c>
      <c r="N34" s="26" t="s">
        <v>64</v>
      </c>
      <c r="O34" t="s">
        <v>346</v>
      </c>
      <c r="P34" s="68">
        <v>40.051133764702797</v>
      </c>
    </row>
    <row r="35" spans="2:16" x14ac:dyDescent="0.25">
      <c r="B35" s="72"/>
      <c r="C35" s="72"/>
      <c r="D35" s="20"/>
      <c r="I35" s="4"/>
      <c r="J35" s="12"/>
      <c r="M35" s="26" t="s">
        <v>483</v>
      </c>
      <c r="N35" s="26" t="s">
        <v>65</v>
      </c>
      <c r="O35" t="s">
        <v>346</v>
      </c>
      <c r="P35" s="68">
        <v>40.051133764702797</v>
      </c>
    </row>
    <row r="36" spans="2:16" x14ac:dyDescent="0.25">
      <c r="B36" s="72"/>
      <c r="C36" s="72"/>
      <c r="D36" s="20"/>
      <c r="E36" s="3"/>
      <c r="F36" s="3"/>
      <c r="G36" s="12"/>
      <c r="H36" s="4"/>
      <c r="I36" s="4"/>
      <c r="J36" s="12"/>
      <c r="M36" s="26" t="s">
        <v>483</v>
      </c>
      <c r="N36" s="26" t="s">
        <v>66</v>
      </c>
      <c r="O36" t="s">
        <v>346</v>
      </c>
      <c r="P36" s="68">
        <v>40.051133764702797</v>
      </c>
    </row>
    <row r="37" spans="2:16" x14ac:dyDescent="0.25">
      <c r="E37" s="6"/>
      <c r="F37" s="6"/>
      <c r="H37" s="6"/>
      <c r="I37" s="6"/>
      <c r="M37" s="26" t="s">
        <v>483</v>
      </c>
      <c r="N37" s="26" t="s">
        <v>67</v>
      </c>
      <c r="O37" t="s">
        <v>347</v>
      </c>
      <c r="P37" s="68">
        <v>39.449696308017181</v>
      </c>
    </row>
    <row r="38" spans="2:16" x14ac:dyDescent="0.25">
      <c r="B38" s="73"/>
      <c r="C38" s="73"/>
      <c r="D38" s="20"/>
      <c r="E38" s="3"/>
      <c r="F38" s="3"/>
      <c r="G38" s="14"/>
      <c r="H38" s="4"/>
      <c r="I38" s="4"/>
      <c r="J38" s="14"/>
      <c r="M38" s="26" t="s">
        <v>483</v>
      </c>
      <c r="N38" s="26" t="s">
        <v>68</v>
      </c>
      <c r="O38" t="s">
        <v>347</v>
      </c>
      <c r="P38" s="68">
        <v>39.449696308017181</v>
      </c>
    </row>
    <row r="39" spans="2:16" x14ac:dyDescent="0.25">
      <c r="B39" s="73"/>
      <c r="C39" s="73"/>
      <c r="D39" s="20"/>
      <c r="E39" s="4"/>
      <c r="F39" s="4"/>
      <c r="G39" s="14"/>
      <c r="H39" s="4"/>
      <c r="I39" s="4"/>
      <c r="J39" s="14"/>
      <c r="M39" s="26" t="s">
        <v>483</v>
      </c>
      <c r="N39" s="26" t="s">
        <v>69</v>
      </c>
      <c r="O39" t="s">
        <v>348</v>
      </c>
      <c r="P39" s="68">
        <v>38.761612174235559</v>
      </c>
    </row>
    <row r="40" spans="2:16" x14ac:dyDescent="0.25">
      <c r="B40" s="73"/>
      <c r="C40" s="73"/>
      <c r="D40" s="20"/>
      <c r="E40" s="4"/>
      <c r="F40" s="4"/>
      <c r="G40" s="14"/>
      <c r="H40" s="4"/>
      <c r="I40" s="4"/>
      <c r="J40" s="14"/>
      <c r="M40" s="26" t="s">
        <v>483</v>
      </c>
      <c r="N40" s="26" t="s">
        <v>70</v>
      </c>
      <c r="O40" t="s">
        <v>348</v>
      </c>
      <c r="P40" s="68">
        <v>38.761612174235559</v>
      </c>
    </row>
    <row r="41" spans="2:16" x14ac:dyDescent="0.25">
      <c r="B41" s="1"/>
      <c r="C41" s="1"/>
      <c r="M41" s="26" t="s">
        <v>483</v>
      </c>
      <c r="N41" s="26" t="s">
        <v>71</v>
      </c>
      <c r="O41" t="s">
        <v>349</v>
      </c>
      <c r="P41" s="68">
        <v>37.766472639298428</v>
      </c>
    </row>
    <row r="42" spans="2:16" x14ac:dyDescent="0.25">
      <c r="B42" s="1"/>
      <c r="C42" s="1"/>
      <c r="M42" s="26" t="s">
        <v>483</v>
      </c>
      <c r="N42" s="26" t="s">
        <v>73</v>
      </c>
      <c r="O42" t="s">
        <v>350</v>
      </c>
      <c r="P42" s="68">
        <v>50.924921106055898</v>
      </c>
    </row>
    <row r="43" spans="2:16" x14ac:dyDescent="0.25">
      <c r="B43" s="1"/>
      <c r="C43" s="1"/>
      <c r="M43" s="26" t="s">
        <v>483</v>
      </c>
      <c r="N43" s="26" t="s">
        <v>74</v>
      </c>
      <c r="O43" t="s">
        <v>351</v>
      </c>
      <c r="P43" s="68">
        <v>54.183336930950823</v>
      </c>
    </row>
    <row r="44" spans="2:16" x14ac:dyDescent="0.25">
      <c r="B44" s="1"/>
      <c r="C44" s="1"/>
      <c r="M44" s="26" t="s">
        <v>483</v>
      </c>
      <c r="N44" s="26" t="s">
        <v>75</v>
      </c>
      <c r="O44" t="s">
        <v>352</v>
      </c>
      <c r="P44" s="68">
        <v>35.801690151002219</v>
      </c>
    </row>
    <row r="45" spans="2:16" x14ac:dyDescent="0.25">
      <c r="B45" s="1"/>
      <c r="C45" s="1"/>
      <c r="M45" s="26" t="s">
        <v>483</v>
      </c>
      <c r="N45" s="26" t="s">
        <v>76</v>
      </c>
      <c r="O45" t="s">
        <v>352</v>
      </c>
      <c r="P45" s="68">
        <v>35.801690151002219</v>
      </c>
    </row>
    <row r="46" spans="2:16" x14ac:dyDescent="0.25">
      <c r="M46" s="26" t="s">
        <v>483</v>
      </c>
      <c r="N46" s="26" t="s">
        <v>77</v>
      </c>
      <c r="O46" t="s">
        <v>355</v>
      </c>
      <c r="P46" s="68">
        <v>37.306543601267038</v>
      </c>
    </row>
    <row r="47" spans="2:16" x14ac:dyDescent="0.25">
      <c r="J47" s="293"/>
      <c r="K47" s="307"/>
      <c r="M47" s="26" t="s">
        <v>483</v>
      </c>
      <c r="N47" s="26" t="s">
        <v>78</v>
      </c>
      <c r="O47" t="s">
        <v>355</v>
      </c>
      <c r="P47" s="68">
        <v>37.306543601267038</v>
      </c>
    </row>
    <row r="48" spans="2:16" x14ac:dyDescent="0.25">
      <c r="J48" s="47"/>
      <c r="M48" s="26" t="s">
        <v>483</v>
      </c>
      <c r="N48" s="26" t="s">
        <v>79</v>
      </c>
      <c r="O48" t="s">
        <v>353</v>
      </c>
      <c r="P48" s="68">
        <v>50.092937939371602</v>
      </c>
    </row>
    <row r="49" spans="13:16" x14ac:dyDescent="0.25">
      <c r="M49" s="26" t="s">
        <v>483</v>
      </c>
      <c r="N49" s="26" t="s">
        <v>80</v>
      </c>
      <c r="O49" t="s">
        <v>354</v>
      </c>
      <c r="P49" s="68">
        <v>48.150932320015592</v>
      </c>
    </row>
    <row r="50" spans="13:16" x14ac:dyDescent="0.25">
      <c r="M50" s="26" t="s">
        <v>483</v>
      </c>
      <c r="N50" s="26" t="s">
        <v>81</v>
      </c>
      <c r="O50" t="s">
        <v>355</v>
      </c>
      <c r="P50" s="68">
        <v>37.306543601267038</v>
      </c>
    </row>
    <row r="51" spans="13:16" x14ac:dyDescent="0.25">
      <c r="M51" s="26" t="s">
        <v>483</v>
      </c>
      <c r="N51" s="26" t="s">
        <v>82</v>
      </c>
      <c r="O51" t="s">
        <v>356</v>
      </c>
      <c r="P51" s="68">
        <v>49.569909758664167</v>
      </c>
    </row>
    <row r="52" spans="13:16" x14ac:dyDescent="0.25">
      <c r="M52" s="26" t="s">
        <v>483</v>
      </c>
      <c r="N52" s="26" t="s">
        <v>83</v>
      </c>
      <c r="O52" t="s">
        <v>357</v>
      </c>
      <c r="P52" s="68">
        <v>48.422492557538149</v>
      </c>
    </row>
    <row r="53" spans="13:16" x14ac:dyDescent="0.25">
      <c r="M53" s="26" t="s">
        <v>483</v>
      </c>
      <c r="N53" s="26" t="s">
        <v>84</v>
      </c>
      <c r="O53" t="s">
        <v>358</v>
      </c>
      <c r="P53" s="68">
        <v>55.274089423497799</v>
      </c>
    </row>
    <row r="54" spans="13:16" x14ac:dyDescent="0.25">
      <c r="M54" s="26" t="s">
        <v>483</v>
      </c>
      <c r="N54" s="26" t="s">
        <v>85</v>
      </c>
      <c r="O54" t="s">
        <v>359</v>
      </c>
      <c r="P54" s="68">
        <v>47.521441326524233</v>
      </c>
    </row>
    <row r="55" spans="13:16" x14ac:dyDescent="0.25">
      <c r="M55" s="26" t="s">
        <v>483</v>
      </c>
      <c r="N55" s="26" t="s">
        <v>86</v>
      </c>
      <c r="O55" t="s">
        <v>360</v>
      </c>
      <c r="P55" s="68">
        <v>31.621816604998148</v>
      </c>
    </row>
    <row r="56" spans="13:16" x14ac:dyDescent="0.25">
      <c r="M56" s="26" t="s">
        <v>483</v>
      </c>
      <c r="N56" s="26" t="s">
        <v>87</v>
      </c>
      <c r="O56" t="s">
        <v>361</v>
      </c>
      <c r="P56" s="68">
        <v>36.279243223288717</v>
      </c>
    </row>
    <row r="57" spans="13:16" x14ac:dyDescent="0.25">
      <c r="M57" s="26" t="s">
        <v>483</v>
      </c>
      <c r="N57" s="26" t="s">
        <v>88</v>
      </c>
      <c r="O57" t="s">
        <v>362</v>
      </c>
      <c r="P57" s="68">
        <v>39.366175160405227</v>
      </c>
    </row>
    <row r="58" spans="13:16" x14ac:dyDescent="0.25">
      <c r="M58" s="26" t="s">
        <v>483</v>
      </c>
      <c r="N58" s="107" t="s">
        <v>470</v>
      </c>
      <c r="O58" t="s">
        <v>446</v>
      </c>
      <c r="P58" s="68">
        <v>27.553291735757519</v>
      </c>
    </row>
    <row r="59" spans="13:16" x14ac:dyDescent="0.25">
      <c r="M59" s="26" t="s">
        <v>483</v>
      </c>
      <c r="N59" s="107" t="s">
        <v>471</v>
      </c>
      <c r="O59" t="s">
        <v>446</v>
      </c>
      <c r="P59" s="68">
        <v>27.553291735757519</v>
      </c>
    </row>
    <row r="60" spans="13:16" x14ac:dyDescent="0.25">
      <c r="M60" s="26" t="s">
        <v>483</v>
      </c>
      <c r="N60" s="107" t="s">
        <v>472</v>
      </c>
      <c r="O60" t="s">
        <v>446</v>
      </c>
      <c r="P60" s="68">
        <v>27.553291735757519</v>
      </c>
    </row>
    <row r="61" spans="13:16" x14ac:dyDescent="0.25">
      <c r="M61" s="26" t="s">
        <v>483</v>
      </c>
      <c r="N61" s="107" t="s">
        <v>473</v>
      </c>
      <c r="O61" t="s">
        <v>446</v>
      </c>
      <c r="P61" s="68">
        <v>27.553291735757519</v>
      </c>
    </row>
    <row r="62" spans="13:16" x14ac:dyDescent="0.25">
      <c r="M62" s="26" t="s">
        <v>483</v>
      </c>
      <c r="N62" s="107" t="s">
        <v>474</v>
      </c>
      <c r="O62" t="s">
        <v>447</v>
      </c>
      <c r="P62" s="68">
        <v>27.193471759517021</v>
      </c>
    </row>
    <row r="63" spans="13:16" x14ac:dyDescent="0.25">
      <c r="M63" s="26" t="s">
        <v>483</v>
      </c>
      <c r="N63" s="107" t="s">
        <v>475</v>
      </c>
      <c r="O63" t="s">
        <v>447</v>
      </c>
      <c r="P63" s="68">
        <v>27.193471759517021</v>
      </c>
    </row>
    <row r="64" spans="13:16" x14ac:dyDescent="0.25">
      <c r="M64" s="26" t="s">
        <v>483</v>
      </c>
      <c r="N64" s="107" t="s">
        <v>476</v>
      </c>
      <c r="O64" t="s">
        <v>448</v>
      </c>
      <c r="P64" s="68">
        <v>22.03669962235675</v>
      </c>
    </row>
    <row r="65" spans="13:16" x14ac:dyDescent="0.25">
      <c r="M65" s="26" t="s">
        <v>483</v>
      </c>
      <c r="N65" s="107" t="s">
        <v>477</v>
      </c>
      <c r="O65" t="s">
        <v>448</v>
      </c>
      <c r="P65" s="68">
        <v>22.03669962235675</v>
      </c>
    </row>
    <row r="66" spans="13:16" x14ac:dyDescent="0.25">
      <c r="M66" s="26" t="s">
        <v>483</v>
      </c>
      <c r="N66" s="107" t="s">
        <v>478</v>
      </c>
      <c r="O66" t="s">
        <v>449</v>
      </c>
      <c r="P66" s="68">
        <v>17.948937701994669</v>
      </c>
    </row>
    <row r="67" spans="13:16" x14ac:dyDescent="0.25">
      <c r="M67" s="26" t="s">
        <v>483</v>
      </c>
      <c r="N67" s="107" t="s">
        <v>479</v>
      </c>
      <c r="O67" t="s">
        <v>449</v>
      </c>
      <c r="P67" s="68">
        <v>17.948937701994669</v>
      </c>
    </row>
    <row r="68" spans="13:16" x14ac:dyDescent="0.25">
      <c r="M68" s="26" t="s">
        <v>483</v>
      </c>
      <c r="N68" s="107" t="s">
        <v>480</v>
      </c>
      <c r="O68" t="s">
        <v>450</v>
      </c>
      <c r="P68" s="68">
        <v>16.871991355728419</v>
      </c>
    </row>
    <row r="69" spans="13:16" x14ac:dyDescent="0.25">
      <c r="M69" s="26" t="s">
        <v>483</v>
      </c>
      <c r="N69" s="26" t="s">
        <v>90</v>
      </c>
      <c r="O69" t="s">
        <v>363</v>
      </c>
      <c r="P69" s="68">
        <v>52.401961509449741</v>
      </c>
    </row>
    <row r="70" spans="13:16" x14ac:dyDescent="0.25">
      <c r="M70" s="26" t="s">
        <v>483</v>
      </c>
      <c r="N70" s="26" t="s">
        <v>91</v>
      </c>
      <c r="O70" t="s">
        <v>363</v>
      </c>
      <c r="P70" s="68">
        <v>52.401961509449741</v>
      </c>
    </row>
    <row r="71" spans="13:16" x14ac:dyDescent="0.25">
      <c r="M71" s="26" t="s">
        <v>483</v>
      </c>
      <c r="N71" s="26" t="s">
        <v>92</v>
      </c>
      <c r="O71" t="s">
        <v>363</v>
      </c>
      <c r="P71" s="68">
        <v>52.401961509449741</v>
      </c>
    </row>
    <row r="72" spans="13:16" x14ac:dyDescent="0.25">
      <c r="M72" s="26" t="s">
        <v>483</v>
      </c>
      <c r="N72" s="26" t="s">
        <v>93</v>
      </c>
      <c r="O72" t="s">
        <v>363</v>
      </c>
      <c r="P72" s="68">
        <v>52.401961509449741</v>
      </c>
    </row>
    <row r="73" spans="13:16" x14ac:dyDescent="0.25">
      <c r="M73" s="26" t="s">
        <v>483</v>
      </c>
      <c r="N73" s="26" t="s">
        <v>94</v>
      </c>
      <c r="O73" t="s">
        <v>364</v>
      </c>
      <c r="P73" s="68">
        <v>67.835094042374052</v>
      </c>
    </row>
    <row r="74" spans="13:16" x14ac:dyDescent="0.25">
      <c r="M74" s="26" t="s">
        <v>483</v>
      </c>
      <c r="N74" s="26" t="s">
        <v>95</v>
      </c>
      <c r="O74" t="s">
        <v>365</v>
      </c>
      <c r="P74" s="68">
        <v>61.166373124234212</v>
      </c>
    </row>
    <row r="75" spans="13:16" x14ac:dyDescent="0.25">
      <c r="M75" s="26" t="s">
        <v>483</v>
      </c>
      <c r="N75" s="26" t="s">
        <v>96</v>
      </c>
      <c r="O75" t="s">
        <v>366</v>
      </c>
      <c r="P75" s="68">
        <v>79.992227917026696</v>
      </c>
    </row>
    <row r="76" spans="13:16" x14ac:dyDescent="0.25">
      <c r="M76" s="26" t="s">
        <v>483</v>
      </c>
      <c r="N76" s="26" t="s">
        <v>97</v>
      </c>
      <c r="O76" t="s">
        <v>366</v>
      </c>
      <c r="P76" s="68">
        <v>79.992227917026696</v>
      </c>
    </row>
    <row r="77" spans="13:16" x14ac:dyDescent="0.25">
      <c r="M77" s="26" t="s">
        <v>483</v>
      </c>
      <c r="N77" s="26" t="s">
        <v>98</v>
      </c>
      <c r="O77" t="s">
        <v>366</v>
      </c>
      <c r="P77" s="68">
        <v>79.992227917026696</v>
      </c>
    </row>
    <row r="78" spans="13:16" x14ac:dyDescent="0.25">
      <c r="M78" s="26" t="s">
        <v>483</v>
      </c>
      <c r="N78" s="26" t="s">
        <v>99</v>
      </c>
      <c r="O78" t="s">
        <v>367</v>
      </c>
      <c r="P78" s="68">
        <v>79.118123905064564</v>
      </c>
    </row>
    <row r="79" spans="13:16" x14ac:dyDescent="0.25">
      <c r="M79" s="26" t="s">
        <v>483</v>
      </c>
      <c r="N79" s="26" t="s">
        <v>100</v>
      </c>
      <c r="O79" t="s">
        <v>368</v>
      </c>
      <c r="P79" s="68">
        <v>63.703753922384372</v>
      </c>
    </row>
    <row r="80" spans="13:16" x14ac:dyDescent="0.25">
      <c r="M80" s="26" t="s">
        <v>483</v>
      </c>
      <c r="N80" s="26" t="s">
        <v>101</v>
      </c>
      <c r="O80" t="s">
        <v>369</v>
      </c>
      <c r="P80" s="68">
        <v>53.819164290359467</v>
      </c>
    </row>
    <row r="81" spans="13:16" x14ac:dyDescent="0.25">
      <c r="M81" s="26" t="s">
        <v>483</v>
      </c>
      <c r="N81" s="26" t="s">
        <v>102</v>
      </c>
      <c r="O81" t="s">
        <v>369</v>
      </c>
      <c r="P81" s="68">
        <v>53.819164290359467</v>
      </c>
    </row>
    <row r="82" spans="13:16" x14ac:dyDescent="0.25">
      <c r="M82" s="26" t="s">
        <v>483</v>
      </c>
      <c r="N82" s="26" t="s">
        <v>103</v>
      </c>
      <c r="O82" t="s">
        <v>369</v>
      </c>
      <c r="P82" s="68">
        <v>53.819164290359467</v>
      </c>
    </row>
    <row r="83" spans="13:16" x14ac:dyDescent="0.25">
      <c r="M83" s="26" t="s">
        <v>483</v>
      </c>
      <c r="N83" s="26" t="s">
        <v>104</v>
      </c>
      <c r="O83" t="s">
        <v>370</v>
      </c>
      <c r="P83" s="68">
        <v>47.644862506994713</v>
      </c>
    </row>
    <row r="84" spans="13:16" x14ac:dyDescent="0.25">
      <c r="M84" s="26" t="s">
        <v>483</v>
      </c>
      <c r="N84" s="26" t="s">
        <v>105</v>
      </c>
      <c r="O84" t="s">
        <v>371</v>
      </c>
      <c r="P84" s="68">
        <v>53.653934683629977</v>
      </c>
    </row>
    <row r="85" spans="13:16" x14ac:dyDescent="0.25">
      <c r="M85" s="26" t="s">
        <v>483</v>
      </c>
      <c r="N85" s="26" t="s">
        <v>106</v>
      </c>
      <c r="O85" t="s">
        <v>371</v>
      </c>
      <c r="P85" s="68">
        <v>53.653934683629977</v>
      </c>
    </row>
    <row r="86" spans="13:16" x14ac:dyDescent="0.25">
      <c r="M86" s="26" t="s">
        <v>483</v>
      </c>
      <c r="N86" s="26" t="s">
        <v>107</v>
      </c>
      <c r="O86" t="s">
        <v>371</v>
      </c>
      <c r="P86" s="68">
        <v>53.653934683629977</v>
      </c>
    </row>
    <row r="87" spans="13:16" x14ac:dyDescent="0.25">
      <c r="M87" s="26" t="s">
        <v>483</v>
      </c>
      <c r="N87" s="26" t="s">
        <v>108</v>
      </c>
      <c r="O87" t="s">
        <v>371</v>
      </c>
      <c r="P87" s="68">
        <v>53.653934683629977</v>
      </c>
    </row>
    <row r="88" spans="13:16" x14ac:dyDescent="0.25">
      <c r="M88" s="26" t="s">
        <v>483</v>
      </c>
      <c r="N88" s="26" t="s">
        <v>109</v>
      </c>
      <c r="O88" t="s">
        <v>371</v>
      </c>
      <c r="P88" s="68">
        <v>53.653934683629977</v>
      </c>
    </row>
    <row r="89" spans="13:16" x14ac:dyDescent="0.25">
      <c r="M89" s="26" t="s">
        <v>483</v>
      </c>
      <c r="N89" s="26" t="s">
        <v>110</v>
      </c>
      <c r="O89" t="s">
        <v>371</v>
      </c>
      <c r="P89" s="68">
        <v>53.653934683629977</v>
      </c>
    </row>
    <row r="90" spans="13:16" x14ac:dyDescent="0.25">
      <c r="M90" s="26" t="s">
        <v>483</v>
      </c>
      <c r="N90" s="26" t="s">
        <v>111</v>
      </c>
      <c r="O90" t="s">
        <v>371</v>
      </c>
      <c r="P90" s="68">
        <v>53.653934683629977</v>
      </c>
    </row>
    <row r="91" spans="13:16" x14ac:dyDescent="0.25">
      <c r="M91" s="26" t="s">
        <v>483</v>
      </c>
      <c r="N91" s="26" t="s">
        <v>112</v>
      </c>
      <c r="O91" t="s">
        <v>371</v>
      </c>
      <c r="P91" s="68">
        <v>53.653934683629977</v>
      </c>
    </row>
    <row r="92" spans="13:16" x14ac:dyDescent="0.25">
      <c r="M92" s="26" t="s">
        <v>483</v>
      </c>
      <c r="N92" s="26" t="s">
        <v>113</v>
      </c>
      <c r="O92" t="s">
        <v>371</v>
      </c>
      <c r="P92" s="68">
        <v>53.653934683629977</v>
      </c>
    </row>
    <row r="93" spans="13:16" x14ac:dyDescent="0.25">
      <c r="M93" s="26" t="s">
        <v>483</v>
      </c>
      <c r="N93" s="26" t="s">
        <v>114</v>
      </c>
      <c r="O93" t="s">
        <v>372</v>
      </c>
      <c r="P93" s="68">
        <v>47.475799970520598</v>
      </c>
    </row>
    <row r="94" spans="13:16" x14ac:dyDescent="0.25">
      <c r="M94" s="26" t="s">
        <v>483</v>
      </c>
      <c r="N94" s="26" t="s">
        <v>115</v>
      </c>
      <c r="O94" t="s">
        <v>372</v>
      </c>
      <c r="P94" s="68">
        <v>47.475799970520598</v>
      </c>
    </row>
    <row r="95" spans="13:16" x14ac:dyDescent="0.25">
      <c r="M95" s="26" t="s">
        <v>483</v>
      </c>
      <c r="N95" s="26" t="s">
        <v>116</v>
      </c>
      <c r="O95" t="s">
        <v>372</v>
      </c>
      <c r="P95" s="68">
        <v>47.475799970520598</v>
      </c>
    </row>
    <row r="96" spans="13:16" x14ac:dyDescent="0.25">
      <c r="M96" s="26" t="s">
        <v>483</v>
      </c>
      <c r="N96" s="26" t="s">
        <v>117</v>
      </c>
      <c r="O96" t="s">
        <v>372</v>
      </c>
      <c r="P96" s="68">
        <v>47.475799970520598</v>
      </c>
    </row>
    <row r="97" spans="13:16" x14ac:dyDescent="0.25">
      <c r="M97" s="26" t="s">
        <v>483</v>
      </c>
      <c r="N97" s="26" t="s">
        <v>118</v>
      </c>
      <c r="O97" t="s">
        <v>372</v>
      </c>
      <c r="P97" s="68">
        <v>47.475799970520598</v>
      </c>
    </row>
    <row r="98" spans="13:16" x14ac:dyDescent="0.25">
      <c r="M98" s="26" t="s">
        <v>483</v>
      </c>
      <c r="N98" s="26" t="s">
        <v>119</v>
      </c>
      <c r="O98" t="s">
        <v>373</v>
      </c>
      <c r="P98" s="68">
        <v>51.130580648514808</v>
      </c>
    </row>
    <row r="99" spans="13:16" x14ac:dyDescent="0.25">
      <c r="M99" s="26" t="s">
        <v>483</v>
      </c>
      <c r="N99" s="26" t="s">
        <v>120</v>
      </c>
      <c r="O99" t="s">
        <v>373</v>
      </c>
      <c r="P99" s="68">
        <v>51.130580648514808</v>
      </c>
    </row>
    <row r="100" spans="13:16" x14ac:dyDescent="0.25">
      <c r="M100" s="26" t="s">
        <v>483</v>
      </c>
      <c r="N100" s="26" t="s">
        <v>121</v>
      </c>
      <c r="O100" t="s">
        <v>374</v>
      </c>
      <c r="P100" s="68">
        <v>52.008917368885513</v>
      </c>
    </row>
    <row r="101" spans="13:16" x14ac:dyDescent="0.25">
      <c r="M101" s="26" t="s">
        <v>483</v>
      </c>
      <c r="N101" s="26" t="s">
        <v>122</v>
      </c>
      <c r="O101" t="s">
        <v>374</v>
      </c>
      <c r="P101" s="68">
        <v>52.008917368885513</v>
      </c>
    </row>
    <row r="102" spans="13:16" x14ac:dyDescent="0.25">
      <c r="M102" s="26" t="s">
        <v>483</v>
      </c>
      <c r="N102" s="26" t="s">
        <v>123</v>
      </c>
      <c r="O102" t="s">
        <v>374</v>
      </c>
      <c r="P102" s="68">
        <v>52.008917368885513</v>
      </c>
    </row>
    <row r="103" spans="13:16" x14ac:dyDescent="0.25">
      <c r="M103" s="26" t="s">
        <v>483</v>
      </c>
      <c r="N103" s="26" t="s">
        <v>124</v>
      </c>
      <c r="O103" t="s">
        <v>374</v>
      </c>
      <c r="P103" s="68">
        <v>52.008917368885513</v>
      </c>
    </row>
    <row r="104" spans="13:16" x14ac:dyDescent="0.25">
      <c r="M104" s="26" t="s">
        <v>483</v>
      </c>
      <c r="N104" s="26" t="s">
        <v>125</v>
      </c>
      <c r="O104" t="s">
        <v>375</v>
      </c>
      <c r="P104" s="68">
        <v>35.254192428365862</v>
      </c>
    </row>
    <row r="105" spans="13:16" x14ac:dyDescent="0.25">
      <c r="M105" s="26" t="s">
        <v>483</v>
      </c>
      <c r="N105" s="26" t="s">
        <v>126</v>
      </c>
      <c r="O105" t="s">
        <v>375</v>
      </c>
      <c r="P105" s="68">
        <v>35.254192428365862</v>
      </c>
    </row>
    <row r="106" spans="13:16" x14ac:dyDescent="0.25">
      <c r="M106" s="26" t="s">
        <v>483</v>
      </c>
      <c r="N106" s="26" t="s">
        <v>127</v>
      </c>
      <c r="O106" t="s">
        <v>375</v>
      </c>
      <c r="P106" s="68">
        <v>35.254192428365862</v>
      </c>
    </row>
    <row r="107" spans="13:16" x14ac:dyDescent="0.25">
      <c r="M107" s="26" t="s">
        <v>483</v>
      </c>
      <c r="N107" s="26" t="s">
        <v>300</v>
      </c>
      <c r="O107" t="s">
        <v>376</v>
      </c>
      <c r="P107" s="68">
        <v>44.28306354423863</v>
      </c>
    </row>
    <row r="108" spans="13:16" x14ac:dyDescent="0.25">
      <c r="M108" s="26" t="s">
        <v>483</v>
      </c>
      <c r="N108" s="26" t="s">
        <v>128</v>
      </c>
      <c r="O108" t="s">
        <v>377</v>
      </c>
      <c r="P108" s="68">
        <v>50.33723803581956</v>
      </c>
    </row>
    <row r="109" spans="13:16" x14ac:dyDescent="0.25">
      <c r="M109" s="26" t="s">
        <v>483</v>
      </c>
      <c r="N109" s="26" t="s">
        <v>129</v>
      </c>
      <c r="O109" t="s">
        <v>377</v>
      </c>
      <c r="P109" s="68">
        <v>50.33723803581956</v>
      </c>
    </row>
    <row r="110" spans="13:16" x14ac:dyDescent="0.25">
      <c r="M110" s="26" t="s">
        <v>483</v>
      </c>
      <c r="N110" s="26" t="s">
        <v>130</v>
      </c>
      <c r="O110" t="s">
        <v>377</v>
      </c>
      <c r="P110" s="68">
        <v>50.33723803581956</v>
      </c>
    </row>
    <row r="111" spans="13:16" x14ac:dyDescent="0.25">
      <c r="M111" s="26" t="s">
        <v>483</v>
      </c>
      <c r="N111" s="26" t="s">
        <v>131</v>
      </c>
      <c r="O111" t="s">
        <v>377</v>
      </c>
      <c r="P111" s="68">
        <v>50.33723803581956</v>
      </c>
    </row>
    <row r="112" spans="13:16" x14ac:dyDescent="0.25">
      <c r="M112" s="26" t="s">
        <v>483</v>
      </c>
      <c r="N112" s="26" t="s">
        <v>132</v>
      </c>
      <c r="O112" t="s">
        <v>377</v>
      </c>
      <c r="P112" s="68">
        <v>50.33723803581956</v>
      </c>
    </row>
    <row r="113" spans="13:16" x14ac:dyDescent="0.25">
      <c r="M113" s="26" t="s">
        <v>483</v>
      </c>
      <c r="N113" s="26" t="s">
        <v>133</v>
      </c>
      <c r="O113" t="s">
        <v>377</v>
      </c>
      <c r="P113" s="68">
        <v>50.33723803581956</v>
      </c>
    </row>
    <row r="114" spans="13:16" x14ac:dyDescent="0.25">
      <c r="M114" s="26" t="s">
        <v>483</v>
      </c>
      <c r="N114" s="26" t="s">
        <v>134</v>
      </c>
      <c r="O114" t="s">
        <v>377</v>
      </c>
      <c r="P114" s="68">
        <v>50.33723803581956</v>
      </c>
    </row>
    <row r="115" spans="13:16" x14ac:dyDescent="0.25">
      <c r="M115" s="26" t="s">
        <v>483</v>
      </c>
      <c r="N115" s="26" t="s">
        <v>135</v>
      </c>
      <c r="O115" t="s">
        <v>377</v>
      </c>
      <c r="P115" s="68">
        <v>50.33723803581956</v>
      </c>
    </row>
    <row r="116" spans="13:16" x14ac:dyDescent="0.25">
      <c r="M116" s="26" t="s">
        <v>483</v>
      </c>
      <c r="N116" s="26" t="s">
        <v>136</v>
      </c>
      <c r="O116" t="s">
        <v>378</v>
      </c>
      <c r="P116" s="68">
        <v>31.40710746475634</v>
      </c>
    </row>
    <row r="117" spans="13:16" x14ac:dyDescent="0.25">
      <c r="M117" s="26" t="s">
        <v>483</v>
      </c>
      <c r="N117" s="107" t="s">
        <v>137</v>
      </c>
      <c r="O117" t="s">
        <v>451</v>
      </c>
      <c r="P117" s="68">
        <v>12.876283861571499</v>
      </c>
    </row>
    <row r="118" spans="13:16" x14ac:dyDescent="0.25">
      <c r="M118" s="26" t="s">
        <v>483</v>
      </c>
      <c r="N118" s="107" t="s">
        <v>138</v>
      </c>
      <c r="O118" t="s">
        <v>451</v>
      </c>
      <c r="P118" s="68">
        <v>12.876283861571499</v>
      </c>
    </row>
    <row r="119" spans="13:16" x14ac:dyDescent="0.25">
      <c r="M119" s="26" t="s">
        <v>483</v>
      </c>
      <c r="N119" s="26" t="s">
        <v>317</v>
      </c>
      <c r="O119" t="s">
        <v>634</v>
      </c>
      <c r="P119" s="68">
        <v>21.606046547644539</v>
      </c>
    </row>
    <row r="120" spans="13:16" x14ac:dyDescent="0.25">
      <c r="M120" s="26" t="s">
        <v>483</v>
      </c>
      <c r="N120" s="26" t="s">
        <v>315</v>
      </c>
      <c r="O120" t="s">
        <v>315</v>
      </c>
      <c r="P120" s="68">
        <v>27.857994997883441</v>
      </c>
    </row>
    <row r="121" spans="13:16" x14ac:dyDescent="0.25">
      <c r="M121" s="26" t="s">
        <v>483</v>
      </c>
      <c r="N121" s="26" t="s">
        <v>316</v>
      </c>
      <c r="O121" t="s">
        <v>316</v>
      </c>
      <c r="P121" s="68">
        <v>27.857994997883441</v>
      </c>
    </row>
    <row r="122" spans="13:16" x14ac:dyDescent="0.25">
      <c r="M122" s="26" t="s">
        <v>483</v>
      </c>
      <c r="N122" s="26" t="s">
        <v>314</v>
      </c>
      <c r="O122" t="s">
        <v>314</v>
      </c>
      <c r="P122" s="68">
        <v>27.857994997883441</v>
      </c>
    </row>
    <row r="123" spans="13:16" x14ac:dyDescent="0.25">
      <c r="M123" s="26" t="s">
        <v>483</v>
      </c>
      <c r="N123" s="26" t="s">
        <v>318</v>
      </c>
      <c r="O123" t="s">
        <v>318</v>
      </c>
      <c r="P123" s="68">
        <v>27.857994997883441</v>
      </c>
    </row>
    <row r="124" spans="13:16" x14ac:dyDescent="0.25">
      <c r="M124" s="26" t="s">
        <v>483</v>
      </c>
      <c r="N124" s="26" t="s">
        <v>223</v>
      </c>
      <c r="O124" t="s">
        <v>223</v>
      </c>
      <c r="P124" s="68">
        <v>65.400689044564118</v>
      </c>
    </row>
    <row r="125" spans="13:16" x14ac:dyDescent="0.25">
      <c r="M125" s="26" t="s">
        <v>483</v>
      </c>
      <c r="N125" s="26" t="s">
        <v>265</v>
      </c>
      <c r="O125" t="s">
        <v>379</v>
      </c>
      <c r="P125" s="68">
        <v>52.213703915732012</v>
      </c>
    </row>
    <row r="126" spans="13:16" x14ac:dyDescent="0.25">
      <c r="M126" s="26" t="s">
        <v>483</v>
      </c>
      <c r="N126" s="26" t="s">
        <v>261</v>
      </c>
      <c r="O126" t="s">
        <v>380</v>
      </c>
      <c r="P126" s="68">
        <v>73.632521190082912</v>
      </c>
    </row>
    <row r="127" spans="13:16" x14ac:dyDescent="0.25">
      <c r="M127" s="26" t="s">
        <v>483</v>
      </c>
      <c r="N127" s="26" t="s">
        <v>260</v>
      </c>
      <c r="O127" t="s">
        <v>381</v>
      </c>
      <c r="P127" s="68">
        <v>36.37642150668627</v>
      </c>
    </row>
    <row r="128" spans="13:16" x14ac:dyDescent="0.25">
      <c r="M128" s="26" t="s">
        <v>483</v>
      </c>
      <c r="N128" s="26" t="s">
        <v>263</v>
      </c>
      <c r="O128" t="s">
        <v>382</v>
      </c>
      <c r="P128" s="68">
        <v>41.149587432184653</v>
      </c>
    </row>
    <row r="129" spans="13:16" x14ac:dyDescent="0.25">
      <c r="M129" s="26" t="s">
        <v>483</v>
      </c>
      <c r="N129" s="26" t="s">
        <v>259</v>
      </c>
      <c r="O129" t="s">
        <v>383</v>
      </c>
      <c r="P129" s="68">
        <v>29.636017876248509</v>
      </c>
    </row>
    <row r="130" spans="13:16" x14ac:dyDescent="0.25">
      <c r="M130" s="26" t="s">
        <v>483</v>
      </c>
      <c r="N130" s="26" t="s">
        <v>266</v>
      </c>
      <c r="O130" t="s">
        <v>384</v>
      </c>
      <c r="P130" s="68">
        <v>38.919653045034543</v>
      </c>
    </row>
    <row r="131" spans="13:16" x14ac:dyDescent="0.25">
      <c r="M131" s="26" t="s">
        <v>483</v>
      </c>
      <c r="N131" s="26" t="s">
        <v>262</v>
      </c>
      <c r="O131" t="s">
        <v>385</v>
      </c>
      <c r="P131" s="68">
        <v>78.15240551922578</v>
      </c>
    </row>
    <row r="132" spans="13:16" x14ac:dyDescent="0.25">
      <c r="M132" s="26" t="s">
        <v>483</v>
      </c>
      <c r="N132" s="26" t="s">
        <v>268</v>
      </c>
      <c r="O132" t="s">
        <v>386</v>
      </c>
      <c r="P132" s="68">
        <v>42.80611912543533</v>
      </c>
    </row>
    <row r="133" spans="13:16" x14ac:dyDescent="0.25">
      <c r="M133" s="26" t="s">
        <v>483</v>
      </c>
      <c r="N133" s="26" t="s">
        <v>267</v>
      </c>
      <c r="O133" t="s">
        <v>387</v>
      </c>
      <c r="P133" s="68">
        <v>62.276368653503923</v>
      </c>
    </row>
    <row r="134" spans="13:16" x14ac:dyDescent="0.25">
      <c r="M134" s="26" t="s">
        <v>483</v>
      </c>
      <c r="N134" s="26" t="s">
        <v>269</v>
      </c>
      <c r="O134" t="s">
        <v>388</v>
      </c>
      <c r="P134" s="68">
        <v>51.387844942612759</v>
      </c>
    </row>
    <row r="135" spans="13:16" x14ac:dyDescent="0.25">
      <c r="M135" s="26" t="s">
        <v>483</v>
      </c>
      <c r="N135" s="26" t="s">
        <v>258</v>
      </c>
      <c r="O135" t="s">
        <v>389</v>
      </c>
      <c r="P135" s="68">
        <v>48.621269581828429</v>
      </c>
    </row>
    <row r="136" spans="13:16" x14ac:dyDescent="0.25">
      <c r="M136" s="26" t="s">
        <v>483</v>
      </c>
      <c r="N136" s="26" t="s">
        <v>257</v>
      </c>
      <c r="O136" t="s">
        <v>390</v>
      </c>
      <c r="P136" s="68">
        <v>41.158057591817169</v>
      </c>
    </row>
    <row r="137" spans="13:16" x14ac:dyDescent="0.25">
      <c r="M137" s="26" t="s">
        <v>483</v>
      </c>
      <c r="N137" s="26" t="s">
        <v>264</v>
      </c>
      <c r="O137" t="s">
        <v>391</v>
      </c>
      <c r="P137" s="68">
        <v>35.562608530779663</v>
      </c>
    </row>
    <row r="138" spans="13:16" x14ac:dyDescent="0.25">
      <c r="M138" s="26" t="s">
        <v>483</v>
      </c>
      <c r="N138" s="26" t="s">
        <v>273</v>
      </c>
      <c r="O138" t="s">
        <v>392</v>
      </c>
      <c r="P138" s="68">
        <v>29.983478575781351</v>
      </c>
    </row>
    <row r="139" spans="13:16" x14ac:dyDescent="0.25">
      <c r="M139" s="26" t="s">
        <v>483</v>
      </c>
      <c r="N139" s="26" t="s">
        <v>274</v>
      </c>
      <c r="O139" t="s">
        <v>393</v>
      </c>
      <c r="P139" s="68">
        <v>26.44202663034633</v>
      </c>
    </row>
    <row r="140" spans="13:16" x14ac:dyDescent="0.25">
      <c r="M140" s="26" t="s">
        <v>483</v>
      </c>
      <c r="N140" s="26" t="s">
        <v>271</v>
      </c>
      <c r="O140" t="s">
        <v>394</v>
      </c>
      <c r="P140" s="68">
        <v>37.493194820804007</v>
      </c>
    </row>
    <row r="141" spans="13:16" x14ac:dyDescent="0.25">
      <c r="M141" s="26" t="s">
        <v>483</v>
      </c>
      <c r="N141" s="26" t="s">
        <v>272</v>
      </c>
      <c r="O141" t="s">
        <v>395</v>
      </c>
      <c r="P141" s="68">
        <v>31.205157490447881</v>
      </c>
    </row>
    <row r="142" spans="13:16" x14ac:dyDescent="0.25">
      <c r="M142" s="26" t="s">
        <v>483</v>
      </c>
      <c r="N142" s="26" t="s">
        <v>270</v>
      </c>
      <c r="O142" t="s">
        <v>396</v>
      </c>
      <c r="P142" s="68">
        <v>32.56023572966636</v>
      </c>
    </row>
    <row r="143" spans="13:16" x14ac:dyDescent="0.25">
      <c r="M143" s="26" t="s">
        <v>483</v>
      </c>
      <c r="N143" s="26" t="s">
        <v>275</v>
      </c>
      <c r="O143" t="s">
        <v>397</v>
      </c>
      <c r="P143" s="68">
        <v>12.96511869520775</v>
      </c>
    </row>
    <row r="144" spans="13:16" x14ac:dyDescent="0.25">
      <c r="M144" s="26" t="s">
        <v>483</v>
      </c>
      <c r="N144" s="26" t="s">
        <v>276</v>
      </c>
      <c r="O144" t="s">
        <v>398</v>
      </c>
      <c r="P144" s="68">
        <v>10.308734831813389</v>
      </c>
    </row>
    <row r="145" spans="13:16" x14ac:dyDescent="0.25">
      <c r="M145" s="26" t="s">
        <v>483</v>
      </c>
      <c r="N145" s="26" t="s">
        <v>277</v>
      </c>
      <c r="O145" t="s">
        <v>399</v>
      </c>
      <c r="P145" s="68">
        <v>18.984730225874351</v>
      </c>
    </row>
    <row r="146" spans="13:16" x14ac:dyDescent="0.25">
      <c r="M146" s="26" t="s">
        <v>483</v>
      </c>
      <c r="N146" s="26" t="s">
        <v>486</v>
      </c>
      <c r="O146" t="s">
        <v>641</v>
      </c>
      <c r="P146" s="68">
        <v>26.97778267406418</v>
      </c>
    </row>
    <row r="147" spans="13:16" x14ac:dyDescent="0.25">
      <c r="M147" s="26" t="s">
        <v>483</v>
      </c>
      <c r="N147" s="26" t="s">
        <v>435</v>
      </c>
      <c r="O147" t="s">
        <v>628</v>
      </c>
      <c r="P147" s="68">
        <v>31.898708019483468</v>
      </c>
    </row>
    <row r="148" spans="13:16" x14ac:dyDescent="0.25">
      <c r="M148" s="26" t="s">
        <v>483</v>
      </c>
      <c r="N148" s="26" t="s">
        <v>487</v>
      </c>
      <c r="O148" t="s">
        <v>487</v>
      </c>
      <c r="P148" s="68">
        <v>14.03822533267836</v>
      </c>
    </row>
    <row r="149" spans="13:16" x14ac:dyDescent="0.25">
      <c r="M149" s="26" t="s">
        <v>483</v>
      </c>
      <c r="N149" s="26" t="s">
        <v>488</v>
      </c>
      <c r="O149" t="s">
        <v>629</v>
      </c>
      <c r="P149" s="68">
        <v>13.826622556034124</v>
      </c>
    </row>
    <row r="150" spans="13:16" x14ac:dyDescent="0.25">
      <c r="M150" s="26" t="s">
        <v>483</v>
      </c>
      <c r="N150" s="26" t="s">
        <v>301</v>
      </c>
      <c r="O150" t="s">
        <v>606</v>
      </c>
      <c r="P150" s="68">
        <v>45.586142483281641</v>
      </c>
    </row>
    <row r="151" spans="13:16" x14ac:dyDescent="0.25">
      <c r="M151" s="26" t="s">
        <v>483</v>
      </c>
      <c r="N151" s="26" t="s">
        <v>302</v>
      </c>
      <c r="O151" t="s">
        <v>607</v>
      </c>
      <c r="P151" s="68">
        <v>40.958083142701689</v>
      </c>
    </row>
    <row r="152" spans="13:16" x14ac:dyDescent="0.25">
      <c r="M152" s="26" t="s">
        <v>483</v>
      </c>
      <c r="N152" s="26" t="s">
        <v>280</v>
      </c>
      <c r="O152" t="s">
        <v>608</v>
      </c>
      <c r="P152" s="68">
        <v>40.874385260907637</v>
      </c>
    </row>
    <row r="153" spans="13:16" x14ac:dyDescent="0.25">
      <c r="M153" s="26" t="s">
        <v>483</v>
      </c>
      <c r="N153" s="26" t="s">
        <v>281</v>
      </c>
      <c r="O153" t="s">
        <v>608</v>
      </c>
      <c r="P153" s="68">
        <v>40.874385260907637</v>
      </c>
    </row>
    <row r="154" spans="13:16" x14ac:dyDescent="0.25">
      <c r="M154" s="26" t="s">
        <v>483</v>
      </c>
      <c r="N154" s="26" t="s">
        <v>282</v>
      </c>
      <c r="O154" t="s">
        <v>608</v>
      </c>
      <c r="P154" s="68">
        <v>40.874385260907637</v>
      </c>
    </row>
    <row r="155" spans="13:16" x14ac:dyDescent="0.25">
      <c r="M155" s="26" t="s">
        <v>483</v>
      </c>
      <c r="N155" s="26" t="s">
        <v>283</v>
      </c>
      <c r="O155" t="s">
        <v>609</v>
      </c>
      <c r="P155" s="68">
        <v>35.840214847005598</v>
      </c>
    </row>
    <row r="156" spans="13:16" x14ac:dyDescent="0.25">
      <c r="M156" s="26" t="s">
        <v>483</v>
      </c>
      <c r="N156" s="26" t="s">
        <v>284</v>
      </c>
      <c r="O156" t="s">
        <v>609</v>
      </c>
      <c r="P156" s="68">
        <v>35.840214847005598</v>
      </c>
    </row>
    <row r="157" spans="13:16" x14ac:dyDescent="0.25">
      <c r="M157" s="26" t="s">
        <v>483</v>
      </c>
      <c r="N157" s="26" t="s">
        <v>285</v>
      </c>
      <c r="O157" t="s">
        <v>609</v>
      </c>
      <c r="P157" s="68">
        <v>35.840214847005598</v>
      </c>
    </row>
    <row r="158" spans="13:16" x14ac:dyDescent="0.25">
      <c r="M158" s="26" t="s">
        <v>483</v>
      </c>
      <c r="N158" s="26" t="s">
        <v>286</v>
      </c>
      <c r="O158" t="s">
        <v>610</v>
      </c>
      <c r="P158" s="68">
        <v>37.98335921603654</v>
      </c>
    </row>
    <row r="159" spans="13:16" x14ac:dyDescent="0.25">
      <c r="M159" s="26" t="s">
        <v>483</v>
      </c>
      <c r="N159" s="26" t="s">
        <v>287</v>
      </c>
      <c r="O159" t="s">
        <v>610</v>
      </c>
      <c r="P159" s="68">
        <v>37.98335921603654</v>
      </c>
    </row>
    <row r="160" spans="13:16" x14ac:dyDescent="0.25">
      <c r="M160" s="26" t="s">
        <v>483</v>
      </c>
      <c r="N160" s="26" t="s">
        <v>288</v>
      </c>
      <c r="O160" t="s">
        <v>610</v>
      </c>
      <c r="P160" s="68">
        <v>37.98335921603654</v>
      </c>
    </row>
    <row r="161" spans="13:16" x14ac:dyDescent="0.25">
      <c r="M161" s="26" t="s">
        <v>483</v>
      </c>
      <c r="N161" s="26" t="s">
        <v>289</v>
      </c>
      <c r="O161" t="s">
        <v>611</v>
      </c>
      <c r="P161" s="68">
        <v>40.514130250038797</v>
      </c>
    </row>
    <row r="162" spans="13:16" x14ac:dyDescent="0.25">
      <c r="M162" s="26" t="s">
        <v>483</v>
      </c>
      <c r="N162" s="26" t="s">
        <v>290</v>
      </c>
      <c r="O162" t="s">
        <v>611</v>
      </c>
      <c r="P162" s="68">
        <v>40.514130250038797</v>
      </c>
    </row>
    <row r="163" spans="13:16" x14ac:dyDescent="0.25">
      <c r="M163" s="26" t="s">
        <v>483</v>
      </c>
      <c r="N163" s="26" t="s">
        <v>291</v>
      </c>
      <c r="O163" t="s">
        <v>611</v>
      </c>
      <c r="P163" s="68">
        <v>40.514130250038797</v>
      </c>
    </row>
    <row r="164" spans="13:16" x14ac:dyDescent="0.25">
      <c r="M164" s="26" t="s">
        <v>483</v>
      </c>
      <c r="N164" s="26" t="s">
        <v>292</v>
      </c>
      <c r="O164" t="s">
        <v>612</v>
      </c>
      <c r="P164" s="68">
        <v>40.926542993451072</v>
      </c>
    </row>
    <row r="165" spans="13:16" x14ac:dyDescent="0.25">
      <c r="M165" s="26" t="s">
        <v>483</v>
      </c>
      <c r="N165" s="26" t="s">
        <v>293</v>
      </c>
      <c r="O165" t="s">
        <v>612</v>
      </c>
      <c r="P165" s="68">
        <v>40.926542993451072</v>
      </c>
    </row>
    <row r="166" spans="13:16" x14ac:dyDescent="0.25">
      <c r="M166" s="26" t="s">
        <v>483</v>
      </c>
      <c r="N166" s="26" t="s">
        <v>294</v>
      </c>
      <c r="O166" t="s">
        <v>612</v>
      </c>
      <c r="P166" s="68">
        <v>40.926542993451072</v>
      </c>
    </row>
    <row r="167" spans="13:16" x14ac:dyDescent="0.25">
      <c r="M167" s="26" t="s">
        <v>483</v>
      </c>
      <c r="N167" s="26" t="s">
        <v>295</v>
      </c>
      <c r="O167" t="s">
        <v>613</v>
      </c>
      <c r="P167" s="68">
        <v>43.967812201848481</v>
      </c>
    </row>
    <row r="168" spans="13:16" x14ac:dyDescent="0.25">
      <c r="M168" s="26" t="s">
        <v>483</v>
      </c>
      <c r="N168" s="26" t="s">
        <v>296</v>
      </c>
      <c r="O168" t="s">
        <v>613</v>
      </c>
      <c r="P168" s="68">
        <v>43.967812201848481</v>
      </c>
    </row>
    <row r="169" spans="13:16" x14ac:dyDescent="0.25">
      <c r="M169" s="26" t="s">
        <v>483</v>
      </c>
      <c r="N169" s="26" t="s">
        <v>297</v>
      </c>
      <c r="O169" t="s">
        <v>613</v>
      </c>
      <c r="P169" s="68">
        <v>43.967812201848481</v>
      </c>
    </row>
    <row r="170" spans="13:16" x14ac:dyDescent="0.25">
      <c r="M170" s="26" t="s">
        <v>483</v>
      </c>
      <c r="N170" s="26" t="s">
        <v>278</v>
      </c>
      <c r="O170" t="s">
        <v>650</v>
      </c>
      <c r="P170" s="68">
        <v>34.809975334589531</v>
      </c>
    </row>
    <row r="171" spans="13:16" x14ac:dyDescent="0.25">
      <c r="M171" s="26" t="s">
        <v>483</v>
      </c>
      <c r="N171" s="26" t="s">
        <v>279</v>
      </c>
      <c r="O171" t="s">
        <v>651</v>
      </c>
      <c r="P171" s="68">
        <v>32.293018372945888</v>
      </c>
    </row>
    <row r="172" spans="13:16" x14ac:dyDescent="0.25">
      <c r="M172" s="26" t="s">
        <v>602</v>
      </c>
      <c r="N172" s="26" t="s">
        <v>482</v>
      </c>
      <c r="O172" t="s">
        <v>218</v>
      </c>
      <c r="P172" s="68">
        <v>10.60991223300169</v>
      </c>
    </row>
    <row r="173" spans="13:16" x14ac:dyDescent="0.25">
      <c r="M173" s="26" t="s">
        <v>483</v>
      </c>
      <c r="N173" s="26" t="s">
        <v>224</v>
      </c>
      <c r="O173" t="s">
        <v>400</v>
      </c>
      <c r="P173" s="68">
        <v>35.949811390305292</v>
      </c>
    </row>
    <row r="174" spans="13:16" x14ac:dyDescent="0.25">
      <c r="M174" s="26" t="s">
        <v>483</v>
      </c>
      <c r="N174" s="26" t="s">
        <v>225</v>
      </c>
      <c r="O174" t="s">
        <v>401</v>
      </c>
      <c r="P174" s="68">
        <v>16.13930288695159</v>
      </c>
    </row>
    <row r="175" spans="13:16" x14ac:dyDescent="0.25">
      <c r="M175" s="26" t="s">
        <v>483</v>
      </c>
      <c r="N175" s="26" t="s">
        <v>226</v>
      </c>
      <c r="O175" t="s">
        <v>402</v>
      </c>
      <c r="P175" s="68">
        <v>32.398144443360579</v>
      </c>
    </row>
    <row r="176" spans="13:16" x14ac:dyDescent="0.25">
      <c r="M176" s="26" t="s">
        <v>483</v>
      </c>
      <c r="N176" s="26" t="s">
        <v>227</v>
      </c>
      <c r="O176" t="s">
        <v>403</v>
      </c>
      <c r="P176" s="68">
        <v>38.064814847576912</v>
      </c>
    </row>
    <row r="177" spans="13:16" x14ac:dyDescent="0.25">
      <c r="M177" s="26" t="s">
        <v>483</v>
      </c>
      <c r="N177" s="26" t="s">
        <v>228</v>
      </c>
      <c r="O177" t="s">
        <v>404</v>
      </c>
      <c r="P177" s="68">
        <v>17.849398926950791</v>
      </c>
    </row>
    <row r="178" spans="13:16" x14ac:dyDescent="0.25">
      <c r="M178" s="26" t="s">
        <v>483</v>
      </c>
      <c r="N178" s="26" t="s">
        <v>229</v>
      </c>
      <c r="O178" t="s">
        <v>405</v>
      </c>
      <c r="P178" s="68">
        <v>15.94468173181329</v>
      </c>
    </row>
    <row r="179" spans="13:16" x14ac:dyDescent="0.25">
      <c r="M179" s="26" t="s">
        <v>483</v>
      </c>
      <c r="N179" s="26" t="s">
        <v>230</v>
      </c>
      <c r="O179" t="s">
        <v>406</v>
      </c>
      <c r="P179" s="68">
        <v>43.125287233316442</v>
      </c>
    </row>
    <row r="180" spans="13:16" x14ac:dyDescent="0.25">
      <c r="M180" s="26" t="s">
        <v>483</v>
      </c>
      <c r="N180" s="26" t="s">
        <v>231</v>
      </c>
      <c r="O180" t="s">
        <v>407</v>
      </c>
      <c r="P180" s="68">
        <v>19.054641542825969</v>
      </c>
    </row>
    <row r="181" spans="13:16" x14ac:dyDescent="0.25">
      <c r="M181" s="26" t="s">
        <v>483</v>
      </c>
      <c r="N181" s="26" t="s">
        <v>232</v>
      </c>
      <c r="O181" t="s">
        <v>408</v>
      </c>
      <c r="P181" s="68">
        <v>27.76540462377347</v>
      </c>
    </row>
    <row r="182" spans="13:16" x14ac:dyDescent="0.25">
      <c r="M182" s="26" t="s">
        <v>483</v>
      </c>
      <c r="N182" s="26" t="s">
        <v>233</v>
      </c>
      <c r="O182" t="s">
        <v>409</v>
      </c>
      <c r="P182" s="68">
        <v>24.803558639962009</v>
      </c>
    </row>
    <row r="183" spans="13:16" x14ac:dyDescent="0.25">
      <c r="M183" s="26" t="s">
        <v>483</v>
      </c>
      <c r="N183" s="26" t="s">
        <v>234</v>
      </c>
      <c r="O183" t="s">
        <v>410</v>
      </c>
      <c r="P183" s="68">
        <v>18.906103126335349</v>
      </c>
    </row>
    <row r="184" spans="13:16" x14ac:dyDescent="0.25">
      <c r="M184" s="26" t="s">
        <v>483</v>
      </c>
      <c r="N184" s="26" t="s">
        <v>235</v>
      </c>
      <c r="O184" t="s">
        <v>411</v>
      </c>
      <c r="P184" s="68">
        <v>16.234309289270168</v>
      </c>
    </row>
    <row r="185" spans="13:16" x14ac:dyDescent="0.25">
      <c r="M185" s="26" t="s">
        <v>483</v>
      </c>
      <c r="N185" s="26" t="s">
        <v>253</v>
      </c>
      <c r="O185" t="s">
        <v>412</v>
      </c>
      <c r="P185" s="68">
        <v>22.324911731186731</v>
      </c>
    </row>
    <row r="186" spans="13:16" x14ac:dyDescent="0.25">
      <c r="M186" s="26" t="s">
        <v>483</v>
      </c>
      <c r="N186" s="26" t="s">
        <v>254</v>
      </c>
      <c r="O186" t="s">
        <v>413</v>
      </c>
      <c r="P186" s="68">
        <v>19.466270146287119</v>
      </c>
    </row>
    <row r="187" spans="13:16" x14ac:dyDescent="0.25">
      <c r="M187" s="26" t="s">
        <v>483</v>
      </c>
      <c r="N187" s="26" t="s">
        <v>236</v>
      </c>
      <c r="O187" t="s">
        <v>414</v>
      </c>
      <c r="P187" s="68">
        <v>31.732931700573161</v>
      </c>
    </row>
    <row r="188" spans="13:16" x14ac:dyDescent="0.25">
      <c r="M188" s="26" t="s">
        <v>483</v>
      </c>
      <c r="N188" s="26" t="s">
        <v>237</v>
      </c>
      <c r="O188" t="s">
        <v>415</v>
      </c>
      <c r="P188" s="68">
        <v>29.521374549611899</v>
      </c>
    </row>
    <row r="189" spans="13:16" x14ac:dyDescent="0.25">
      <c r="M189" s="26" t="s">
        <v>483</v>
      </c>
      <c r="N189" s="26" t="s">
        <v>238</v>
      </c>
      <c r="O189" t="s">
        <v>416</v>
      </c>
      <c r="P189" s="68">
        <v>34.772223788630171</v>
      </c>
    </row>
    <row r="190" spans="13:16" x14ac:dyDescent="0.25">
      <c r="M190" s="26" t="s">
        <v>483</v>
      </c>
      <c r="N190" s="26" t="s">
        <v>239</v>
      </c>
      <c r="O190" t="s">
        <v>417</v>
      </c>
      <c r="P190" s="68">
        <v>26.875433758628201</v>
      </c>
    </row>
    <row r="191" spans="13:16" x14ac:dyDescent="0.25">
      <c r="M191" s="26" t="s">
        <v>483</v>
      </c>
      <c r="N191" s="26" t="s">
        <v>240</v>
      </c>
      <c r="O191" t="s">
        <v>418</v>
      </c>
      <c r="P191" s="68">
        <v>24.868439215705259</v>
      </c>
    </row>
    <row r="192" spans="13:16" x14ac:dyDescent="0.25">
      <c r="M192" s="26" t="s">
        <v>483</v>
      </c>
      <c r="N192" s="26" t="s">
        <v>241</v>
      </c>
      <c r="O192" t="s">
        <v>419</v>
      </c>
      <c r="P192" s="68">
        <v>38.509701842793802</v>
      </c>
    </row>
    <row r="193" spans="13:16" x14ac:dyDescent="0.25">
      <c r="M193" s="26" t="s">
        <v>483</v>
      </c>
      <c r="N193" s="26" t="s">
        <v>242</v>
      </c>
      <c r="O193" t="s">
        <v>420</v>
      </c>
      <c r="P193" s="68">
        <v>31.648781669533001</v>
      </c>
    </row>
    <row r="194" spans="13:16" x14ac:dyDescent="0.25">
      <c r="M194" s="26" t="s">
        <v>483</v>
      </c>
      <c r="N194" s="26" t="s">
        <v>142</v>
      </c>
      <c r="O194" t="s">
        <v>615</v>
      </c>
      <c r="P194" s="68">
        <v>25.999807692169529</v>
      </c>
    </row>
    <row r="195" spans="13:16" x14ac:dyDescent="0.25">
      <c r="M195" s="26" t="s">
        <v>483</v>
      </c>
      <c r="N195" s="26" t="s">
        <v>143</v>
      </c>
      <c r="O195" t="s">
        <v>615</v>
      </c>
      <c r="P195" s="68">
        <v>25.999807692169529</v>
      </c>
    </row>
    <row r="196" spans="13:16" x14ac:dyDescent="0.25">
      <c r="M196" s="26" t="s">
        <v>483</v>
      </c>
      <c r="N196" s="26" t="s">
        <v>144</v>
      </c>
      <c r="O196" t="s">
        <v>615</v>
      </c>
      <c r="P196" s="68">
        <v>25.999807692169529</v>
      </c>
    </row>
    <row r="197" spans="13:16" x14ac:dyDescent="0.25">
      <c r="M197" s="26" t="s">
        <v>483</v>
      </c>
      <c r="N197" s="26" t="s">
        <v>145</v>
      </c>
      <c r="O197" t="s">
        <v>615</v>
      </c>
      <c r="P197" s="68">
        <v>25.999807692169529</v>
      </c>
    </row>
    <row r="198" spans="13:16" x14ac:dyDescent="0.25">
      <c r="M198" s="26" t="s">
        <v>483</v>
      </c>
      <c r="N198" s="26" t="s">
        <v>146</v>
      </c>
      <c r="O198" t="s">
        <v>615</v>
      </c>
      <c r="P198" s="68">
        <v>25.999807692169529</v>
      </c>
    </row>
    <row r="199" spans="13:16" x14ac:dyDescent="0.25">
      <c r="M199" s="26" t="s">
        <v>483</v>
      </c>
      <c r="N199" s="26" t="s">
        <v>147</v>
      </c>
      <c r="O199" t="s">
        <v>615</v>
      </c>
      <c r="P199" s="68">
        <v>25.999807692169529</v>
      </c>
    </row>
    <row r="200" spans="13:16" x14ac:dyDescent="0.25">
      <c r="M200" s="26" t="s">
        <v>483</v>
      </c>
      <c r="N200" s="26" t="s">
        <v>148</v>
      </c>
      <c r="O200" t="s">
        <v>615</v>
      </c>
      <c r="P200" s="68">
        <v>25.999807692169529</v>
      </c>
    </row>
    <row r="201" spans="13:16" x14ac:dyDescent="0.25">
      <c r="M201" s="26" t="s">
        <v>483</v>
      </c>
      <c r="N201" s="26" t="s">
        <v>149</v>
      </c>
      <c r="O201" t="s">
        <v>615</v>
      </c>
      <c r="P201" s="68">
        <v>25.999807692169529</v>
      </c>
    </row>
    <row r="202" spans="13:16" x14ac:dyDescent="0.25">
      <c r="M202" s="26" t="s">
        <v>483</v>
      </c>
      <c r="N202" s="26" t="s">
        <v>150</v>
      </c>
      <c r="O202" t="s">
        <v>615</v>
      </c>
      <c r="P202" s="68">
        <v>25.999807692169529</v>
      </c>
    </row>
    <row r="203" spans="13:16" x14ac:dyDescent="0.25">
      <c r="M203" s="26" t="s">
        <v>483</v>
      </c>
      <c r="N203" s="26" t="s">
        <v>151</v>
      </c>
      <c r="O203" t="s">
        <v>614</v>
      </c>
      <c r="P203" s="68">
        <v>25.359229040719491</v>
      </c>
    </row>
    <row r="204" spans="13:16" x14ac:dyDescent="0.25">
      <c r="M204" s="26" t="s">
        <v>483</v>
      </c>
      <c r="N204" s="26" t="s">
        <v>25</v>
      </c>
      <c r="O204" t="s">
        <v>452</v>
      </c>
      <c r="P204" s="68">
        <v>14.85858107962091</v>
      </c>
    </row>
    <row r="205" spans="13:16" x14ac:dyDescent="0.25">
      <c r="M205" s="26" t="s">
        <v>483</v>
      </c>
      <c r="N205" s="26" t="s">
        <v>153</v>
      </c>
      <c r="O205" t="s">
        <v>453</v>
      </c>
      <c r="P205" s="68">
        <v>59.336962575225961</v>
      </c>
    </row>
    <row r="206" spans="13:16" x14ac:dyDescent="0.25">
      <c r="M206" s="26" t="s">
        <v>483</v>
      </c>
      <c r="N206" s="26" t="s">
        <v>154</v>
      </c>
      <c r="O206" t="s">
        <v>453</v>
      </c>
      <c r="P206" s="68">
        <v>59.336962575225961</v>
      </c>
    </row>
    <row r="207" spans="13:16" x14ac:dyDescent="0.25">
      <c r="M207" s="26" t="s">
        <v>483</v>
      </c>
      <c r="N207" s="26" t="s">
        <v>155</v>
      </c>
      <c r="O207" t="s">
        <v>453</v>
      </c>
      <c r="P207" s="68">
        <v>59.336962575225961</v>
      </c>
    </row>
    <row r="208" spans="13:16" x14ac:dyDescent="0.25">
      <c r="M208" s="26" t="s">
        <v>483</v>
      </c>
      <c r="N208" s="26" t="s">
        <v>156</v>
      </c>
      <c r="O208" t="s">
        <v>453</v>
      </c>
      <c r="P208" s="68">
        <v>59.336962575225961</v>
      </c>
    </row>
    <row r="209" spans="13:16" x14ac:dyDescent="0.25">
      <c r="M209" s="26" t="s">
        <v>483</v>
      </c>
      <c r="N209" s="26" t="s">
        <v>157</v>
      </c>
      <c r="O209" t="s">
        <v>453</v>
      </c>
      <c r="P209" s="68">
        <v>59.336962575225961</v>
      </c>
    </row>
    <row r="210" spans="13:16" x14ac:dyDescent="0.25">
      <c r="M210" s="26" t="s">
        <v>483</v>
      </c>
      <c r="N210" s="26" t="s">
        <v>158</v>
      </c>
      <c r="O210" t="s">
        <v>453</v>
      </c>
      <c r="P210" s="68">
        <v>59.336962575225961</v>
      </c>
    </row>
    <row r="211" spans="13:16" x14ac:dyDescent="0.25">
      <c r="M211" s="26" t="s">
        <v>483</v>
      </c>
      <c r="N211" s="26" t="s">
        <v>159</v>
      </c>
      <c r="O211" t="s">
        <v>453</v>
      </c>
      <c r="P211" s="68">
        <v>59.336962575225961</v>
      </c>
    </row>
    <row r="212" spans="13:16" x14ac:dyDescent="0.25">
      <c r="M212" s="26" t="s">
        <v>483</v>
      </c>
      <c r="N212" s="26" t="s">
        <v>160</v>
      </c>
      <c r="O212" t="s">
        <v>453</v>
      </c>
      <c r="P212" s="68">
        <v>59.336962575225961</v>
      </c>
    </row>
    <row r="213" spans="13:16" x14ac:dyDescent="0.25">
      <c r="M213" s="26" t="s">
        <v>483</v>
      </c>
      <c r="N213" s="26" t="s">
        <v>161</v>
      </c>
      <c r="O213" t="s">
        <v>453</v>
      </c>
      <c r="P213" s="68">
        <v>59.336962575225961</v>
      </c>
    </row>
    <row r="214" spans="13:16" x14ac:dyDescent="0.25">
      <c r="M214" s="26" t="s">
        <v>483</v>
      </c>
      <c r="N214" s="26" t="s">
        <v>162</v>
      </c>
      <c r="O214" t="s">
        <v>453</v>
      </c>
      <c r="P214" s="68">
        <v>59.336962575225961</v>
      </c>
    </row>
    <row r="215" spans="13:16" x14ac:dyDescent="0.25">
      <c r="M215" s="26" t="s">
        <v>483</v>
      </c>
      <c r="N215" s="26" t="s">
        <v>163</v>
      </c>
      <c r="O215" t="s">
        <v>453</v>
      </c>
      <c r="P215" s="68">
        <v>59.336962575225961</v>
      </c>
    </row>
    <row r="216" spans="13:16" x14ac:dyDescent="0.25">
      <c r="M216" s="26" t="s">
        <v>483</v>
      </c>
      <c r="N216" s="26" t="s">
        <v>164</v>
      </c>
      <c r="O216" t="s">
        <v>453</v>
      </c>
      <c r="P216" s="68">
        <v>59.336962575225961</v>
      </c>
    </row>
    <row r="217" spans="13:16" x14ac:dyDescent="0.25">
      <c r="M217" s="26" t="s">
        <v>602</v>
      </c>
      <c r="N217" s="26" t="s">
        <v>166</v>
      </c>
      <c r="O217" s="1" t="s">
        <v>642</v>
      </c>
      <c r="P217" s="68">
        <v>28.535128621325118</v>
      </c>
    </row>
    <row r="218" spans="13:16" x14ac:dyDescent="0.25">
      <c r="M218" s="26" t="s">
        <v>602</v>
      </c>
      <c r="N218" s="26" t="s">
        <v>167</v>
      </c>
      <c r="O218" t="s">
        <v>642</v>
      </c>
      <c r="P218" s="68">
        <v>28.535128621325118</v>
      </c>
    </row>
    <row r="219" spans="13:16" x14ac:dyDescent="0.25">
      <c r="M219" s="26" t="s">
        <v>602</v>
      </c>
      <c r="N219" s="26" t="s">
        <v>168</v>
      </c>
      <c r="O219" t="s">
        <v>642</v>
      </c>
      <c r="P219" s="68">
        <v>28.535128621325118</v>
      </c>
    </row>
    <row r="220" spans="13:16" x14ac:dyDescent="0.25">
      <c r="M220" s="26" t="s">
        <v>602</v>
      </c>
      <c r="N220" s="26" t="s">
        <v>169</v>
      </c>
      <c r="O220" t="s">
        <v>642</v>
      </c>
      <c r="P220" s="68">
        <v>28.535128621325118</v>
      </c>
    </row>
    <row r="221" spans="13:16" x14ac:dyDescent="0.25">
      <c r="M221" s="26" t="s">
        <v>602</v>
      </c>
      <c r="N221" s="26" t="s">
        <v>170</v>
      </c>
      <c r="O221" t="s">
        <v>642</v>
      </c>
      <c r="P221" s="68">
        <v>28.535128621325118</v>
      </c>
    </row>
    <row r="222" spans="13:16" x14ac:dyDescent="0.25">
      <c r="M222" s="26" t="s">
        <v>602</v>
      </c>
      <c r="N222" s="26" t="s">
        <v>171</v>
      </c>
      <c r="O222" t="s">
        <v>642</v>
      </c>
      <c r="P222" s="68">
        <v>28.535128621325118</v>
      </c>
    </row>
    <row r="223" spans="13:16" x14ac:dyDescent="0.25">
      <c r="M223" s="26" t="s">
        <v>602</v>
      </c>
      <c r="N223" s="26" t="s">
        <v>172</v>
      </c>
      <c r="O223" t="s">
        <v>642</v>
      </c>
      <c r="P223" s="68">
        <v>28.535128621325118</v>
      </c>
    </row>
    <row r="224" spans="13:16" x14ac:dyDescent="0.25">
      <c r="M224" s="26" t="s">
        <v>602</v>
      </c>
      <c r="N224" s="26" t="s">
        <v>173</v>
      </c>
      <c r="O224" t="s">
        <v>642</v>
      </c>
      <c r="P224" s="68">
        <v>28.535128621325118</v>
      </c>
    </row>
    <row r="225" spans="13:16" x14ac:dyDescent="0.25">
      <c r="M225" s="26" t="s">
        <v>602</v>
      </c>
      <c r="N225" s="26" t="s">
        <v>174</v>
      </c>
      <c r="O225" t="s">
        <v>642</v>
      </c>
      <c r="P225" s="68">
        <v>28.535128621325118</v>
      </c>
    </row>
    <row r="226" spans="13:16" x14ac:dyDescent="0.25">
      <c r="M226" s="26" t="s">
        <v>602</v>
      </c>
      <c r="N226" s="26" t="s">
        <v>175</v>
      </c>
      <c r="O226" t="s">
        <v>642</v>
      </c>
      <c r="P226" s="68">
        <v>28.535128621325118</v>
      </c>
    </row>
    <row r="227" spans="13:16" x14ac:dyDescent="0.25">
      <c r="M227" s="26" t="s">
        <v>602</v>
      </c>
      <c r="N227" s="26" t="s">
        <v>176</v>
      </c>
      <c r="O227" t="s">
        <v>642</v>
      </c>
      <c r="P227" s="68">
        <v>28.535128621325118</v>
      </c>
    </row>
    <row r="228" spans="13:16" x14ac:dyDescent="0.25">
      <c r="M228" s="26" t="s">
        <v>602</v>
      </c>
      <c r="N228" s="26" t="s">
        <v>177</v>
      </c>
      <c r="O228" t="s">
        <v>642</v>
      </c>
      <c r="P228" s="68">
        <v>28.535128621325118</v>
      </c>
    </row>
    <row r="229" spans="13:16" x14ac:dyDescent="0.25">
      <c r="M229" s="26" t="s">
        <v>602</v>
      </c>
      <c r="N229" s="26" t="s">
        <v>178</v>
      </c>
      <c r="O229" t="s">
        <v>642</v>
      </c>
      <c r="P229" s="68">
        <v>28.535128621325118</v>
      </c>
    </row>
    <row r="230" spans="13:16" x14ac:dyDescent="0.25">
      <c r="M230" s="26" t="s">
        <v>602</v>
      </c>
      <c r="N230" s="26" t="s">
        <v>179</v>
      </c>
      <c r="O230" t="s">
        <v>642</v>
      </c>
      <c r="P230" s="68">
        <v>28.535128621325118</v>
      </c>
    </row>
    <row r="231" spans="13:16" x14ac:dyDescent="0.25">
      <c r="M231" s="26" t="s">
        <v>602</v>
      </c>
      <c r="N231" s="26" t="s">
        <v>256</v>
      </c>
      <c r="O231" t="s">
        <v>217</v>
      </c>
      <c r="P231" s="68">
        <v>15.495485681014319</v>
      </c>
    </row>
    <row r="232" spans="13:16" x14ac:dyDescent="0.25">
      <c r="M232" s="26" t="s">
        <v>602</v>
      </c>
      <c r="N232" s="26" t="s">
        <v>180</v>
      </c>
      <c r="O232" t="s">
        <v>218</v>
      </c>
      <c r="P232" s="68">
        <v>10.60991223300169</v>
      </c>
    </row>
    <row r="233" spans="13:16" x14ac:dyDescent="0.25">
      <c r="M233" s="26" t="s">
        <v>602</v>
      </c>
      <c r="N233" s="26" t="s">
        <v>181</v>
      </c>
      <c r="O233" t="s">
        <v>218</v>
      </c>
      <c r="P233" s="68">
        <v>10.60991223300169</v>
      </c>
    </row>
    <row r="234" spans="13:16" x14ac:dyDescent="0.25">
      <c r="M234" s="26" t="s">
        <v>602</v>
      </c>
      <c r="N234" s="26" t="s">
        <v>182</v>
      </c>
      <c r="O234" s="1" t="s">
        <v>643</v>
      </c>
      <c r="P234" s="68">
        <v>19.233953615442566</v>
      </c>
    </row>
    <row r="235" spans="13:16" x14ac:dyDescent="0.25">
      <c r="M235" s="26" t="s">
        <v>483</v>
      </c>
      <c r="N235" s="26" t="s">
        <v>183</v>
      </c>
      <c r="O235" t="s">
        <v>618</v>
      </c>
      <c r="P235" s="68">
        <v>38.408064991151591</v>
      </c>
    </row>
    <row r="236" spans="13:16" x14ac:dyDescent="0.25">
      <c r="M236" s="26" t="s">
        <v>483</v>
      </c>
      <c r="N236" s="26" t="s">
        <v>184</v>
      </c>
      <c r="O236" t="s">
        <v>619</v>
      </c>
      <c r="P236" s="68">
        <v>34.183840874453161</v>
      </c>
    </row>
    <row r="237" spans="13:16" x14ac:dyDescent="0.25">
      <c r="M237" s="26" t="s">
        <v>483</v>
      </c>
      <c r="N237" s="26" t="s">
        <v>185</v>
      </c>
      <c r="O237" t="s">
        <v>617</v>
      </c>
      <c r="P237" s="68">
        <v>26.385665478766018</v>
      </c>
    </row>
    <row r="238" spans="13:16" x14ac:dyDescent="0.25">
      <c r="M238" s="26" t="s">
        <v>483</v>
      </c>
      <c r="N238" s="26" t="s">
        <v>186</v>
      </c>
      <c r="O238" t="s">
        <v>618</v>
      </c>
      <c r="P238" s="68">
        <v>38.408064991151591</v>
      </c>
    </row>
    <row r="239" spans="13:16" x14ac:dyDescent="0.25">
      <c r="M239" s="26" t="s">
        <v>483</v>
      </c>
      <c r="N239" s="26" t="s">
        <v>187</v>
      </c>
      <c r="O239" t="s">
        <v>618</v>
      </c>
      <c r="P239" s="68">
        <v>38.408064991151591</v>
      </c>
    </row>
    <row r="240" spans="13:16" x14ac:dyDescent="0.25">
      <c r="M240" s="26" t="s">
        <v>483</v>
      </c>
      <c r="N240" s="26" t="s">
        <v>188</v>
      </c>
      <c r="O240" t="s">
        <v>617</v>
      </c>
      <c r="P240" s="68">
        <v>26.385665478766018</v>
      </c>
    </row>
    <row r="241" spans="13:16" x14ac:dyDescent="0.25">
      <c r="M241" s="26" t="s">
        <v>483</v>
      </c>
      <c r="N241" s="26" t="s">
        <v>189</v>
      </c>
      <c r="O241" t="s">
        <v>618</v>
      </c>
      <c r="P241" s="68">
        <v>38.408064991151591</v>
      </c>
    </row>
    <row r="242" spans="13:16" x14ac:dyDescent="0.25">
      <c r="M242" s="26" t="s">
        <v>483</v>
      </c>
      <c r="N242" s="26" t="s">
        <v>190</v>
      </c>
      <c r="O242" t="s">
        <v>620</v>
      </c>
      <c r="P242" s="68">
        <v>34.968945402624747</v>
      </c>
    </row>
    <row r="243" spans="13:16" x14ac:dyDescent="0.25">
      <c r="M243" s="26" t="s">
        <v>483</v>
      </c>
      <c r="N243" s="26" t="s">
        <v>191</v>
      </c>
      <c r="O243" t="s">
        <v>622</v>
      </c>
      <c r="P243" s="68">
        <v>43.957476658216592</v>
      </c>
    </row>
    <row r="244" spans="13:16" x14ac:dyDescent="0.25">
      <c r="M244" s="26" t="s">
        <v>483</v>
      </c>
      <c r="N244" s="26" t="s">
        <v>192</v>
      </c>
      <c r="O244" t="s">
        <v>616</v>
      </c>
      <c r="P244" s="68">
        <v>37.399205147503707</v>
      </c>
    </row>
    <row r="245" spans="13:16" x14ac:dyDescent="0.25">
      <c r="M245" s="26" t="s">
        <v>483</v>
      </c>
      <c r="N245" s="26" t="s">
        <v>193</v>
      </c>
      <c r="O245" t="s">
        <v>622</v>
      </c>
      <c r="P245" s="68">
        <v>43.957476658216592</v>
      </c>
    </row>
    <row r="246" spans="13:16" x14ac:dyDescent="0.25">
      <c r="M246" s="26" t="s">
        <v>483</v>
      </c>
      <c r="N246" s="26" t="s">
        <v>194</v>
      </c>
      <c r="O246" t="s">
        <v>621</v>
      </c>
      <c r="P246" s="68">
        <v>44.778729245238807</v>
      </c>
    </row>
    <row r="247" spans="13:16" x14ac:dyDescent="0.25">
      <c r="M247" s="26" t="s">
        <v>483</v>
      </c>
      <c r="N247" s="26" t="s">
        <v>195</v>
      </c>
      <c r="O247" t="s">
        <v>621</v>
      </c>
      <c r="P247" s="68">
        <v>44.778729245238807</v>
      </c>
    </row>
    <row r="248" spans="13:16" x14ac:dyDescent="0.25">
      <c r="M248" s="26" t="s">
        <v>483</v>
      </c>
      <c r="N248" s="26" t="s">
        <v>196</v>
      </c>
      <c r="O248" t="s">
        <v>622</v>
      </c>
      <c r="P248" s="68">
        <v>43.957476658216592</v>
      </c>
    </row>
    <row r="249" spans="13:16" x14ac:dyDescent="0.25">
      <c r="M249" s="26" t="s">
        <v>483</v>
      </c>
      <c r="N249" s="26" t="s">
        <v>197</v>
      </c>
      <c r="O249" t="s">
        <v>616</v>
      </c>
      <c r="P249" s="68">
        <v>37.399205147503707</v>
      </c>
    </row>
    <row r="250" spans="13:16" x14ac:dyDescent="0.25">
      <c r="M250" s="26" t="s">
        <v>483</v>
      </c>
      <c r="N250" s="26" t="s">
        <v>198</v>
      </c>
      <c r="O250" t="s">
        <v>616</v>
      </c>
      <c r="P250" s="68">
        <v>37.399205147503707</v>
      </c>
    </row>
    <row r="251" spans="13:16" x14ac:dyDescent="0.25">
      <c r="M251" s="26" t="s">
        <v>483</v>
      </c>
      <c r="N251" s="26" t="s">
        <v>200</v>
      </c>
      <c r="O251" t="s">
        <v>200</v>
      </c>
      <c r="P251" s="68">
        <v>40.622238539374059</v>
      </c>
    </row>
    <row r="252" spans="13:16" x14ac:dyDescent="0.25">
      <c r="M252" s="26" t="s">
        <v>483</v>
      </c>
      <c r="N252" s="26" t="s">
        <v>201</v>
      </c>
      <c r="O252" t="s">
        <v>201</v>
      </c>
      <c r="P252" s="68">
        <v>36.552630084017572</v>
      </c>
    </row>
    <row r="253" spans="13:16" x14ac:dyDescent="0.25">
      <c r="M253" s="26" t="s">
        <v>483</v>
      </c>
      <c r="N253" s="26" t="s">
        <v>202</v>
      </c>
      <c r="O253" t="s">
        <v>202</v>
      </c>
      <c r="P253" s="68">
        <v>13.943690496212289</v>
      </c>
    </row>
    <row r="254" spans="13:16" x14ac:dyDescent="0.25">
      <c r="M254" s="26" t="s">
        <v>483</v>
      </c>
      <c r="N254" s="26" t="s">
        <v>203</v>
      </c>
      <c r="O254" t="s">
        <v>203</v>
      </c>
      <c r="P254" s="68">
        <v>33.848159749187268</v>
      </c>
    </row>
    <row r="255" spans="13:16" x14ac:dyDescent="0.25">
      <c r="M255" s="26" t="s">
        <v>483</v>
      </c>
      <c r="N255" s="26" t="s">
        <v>204</v>
      </c>
      <c r="O255" t="s">
        <v>204</v>
      </c>
      <c r="P255" s="68">
        <v>42.299363430909857</v>
      </c>
    </row>
    <row r="256" spans="13:16" x14ac:dyDescent="0.25">
      <c r="M256" s="26" t="s">
        <v>483</v>
      </c>
      <c r="N256" s="26" t="s">
        <v>206</v>
      </c>
      <c r="O256" t="s">
        <v>630</v>
      </c>
      <c r="P256" s="68">
        <v>21.512534661748553</v>
      </c>
    </row>
    <row r="257" spans="13:16" x14ac:dyDescent="0.25">
      <c r="M257" s="26" t="s">
        <v>483</v>
      </c>
      <c r="N257" s="26" t="s">
        <v>207</v>
      </c>
      <c r="O257" t="s">
        <v>631</v>
      </c>
      <c r="P257" s="68">
        <v>25.81509688532136</v>
      </c>
    </row>
    <row r="258" spans="13:16" x14ac:dyDescent="0.25">
      <c r="M258" s="26" t="s">
        <v>483</v>
      </c>
      <c r="N258" s="26" t="s">
        <v>208</v>
      </c>
      <c r="O258" t="s">
        <v>632</v>
      </c>
      <c r="P258" s="68">
        <v>29.888596320856692</v>
      </c>
    </row>
    <row r="259" spans="13:16" x14ac:dyDescent="0.25">
      <c r="M259" s="26" t="s">
        <v>483</v>
      </c>
      <c r="N259" s="26" t="s">
        <v>209</v>
      </c>
      <c r="O259" t="s">
        <v>633</v>
      </c>
      <c r="P259" s="68">
        <v>34.424190352868848</v>
      </c>
    </row>
    <row r="260" spans="13:16" x14ac:dyDescent="0.25">
      <c r="M260" s="26" t="s">
        <v>602</v>
      </c>
      <c r="N260" s="60" t="s">
        <v>425</v>
      </c>
      <c r="O260" t="s">
        <v>644</v>
      </c>
      <c r="P260" s="68">
        <v>36.593010962899477</v>
      </c>
    </row>
    <row r="261" spans="13:16" x14ac:dyDescent="0.25">
      <c r="M261" s="26" t="s">
        <v>602</v>
      </c>
      <c r="N261" s="60" t="s">
        <v>424</v>
      </c>
      <c r="O261" t="s">
        <v>644</v>
      </c>
      <c r="P261" s="68">
        <v>36.593010962899477</v>
      </c>
    </row>
    <row r="262" spans="13:16" x14ac:dyDescent="0.25">
      <c r="M262" s="26" t="s">
        <v>602</v>
      </c>
      <c r="N262" s="60" t="s">
        <v>426</v>
      </c>
      <c r="O262" t="s">
        <v>644</v>
      </c>
      <c r="P262" s="68">
        <v>36.593010962899477</v>
      </c>
    </row>
    <row r="263" spans="13:16" x14ac:dyDescent="0.25">
      <c r="M263" s="26" t="s">
        <v>602</v>
      </c>
      <c r="N263" s="60" t="s">
        <v>427</v>
      </c>
      <c r="O263" t="s">
        <v>644</v>
      </c>
      <c r="P263" s="68">
        <v>36.593010962899477</v>
      </c>
    </row>
    <row r="264" spans="13:16" x14ac:dyDescent="0.25">
      <c r="M264" s="26" t="s">
        <v>602</v>
      </c>
      <c r="N264" s="60" t="s">
        <v>428</v>
      </c>
      <c r="O264" t="s">
        <v>644</v>
      </c>
      <c r="P264" s="68">
        <v>36.593010962899477</v>
      </c>
    </row>
    <row r="265" spans="13:16" x14ac:dyDescent="0.25">
      <c r="M265" s="26" t="s">
        <v>483</v>
      </c>
      <c r="N265" s="26" t="s">
        <v>211</v>
      </c>
      <c r="O265" t="s">
        <v>211</v>
      </c>
      <c r="P265" s="68">
        <v>28.979714008917821</v>
      </c>
    </row>
    <row r="266" spans="13:16" x14ac:dyDescent="0.25">
      <c r="M266" s="26" t="s">
        <v>483</v>
      </c>
      <c r="N266" s="26" t="s">
        <v>212</v>
      </c>
      <c r="O266" t="s">
        <v>212</v>
      </c>
      <c r="P266" s="68">
        <v>29.08172229910889</v>
      </c>
    </row>
    <row r="267" spans="13:16" x14ac:dyDescent="0.25">
      <c r="M267" s="26" t="s">
        <v>483</v>
      </c>
      <c r="N267" s="26" t="s">
        <v>213</v>
      </c>
      <c r="O267" t="s">
        <v>213</v>
      </c>
      <c r="P267" s="68">
        <v>28.197630512198302</v>
      </c>
    </row>
    <row r="268" spans="13:16" x14ac:dyDescent="0.25">
      <c r="M268" s="26" t="s">
        <v>483</v>
      </c>
      <c r="N268" s="26" t="s">
        <v>214</v>
      </c>
      <c r="O268" t="s">
        <v>214</v>
      </c>
      <c r="P268" s="68">
        <v>35.55366838835311</v>
      </c>
    </row>
    <row r="269" spans="13:16" x14ac:dyDescent="0.25">
      <c r="M269" s="26" t="s">
        <v>483</v>
      </c>
      <c r="N269" s="26" t="s">
        <v>215</v>
      </c>
      <c r="O269" t="s">
        <v>215</v>
      </c>
      <c r="P269" s="68">
        <v>30.43258045179304</v>
      </c>
    </row>
    <row r="270" spans="13:16" x14ac:dyDescent="0.25">
      <c r="M270" s="26" t="s">
        <v>483</v>
      </c>
      <c r="N270" s="26" t="s">
        <v>216</v>
      </c>
      <c r="O270" t="s">
        <v>216</v>
      </c>
      <c r="P270" s="68">
        <v>18.965456067579581</v>
      </c>
    </row>
    <row r="271" spans="13:16" x14ac:dyDescent="0.25">
      <c r="M271" s="26" t="s">
        <v>483</v>
      </c>
      <c r="N271" s="26" t="s">
        <v>217</v>
      </c>
      <c r="O271" t="s">
        <v>217</v>
      </c>
      <c r="P271" s="68">
        <v>15.495485681014319</v>
      </c>
    </row>
    <row r="272" spans="13:16" x14ac:dyDescent="0.25">
      <c r="M272" s="26" t="s">
        <v>483</v>
      </c>
      <c r="N272" s="26" t="s">
        <v>218</v>
      </c>
      <c r="O272" t="s">
        <v>218</v>
      </c>
      <c r="P272" s="68">
        <v>10.60991223300169</v>
      </c>
    </row>
    <row r="273" spans="13:16" x14ac:dyDescent="0.25">
      <c r="M273" s="26" t="s">
        <v>483</v>
      </c>
      <c r="N273" s="26" t="s">
        <v>299</v>
      </c>
      <c r="O273" t="s">
        <v>299</v>
      </c>
      <c r="P273" s="68">
        <v>21.008699776664731</v>
      </c>
    </row>
    <row r="274" spans="13:16" x14ac:dyDescent="0.25">
      <c r="M274" s="26" t="s">
        <v>483</v>
      </c>
      <c r="N274" s="26" t="s">
        <v>298</v>
      </c>
      <c r="O274" t="s">
        <v>298</v>
      </c>
      <c r="P274" s="68">
        <v>19.503570875275521</v>
      </c>
    </row>
    <row r="275" spans="13:16" x14ac:dyDescent="0.25">
      <c r="M275" s="26" t="s">
        <v>483</v>
      </c>
      <c r="N275" s="26" t="s">
        <v>303</v>
      </c>
      <c r="O275" t="s">
        <v>623</v>
      </c>
      <c r="P275" s="68">
        <v>22.769623340408842</v>
      </c>
    </row>
    <row r="276" spans="13:16" x14ac:dyDescent="0.25">
      <c r="M276" s="26" t="s">
        <v>483</v>
      </c>
      <c r="N276" s="26" t="s">
        <v>304</v>
      </c>
      <c r="O276" t="s">
        <v>624</v>
      </c>
      <c r="P276" s="68">
        <v>21.09800372991225</v>
      </c>
    </row>
    <row r="277" spans="13:16" x14ac:dyDescent="0.25">
      <c r="M277" s="26" t="s">
        <v>483</v>
      </c>
      <c r="N277" s="26" t="s">
        <v>305</v>
      </c>
      <c r="O277" t="s">
        <v>624</v>
      </c>
      <c r="P277" s="68">
        <v>21.09800372991225</v>
      </c>
    </row>
    <row r="278" spans="13:16" x14ac:dyDescent="0.25">
      <c r="M278" s="26" t="s">
        <v>483</v>
      </c>
      <c r="N278" s="26" t="s">
        <v>306</v>
      </c>
      <c r="O278" t="s">
        <v>624</v>
      </c>
      <c r="P278" s="68">
        <v>21.09800372991225</v>
      </c>
    </row>
    <row r="279" spans="13:16" x14ac:dyDescent="0.25">
      <c r="M279" s="26" t="s">
        <v>483</v>
      </c>
      <c r="N279" s="26" t="s">
        <v>307</v>
      </c>
      <c r="O279" t="s">
        <v>625</v>
      </c>
      <c r="P279" s="68">
        <v>22.70702542971642</v>
      </c>
    </row>
    <row r="280" spans="13:16" x14ac:dyDescent="0.25">
      <c r="M280" s="26" t="s">
        <v>483</v>
      </c>
      <c r="N280" s="26" t="s">
        <v>308</v>
      </c>
      <c r="O280" t="s">
        <v>625</v>
      </c>
      <c r="P280" s="68">
        <v>22.70702542971642</v>
      </c>
    </row>
    <row r="281" spans="13:16" x14ac:dyDescent="0.25">
      <c r="M281" s="26" t="s">
        <v>483</v>
      </c>
      <c r="N281" s="26" t="s">
        <v>309</v>
      </c>
      <c r="O281" t="s">
        <v>626</v>
      </c>
      <c r="P281" s="68">
        <v>21.764031188406481</v>
      </c>
    </row>
    <row r="282" spans="13:16" x14ac:dyDescent="0.25">
      <c r="M282" s="28" t="s">
        <v>483</v>
      </c>
      <c r="N282" s="28" t="s">
        <v>310</v>
      </c>
      <c r="O282" s="23" t="s">
        <v>626</v>
      </c>
      <c r="P282" s="180">
        <v>21.764031188406481</v>
      </c>
    </row>
  </sheetData>
  <sortState xmlns:xlrd2="http://schemas.microsoft.com/office/spreadsheetml/2017/richdata2" ref="L3:L23">
    <sortCondition ref="L3:L23"/>
  </sortState>
  <mergeCells count="3">
    <mergeCell ref="M1:P1"/>
    <mergeCell ref="D1:G1"/>
    <mergeCell ref="H1:J1"/>
  </mergeCells>
  <phoneticPr fontId="30" type="noConversion"/>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E E A A B Q S w M E F A A C A A g A G 4 N q V N 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B u D a 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b g 2 p U E X 7 l L H 0 B A A D s A g A A E w A c A E Z v c m 1 1 b G F z L 1 N l Y 3 R p b 2 4 x L m 0 g o h g A K K A U A A A A A A A A A A A A A A A A A A A A A A A A A A A A f V J N a w I x E L 0 L / o e w v S g s C 1 v 6 R W U P d l f b H v p F 7 K l b w r g 7 1 U A 2 k W S y K N L / 3 l g t L a j N J c l 7 k / f m D X F Y k T S a 8 e 2 e D r q d b s f N w W L N e J 5 e i h o I h E X n F T n x Y a z Q n h z L m E L q d l h Y 3 H h b Y U B y 1 y a F q X y D m n p j q T D J j a Z w c b 1 o d F 1 C K w l a K G / u n x 6 G n J e j c T H M y 4 1 H W Q S P s j g T w 9 s b 8 f g 6 4 Y L n V + V x 9 6 R y b d S P 3 w p U s p G E N o s G U c x y o 3 y j X Z a m M R v p y t R S z 7 L 0 9 P w 0 Z i / e E H J a K c x + j 8 m j 0 f j e j 7 c x T q J n a 5 r A 1 e w O o U b r o p B p A t N Q u G N 2 e G + b O G Z v O 3 y o F K 9 A g X U Z W f 9 X M p + D n g X F y W q B v 3 I T C 9 q F M M 2 2 4 w 3 p e g f 8 4 / U 6 c g u s J D o x s 8 Y v Q k g K x Y x w S Z 8 x W 0 c t W L m R F O Z D S E 1 h U L R X U 5 s G p P 6 v Q s E U 1 R 5 a o V J C 1 n u 4 n o q F M h T a Y / e a L s 6 S T f 8 / T u I 4 S 4 Z A i e W P n v b N F O 0 3 4 1 A c J y 2 E f 3 n 4 0 S H q s 9 / t S H 1 w / o M v U E s B A i 0 A F A A C A A g A G 4 N q V N h e i d O i A A A A 9 g A A A B I A A A A A A A A A A A A A A A A A A A A A A E N v b m Z p Z y 9 Q Y W N r Y W d l L n h t b F B L A Q I t A B Q A A g A I A B u D a l Q P y u m r p A A A A O k A A A A T A A A A A A A A A A A A A A A A A O 4 A A A B b Q 2 9 u d G V u d F 9 U e X B l c 1 0 u e G 1 s U E s B A i 0 A F A A C A A g A G 4 N q V B F + 5 S x 9 A Q A A 7 A I A A B M A A A A A A A A A A A A A A A A A 3 w E A A E Z v c m 1 1 b G F z L 1 N l Y 3 R p b 2 4 x L m 1 Q S w U G A A A A A A M A A w D C A A A A q 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g 8 A A A A A A A B Y 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D M T d f Z G F 0 Y V 9 y Z X N 1 b H R z X 2 Z v c l 9 u d X 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g 4 O D Q i I C 8 + P E V u d H J 5 I F R 5 c G U 9 I k Z p b G x F c n J v c k N v Z G U i I F Z h b H V l P S J z V W 5 r b m 9 3 b i I g L z 4 8 R W 5 0 c n k g V H l w Z T 0 i R m l s b E V y c m 9 y Q 2 9 1 b n Q i I F Z h b H V l P S J s M C I g L z 4 8 R W 5 0 c n k g V H l w Z T 0 i R m l s b E x h c 3 R V c G R h d G V k I i B W Y W x 1 Z T 0 i Z D I w M j I t M D M t M T B U M T U 6 M j I 6 M T k u M D A 4 O D E 2 M 1 o i I C 8 + P E V u d H J 5 I F R 5 c G U 9 I k Z p b G x D b 2 x 1 b W 5 U e X B l c y I g V m F s d W U 9 I n N C Z 1 l H Q m d Z R E F 3 V U Z C U V U 9 I i A v P j x F b n R y e S B U e X B l P S J G a W x s Q 2 9 s d W 1 u T m F t Z X M i I F Z h b H V l P S J z W y Z x d W 9 0 O 3 N w Z W N p Z X N f Z 3 J v d X A m c X V v d D s s J n F 1 b 3 Q 7 d m F y a W F i b G V f b 2 Z f a W 5 0 c m V z d C Z x d W 9 0 O y w m c X V v d D t k b 2 1 h a W 5 f b 2 Z f a W 5 0 c m V z d C Z x d W 9 0 O y w m c X V v d D t s Y W J l b C Z x d W 9 0 O y w m c X V v d D t j Z W x s X 2 l k J n F 1 b 3 Q 7 L C Z x d W 9 0 O 2 5 i X 3 B s b 3 R z J n F 1 b 3 Q 7 L C Z x d W 9 0 O 2 R v b V 9 u Y l 9 w b G 9 0 c y Z x d W 9 0 O y w m c X V v d D t 0 b 3 R h b F 9 4 J n F 1 b 3 Q 7 L C Z x d W 9 0 O 3 N l X 3 R v d G F s X 3 g m c X V v d D s s J n F 1 b 3 Q 7 c m F 0 a W 8 m c X V v d D s s J n F 1 b 3 Q 7 c 2 V f c m F 0 a W 8 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0 M x N 1 9 k Y X R h X 3 J l c 3 V s d H N f Z m 9 y X 2 5 1 d H M v Q 2 h h b m d l Z C B U e X B l L n t z c G V j a W V z X 2 d y b 3 V w L D B 9 J n F 1 b 3 Q 7 L C Z x d W 9 0 O 1 N l Y 3 R p b 2 4 x L 1 N D M T d f Z G F 0 Y V 9 y Z X N 1 b H R z X 2 Z v c l 9 u d X R z L 0 N o Y W 5 n Z W Q g V H l w Z S 5 7 d m F y a W F i b G V f b 2 Z f a W 5 0 c m V z d C w x f S Z x d W 9 0 O y w m c X V v d D t T Z W N 0 a W 9 u M S 9 T Q z E 3 X 2 R h d G F f c m V z d W x 0 c 1 9 m b 3 J f b n V 0 c y 9 D a G F u Z 2 V k I F R 5 c G U u e 2 R v b W F p b l 9 v Z l 9 p b n R y Z X N 0 L D J 9 J n F 1 b 3 Q 7 L C Z x d W 9 0 O 1 N l Y 3 R p b 2 4 x L 1 N D M T d f Z G F 0 Y V 9 y Z X N 1 b H R z X 2 Z v c l 9 u d X R z L 0 N o Y W 5 n Z W Q g V H l w Z S 5 7 b G F i Z W w s M 3 0 m c X V v d D s s J n F 1 b 3 Q 7 U 2 V j d G l v b j E v U 0 M x N 1 9 k Y X R h X 3 J l c 3 V s d H N f Z m 9 y X 2 5 1 d H M v Q 2 h h b m d l Z C B U e X B l L n t j Z W x s X 2 l k L D R 9 J n F 1 b 3 Q 7 L C Z x d W 9 0 O 1 N l Y 3 R p b 2 4 x L 1 N D M T d f Z G F 0 Y V 9 y Z X N 1 b H R z X 2 Z v c l 9 u d X R z L 0 N o Y W 5 n Z W Q g V H l w Z S 5 7 b m J f c G x v d H M s N X 0 m c X V v d D s s J n F 1 b 3 Q 7 U 2 V j d G l v b j E v U 0 M x N 1 9 k Y X R h X 3 J l c 3 V s d H N f Z m 9 y X 2 5 1 d H M v Q 2 h h b m d l Z C B U e X B l L n t k b 2 1 f b m J f c G x v d H M s N n 0 m c X V v d D s s J n F 1 b 3 Q 7 U 2 V j d G l v b j E v U 0 M x N 1 9 k Y X R h X 3 J l c 3 V s d H N f Z m 9 y X 2 5 1 d H M v Q 2 h h b m d l Z C B U e X B l L n t 0 b 3 R h b F 9 4 L D d 9 J n F 1 b 3 Q 7 L C Z x d W 9 0 O 1 N l Y 3 R p b 2 4 x L 1 N D M T d f Z G F 0 Y V 9 y Z X N 1 b H R z X 2 Z v c l 9 u d X R z L 0 N o Y W 5 n Z W Q g V H l w Z S 5 7 c 2 V f d G 9 0 Y W x f e C w 4 f S Z x d W 9 0 O y w m c X V v d D t T Z W N 0 a W 9 u M S 9 T Q z E 3 X 2 R h d G F f c m V z d W x 0 c 1 9 m b 3 J f b n V 0 c y 9 D a G F u Z 2 V k I F R 5 c G U u e 3 J h d G l v L D l 9 J n F 1 b 3 Q 7 L C Z x d W 9 0 O 1 N l Y 3 R p b 2 4 x L 1 N D M T d f Z G F 0 Y V 9 y Z X N 1 b H R z X 2 Z v c l 9 u d X R z L 0 N o Y W 5 n Z W Q g V H l w Z S 5 7 c 2 V f c m F 0 a W 8 s M T B 9 J n F 1 b 3 Q 7 X S w m c X V v d D t D b 2 x 1 b W 5 D b 3 V u d C Z x d W 9 0 O z o x M S w m c X V v d D t L Z X l D b 2 x 1 b W 5 O Y W 1 l c y Z x d W 9 0 O z p b X S w m c X V v d D t D b 2 x 1 b W 5 J Z G V u d G l 0 a W V z J n F 1 b 3 Q 7 O l s m c X V v d D t T Z W N 0 a W 9 u M S 9 T Q z E 3 X 2 R h d G F f c m V z d W x 0 c 1 9 m b 3 J f b n V 0 c y 9 D a G F u Z 2 V k I F R 5 c G U u e 3 N w Z W N p Z X N f Z 3 J v d X A s M H 0 m c X V v d D s s J n F 1 b 3 Q 7 U 2 V j d G l v b j E v U 0 M x N 1 9 k Y X R h X 3 J l c 3 V s d H N f Z m 9 y X 2 5 1 d H M v Q 2 h h b m d l Z C B U e X B l L n t 2 Y X J p Y W J s Z V 9 v Z l 9 p b n R y Z X N 0 L D F 9 J n F 1 b 3 Q 7 L C Z x d W 9 0 O 1 N l Y 3 R p b 2 4 x L 1 N D M T d f Z G F 0 Y V 9 y Z X N 1 b H R z X 2 Z v c l 9 u d X R z L 0 N o Y W 5 n Z W Q g V H l w Z S 5 7 Z G 9 t Y W l u X 2 9 m X 2 l u d H J l c 3 Q s M n 0 m c X V v d D s s J n F 1 b 3 Q 7 U 2 V j d G l v b j E v U 0 M x N 1 9 k Y X R h X 3 J l c 3 V s d H N f Z m 9 y X 2 5 1 d H M v Q 2 h h b m d l Z C B U e X B l L n t s Y W J l b C w z f S Z x d W 9 0 O y w m c X V v d D t T Z W N 0 a W 9 u M S 9 T Q z E 3 X 2 R h d G F f c m V z d W x 0 c 1 9 m b 3 J f b n V 0 c y 9 D a G F u Z 2 V k I F R 5 c G U u e 2 N l b G x f a W Q s N H 0 m c X V v d D s s J n F 1 b 3 Q 7 U 2 V j d G l v b j E v U 0 M x N 1 9 k Y X R h X 3 J l c 3 V s d H N f Z m 9 y X 2 5 1 d H M v Q 2 h h b m d l Z C B U e X B l L n t u Y l 9 w b G 9 0 c y w 1 f S Z x d W 9 0 O y w m c X V v d D t T Z W N 0 a W 9 u M S 9 T Q z E 3 X 2 R h d G F f c m V z d W x 0 c 1 9 m b 3 J f b n V 0 c y 9 D a G F u Z 2 V k I F R 5 c G U u e 2 R v b V 9 u Y l 9 w b G 9 0 c y w 2 f S Z x d W 9 0 O y w m c X V v d D t T Z W N 0 a W 9 u M S 9 T Q z E 3 X 2 R h d G F f c m V z d W x 0 c 1 9 m b 3 J f b n V 0 c y 9 D a G F u Z 2 V k I F R 5 c G U u e 3 R v d G F s X 3 g s N 3 0 m c X V v d D s s J n F 1 b 3 Q 7 U 2 V j d G l v b j E v U 0 M x N 1 9 k Y X R h X 3 J l c 3 V s d H N f Z m 9 y X 2 5 1 d H M v Q 2 h h b m d l Z C B U e X B l L n t z Z V 9 0 b 3 R h b F 9 4 L D h 9 J n F 1 b 3 Q 7 L C Z x d W 9 0 O 1 N l Y 3 R p b 2 4 x L 1 N D M T d f Z G F 0 Y V 9 y Z X N 1 b H R z X 2 Z v c l 9 u d X R z L 0 N o Y W 5 n Z W Q g V H l w Z S 5 7 c m F 0 a W 8 s O X 0 m c X V v d D s s J n F 1 b 3 Q 7 U 2 V j d G l v b j E v U 0 M x N 1 9 k Y X R h X 3 J l c 3 V s d H N f Z m 9 y X 2 5 1 d H M v Q 2 h h b m d l Z C B U e X B l L n t z Z V 9 y Y X R p b y w x M H 0 m c X V v d D t d L C Z x d W 9 0 O 1 J l b G F 0 a W 9 u c 2 h p c E l u Z m 8 m c X V v d D s 6 W 1 1 9 I i A v P j w v U 3 R h Y m x l R W 5 0 c m l l c z 4 8 L 0 l 0 Z W 0 + P E l 0 Z W 0 + P E l 0 Z W 1 M b 2 N h d G l v b j 4 8 S X R l b V R 5 c G U + R m 9 y b X V s Y T w v S X R l b V R 5 c G U + P E l 0 Z W 1 Q Y X R o P l N l Y 3 R p b 2 4 x L 1 N D M T d f Z G F 0 Y V 9 y Z X N 1 b H R z X 2 Z v c l 9 u d X R z L 1 N v d X J j Z T w v S X R l b V B h d G g + P C 9 J d G V t T G 9 j Y X R p b 2 4 + P F N 0 Y W J s Z U V u d H J p Z X M g L z 4 8 L 0 l 0 Z W 0 + P E l 0 Z W 0 + P E l 0 Z W 1 M b 2 N h d G l v b j 4 8 S X R l b V R 5 c G U + R m 9 y b X V s Y T w v S X R l b V R 5 c G U + P E l 0 Z W 1 Q Y X R o P l N l Y 3 R p b 2 4 x L 1 N D M T d f Z G F 0 Y V 9 y Z X N 1 b H R z X 2 Z v c l 9 u d X R z L 1 B y b 2 1 v d G V k J T I w S G V h Z G V y c z w v S X R l b V B h d G g + P C 9 J d G V t T G 9 j Y X R p b 2 4 + P F N 0 Y W J s Z U V u d H J p Z X M g L z 4 8 L 0 l 0 Z W 0 + P E l 0 Z W 0 + P E l 0 Z W 1 M b 2 N h d G l v b j 4 8 S X R l b V R 5 c G U + R m 9 y b X V s Y T w v S X R l b V R 5 c G U + P E l 0 Z W 1 Q Y X R o P l N l Y 3 R p b 2 4 x L 1 N D M T d f Z G F 0 Y V 9 y Z X N 1 b H R z X 2 Z v c l 9 u d X R z L 0 N o Y W 5 n Z W Q l M j B U e X B l P C 9 J d G V t U G F 0 a D 4 8 L 0 l 0 Z W 1 M b 2 N h d G l v b j 4 8 U 3 R h Y m x l R W 5 0 c m l l c y A v P j w v S X R l b T 4 8 L 0 l 0 Z W 1 z P j w v T G 9 j Y W x Q Y W N r Y W d l T W V 0 Y W R h d G F G a W x l P h Y A A A B Q S w U G A A A A A A A A A A A A A A A A A A A A A A A A J g E A A A E A A A D Q j J 3 f A R X R E Y x 6 A M B P w p f r A Q A A A C C 7 1 y p 9 I X h I u M / R u H / y K 9 0 A A A A A A g A A A A A A E G Y A A A A B A A A g A A A A 6 G h O f I G d d P 0 V N r v m c k b g P N a R Q 1 k e j w G E H n n g F 0 D f J h E A A A A A D o A A A A A C A A A g A A A A i G Y E h + K K X Y q N c 7 i a m + w Y T G M x f u c 3 J J z K k u D N T H p D X q h Q A A A A c C 4 t W z L 7 5 G R c n r 2 c v m F Z K v 2 5 6 X / 3 / Z 7 1 C m J k J V 6 Z t t p B 4 A c D U h 9 9 P Z r n j 0 3 9 8 J F 1 3 a O h S e a A z o N J k E W j a z o S a x R D W 4 H m a D x m z / + h Z 5 1 4 W b N A A A A A k y v l M D 2 d 5 o e o 0 j T e A J S T A 7 N D Z 0 6 R g z u R K n s O M N 4 / 7 q i D B 9 h N b H 2 E / L 5 W j A s v / V q B k O f u m 6 x r a N a 8 Z 0 I z L M 4 g E A = = < / D a t a M a s h u p > 
</file>

<file path=customXml/itemProps1.xml><?xml version="1.0" encoding="utf-8"?>
<ds:datastoreItem xmlns:ds="http://schemas.openxmlformats.org/officeDocument/2006/customXml" ds:itemID="{9DFB08A1-2B07-4C99-82E7-F2702FE7D0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OUTPUT 2020</vt:lpstr>
      <vt:lpstr>OUTPUT 2020 Uncertainty</vt:lpstr>
      <vt:lpstr>NATIONAL 2020</vt:lpstr>
      <vt:lpstr>NFI 2020</vt:lpstr>
      <vt:lpstr>AREA CorrFactor</vt:lpstr>
      <vt:lpstr>INPUT SoEF</vt:lpstr>
      <vt:lpstr>INPUT NFI</vt:lpstr>
      <vt:lpstr>INPUT CBM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Valerio</dc:creator>
  <cp:lastModifiedBy>AVITABILE Valerio (JRC-ISPRA)</cp:lastModifiedBy>
  <dcterms:created xsi:type="dcterms:W3CDTF">2022-01-14T15:26:09Z</dcterms:created>
  <dcterms:modified xsi:type="dcterms:W3CDTF">2023-12-15T11:51:20Z</dcterms:modified>
</cp:coreProperties>
</file>